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l-my.sharepoint.com/personal/u401795_global_ual_com/Documents/FIS/"/>
    </mc:Choice>
  </mc:AlternateContent>
  <xr:revisionPtr revIDLastSave="72050" documentId="13_ncr:1_{47B4C469-E0EA-48A3-BFE4-2A6BFD700B9E}" xr6:coauthVersionLast="47" xr6:coauthVersionMax="47" xr10:uidLastSave="{472027D8-8866-41D7-BC4F-920D5DE32E4C}"/>
  <bookViews>
    <workbookView xWindow="-110" yWindow="-110" windowWidth="19420" windowHeight="10420" firstSheet="1" activeTab="2" xr2:uid="{6B205DC6-02B2-4C0F-97AE-6101F3BE1808}"/>
  </bookViews>
  <sheets>
    <sheet name="Supporting Data" sheetId="3" state="hidden" r:id="rId1"/>
    <sheet name="TSA Wait Times Data" sheetId="4" r:id="rId2"/>
    <sheet name="Intl Arrivals" sheetId="29" r:id="rId3"/>
    <sheet name="FIS Optimal Model (2)" sheetId="28" r:id="rId4"/>
    <sheet name="FIS Optimal Model" sheetId="10" r:id="rId5"/>
    <sheet name="FIS Current Model" sheetId="24" r:id="rId6"/>
    <sheet name="FIS Optimal Model (3)" sheetId="27" r:id="rId7"/>
    <sheet name="IAB Model" sheetId="26" r:id="rId8"/>
  </sheets>
  <externalReferences>
    <externalReference r:id="rId9"/>
    <externalReference r:id="rId10"/>
  </externalReferences>
  <definedNames>
    <definedName name="_xlnm._FilterDatabase" localSheetId="5" hidden="1">'FIS Current Model'!$A$38:$Y$339</definedName>
    <definedName name="_xlnm._FilterDatabase" localSheetId="4" hidden="1">'FIS Optimal Model'!$A$38:$Y$339</definedName>
    <definedName name="_xlnm._FilterDatabase" localSheetId="3" hidden="1">'FIS Optimal Model (2)'!$A$41:$Y$342</definedName>
    <definedName name="_xlnm._FilterDatabase" localSheetId="6" hidden="1">'FIS Optimal Model (3)'!$A$38:$Y$339</definedName>
    <definedName name="_xlnm._FilterDatabase" localSheetId="7" hidden="1">'IAB Model'!$A$38:$Y$339</definedName>
    <definedName name="_xlnm._FilterDatabase" localSheetId="1" hidden="1">'TSA Wait Times Data'!$A$1:$K$511</definedName>
    <definedName name="ExternalData_1" localSheetId="2" hidden="1">'Intl Arrivals'!$A$3:$H$35</definedName>
    <definedName name="ExternalData_1" localSheetId="2" hidden="1">'Intl Arrivals'!$A$3:$H$35</definedName>
    <definedName name="solver_adj" localSheetId="5" hidden="1">'FIS Current Model'!$Q$6:$T$25</definedName>
    <definedName name="solver_adj" localSheetId="4" hidden="1">'FIS Optimal Model'!$Q$6:$T$25</definedName>
    <definedName name="solver_adj" localSheetId="3" hidden="1">'FIS Optimal Model (2)'!$Q$6:$T$25</definedName>
    <definedName name="solver_adj" localSheetId="6" hidden="1">'FIS Optimal Model (3)'!$Q$6:$T$25</definedName>
    <definedName name="solver_adj" localSheetId="7" hidden="1">'IAB Model'!$Q$6:$T$25</definedName>
    <definedName name="solver_cvg" localSheetId="5" hidden="1">0.0001</definedName>
    <definedName name="solver_cvg" localSheetId="4" hidden="1">0.0001</definedName>
    <definedName name="solver_cvg" localSheetId="3" hidden="1">0.0001</definedName>
    <definedName name="solver_cvg" localSheetId="6" hidden="1">0.0001</definedName>
    <definedName name="solver_cvg" localSheetId="7" hidden="1">0.0001</definedName>
    <definedName name="solver_drv" localSheetId="5" hidden="1">1</definedName>
    <definedName name="solver_drv" localSheetId="4" hidden="1">1</definedName>
    <definedName name="solver_drv" localSheetId="3" hidden="1">1</definedName>
    <definedName name="solver_drv" localSheetId="6" hidden="1">1</definedName>
    <definedName name="solver_drv" localSheetId="7" hidden="1">1</definedName>
    <definedName name="solver_eng" localSheetId="5" hidden="1">1</definedName>
    <definedName name="solver_eng" localSheetId="4" hidden="1">1</definedName>
    <definedName name="solver_eng" localSheetId="3" hidden="1">1</definedName>
    <definedName name="solver_eng" localSheetId="6" hidden="1">1</definedName>
    <definedName name="solver_eng" localSheetId="7" hidden="1">1</definedName>
    <definedName name="solver_est" localSheetId="5" hidden="1">1</definedName>
    <definedName name="solver_est" localSheetId="4" hidden="1">1</definedName>
    <definedName name="solver_est" localSheetId="3" hidden="1">1</definedName>
    <definedName name="solver_est" localSheetId="6" hidden="1">1</definedName>
    <definedName name="solver_est" localSheetId="7" hidden="1">1</definedName>
    <definedName name="solver_itr" localSheetId="5" hidden="1">2147483647</definedName>
    <definedName name="solver_itr" localSheetId="4" hidden="1">2147483647</definedName>
    <definedName name="solver_itr" localSheetId="3" hidden="1">2147483647</definedName>
    <definedName name="solver_itr" localSheetId="6" hidden="1">2147483647</definedName>
    <definedName name="solver_itr" localSheetId="7" hidden="1">2147483647</definedName>
    <definedName name="solver_lhs1" localSheetId="5" hidden="1">'FIS Current Model'!$Q$6:$T$25</definedName>
    <definedName name="solver_lhs1" localSheetId="4" hidden="1">'FIS Optimal Model'!$Q$6:$T$25</definedName>
    <definedName name="solver_lhs1" localSheetId="3" hidden="1">'FIS Optimal Model (2)'!$Q$6:$T$25</definedName>
    <definedName name="solver_lhs1" localSheetId="6" hidden="1">'FIS Optimal Model (3)'!$M$6</definedName>
    <definedName name="solver_lhs1" localSheetId="7" hidden="1">'IAB Model'!$Q$6:$T$25</definedName>
    <definedName name="solver_lhs2" localSheetId="5" hidden="1">'FIS Current Model'!$Q$6:$T$25</definedName>
    <definedName name="solver_lhs2" localSheetId="4" hidden="1">'FIS Optimal Model'!$Q$6:$T$25</definedName>
    <definedName name="solver_lhs2" localSheetId="3" hidden="1">'FIS Optimal Model (2)'!$Q$6:$T$25</definedName>
    <definedName name="solver_lhs2" localSheetId="6" hidden="1">'FIS Optimal Model (3)'!$Q$6:$T$25</definedName>
    <definedName name="solver_lhs2" localSheetId="7" hidden="1">'IAB Model'!$Q$6:$T$25</definedName>
    <definedName name="solver_lhs3" localSheetId="5" hidden="1">'FIS Current Model'!$U$6:$U$25</definedName>
    <definedName name="solver_lhs3" localSheetId="4" hidden="1">'FIS Optimal Model'!$U$6:$U$25</definedName>
    <definedName name="solver_lhs3" localSheetId="3" hidden="1">'FIS Optimal Model (2)'!$U$6:$U$25</definedName>
    <definedName name="solver_lhs3" localSheetId="6" hidden="1">'FIS Optimal Model (3)'!$Q$6:$T$25</definedName>
    <definedName name="solver_lhs3" localSheetId="7" hidden="1">'IAB Model'!$U$6:$U$25</definedName>
    <definedName name="solver_lhs4" localSheetId="5" hidden="1">'FIS Current Model'!$U$6:$U$25</definedName>
    <definedName name="solver_lhs4" localSheetId="4" hidden="1">'FIS Optimal Model'!$U$6:$U$25</definedName>
    <definedName name="solver_lhs4" localSheetId="3" hidden="1">'FIS Optimal Model (2)'!$U$6:$U$25</definedName>
    <definedName name="solver_lhs4" localSheetId="6" hidden="1">'FIS Optimal Model (3)'!$U$6:$U$25</definedName>
    <definedName name="solver_lhs4" localSheetId="7" hidden="1">'IAB Model'!$U$6:$U$25</definedName>
    <definedName name="solver_lhs5" localSheetId="5" hidden="1">'FIS Current Model'!$U$6:$U$25</definedName>
    <definedName name="solver_lhs5" localSheetId="4" hidden="1">'FIS Optimal Model'!$U$6:$U$25</definedName>
    <definedName name="solver_lhs5" localSheetId="3" hidden="1">'FIS Optimal Model (2)'!$U$6:$U$25</definedName>
    <definedName name="solver_lhs5" localSheetId="6" hidden="1">'FIS Optimal Model (3)'!$U$6:$U$25</definedName>
    <definedName name="solver_lhs5" localSheetId="7" hidden="1">'IAB Model'!$U$6:$U$25</definedName>
    <definedName name="solver_lhs6" localSheetId="5" hidden="1">'FIS Current Model'!$U$6:$U$25</definedName>
    <definedName name="solver_lhs6" localSheetId="4" hidden="1">'FIS Optimal Model'!$U$6:$U$25</definedName>
    <definedName name="solver_lhs6" localSheetId="3" hidden="1">'FIS Optimal Model (2)'!$U$6:$U$25</definedName>
    <definedName name="solver_lhs6" localSheetId="6" hidden="1">'FIS Optimal Model (3)'!$U$6:$U$25</definedName>
    <definedName name="solver_lhs6" localSheetId="7" hidden="1">'IAB Model'!$U$6:$U$25</definedName>
    <definedName name="solver_mip" localSheetId="5" hidden="1">2147483647</definedName>
    <definedName name="solver_mip" localSheetId="4" hidden="1">2147483647</definedName>
    <definedName name="solver_mip" localSheetId="3" hidden="1">2147483647</definedName>
    <definedName name="solver_mip" localSheetId="6" hidden="1">2147483647</definedName>
    <definedName name="solver_mip" localSheetId="7" hidden="1">2147483647</definedName>
    <definedName name="solver_mni" localSheetId="5" hidden="1">30</definedName>
    <definedName name="solver_mni" localSheetId="4" hidden="1">30</definedName>
    <definedName name="solver_mni" localSheetId="3" hidden="1">30</definedName>
    <definedName name="solver_mni" localSheetId="6" hidden="1">30</definedName>
    <definedName name="solver_mni" localSheetId="7" hidden="1">30</definedName>
    <definedName name="solver_mrt" localSheetId="5" hidden="1">0.075</definedName>
    <definedName name="solver_mrt" localSheetId="4" hidden="1">0.075</definedName>
    <definedName name="solver_mrt" localSheetId="3" hidden="1">0.075</definedName>
    <definedName name="solver_mrt" localSheetId="6" hidden="1">0.075</definedName>
    <definedName name="solver_mrt" localSheetId="7" hidden="1">0.075</definedName>
    <definedName name="solver_msl" localSheetId="5" hidden="1">2</definedName>
    <definedName name="solver_msl" localSheetId="4" hidden="1">2</definedName>
    <definedName name="solver_msl" localSheetId="3" hidden="1">2</definedName>
    <definedName name="solver_msl" localSheetId="6" hidden="1">2</definedName>
    <definedName name="solver_msl" localSheetId="7" hidden="1">2</definedName>
    <definedName name="solver_neg" localSheetId="5" hidden="1">1</definedName>
    <definedName name="solver_neg" localSheetId="4" hidden="1">1</definedName>
    <definedName name="solver_neg" localSheetId="3" hidden="1">1</definedName>
    <definedName name="solver_neg" localSheetId="6" hidden="1">1</definedName>
    <definedName name="solver_neg" localSheetId="7" hidden="1">1</definedName>
    <definedName name="solver_nod" localSheetId="5" hidden="1">2147483647</definedName>
    <definedName name="solver_nod" localSheetId="4" hidden="1">2147483647</definedName>
    <definedName name="solver_nod" localSheetId="3" hidden="1">2147483647</definedName>
    <definedName name="solver_nod" localSheetId="6" hidden="1">2147483647</definedName>
    <definedName name="solver_nod" localSheetId="7" hidden="1">2147483647</definedName>
    <definedName name="solver_num" localSheetId="5" hidden="1">3</definedName>
    <definedName name="solver_num" localSheetId="4" hidden="1">3</definedName>
    <definedName name="solver_num" localSheetId="3" hidden="1">3</definedName>
    <definedName name="solver_num" localSheetId="6" hidden="1">4</definedName>
    <definedName name="solver_num" localSheetId="7" hidden="1">3</definedName>
    <definedName name="solver_nwt" localSheetId="5" hidden="1">1</definedName>
    <definedName name="solver_nwt" localSheetId="4" hidden="1">1</definedName>
    <definedName name="solver_nwt" localSheetId="3" hidden="1">1</definedName>
    <definedName name="solver_nwt" localSheetId="6" hidden="1">1</definedName>
    <definedName name="solver_nwt" localSheetId="7" hidden="1">1</definedName>
    <definedName name="solver_opt" localSheetId="5" hidden="1">'FIS Current Model'!$M$6</definedName>
    <definedName name="solver_opt" localSheetId="4" hidden="1">'FIS Optimal Model'!$M$6</definedName>
    <definedName name="solver_opt" localSheetId="3" hidden="1">'FIS Optimal Model (2)'!$M$6</definedName>
    <definedName name="solver_opt" localSheetId="6" hidden="1">'FIS Optimal Model (3)'!$M$6</definedName>
    <definedName name="solver_opt" localSheetId="7" hidden="1">'IAB Model'!$M$6</definedName>
    <definedName name="solver_pre" localSheetId="5" hidden="1">0.000001</definedName>
    <definedName name="solver_pre" localSheetId="4" hidden="1">0.000001</definedName>
    <definedName name="solver_pre" localSheetId="3" hidden="1">0.000001</definedName>
    <definedName name="solver_pre" localSheetId="6" hidden="1">0.000001</definedName>
    <definedName name="solver_pre" localSheetId="7" hidden="1">0.000001</definedName>
    <definedName name="solver_rbv" localSheetId="5" hidden="1">1</definedName>
    <definedName name="solver_rbv" localSheetId="4" hidden="1">1</definedName>
    <definedName name="solver_rbv" localSheetId="3" hidden="1">1</definedName>
    <definedName name="solver_rbv" localSheetId="6" hidden="1">1</definedName>
    <definedName name="solver_rbv" localSheetId="7" hidden="1">1</definedName>
    <definedName name="solver_rel1" localSheetId="5" hidden="1">4</definedName>
    <definedName name="solver_rel1" localSheetId="4" hidden="1">4</definedName>
    <definedName name="solver_rel1" localSheetId="3" hidden="1">4</definedName>
    <definedName name="solver_rel1" localSheetId="6" hidden="1">1</definedName>
    <definedName name="solver_rel1" localSheetId="7" hidden="1">4</definedName>
    <definedName name="solver_rel2" localSheetId="5" hidden="1">3</definedName>
    <definedName name="solver_rel2" localSheetId="4" hidden="1">3</definedName>
    <definedName name="solver_rel2" localSheetId="3" hidden="1">3</definedName>
    <definedName name="solver_rel2" localSheetId="6" hidden="1">4</definedName>
    <definedName name="solver_rel2" localSheetId="7" hidden="1">3</definedName>
    <definedName name="solver_rel3" localSheetId="5" hidden="1">2</definedName>
    <definedName name="solver_rel3" localSheetId="4" hidden="1">2</definedName>
    <definedName name="solver_rel3" localSheetId="3" hidden="1">2</definedName>
    <definedName name="solver_rel3" localSheetId="6" hidden="1">3</definedName>
    <definedName name="solver_rel3" localSheetId="7" hidden="1">2</definedName>
    <definedName name="solver_rel4" localSheetId="5" hidden="1">2</definedName>
    <definedName name="solver_rel4" localSheetId="4" hidden="1">2</definedName>
    <definedName name="solver_rel4" localSheetId="3" hidden="1">2</definedName>
    <definedName name="solver_rel4" localSheetId="6" hidden="1">1</definedName>
    <definedName name="solver_rel4" localSheetId="7" hidden="1">2</definedName>
    <definedName name="solver_rel5" localSheetId="5" hidden="1">2</definedName>
    <definedName name="solver_rel5" localSheetId="4" hidden="1">2</definedName>
    <definedName name="solver_rel5" localSheetId="3" hidden="1">2</definedName>
    <definedName name="solver_rel5" localSheetId="6" hidden="1">2</definedName>
    <definedName name="solver_rel5" localSheetId="7" hidden="1">2</definedName>
    <definedName name="solver_rel6" localSheetId="5" hidden="1">2</definedName>
    <definedName name="solver_rel6" localSheetId="4" hidden="1">2</definedName>
    <definedName name="solver_rel6" localSheetId="3" hidden="1">2</definedName>
    <definedName name="solver_rel6" localSheetId="6" hidden="1">2</definedName>
    <definedName name="solver_rel6" localSheetId="7" hidden="1">2</definedName>
    <definedName name="solver_rhs1" localSheetId="5" hidden="1">"integer"</definedName>
    <definedName name="solver_rhs1" localSheetId="4" hidden="1">"integer"</definedName>
    <definedName name="solver_rhs1" localSheetId="3" hidden="1">"integer"</definedName>
    <definedName name="solver_rhs1" localSheetId="6" hidden="1">'FIS Optimal Model (3)'!$X$13</definedName>
    <definedName name="solver_rhs1" localSheetId="7" hidden="1">"integer"</definedName>
    <definedName name="solver_rhs2" localSheetId="5" hidden="1">1</definedName>
    <definedName name="solver_rhs2" localSheetId="4" hidden="1">1</definedName>
    <definedName name="solver_rhs2" localSheetId="3" hidden="1">1</definedName>
    <definedName name="solver_rhs2" localSheetId="6" hidden="1">"integer"</definedName>
    <definedName name="solver_rhs2" localSheetId="7" hidden="1">1</definedName>
    <definedName name="solver_rhs3" localSheetId="5" hidden="1">'FIS Current Model'!$V$6:$V$25</definedName>
    <definedName name="solver_rhs3" localSheetId="4" hidden="1">'FIS Optimal Model'!$V$6:$V$25</definedName>
    <definedName name="solver_rhs3" localSheetId="3" hidden="1">'FIS Optimal Model (2)'!$V$6:$V$25</definedName>
    <definedName name="solver_rhs3" localSheetId="6" hidden="1">1</definedName>
    <definedName name="solver_rhs3" localSheetId="7" hidden="1">'IAB Model'!$V$6:$V$25</definedName>
    <definedName name="solver_rhs4" localSheetId="5" hidden="1">'FIS Current Model'!$V$6:$V$25</definedName>
    <definedName name="solver_rhs4" localSheetId="4" hidden="1">'FIS Optimal Model'!$V$6:$V$25</definedName>
    <definedName name="solver_rhs4" localSheetId="3" hidden="1">'FIS Optimal Model (2)'!$V$6:$V$25</definedName>
    <definedName name="solver_rhs4" localSheetId="6" hidden="1">'FIS Optimal Model (3)'!$V$6:$V$25</definedName>
    <definedName name="solver_rhs4" localSheetId="7" hidden="1">'IAB Model'!$V$6:$V$25</definedName>
    <definedName name="solver_rhs5" localSheetId="5" hidden="1">'FIS Current Model'!$V$6:$V$25</definedName>
    <definedName name="solver_rhs5" localSheetId="4" hidden="1">'FIS Optimal Model'!$V$6:$V$25</definedName>
    <definedName name="solver_rhs5" localSheetId="3" hidden="1">'FIS Optimal Model (2)'!$V$6:$V$25</definedName>
    <definedName name="solver_rhs5" localSheetId="6" hidden="1">'FIS Optimal Model (3)'!$V$6:$V$25</definedName>
    <definedName name="solver_rhs5" localSheetId="7" hidden="1">'IAB Model'!$V$6:$V$25</definedName>
    <definedName name="solver_rhs6" localSheetId="5" hidden="1">'FIS Current Model'!$V$6:$V$25</definedName>
    <definedName name="solver_rhs6" localSheetId="4" hidden="1">'FIS Optimal Model'!$V$6:$V$25</definedName>
    <definedName name="solver_rhs6" localSheetId="3" hidden="1">'FIS Optimal Model (2)'!$V$6:$V$25</definedName>
    <definedName name="solver_rhs6" localSheetId="6" hidden="1">'FIS Optimal Model (3)'!$V$6:$V$25</definedName>
    <definedName name="solver_rhs6" localSheetId="7" hidden="1">'IAB Model'!$V$6:$V$25</definedName>
    <definedName name="solver_rlx" localSheetId="5" hidden="1">2</definedName>
    <definedName name="solver_rlx" localSheetId="4" hidden="1">2</definedName>
    <definedName name="solver_rlx" localSheetId="3" hidden="1">2</definedName>
    <definedName name="solver_rlx" localSheetId="6" hidden="1">2</definedName>
    <definedName name="solver_rlx" localSheetId="7" hidden="1">2</definedName>
    <definedName name="solver_rsd" localSheetId="5" hidden="1">0</definedName>
    <definedName name="solver_rsd" localSheetId="4" hidden="1">0</definedName>
    <definedName name="solver_rsd" localSheetId="3" hidden="1">0</definedName>
    <definedName name="solver_rsd" localSheetId="6" hidden="1">0</definedName>
    <definedName name="solver_rsd" localSheetId="7" hidden="1">0</definedName>
    <definedName name="solver_scl" localSheetId="5" hidden="1">1</definedName>
    <definedName name="solver_scl" localSheetId="4" hidden="1">1</definedName>
    <definedName name="solver_scl" localSheetId="3" hidden="1">1</definedName>
    <definedName name="solver_scl" localSheetId="6" hidden="1">1</definedName>
    <definedName name="solver_scl" localSheetId="7" hidden="1">1</definedName>
    <definedName name="solver_sho" localSheetId="5" hidden="1">2</definedName>
    <definedName name="solver_sho" localSheetId="4" hidden="1">2</definedName>
    <definedName name="solver_sho" localSheetId="3" hidden="1">2</definedName>
    <definedName name="solver_sho" localSheetId="6" hidden="1">2</definedName>
    <definedName name="solver_sho" localSheetId="7" hidden="1">2</definedName>
    <definedName name="solver_ssz" localSheetId="5" hidden="1">100</definedName>
    <definedName name="solver_ssz" localSheetId="4" hidden="1">100</definedName>
    <definedName name="solver_ssz" localSheetId="3" hidden="1">100</definedName>
    <definedName name="solver_ssz" localSheetId="6" hidden="1">100</definedName>
    <definedName name="solver_ssz" localSheetId="7" hidden="1">100</definedName>
    <definedName name="solver_tim" localSheetId="5" hidden="1">2147483647</definedName>
    <definedName name="solver_tim" localSheetId="4" hidden="1">2147483647</definedName>
    <definedName name="solver_tim" localSheetId="3" hidden="1">2147483647</definedName>
    <definedName name="solver_tim" localSheetId="6" hidden="1">2147483647</definedName>
    <definedName name="solver_tim" localSheetId="7" hidden="1">2147483647</definedName>
    <definedName name="solver_tol" localSheetId="5" hidden="1">0.01</definedName>
    <definedName name="solver_tol" localSheetId="4" hidden="1">0.01</definedName>
    <definedName name="solver_tol" localSheetId="3" hidden="1">0.01</definedName>
    <definedName name="solver_tol" localSheetId="6" hidden="1">0.01</definedName>
    <definedName name="solver_tol" localSheetId="7" hidden="1">0.01</definedName>
    <definedName name="solver_typ" localSheetId="5" hidden="1">2</definedName>
    <definedName name="solver_typ" localSheetId="4" hidden="1">2</definedName>
    <definedName name="solver_typ" localSheetId="3" hidden="1">2</definedName>
    <definedName name="solver_typ" localSheetId="6" hidden="1">1</definedName>
    <definedName name="solver_typ" localSheetId="7" hidden="1">2</definedName>
    <definedName name="solver_val" localSheetId="5" hidden="1">0</definedName>
    <definedName name="solver_val" localSheetId="4" hidden="1">0</definedName>
    <definedName name="solver_val" localSheetId="3" hidden="1">0</definedName>
    <definedName name="solver_val" localSheetId="6" hidden="1">30</definedName>
    <definedName name="solver_val" localSheetId="7" hidden="1">0</definedName>
    <definedName name="solver_ver" localSheetId="5" hidden="1">3</definedName>
    <definedName name="solver_ver" localSheetId="4" hidden="1">3</definedName>
    <definedName name="solver_ver" localSheetId="3" hidden="1">3</definedName>
    <definedName name="solver_ver" localSheetId="6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4" l="1"/>
  <c r="B342" i="28"/>
  <c r="B341" i="28"/>
  <c r="B340" i="28"/>
  <c r="B339" i="28"/>
  <c r="B338" i="28"/>
  <c r="B337" i="28"/>
  <c r="B336" i="28"/>
  <c r="B335" i="28"/>
  <c r="B334" i="28"/>
  <c r="B333" i="28"/>
  <c r="B332" i="28"/>
  <c r="B331" i="28"/>
  <c r="B330" i="28"/>
  <c r="B329" i="28"/>
  <c r="B328" i="28"/>
  <c r="B327" i="28"/>
  <c r="B326" i="28"/>
  <c r="B325" i="28"/>
  <c r="B324" i="28"/>
  <c r="B323" i="28"/>
  <c r="B322" i="28"/>
  <c r="B321" i="28"/>
  <c r="B320" i="28"/>
  <c r="B319" i="28"/>
  <c r="B318" i="28"/>
  <c r="B317" i="28"/>
  <c r="B316" i="28"/>
  <c r="B315" i="28"/>
  <c r="B314" i="28"/>
  <c r="B313" i="28"/>
  <c r="B312" i="28"/>
  <c r="B311" i="28"/>
  <c r="B310" i="28"/>
  <c r="B309" i="28"/>
  <c r="B308" i="28"/>
  <c r="B307" i="28"/>
  <c r="B306" i="28"/>
  <c r="B305" i="28"/>
  <c r="B304" i="28"/>
  <c r="B303" i="28"/>
  <c r="B302" i="28"/>
  <c r="B301" i="28"/>
  <c r="B300" i="28"/>
  <c r="B299" i="28"/>
  <c r="B298" i="28"/>
  <c r="B297" i="28"/>
  <c r="B296" i="28"/>
  <c r="B295" i="28"/>
  <c r="B294" i="28"/>
  <c r="B293" i="28"/>
  <c r="B292" i="28"/>
  <c r="B291" i="28"/>
  <c r="B290" i="28"/>
  <c r="B289" i="28"/>
  <c r="B288" i="28"/>
  <c r="B287" i="28"/>
  <c r="B286" i="28"/>
  <c r="B285" i="28"/>
  <c r="B284" i="28"/>
  <c r="B283" i="28"/>
  <c r="B282" i="28"/>
  <c r="B281" i="28"/>
  <c r="B280" i="28"/>
  <c r="B279" i="28"/>
  <c r="B278" i="28"/>
  <c r="B277" i="28"/>
  <c r="B276" i="28"/>
  <c r="B275" i="28"/>
  <c r="B274" i="28"/>
  <c r="B273" i="28"/>
  <c r="B272" i="28"/>
  <c r="B271" i="28"/>
  <c r="B270" i="28"/>
  <c r="B269" i="28"/>
  <c r="B268" i="28"/>
  <c r="B267" i="28"/>
  <c r="B266" i="28"/>
  <c r="B265" i="28"/>
  <c r="B264" i="28"/>
  <c r="B263" i="28"/>
  <c r="B262" i="28"/>
  <c r="B261" i="28"/>
  <c r="B260" i="28"/>
  <c r="B259" i="28"/>
  <c r="B258" i="28"/>
  <c r="B257" i="28"/>
  <c r="B256" i="28"/>
  <c r="B255" i="28"/>
  <c r="B254" i="28"/>
  <c r="B253" i="28"/>
  <c r="B252" i="28"/>
  <c r="B251" i="28"/>
  <c r="B250" i="28"/>
  <c r="B249" i="28"/>
  <c r="B248" i="28"/>
  <c r="B247" i="28"/>
  <c r="B246" i="28"/>
  <c r="B245" i="28"/>
  <c r="B244" i="28"/>
  <c r="B243" i="28"/>
  <c r="B242" i="28"/>
  <c r="B241" i="28"/>
  <c r="B240" i="28"/>
  <c r="B239" i="28"/>
  <c r="B238" i="28"/>
  <c r="B237" i="28"/>
  <c r="B236" i="28"/>
  <c r="B235" i="28"/>
  <c r="B234" i="28"/>
  <c r="B233" i="28"/>
  <c r="B232" i="28"/>
  <c r="B231" i="28"/>
  <c r="B230" i="28"/>
  <c r="B229" i="28"/>
  <c r="B228" i="28"/>
  <c r="B227" i="28"/>
  <c r="B226" i="28"/>
  <c r="B225" i="28"/>
  <c r="B224" i="28"/>
  <c r="B223" i="28"/>
  <c r="B222" i="28"/>
  <c r="B221" i="28"/>
  <c r="B220" i="28"/>
  <c r="B219" i="28"/>
  <c r="B218" i="28"/>
  <c r="B217" i="28"/>
  <c r="B216" i="28"/>
  <c r="B215" i="28"/>
  <c r="B214" i="28"/>
  <c r="B213" i="28"/>
  <c r="B212" i="28"/>
  <c r="B211" i="28"/>
  <c r="B210" i="28"/>
  <c r="B209" i="28"/>
  <c r="B208" i="28"/>
  <c r="B207" i="28"/>
  <c r="B206" i="28"/>
  <c r="B205" i="28"/>
  <c r="B204" i="28"/>
  <c r="B203" i="28"/>
  <c r="B202" i="28"/>
  <c r="B201" i="28"/>
  <c r="B200" i="28"/>
  <c r="B199" i="28"/>
  <c r="B198" i="28"/>
  <c r="B197" i="28"/>
  <c r="B196" i="28"/>
  <c r="B195" i="28"/>
  <c r="B194" i="28"/>
  <c r="B193" i="28"/>
  <c r="B192" i="28"/>
  <c r="B191" i="28"/>
  <c r="B190" i="28"/>
  <c r="B189" i="28"/>
  <c r="B188" i="28"/>
  <c r="B187" i="28"/>
  <c r="B186" i="28"/>
  <c r="B185" i="28"/>
  <c r="B184" i="28"/>
  <c r="B183" i="28"/>
  <c r="B182" i="28"/>
  <c r="B181" i="28"/>
  <c r="B180" i="28"/>
  <c r="B179" i="28"/>
  <c r="B178" i="28"/>
  <c r="B177" i="28"/>
  <c r="B176" i="28"/>
  <c r="B175" i="28"/>
  <c r="B174" i="28"/>
  <c r="B173" i="28"/>
  <c r="B172" i="28"/>
  <c r="B171" i="28"/>
  <c r="B170" i="28"/>
  <c r="B169" i="28"/>
  <c r="B168" i="28"/>
  <c r="B167" i="28"/>
  <c r="B166" i="28"/>
  <c r="B165" i="28"/>
  <c r="B164" i="28"/>
  <c r="B163" i="28"/>
  <c r="B162" i="28"/>
  <c r="B161" i="28"/>
  <c r="B160" i="28"/>
  <c r="B159" i="28"/>
  <c r="B158" i="28"/>
  <c r="B157" i="28"/>
  <c r="B156" i="28"/>
  <c r="B155" i="28"/>
  <c r="B154" i="28"/>
  <c r="B153" i="28"/>
  <c r="B152" i="28"/>
  <c r="B151" i="28"/>
  <c r="B150" i="28"/>
  <c r="B149" i="28"/>
  <c r="B148" i="28"/>
  <c r="B147" i="28"/>
  <c r="B146" i="28"/>
  <c r="B145" i="28"/>
  <c r="B144" i="28"/>
  <c r="B143" i="28"/>
  <c r="B142" i="28"/>
  <c r="B141" i="28"/>
  <c r="B140" i="28"/>
  <c r="B139" i="28"/>
  <c r="B138" i="28"/>
  <c r="B137" i="28"/>
  <c r="B136" i="28"/>
  <c r="B135" i="28"/>
  <c r="B134" i="28"/>
  <c r="B133" i="28"/>
  <c r="B132" i="28"/>
  <c r="B131" i="28"/>
  <c r="B130" i="28"/>
  <c r="B129" i="28"/>
  <c r="B128" i="28"/>
  <c r="B127" i="28"/>
  <c r="B126" i="28"/>
  <c r="B125" i="28"/>
  <c r="B124" i="28"/>
  <c r="B123" i="28"/>
  <c r="B122" i="28"/>
  <c r="B121" i="28"/>
  <c r="B120" i="28"/>
  <c r="B119" i="28"/>
  <c r="B118" i="28"/>
  <c r="B117" i="28"/>
  <c r="B116" i="28"/>
  <c r="B115" i="28"/>
  <c r="B114" i="28"/>
  <c r="B113" i="28"/>
  <c r="B112" i="28"/>
  <c r="B111" i="28"/>
  <c r="B110" i="28"/>
  <c r="B109" i="28"/>
  <c r="B108" i="28"/>
  <c r="B107" i="28"/>
  <c r="B106" i="28"/>
  <c r="B105" i="28"/>
  <c r="B104" i="28"/>
  <c r="B103" i="28"/>
  <c r="B102" i="28"/>
  <c r="B101" i="28"/>
  <c r="B100" i="28"/>
  <c r="B99" i="28"/>
  <c r="B98" i="28"/>
  <c r="B97" i="28"/>
  <c r="B96" i="28"/>
  <c r="B95" i="28"/>
  <c r="B94" i="28"/>
  <c r="B93" i="28"/>
  <c r="B92" i="28"/>
  <c r="B91" i="28"/>
  <c r="B90" i="28"/>
  <c r="B89" i="28"/>
  <c r="B88" i="28"/>
  <c r="B87" i="28"/>
  <c r="B86" i="28"/>
  <c r="B85" i="28"/>
  <c r="B84" i="28"/>
  <c r="B83" i="28"/>
  <c r="B82" i="28"/>
  <c r="B81" i="28"/>
  <c r="B80" i="28"/>
  <c r="B79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D44" i="28" s="1"/>
  <c r="AH42" i="28"/>
  <c r="P42" i="28"/>
  <c r="O42" i="28"/>
  <c r="N42" i="28"/>
  <c r="M42" i="28"/>
  <c r="B42" i="28"/>
  <c r="D42" i="28" s="1"/>
  <c r="T36" i="28"/>
  <c r="Q36" i="28"/>
  <c r="AG43" i="28" s="1"/>
  <c r="N36" i="28"/>
  <c r="J36" i="28"/>
  <c r="J35" i="28"/>
  <c r="J34" i="28"/>
  <c r="F34" i="28"/>
  <c r="J33" i="28"/>
  <c r="U25" i="28"/>
  <c r="J25" i="28" s="1"/>
  <c r="E25" i="28"/>
  <c r="U24" i="28"/>
  <c r="J24" i="28" s="1"/>
  <c r="E24" i="28"/>
  <c r="U23" i="28"/>
  <c r="J23" i="28" s="1"/>
  <c r="E23" i="28"/>
  <c r="U22" i="28"/>
  <c r="E22" i="28"/>
  <c r="U21" i="28"/>
  <c r="E21" i="28"/>
  <c r="U20" i="28"/>
  <c r="J20" i="28" s="1"/>
  <c r="E20" i="28"/>
  <c r="U19" i="28"/>
  <c r="J19" i="28" s="1"/>
  <c r="E19" i="28"/>
  <c r="U18" i="28"/>
  <c r="J18" i="28" s="1"/>
  <c r="E18" i="28"/>
  <c r="U17" i="28"/>
  <c r="J17" i="28" s="1"/>
  <c r="E17" i="28"/>
  <c r="U16" i="28"/>
  <c r="J16" i="28" s="1"/>
  <c r="E16" i="28"/>
  <c r="U15" i="28"/>
  <c r="E15" i="28"/>
  <c r="U14" i="28"/>
  <c r="E14" i="28"/>
  <c r="U13" i="28"/>
  <c r="J13" i="28" s="1"/>
  <c r="E13" i="28"/>
  <c r="U12" i="28"/>
  <c r="J12" i="28" s="1"/>
  <c r="E12" i="28"/>
  <c r="U11" i="28"/>
  <c r="E11" i="28"/>
  <c r="U10" i="28"/>
  <c r="J10" i="28" s="1"/>
  <c r="E10" i="28"/>
  <c r="U9" i="28"/>
  <c r="J9" i="28" s="1"/>
  <c r="E9" i="28"/>
  <c r="U8" i="28"/>
  <c r="J8" i="28" s="1"/>
  <c r="E8" i="28"/>
  <c r="U7" i="28"/>
  <c r="J7" i="28" s="1"/>
  <c r="E7" i="28"/>
  <c r="U6" i="28"/>
  <c r="E6" i="28"/>
  <c r="C6" i="27"/>
  <c r="H6" i="27"/>
  <c r="C7" i="27"/>
  <c r="H7" i="27"/>
  <c r="C8" i="27"/>
  <c r="H8" i="27"/>
  <c r="C9" i="27"/>
  <c r="H9" i="27"/>
  <c r="C10" i="27"/>
  <c r="H10" i="27"/>
  <c r="C11" i="27"/>
  <c r="H11" i="27"/>
  <c r="C12" i="27"/>
  <c r="H12" i="27"/>
  <c r="C13" i="27"/>
  <c r="H13" i="27"/>
  <c r="C14" i="27"/>
  <c r="H14" i="27"/>
  <c r="C15" i="27"/>
  <c r="H15" i="27"/>
  <c r="C16" i="27"/>
  <c r="H16" i="27"/>
  <c r="C17" i="27"/>
  <c r="H17" i="27"/>
  <c r="C18" i="27"/>
  <c r="H18" i="27"/>
  <c r="C19" i="27"/>
  <c r="H19" i="27"/>
  <c r="C20" i="27"/>
  <c r="H20" i="27"/>
  <c r="C21" i="27"/>
  <c r="H21" i="27"/>
  <c r="C22" i="27"/>
  <c r="H22" i="27"/>
  <c r="C23" i="27"/>
  <c r="H23" i="27"/>
  <c r="C24" i="27"/>
  <c r="H24" i="27"/>
  <c r="C25" i="27"/>
  <c r="H25" i="27"/>
  <c r="J30" i="27"/>
  <c r="F31" i="27"/>
  <c r="J31" i="27"/>
  <c r="J32" i="27"/>
  <c r="J33" i="27"/>
  <c r="N33" i="27"/>
  <c r="Q33" i="27"/>
  <c r="AG40" i="27" s="1"/>
  <c r="AH40" i="27" s="1"/>
  <c r="T33" i="27"/>
  <c r="B39" i="27"/>
  <c r="D39" i="27" s="1"/>
  <c r="M39" i="27"/>
  <c r="N39" i="27"/>
  <c r="O39" i="27"/>
  <c r="P39" i="27"/>
  <c r="AH39" i="27"/>
  <c r="B40" i="27"/>
  <c r="D41" i="27" s="1"/>
  <c r="C41" i="27" s="1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B303" i="27"/>
  <c r="B304" i="27"/>
  <c r="B305" i="27"/>
  <c r="B306" i="27"/>
  <c r="B307" i="27"/>
  <c r="B308" i="27"/>
  <c r="B309" i="27"/>
  <c r="B310" i="27"/>
  <c r="B311" i="27"/>
  <c r="B312" i="27"/>
  <c r="B313" i="27"/>
  <c r="B314" i="27"/>
  <c r="B315" i="27"/>
  <c r="B316" i="27"/>
  <c r="B317" i="27"/>
  <c r="B318" i="27"/>
  <c r="B319" i="27"/>
  <c r="B320" i="27"/>
  <c r="B321" i="27"/>
  <c r="B322" i="27"/>
  <c r="B323" i="27"/>
  <c r="B324" i="27"/>
  <c r="B325" i="27"/>
  <c r="B326" i="27"/>
  <c r="B327" i="27"/>
  <c r="B328" i="27"/>
  <c r="B329" i="27"/>
  <c r="B330" i="27"/>
  <c r="B331" i="27"/>
  <c r="B332" i="27"/>
  <c r="B333" i="27"/>
  <c r="B334" i="27"/>
  <c r="B335" i="27"/>
  <c r="B336" i="27"/>
  <c r="B337" i="27"/>
  <c r="B338" i="27"/>
  <c r="B339" i="27"/>
  <c r="U25" i="26"/>
  <c r="U24" i="26"/>
  <c r="U23" i="26"/>
  <c r="U22" i="26"/>
  <c r="U21" i="26"/>
  <c r="U20" i="26"/>
  <c r="U19" i="26"/>
  <c r="U18" i="26"/>
  <c r="U17" i="26"/>
  <c r="H17" i="26" s="1"/>
  <c r="U16" i="26"/>
  <c r="H16" i="26" s="1"/>
  <c r="U15" i="26"/>
  <c r="H15" i="26" s="1"/>
  <c r="U14" i="26"/>
  <c r="U13" i="26"/>
  <c r="U12" i="26"/>
  <c r="U11" i="26"/>
  <c r="U10" i="26"/>
  <c r="U9" i="26"/>
  <c r="U8" i="26"/>
  <c r="U7" i="26"/>
  <c r="U6" i="26"/>
  <c r="B339" i="26"/>
  <c r="B338" i="26"/>
  <c r="B337" i="26"/>
  <c r="B336" i="26"/>
  <c r="B335" i="26"/>
  <c r="B334" i="26"/>
  <c r="B333" i="26"/>
  <c r="B332" i="26"/>
  <c r="B331" i="26"/>
  <c r="B330" i="26"/>
  <c r="B329" i="26"/>
  <c r="B328" i="26"/>
  <c r="B327" i="26"/>
  <c r="B326" i="26"/>
  <c r="B325" i="26"/>
  <c r="B324" i="26"/>
  <c r="B323" i="26"/>
  <c r="B322" i="26"/>
  <c r="B321" i="26"/>
  <c r="B320" i="26"/>
  <c r="B319" i="26"/>
  <c r="B318" i="26"/>
  <c r="B317" i="26"/>
  <c r="B316" i="26"/>
  <c r="B315" i="26"/>
  <c r="B314" i="26"/>
  <c r="B313" i="26"/>
  <c r="B312" i="26"/>
  <c r="B311" i="26"/>
  <c r="B310" i="26"/>
  <c r="B309" i="26"/>
  <c r="B308" i="26"/>
  <c r="B307" i="26"/>
  <c r="B306" i="26"/>
  <c r="B305" i="26"/>
  <c r="B304" i="26"/>
  <c r="B303" i="26"/>
  <c r="B302" i="26"/>
  <c r="B301" i="26"/>
  <c r="B300" i="26"/>
  <c r="B299" i="26"/>
  <c r="B298" i="26"/>
  <c r="B297" i="26"/>
  <c r="B296" i="26"/>
  <c r="B295" i="26"/>
  <c r="B294" i="26"/>
  <c r="B293" i="26"/>
  <c r="B292" i="26"/>
  <c r="B291" i="26"/>
  <c r="B290" i="26"/>
  <c r="B289" i="26"/>
  <c r="B288" i="26"/>
  <c r="B287" i="26"/>
  <c r="B286" i="26"/>
  <c r="B285" i="26"/>
  <c r="B284" i="26"/>
  <c r="B283" i="26"/>
  <c r="B282" i="26"/>
  <c r="B281" i="26"/>
  <c r="B280" i="26"/>
  <c r="B279" i="26"/>
  <c r="B278" i="26"/>
  <c r="B277" i="26"/>
  <c r="B276" i="26"/>
  <c r="B275" i="26"/>
  <c r="B274" i="26"/>
  <c r="B273" i="26"/>
  <c r="B272" i="26"/>
  <c r="B271" i="26"/>
  <c r="B270" i="26"/>
  <c r="B269" i="26"/>
  <c r="B268" i="26"/>
  <c r="B267" i="26"/>
  <c r="B266" i="26"/>
  <c r="B265" i="26"/>
  <c r="B264" i="26"/>
  <c r="B263" i="26"/>
  <c r="B262" i="26"/>
  <c r="B261" i="26"/>
  <c r="B260" i="26"/>
  <c r="B259" i="26"/>
  <c r="B258" i="26"/>
  <c r="B257" i="26"/>
  <c r="B256" i="26"/>
  <c r="B255" i="26"/>
  <c r="B254" i="26"/>
  <c r="B253" i="26"/>
  <c r="B252" i="26"/>
  <c r="B251" i="26"/>
  <c r="B250" i="26"/>
  <c r="B249" i="26"/>
  <c r="B248" i="26"/>
  <c r="B247" i="26"/>
  <c r="B246" i="26"/>
  <c r="B245" i="26"/>
  <c r="B244" i="26"/>
  <c r="B243" i="26"/>
  <c r="B242" i="26"/>
  <c r="B241" i="26"/>
  <c r="B240" i="26"/>
  <c r="B239" i="26"/>
  <c r="B238" i="26"/>
  <c r="B237" i="26"/>
  <c r="B236" i="26"/>
  <c r="B235" i="26"/>
  <c r="B234" i="26"/>
  <c r="B233" i="26"/>
  <c r="B232" i="26"/>
  <c r="B231" i="26"/>
  <c r="B230" i="26"/>
  <c r="B229" i="26"/>
  <c r="B228" i="26"/>
  <c r="B227" i="26"/>
  <c r="B226" i="26"/>
  <c r="B225" i="26"/>
  <c r="B224" i="26"/>
  <c r="B223" i="26"/>
  <c r="B222" i="26"/>
  <c r="B221" i="26"/>
  <c r="B220" i="26"/>
  <c r="B219" i="26"/>
  <c r="B218" i="26"/>
  <c r="B217" i="26"/>
  <c r="B216" i="26"/>
  <c r="B215" i="26"/>
  <c r="B214" i="26"/>
  <c r="B213" i="26"/>
  <c r="B212" i="26"/>
  <c r="B211" i="26"/>
  <c r="B210" i="26"/>
  <c r="B209" i="26"/>
  <c r="B208" i="26"/>
  <c r="B207" i="26"/>
  <c r="B206" i="26"/>
  <c r="B205" i="26"/>
  <c r="B204" i="26"/>
  <c r="B203" i="26"/>
  <c r="B202" i="26"/>
  <c r="B201" i="26"/>
  <c r="B200" i="26"/>
  <c r="B199" i="26"/>
  <c r="B198" i="26"/>
  <c r="B197" i="26"/>
  <c r="B196" i="26"/>
  <c r="B195" i="26"/>
  <c r="B194" i="26"/>
  <c r="B193" i="26"/>
  <c r="B192" i="26"/>
  <c r="B191" i="26"/>
  <c r="B190" i="26"/>
  <c r="B189" i="26"/>
  <c r="B188" i="26"/>
  <c r="B187" i="26"/>
  <c r="B186" i="26"/>
  <c r="B185" i="26"/>
  <c r="B184" i="26"/>
  <c r="B183" i="26"/>
  <c r="B182" i="26"/>
  <c r="B181" i="26"/>
  <c r="B180" i="26"/>
  <c r="B179" i="26"/>
  <c r="B178" i="26"/>
  <c r="B177" i="26"/>
  <c r="B176" i="26"/>
  <c r="B175" i="26"/>
  <c r="B174" i="26"/>
  <c r="B173" i="26"/>
  <c r="B172" i="26"/>
  <c r="B171" i="26"/>
  <c r="B170" i="26"/>
  <c r="B169" i="26"/>
  <c r="B168" i="26"/>
  <c r="B167" i="26"/>
  <c r="B166" i="26"/>
  <c r="B165" i="26"/>
  <c r="B164" i="26"/>
  <c r="B163" i="26"/>
  <c r="B162" i="26"/>
  <c r="B161" i="26"/>
  <c r="B160" i="26"/>
  <c r="B159" i="26"/>
  <c r="B158" i="26"/>
  <c r="B157" i="26"/>
  <c r="B156" i="26"/>
  <c r="B155" i="26"/>
  <c r="B154" i="26"/>
  <c r="B153" i="26"/>
  <c r="B152" i="26"/>
  <c r="B151" i="26"/>
  <c r="B150" i="26"/>
  <c r="B149" i="26"/>
  <c r="B148" i="26"/>
  <c r="B147" i="26"/>
  <c r="B146" i="26"/>
  <c r="B145" i="26"/>
  <c r="B144" i="26"/>
  <c r="B143" i="26"/>
  <c r="B142" i="26"/>
  <c r="B141" i="26"/>
  <c r="B140" i="26"/>
  <c r="B139" i="26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B86" i="26"/>
  <c r="B85" i="26"/>
  <c r="B84" i="26"/>
  <c r="B83" i="26"/>
  <c r="B82" i="26"/>
  <c r="B81" i="26"/>
  <c r="B80" i="26"/>
  <c r="B79" i="26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D41" i="26" s="1"/>
  <c r="C41" i="26" s="1"/>
  <c r="P39" i="26"/>
  <c r="O39" i="26"/>
  <c r="N39" i="26"/>
  <c r="M39" i="26"/>
  <c r="Q39" i="26" s="1"/>
  <c r="B39" i="26"/>
  <c r="D39" i="26" s="1"/>
  <c r="J33" i="26"/>
  <c r="J32" i="26"/>
  <c r="J31" i="26"/>
  <c r="J30" i="26"/>
  <c r="H25" i="26"/>
  <c r="C25" i="26"/>
  <c r="H24" i="26"/>
  <c r="C24" i="26"/>
  <c r="H23" i="26"/>
  <c r="C23" i="26"/>
  <c r="C22" i="26"/>
  <c r="H21" i="26"/>
  <c r="C21" i="26"/>
  <c r="H20" i="26"/>
  <c r="C20" i="26"/>
  <c r="H19" i="26"/>
  <c r="C19" i="26"/>
  <c r="C18" i="26"/>
  <c r="C17" i="26"/>
  <c r="C16" i="26"/>
  <c r="C15" i="26"/>
  <c r="C14" i="26"/>
  <c r="C13" i="26"/>
  <c r="H12" i="26"/>
  <c r="C12" i="26"/>
  <c r="H11" i="26"/>
  <c r="C11" i="26"/>
  <c r="C10" i="26"/>
  <c r="C9" i="26"/>
  <c r="H8" i="26"/>
  <c r="C8" i="26"/>
  <c r="H7" i="26"/>
  <c r="C7" i="26"/>
  <c r="H6" i="26"/>
  <c r="C6" i="26"/>
  <c r="B339" i="24"/>
  <c r="B338" i="24"/>
  <c r="B337" i="24"/>
  <c r="B336" i="24"/>
  <c r="B335" i="24"/>
  <c r="B334" i="24"/>
  <c r="B333" i="24"/>
  <c r="B332" i="24"/>
  <c r="B331" i="24"/>
  <c r="B330" i="24"/>
  <c r="B329" i="24"/>
  <c r="B328" i="24"/>
  <c r="B327" i="24"/>
  <c r="B326" i="24"/>
  <c r="B325" i="24"/>
  <c r="B324" i="24"/>
  <c r="B323" i="24"/>
  <c r="B322" i="24"/>
  <c r="B321" i="24"/>
  <c r="B320" i="24"/>
  <c r="B319" i="24"/>
  <c r="B318" i="24"/>
  <c r="B317" i="24"/>
  <c r="B316" i="24"/>
  <c r="B315" i="24"/>
  <c r="B314" i="24"/>
  <c r="B313" i="24"/>
  <c r="B312" i="24"/>
  <c r="B311" i="24"/>
  <c r="B310" i="24"/>
  <c r="B309" i="24"/>
  <c r="B308" i="24"/>
  <c r="B307" i="24"/>
  <c r="B306" i="24"/>
  <c r="B305" i="24"/>
  <c r="B304" i="24"/>
  <c r="B303" i="24"/>
  <c r="B302" i="24"/>
  <c r="B301" i="24"/>
  <c r="B300" i="24"/>
  <c r="B299" i="24"/>
  <c r="B298" i="24"/>
  <c r="B297" i="24"/>
  <c r="B296" i="24"/>
  <c r="B295" i="24"/>
  <c r="B294" i="24"/>
  <c r="B293" i="24"/>
  <c r="B292" i="24"/>
  <c r="B291" i="24"/>
  <c r="B290" i="24"/>
  <c r="B289" i="24"/>
  <c r="B288" i="24"/>
  <c r="B287" i="24"/>
  <c r="B286" i="24"/>
  <c r="B285" i="24"/>
  <c r="B284" i="24"/>
  <c r="B283" i="24"/>
  <c r="B282" i="24"/>
  <c r="B281" i="24"/>
  <c r="B280" i="24"/>
  <c r="B279" i="24"/>
  <c r="B278" i="24"/>
  <c r="B277" i="24"/>
  <c r="B276" i="24"/>
  <c r="B275" i="24"/>
  <c r="B274" i="24"/>
  <c r="B273" i="24"/>
  <c r="B272" i="24"/>
  <c r="B271" i="24"/>
  <c r="B270" i="24"/>
  <c r="B269" i="24"/>
  <c r="B268" i="24"/>
  <c r="B267" i="24"/>
  <c r="B266" i="24"/>
  <c r="B265" i="24"/>
  <c r="B264" i="24"/>
  <c r="B263" i="24"/>
  <c r="B262" i="24"/>
  <c r="B261" i="24"/>
  <c r="B260" i="24"/>
  <c r="B259" i="24"/>
  <c r="B258" i="24"/>
  <c r="B257" i="24"/>
  <c r="B256" i="24"/>
  <c r="B255" i="24"/>
  <c r="B254" i="24"/>
  <c r="B253" i="24"/>
  <c r="B252" i="24"/>
  <c r="B251" i="24"/>
  <c r="B250" i="24"/>
  <c r="B249" i="24"/>
  <c r="B248" i="24"/>
  <c r="B247" i="24"/>
  <c r="B246" i="24"/>
  <c r="B245" i="24"/>
  <c r="B244" i="24"/>
  <c r="B243" i="24"/>
  <c r="B242" i="24"/>
  <c r="B241" i="24"/>
  <c r="B240" i="24"/>
  <c r="B239" i="24"/>
  <c r="B238" i="24"/>
  <c r="B237" i="24"/>
  <c r="B236" i="24"/>
  <c r="B235" i="24"/>
  <c r="B234" i="24"/>
  <c r="B233" i="24"/>
  <c r="B232" i="24"/>
  <c r="B231" i="24"/>
  <c r="B230" i="24"/>
  <c r="B229" i="24"/>
  <c r="B228" i="24"/>
  <c r="B227" i="24"/>
  <c r="B226" i="24"/>
  <c r="B225" i="24"/>
  <c r="B224" i="24"/>
  <c r="B223" i="24"/>
  <c r="B222" i="24"/>
  <c r="B221" i="24"/>
  <c r="B220" i="24"/>
  <c r="B219" i="24"/>
  <c r="B218" i="24"/>
  <c r="B217" i="24"/>
  <c r="B216" i="24"/>
  <c r="B215" i="24"/>
  <c r="B214" i="24"/>
  <c r="B213" i="24"/>
  <c r="B212" i="24"/>
  <c r="B211" i="24"/>
  <c r="B210" i="24"/>
  <c r="B209" i="24"/>
  <c r="B208" i="24"/>
  <c r="B207" i="24"/>
  <c r="B206" i="24"/>
  <c r="B205" i="24"/>
  <c r="B204" i="24"/>
  <c r="B203" i="24"/>
  <c r="B202" i="24"/>
  <c r="B201" i="24"/>
  <c r="B200" i="24"/>
  <c r="B199" i="24"/>
  <c r="B198" i="24"/>
  <c r="B197" i="24"/>
  <c r="B196" i="24"/>
  <c r="B195" i="24"/>
  <c r="B194" i="24"/>
  <c r="B193" i="24"/>
  <c r="B192" i="24"/>
  <c r="B191" i="24"/>
  <c r="B190" i="24"/>
  <c r="B189" i="24"/>
  <c r="B188" i="24"/>
  <c r="B187" i="24"/>
  <c r="B186" i="24"/>
  <c r="B185" i="24"/>
  <c r="B184" i="24"/>
  <c r="B183" i="24"/>
  <c r="B182" i="24"/>
  <c r="B181" i="24"/>
  <c r="B180" i="24"/>
  <c r="B179" i="24"/>
  <c r="B178" i="24"/>
  <c r="B177" i="24"/>
  <c r="B176" i="24"/>
  <c r="B175" i="24"/>
  <c r="B174" i="24"/>
  <c r="B173" i="24"/>
  <c r="B172" i="24"/>
  <c r="B171" i="24"/>
  <c r="B170" i="24"/>
  <c r="B169" i="24"/>
  <c r="B168" i="24"/>
  <c r="B167" i="24"/>
  <c r="B166" i="24"/>
  <c r="B165" i="24"/>
  <c r="B164" i="24"/>
  <c r="B163" i="24"/>
  <c r="B162" i="24"/>
  <c r="B161" i="24"/>
  <c r="B160" i="24"/>
  <c r="B159" i="24"/>
  <c r="B158" i="24"/>
  <c r="B157" i="24"/>
  <c r="B156" i="24"/>
  <c r="B155" i="24"/>
  <c r="B154" i="24"/>
  <c r="B153" i="24"/>
  <c r="B152" i="24"/>
  <c r="B151" i="24"/>
  <c r="B150" i="24"/>
  <c r="B149" i="24"/>
  <c r="B148" i="24"/>
  <c r="B147" i="24"/>
  <c r="B146" i="24"/>
  <c r="B145" i="24"/>
  <c r="B144" i="24"/>
  <c r="B143" i="24"/>
  <c r="B142" i="24"/>
  <c r="B141" i="24"/>
  <c r="B140" i="24"/>
  <c r="B139" i="24"/>
  <c r="B138" i="24"/>
  <c r="B137" i="24"/>
  <c r="B136" i="24"/>
  <c r="B135" i="24"/>
  <c r="B134" i="24"/>
  <c r="B133" i="24"/>
  <c r="B132" i="24"/>
  <c r="B131" i="24"/>
  <c r="B130" i="24"/>
  <c r="B129" i="24"/>
  <c r="B128" i="24"/>
  <c r="B127" i="24"/>
  <c r="B126" i="24"/>
  <c r="B125" i="24"/>
  <c r="B124" i="24"/>
  <c r="B123" i="24"/>
  <c r="B122" i="24"/>
  <c r="B121" i="24"/>
  <c r="B120" i="24"/>
  <c r="B119" i="24"/>
  <c r="B118" i="24"/>
  <c r="B117" i="24"/>
  <c r="B116" i="24"/>
  <c r="B115" i="24"/>
  <c r="B114" i="24"/>
  <c r="B113" i="24"/>
  <c r="B112" i="24"/>
  <c r="B111" i="24"/>
  <c r="B110" i="24"/>
  <c r="B109" i="24"/>
  <c r="B108" i="24"/>
  <c r="B107" i="24"/>
  <c r="B106" i="24"/>
  <c r="B105" i="24"/>
  <c r="B104" i="24"/>
  <c r="B103" i="24"/>
  <c r="B102" i="24"/>
  <c r="B101" i="24"/>
  <c r="B100" i="24"/>
  <c r="B99" i="24"/>
  <c r="B98" i="24"/>
  <c r="B97" i="24"/>
  <c r="B96" i="24"/>
  <c r="B95" i="24"/>
  <c r="B94" i="24"/>
  <c r="B93" i="24"/>
  <c r="B92" i="24"/>
  <c r="B91" i="24"/>
  <c r="B90" i="24"/>
  <c r="B89" i="24"/>
  <c r="B88" i="24"/>
  <c r="B87" i="24"/>
  <c r="B86" i="24"/>
  <c r="B85" i="24"/>
  <c r="B84" i="24"/>
  <c r="B83" i="24"/>
  <c r="B82" i="24"/>
  <c r="B81" i="24"/>
  <c r="B80" i="24"/>
  <c r="B79" i="24"/>
  <c r="B78" i="24"/>
  <c r="B77" i="24"/>
  <c r="B76" i="24"/>
  <c r="B75" i="24"/>
  <c r="B74" i="24"/>
  <c r="B73" i="24"/>
  <c r="B72" i="24"/>
  <c r="B71" i="24"/>
  <c r="B70" i="24"/>
  <c r="B69" i="24"/>
  <c r="B68" i="24"/>
  <c r="B67" i="24"/>
  <c r="B66" i="24"/>
  <c r="B65" i="24"/>
  <c r="B64" i="24"/>
  <c r="B63" i="24"/>
  <c r="B62" i="24"/>
  <c r="B61" i="24"/>
  <c r="B60" i="24"/>
  <c r="B59" i="24"/>
  <c r="B58" i="24"/>
  <c r="B57" i="24"/>
  <c r="B56" i="24"/>
  <c r="B55" i="24"/>
  <c r="B54" i="24"/>
  <c r="B53" i="24"/>
  <c r="B52" i="24"/>
  <c r="B51" i="24"/>
  <c r="B50" i="24"/>
  <c r="B49" i="24"/>
  <c r="B48" i="24"/>
  <c r="B47" i="24"/>
  <c r="B46" i="24"/>
  <c r="B45" i="24"/>
  <c r="B44" i="24"/>
  <c r="B43" i="24"/>
  <c r="AG42" i="24"/>
  <c r="B42" i="24"/>
  <c r="AH41" i="24"/>
  <c r="B41" i="24"/>
  <c r="AH40" i="24"/>
  <c r="AG40" i="24"/>
  <c r="AG41" i="24" s="1"/>
  <c r="B40" i="24"/>
  <c r="D41" i="24" s="1"/>
  <c r="C41" i="24" s="1"/>
  <c r="G41" i="24" s="1"/>
  <c r="K46" i="24" s="1"/>
  <c r="AH39" i="24"/>
  <c r="P39" i="24"/>
  <c r="O39" i="24"/>
  <c r="N39" i="24"/>
  <c r="M39" i="24"/>
  <c r="Q39" i="24" s="1"/>
  <c r="B39" i="24"/>
  <c r="D39" i="24" s="1"/>
  <c r="T33" i="24"/>
  <c r="Q33" i="24"/>
  <c r="N33" i="24"/>
  <c r="J33" i="24"/>
  <c r="J32" i="24"/>
  <c r="J31" i="24"/>
  <c r="F31" i="24"/>
  <c r="J30" i="24"/>
  <c r="U25" i="24"/>
  <c r="H25" i="24"/>
  <c r="C25" i="24"/>
  <c r="U24" i="24"/>
  <c r="C24" i="24"/>
  <c r="U23" i="24"/>
  <c r="H23" i="24" s="1"/>
  <c r="C23" i="24"/>
  <c r="U22" i="24"/>
  <c r="C22" i="24"/>
  <c r="U21" i="24"/>
  <c r="H21" i="24" s="1"/>
  <c r="C21" i="24"/>
  <c r="U20" i="24"/>
  <c r="H20" i="24"/>
  <c r="C20" i="24"/>
  <c r="U19" i="24"/>
  <c r="H19" i="24"/>
  <c r="C19" i="24"/>
  <c r="U18" i="24"/>
  <c r="C18" i="24"/>
  <c r="U17" i="24"/>
  <c r="H17" i="24" s="1"/>
  <c r="C17" i="24"/>
  <c r="U16" i="24"/>
  <c r="H16" i="24"/>
  <c r="C16" i="24"/>
  <c r="U15" i="24"/>
  <c r="H15" i="24"/>
  <c r="C15" i="24"/>
  <c r="U14" i="24"/>
  <c r="C14" i="24"/>
  <c r="U13" i="24"/>
  <c r="H13" i="24"/>
  <c r="C13" i="24"/>
  <c r="U12" i="24"/>
  <c r="H12" i="24"/>
  <c r="C12" i="24"/>
  <c r="U11" i="24"/>
  <c r="H11" i="24" s="1"/>
  <c r="C11" i="24"/>
  <c r="U10" i="24"/>
  <c r="H10" i="24"/>
  <c r="C10" i="24"/>
  <c r="U9" i="24"/>
  <c r="H9" i="24"/>
  <c r="C9" i="24"/>
  <c r="U8" i="24"/>
  <c r="H8" i="24" s="1"/>
  <c r="C8" i="24"/>
  <c r="U7" i="24"/>
  <c r="H7" i="24" s="1"/>
  <c r="C7" i="24"/>
  <c r="U6" i="24"/>
  <c r="H6" i="24" s="1"/>
  <c r="C6" i="24"/>
  <c r="N33" i="10"/>
  <c r="H42" i="3"/>
  <c r="H33" i="3"/>
  <c r="H34" i="3"/>
  <c r="H35" i="3"/>
  <c r="H36" i="3"/>
  <c r="H37" i="3"/>
  <c r="H38" i="3"/>
  <c r="H39" i="3"/>
  <c r="H40" i="3"/>
  <c r="H41" i="3"/>
  <c r="H32" i="3"/>
  <c r="H41" i="26" l="1"/>
  <c r="L56" i="26" s="1"/>
  <c r="F41" i="26"/>
  <c r="J56" i="26" s="1"/>
  <c r="D42" i="24"/>
  <c r="D43" i="24" s="1"/>
  <c r="D44" i="24" s="1"/>
  <c r="D42" i="26"/>
  <c r="D43" i="26" s="1"/>
  <c r="D44" i="26" s="1"/>
  <c r="Q42" i="28"/>
  <c r="C42" i="28"/>
  <c r="C43" i="28"/>
  <c r="J11" i="28"/>
  <c r="D45" i="28"/>
  <c r="J22" i="28"/>
  <c r="J14" i="28"/>
  <c r="J6" i="28"/>
  <c r="J21" i="28"/>
  <c r="AH43" i="28"/>
  <c r="AG44" i="28"/>
  <c r="C44" i="28"/>
  <c r="J15" i="28"/>
  <c r="E41" i="27"/>
  <c r="I46" i="27" s="1"/>
  <c r="F41" i="27"/>
  <c r="J46" i="27" s="1"/>
  <c r="G41" i="27"/>
  <c r="K46" i="27" s="1"/>
  <c r="H41" i="27"/>
  <c r="L46" i="27" s="1"/>
  <c r="D42" i="27"/>
  <c r="Q39" i="27"/>
  <c r="AG41" i="27"/>
  <c r="C39" i="27"/>
  <c r="C40" i="27"/>
  <c r="C40" i="26"/>
  <c r="C39" i="26"/>
  <c r="H9" i="26"/>
  <c r="H14" i="26"/>
  <c r="H22" i="26"/>
  <c r="E41" i="26"/>
  <c r="I56" i="26" s="1"/>
  <c r="H13" i="26"/>
  <c r="H10" i="26"/>
  <c r="G41" i="26"/>
  <c r="K56" i="26" s="1"/>
  <c r="H18" i="26"/>
  <c r="C40" i="24"/>
  <c r="C39" i="24"/>
  <c r="H24" i="24"/>
  <c r="H18" i="24"/>
  <c r="E41" i="24"/>
  <c r="I46" i="24" s="1"/>
  <c r="F41" i="24"/>
  <c r="J46" i="24" s="1"/>
  <c r="H41" i="24"/>
  <c r="L46" i="24" s="1"/>
  <c r="H14" i="24"/>
  <c r="H22" i="24"/>
  <c r="AH42" i="24"/>
  <c r="C42" i="24" l="1"/>
  <c r="F42" i="24" s="1"/>
  <c r="J47" i="24" s="1"/>
  <c r="E43" i="28"/>
  <c r="I48" i="28" s="1"/>
  <c r="F43" i="28"/>
  <c r="J48" i="28" s="1"/>
  <c r="G43" i="28"/>
  <c r="K48" i="28" s="1"/>
  <c r="H43" i="28"/>
  <c r="L48" i="28" s="1"/>
  <c r="E44" i="28"/>
  <c r="I49" i="28" s="1"/>
  <c r="F44" i="28"/>
  <c r="J49" i="28" s="1"/>
  <c r="G44" i="28"/>
  <c r="K49" i="28" s="1"/>
  <c r="H44" i="28"/>
  <c r="L49" i="28" s="1"/>
  <c r="H42" i="28"/>
  <c r="G42" i="28"/>
  <c r="F42" i="28"/>
  <c r="E42" i="28"/>
  <c r="C42" i="26"/>
  <c r="C43" i="26"/>
  <c r="E43" i="26" s="1"/>
  <c r="I58" i="26" s="1"/>
  <c r="C43" i="24"/>
  <c r="F43" i="24" s="1"/>
  <c r="J48" i="24" s="1"/>
  <c r="D46" i="28"/>
  <c r="C46" i="28" s="1"/>
  <c r="C45" i="28"/>
  <c r="AH44" i="28"/>
  <c r="AG45" i="28"/>
  <c r="E39" i="27"/>
  <c r="G39" i="27"/>
  <c r="H39" i="27"/>
  <c r="F39" i="27"/>
  <c r="E40" i="27"/>
  <c r="I45" i="27" s="1"/>
  <c r="F40" i="27"/>
  <c r="J45" i="27" s="1"/>
  <c r="G40" i="27"/>
  <c r="K45" i="27" s="1"/>
  <c r="H40" i="27"/>
  <c r="L45" i="27" s="1"/>
  <c r="AH41" i="27"/>
  <c r="AG42" i="27"/>
  <c r="D43" i="27"/>
  <c r="C42" i="27"/>
  <c r="D45" i="26"/>
  <c r="C44" i="26"/>
  <c r="G40" i="26"/>
  <c r="K55" i="26" s="1"/>
  <c r="F40" i="26"/>
  <c r="J55" i="26" s="1"/>
  <c r="E40" i="26"/>
  <c r="I55" i="26" s="1"/>
  <c r="H40" i="26"/>
  <c r="L55" i="26" s="1"/>
  <c r="E39" i="26"/>
  <c r="H39" i="26"/>
  <c r="G39" i="26"/>
  <c r="F39" i="26"/>
  <c r="D45" i="24"/>
  <c r="C45" i="24" s="1"/>
  <c r="C44" i="24"/>
  <c r="G39" i="24"/>
  <c r="H39" i="24"/>
  <c r="F39" i="24"/>
  <c r="E39" i="24"/>
  <c r="H40" i="24"/>
  <c r="L45" i="24" s="1"/>
  <c r="F40" i="24"/>
  <c r="J45" i="24" s="1"/>
  <c r="G40" i="24"/>
  <c r="K45" i="24" s="1"/>
  <c r="E40" i="24"/>
  <c r="I45" i="24" s="1"/>
  <c r="E42" i="24" l="1"/>
  <c r="I47" i="24" s="1"/>
  <c r="G42" i="24"/>
  <c r="K47" i="24" s="1"/>
  <c r="H42" i="24"/>
  <c r="L47" i="24" s="1"/>
  <c r="F43" i="26"/>
  <c r="J58" i="26" s="1"/>
  <c r="G43" i="26"/>
  <c r="K58" i="26" s="1"/>
  <c r="H43" i="26"/>
  <c r="L58" i="26" s="1"/>
  <c r="H43" i="24"/>
  <c r="L48" i="24" s="1"/>
  <c r="G43" i="24"/>
  <c r="K48" i="24" s="1"/>
  <c r="F42" i="26"/>
  <c r="J57" i="26" s="1"/>
  <c r="E42" i="26"/>
  <c r="I57" i="26" s="1"/>
  <c r="G42" i="26"/>
  <c r="K57" i="26" s="1"/>
  <c r="H42" i="26"/>
  <c r="L57" i="26" s="1"/>
  <c r="E43" i="24"/>
  <c r="I48" i="24" s="1"/>
  <c r="E46" i="28"/>
  <c r="I51" i="28" s="1"/>
  <c r="F46" i="28"/>
  <c r="J51" i="28" s="1"/>
  <c r="G46" i="28"/>
  <c r="K51" i="28" s="1"/>
  <c r="H46" i="28"/>
  <c r="L51" i="28" s="1"/>
  <c r="E45" i="28"/>
  <c r="I50" i="28" s="1"/>
  <c r="F45" i="28"/>
  <c r="J50" i="28" s="1"/>
  <c r="G45" i="28"/>
  <c r="K50" i="28" s="1"/>
  <c r="H45" i="28"/>
  <c r="L50" i="28" s="1"/>
  <c r="K47" i="28"/>
  <c r="T42" i="28"/>
  <c r="AH45" i="28"/>
  <c r="S42" i="28"/>
  <c r="W42" i="28" s="1"/>
  <c r="J47" i="28"/>
  <c r="D47" i="28"/>
  <c r="R42" i="28"/>
  <c r="I47" i="28"/>
  <c r="L47" i="28"/>
  <c r="U42" i="28"/>
  <c r="D44" i="27"/>
  <c r="C44" i="27" s="1"/>
  <c r="C43" i="27"/>
  <c r="AH42" i="27"/>
  <c r="S39" i="27"/>
  <c r="W39" i="27" s="1"/>
  <c r="AB39" i="27" s="1"/>
  <c r="J44" i="27"/>
  <c r="U39" i="27"/>
  <c r="L44" i="27"/>
  <c r="T39" i="27"/>
  <c r="K44" i="27"/>
  <c r="F42" i="27"/>
  <c r="J47" i="27" s="1"/>
  <c r="G42" i="27"/>
  <c r="K47" i="27" s="1"/>
  <c r="H42" i="27"/>
  <c r="L47" i="27" s="1"/>
  <c r="E42" i="27"/>
  <c r="I47" i="27" s="1"/>
  <c r="R39" i="27"/>
  <c r="I44" i="27"/>
  <c r="H44" i="26"/>
  <c r="L59" i="26" s="1"/>
  <c r="F44" i="26"/>
  <c r="J59" i="26" s="1"/>
  <c r="G44" i="26"/>
  <c r="K59" i="26" s="1"/>
  <c r="E44" i="26"/>
  <c r="I59" i="26" s="1"/>
  <c r="D46" i="26"/>
  <c r="C46" i="26" s="1"/>
  <c r="J54" i="26"/>
  <c r="S39" i="26"/>
  <c r="W39" i="26" s="1"/>
  <c r="AB39" i="26" s="1"/>
  <c r="K54" i="26"/>
  <c r="T39" i="26"/>
  <c r="C45" i="26"/>
  <c r="L54" i="26"/>
  <c r="U39" i="26"/>
  <c r="I54" i="26"/>
  <c r="R39" i="26"/>
  <c r="H45" i="24"/>
  <c r="L50" i="24" s="1"/>
  <c r="G45" i="24"/>
  <c r="K50" i="24" s="1"/>
  <c r="F45" i="24"/>
  <c r="J50" i="24" s="1"/>
  <c r="E45" i="24"/>
  <c r="I50" i="24" s="1"/>
  <c r="E44" i="24"/>
  <c r="I49" i="24" s="1"/>
  <c r="H44" i="24"/>
  <c r="L49" i="24" s="1"/>
  <c r="G44" i="24"/>
  <c r="K49" i="24" s="1"/>
  <c r="F44" i="24"/>
  <c r="J49" i="24" s="1"/>
  <c r="R39" i="24"/>
  <c r="I44" i="24"/>
  <c r="S39" i="24"/>
  <c r="W39" i="24" s="1"/>
  <c r="AB39" i="24" s="1"/>
  <c r="J44" i="24"/>
  <c r="D46" i="24"/>
  <c r="C46" i="24" s="1"/>
  <c r="L44" i="24"/>
  <c r="U39" i="24"/>
  <c r="K44" i="24"/>
  <c r="T39" i="24"/>
  <c r="AB42" i="28" l="1"/>
  <c r="AK42" i="28"/>
  <c r="V42" i="28"/>
  <c r="AJ42" i="28" s="1"/>
  <c r="AA42" i="28"/>
  <c r="M43" i="28"/>
  <c r="R43" i="28" s="1"/>
  <c r="P43" i="28"/>
  <c r="U43" i="28" s="1"/>
  <c r="Y42" i="28"/>
  <c r="D48" i="28"/>
  <c r="C47" i="28"/>
  <c r="O43" i="28"/>
  <c r="T43" i="28" s="1"/>
  <c r="X42" i="28"/>
  <c r="M40" i="27"/>
  <c r="V39" i="27"/>
  <c r="AA39" i="27"/>
  <c r="O40" i="27"/>
  <c r="T40" i="27" s="1"/>
  <c r="X39" i="27"/>
  <c r="AC39" i="27" s="1"/>
  <c r="P40" i="27"/>
  <c r="Y39" i="27"/>
  <c r="AD39" i="27" s="1"/>
  <c r="G43" i="27"/>
  <c r="K48" i="27" s="1"/>
  <c r="F43" i="27"/>
  <c r="J48" i="27" s="1"/>
  <c r="H43" i="27"/>
  <c r="L48" i="27" s="1"/>
  <c r="E43" i="27"/>
  <c r="I48" i="27" s="1"/>
  <c r="E44" i="27"/>
  <c r="I49" i="27" s="1"/>
  <c r="G44" i="27"/>
  <c r="K49" i="27" s="1"/>
  <c r="H44" i="27"/>
  <c r="L49" i="27" s="1"/>
  <c r="F44" i="27"/>
  <c r="J49" i="27" s="1"/>
  <c r="D45" i="27"/>
  <c r="V39" i="26"/>
  <c r="AA39" i="26"/>
  <c r="M40" i="26"/>
  <c r="F45" i="26"/>
  <c r="J60" i="26" s="1"/>
  <c r="E45" i="26"/>
  <c r="I60" i="26" s="1"/>
  <c r="G45" i="26"/>
  <c r="K60" i="26" s="1"/>
  <c r="H45" i="26"/>
  <c r="L60" i="26" s="1"/>
  <c r="G46" i="26"/>
  <c r="K61" i="26" s="1"/>
  <c r="F46" i="26"/>
  <c r="J61" i="26" s="1"/>
  <c r="E46" i="26"/>
  <c r="I61" i="26" s="1"/>
  <c r="H46" i="26"/>
  <c r="L61" i="26" s="1"/>
  <c r="O40" i="26"/>
  <c r="T40" i="26" s="1"/>
  <c r="X39" i="26"/>
  <c r="AC39" i="26" s="1"/>
  <c r="D47" i="26"/>
  <c r="C47" i="26" s="1"/>
  <c r="P40" i="26"/>
  <c r="Y39" i="26"/>
  <c r="AD39" i="26" s="1"/>
  <c r="O40" i="24"/>
  <c r="T40" i="24" s="1"/>
  <c r="X39" i="24"/>
  <c r="AC39" i="24" s="1"/>
  <c r="E46" i="24"/>
  <c r="I51" i="24" s="1"/>
  <c r="H46" i="24"/>
  <c r="L51" i="24" s="1"/>
  <c r="G46" i="24"/>
  <c r="K51" i="24" s="1"/>
  <c r="F46" i="24"/>
  <c r="J51" i="24" s="1"/>
  <c r="D47" i="24"/>
  <c r="C47" i="24" s="1"/>
  <c r="Y39" i="24"/>
  <c r="AD39" i="24" s="1"/>
  <c r="P40" i="24"/>
  <c r="M40" i="24"/>
  <c r="R40" i="24" s="1"/>
  <c r="AA39" i="24"/>
  <c r="V39" i="24"/>
  <c r="E47" i="28" l="1"/>
  <c r="I52" i="28" s="1"/>
  <c r="F47" i="28"/>
  <c r="J52" i="28" s="1"/>
  <c r="G47" i="28"/>
  <c r="K52" i="28" s="1"/>
  <c r="H47" i="28"/>
  <c r="L52" i="28" s="1"/>
  <c r="AC42" i="28"/>
  <c r="AL42" i="28"/>
  <c r="AD42" i="28"/>
  <c r="AM42" i="28"/>
  <c r="X43" i="28"/>
  <c r="V43" i="28"/>
  <c r="AJ43" i="28" s="1"/>
  <c r="AA43" i="28"/>
  <c r="Y43" i="28"/>
  <c r="Z42" i="28"/>
  <c r="D49" i="28"/>
  <c r="C49" i="28" s="1"/>
  <c r="P52" i="28"/>
  <c r="P46" i="28"/>
  <c r="P57" i="28"/>
  <c r="P50" i="28"/>
  <c r="P49" i="28"/>
  <c r="P56" i="28"/>
  <c r="P48" i="28"/>
  <c r="P54" i="28"/>
  <c r="I6" i="28"/>
  <c r="P55" i="28"/>
  <c r="I7" i="28"/>
  <c r="P47" i="28"/>
  <c r="P45" i="28"/>
  <c r="P44" i="28"/>
  <c r="U44" i="28" s="1"/>
  <c r="P53" i="28"/>
  <c r="P51" i="28"/>
  <c r="M52" i="28"/>
  <c r="M46" i="28"/>
  <c r="M56" i="28"/>
  <c r="M50" i="28"/>
  <c r="M57" i="28"/>
  <c r="F7" i="28"/>
  <c r="M54" i="28"/>
  <c r="M53" i="28"/>
  <c r="M55" i="28"/>
  <c r="M49" i="28"/>
  <c r="M48" i="28"/>
  <c r="M47" i="28"/>
  <c r="M44" i="28"/>
  <c r="R44" i="28" s="1"/>
  <c r="M51" i="28"/>
  <c r="M45" i="28"/>
  <c r="F6" i="28"/>
  <c r="N43" i="28"/>
  <c r="Q43" i="28" s="1"/>
  <c r="O53" i="28"/>
  <c r="O47" i="28"/>
  <c r="O57" i="28"/>
  <c r="O51" i="28"/>
  <c r="O44" i="28"/>
  <c r="T44" i="28" s="1"/>
  <c r="O50" i="28"/>
  <c r="O49" i="28"/>
  <c r="O55" i="28"/>
  <c r="O54" i="28"/>
  <c r="O52" i="28"/>
  <c r="H6" i="28"/>
  <c r="O48" i="28"/>
  <c r="H7" i="28"/>
  <c r="O56" i="28"/>
  <c r="O45" i="28"/>
  <c r="O46" i="28"/>
  <c r="C48" i="28"/>
  <c r="AE39" i="24"/>
  <c r="AF43" i="24" s="1"/>
  <c r="AG43" i="24" s="1"/>
  <c r="AH43" i="24" s="1"/>
  <c r="X40" i="27"/>
  <c r="AC40" i="27" s="1"/>
  <c r="F7" i="27"/>
  <c r="O45" i="27"/>
  <c r="O51" i="27"/>
  <c r="F6" i="27"/>
  <c r="O43" i="27"/>
  <c r="O41" i="27"/>
  <c r="T41" i="27" s="1"/>
  <c r="O48" i="27"/>
  <c r="O54" i="27"/>
  <c r="O47" i="27"/>
  <c r="O53" i="27"/>
  <c r="O44" i="27"/>
  <c r="O50" i="27"/>
  <c r="O46" i="27"/>
  <c r="O49" i="27"/>
  <c r="O52" i="27"/>
  <c r="O42" i="27"/>
  <c r="N40" i="27"/>
  <c r="Q40" i="27" s="1"/>
  <c r="M44" i="27"/>
  <c r="M50" i="27"/>
  <c r="D6" i="27"/>
  <c r="M41" i="27"/>
  <c r="M47" i="27"/>
  <c r="M53" i="27"/>
  <c r="M46" i="27"/>
  <c r="M52" i="27"/>
  <c r="M42" i="27"/>
  <c r="M48" i="27"/>
  <c r="M45" i="27"/>
  <c r="M54" i="27"/>
  <c r="M43" i="27"/>
  <c r="D7" i="27"/>
  <c r="M49" i="27"/>
  <c r="M51" i="27"/>
  <c r="P42" i="27"/>
  <c r="G7" i="27"/>
  <c r="P44" i="27"/>
  <c r="G6" i="27"/>
  <c r="P41" i="27"/>
  <c r="P48" i="27"/>
  <c r="P54" i="27"/>
  <c r="P47" i="27"/>
  <c r="P53" i="27"/>
  <c r="P51" i="27"/>
  <c r="P45" i="27"/>
  <c r="P50" i="27"/>
  <c r="P52" i="27"/>
  <c r="P43" i="27"/>
  <c r="P46" i="27"/>
  <c r="P49" i="27"/>
  <c r="U40" i="27"/>
  <c r="D46" i="27"/>
  <c r="C45" i="27"/>
  <c r="AE39" i="27"/>
  <c r="AF43" i="27" s="1"/>
  <c r="AG43" i="27" s="1"/>
  <c r="Z39" i="27"/>
  <c r="R40" i="27"/>
  <c r="X40" i="26"/>
  <c r="AC40" i="26" s="1"/>
  <c r="M48" i="26"/>
  <c r="M42" i="26"/>
  <c r="D6" i="26"/>
  <c r="M49" i="26"/>
  <c r="M43" i="26"/>
  <c r="D7" i="26"/>
  <c r="M53" i="26"/>
  <c r="M41" i="26"/>
  <c r="M50" i="26"/>
  <c r="M44" i="26"/>
  <c r="M47" i="26"/>
  <c r="M51" i="26"/>
  <c r="M45" i="26"/>
  <c r="M54" i="26"/>
  <c r="M52" i="26"/>
  <c r="M46" i="26"/>
  <c r="N40" i="26"/>
  <c r="Q40" i="26" s="1"/>
  <c r="P48" i="26"/>
  <c r="P42" i="26"/>
  <c r="P53" i="26"/>
  <c r="P47" i="26"/>
  <c r="P41" i="26"/>
  <c r="P49" i="26"/>
  <c r="P43" i="26"/>
  <c r="G7" i="26"/>
  <c r="P50" i="26"/>
  <c r="P44" i="26"/>
  <c r="P51" i="26"/>
  <c r="P45" i="26"/>
  <c r="P52" i="26"/>
  <c r="P46" i="26"/>
  <c r="P54" i="26"/>
  <c r="G6" i="26"/>
  <c r="AE39" i="26"/>
  <c r="O48" i="26"/>
  <c r="O42" i="26"/>
  <c r="F6" i="26"/>
  <c r="O49" i="26"/>
  <c r="O43" i="26"/>
  <c r="F7" i="26"/>
  <c r="O50" i="26"/>
  <c r="O44" i="26"/>
  <c r="O51" i="26"/>
  <c r="O45" i="26"/>
  <c r="O52" i="26"/>
  <c r="O46" i="26"/>
  <c r="O54" i="26"/>
  <c r="O53" i="26"/>
  <c r="O47" i="26"/>
  <c r="O41" i="26"/>
  <c r="T41" i="26" s="1"/>
  <c r="R40" i="26"/>
  <c r="U40" i="26"/>
  <c r="H47" i="26"/>
  <c r="L62" i="26" s="1"/>
  <c r="G47" i="26"/>
  <c r="K62" i="26" s="1"/>
  <c r="F47" i="26"/>
  <c r="J62" i="26" s="1"/>
  <c r="E47" i="26"/>
  <c r="I62" i="26" s="1"/>
  <c r="D48" i="26"/>
  <c r="C48" i="26" s="1"/>
  <c r="Z39" i="26"/>
  <c r="D48" i="24"/>
  <c r="C48" i="24" s="1"/>
  <c r="X40" i="24"/>
  <c r="AC40" i="24" s="1"/>
  <c r="M54" i="24"/>
  <c r="M52" i="24"/>
  <c r="M45" i="24"/>
  <c r="M51" i="24"/>
  <c r="M47" i="24"/>
  <c r="M53" i="24"/>
  <c r="N40" i="24"/>
  <c r="Q40" i="24" s="1"/>
  <c r="M41" i="24"/>
  <c r="R41" i="24" s="1"/>
  <c r="D6" i="24"/>
  <c r="M46" i="24"/>
  <c r="M42" i="24"/>
  <c r="M48" i="24"/>
  <c r="M44" i="24"/>
  <c r="M50" i="24"/>
  <c r="M49" i="24"/>
  <c r="M43" i="24"/>
  <c r="D7" i="24"/>
  <c r="P50" i="24"/>
  <c r="P46" i="24"/>
  <c r="P44" i="24"/>
  <c r="P51" i="24"/>
  <c r="P47" i="24"/>
  <c r="P52" i="24"/>
  <c r="P41" i="24"/>
  <c r="G6" i="24"/>
  <c r="P54" i="24"/>
  <c r="P48" i="24"/>
  <c r="P45" i="24"/>
  <c r="P42" i="24"/>
  <c r="P49" i="24"/>
  <c r="P43" i="24"/>
  <c r="P53" i="24"/>
  <c r="G7" i="24"/>
  <c r="U40" i="24"/>
  <c r="Z39" i="24"/>
  <c r="O49" i="24"/>
  <c r="O42" i="24"/>
  <c r="O50" i="24"/>
  <c r="O46" i="24"/>
  <c r="O52" i="24"/>
  <c r="F6" i="24"/>
  <c r="O41" i="24"/>
  <c r="T41" i="24" s="1"/>
  <c r="O47" i="24"/>
  <c r="O54" i="24"/>
  <c r="O48" i="24"/>
  <c r="O44" i="24"/>
  <c r="O45" i="24"/>
  <c r="O43" i="24"/>
  <c r="O53" i="24"/>
  <c r="F7" i="24"/>
  <c r="O51" i="24"/>
  <c r="F47" i="24"/>
  <c r="J52" i="24" s="1"/>
  <c r="E47" i="24"/>
  <c r="I52" i="24" s="1"/>
  <c r="H47" i="24"/>
  <c r="L52" i="24" s="1"/>
  <c r="G47" i="24"/>
  <c r="K52" i="24" s="1"/>
  <c r="AA40" i="24"/>
  <c r="V40" i="24"/>
  <c r="T45" i="28" l="1"/>
  <c r="T46" i="28" s="1"/>
  <c r="T47" i="28" s="1"/>
  <c r="T48" i="28" s="1"/>
  <c r="T49" i="28" s="1"/>
  <c r="T50" i="28" s="1"/>
  <c r="T51" i="28" s="1"/>
  <c r="T52" i="28" s="1"/>
  <c r="R45" i="28"/>
  <c r="R46" i="28" s="1"/>
  <c r="R47" i="28" s="1"/>
  <c r="R48" i="28" s="1"/>
  <c r="R49" i="28" s="1"/>
  <c r="R50" i="28" s="1"/>
  <c r="R51" i="28" s="1"/>
  <c r="R52" i="28" s="1"/>
  <c r="S43" i="28"/>
  <c r="W43" i="28" s="1"/>
  <c r="F48" i="28"/>
  <c r="J53" i="28" s="1"/>
  <c r="G48" i="28"/>
  <c r="K53" i="28" s="1"/>
  <c r="H48" i="28"/>
  <c r="L53" i="28" s="1"/>
  <c r="E48" i="28"/>
  <c r="I53" i="28" s="1"/>
  <c r="E49" i="28"/>
  <c r="I54" i="28" s="1"/>
  <c r="F49" i="28"/>
  <c r="J54" i="28" s="1"/>
  <c r="G49" i="28"/>
  <c r="K54" i="28" s="1"/>
  <c r="H49" i="28"/>
  <c r="L54" i="28" s="1"/>
  <c r="U45" i="28"/>
  <c r="AE42" i="28"/>
  <c r="AF46" i="28" s="1"/>
  <c r="AG46" i="28" s="1"/>
  <c r="AH46" i="28" s="1"/>
  <c r="AD43" i="28"/>
  <c r="AM43" i="28"/>
  <c r="AC43" i="28"/>
  <c r="AL43" i="28"/>
  <c r="X44" i="28"/>
  <c r="Y44" i="28"/>
  <c r="D50" i="28"/>
  <c r="C50" i="28" s="1"/>
  <c r="N57" i="28"/>
  <c r="Q57" i="28" s="1"/>
  <c r="N51" i="28"/>
  <c r="Q51" i="28" s="1"/>
  <c r="N44" i="28"/>
  <c r="Q44" i="28" s="1"/>
  <c r="G7" i="28"/>
  <c r="N50" i="28"/>
  <c r="Q50" i="28" s="1"/>
  <c r="N56" i="28"/>
  <c r="Q56" i="28" s="1"/>
  <c r="N55" i="28"/>
  <c r="Q55" i="28" s="1"/>
  <c r="N53" i="28"/>
  <c r="Q53" i="28" s="1"/>
  <c r="N46" i="28"/>
  <c r="Q46" i="28" s="1"/>
  <c r="N52" i="28"/>
  <c r="Q52" i="28" s="1"/>
  <c r="N49" i="28"/>
  <c r="Q49" i="28" s="1"/>
  <c r="N48" i="28"/>
  <c r="Q48" i="28" s="1"/>
  <c r="N47" i="28"/>
  <c r="Q47" i="28" s="1"/>
  <c r="N45" i="28"/>
  <c r="Q45" i="28" s="1"/>
  <c r="G6" i="28"/>
  <c r="N54" i="28"/>
  <c r="Q54" i="28" s="1"/>
  <c r="AA44" i="28"/>
  <c r="V44" i="28"/>
  <c r="X41" i="27"/>
  <c r="AC41" i="27" s="1"/>
  <c r="T42" i="27"/>
  <c r="AH43" i="27"/>
  <c r="F45" i="27"/>
  <c r="J50" i="27" s="1"/>
  <c r="G45" i="27"/>
  <c r="K50" i="27" s="1"/>
  <c r="H45" i="27"/>
  <c r="L50" i="27" s="1"/>
  <c r="E45" i="27"/>
  <c r="I50" i="27" s="1"/>
  <c r="D47" i="27"/>
  <c r="U41" i="27"/>
  <c r="S40" i="27"/>
  <c r="W40" i="27" s="1"/>
  <c r="AB40" i="27" s="1"/>
  <c r="Y40" i="27"/>
  <c r="AD40" i="27" s="1"/>
  <c r="AA40" i="27"/>
  <c r="V40" i="27"/>
  <c r="R41" i="27"/>
  <c r="E6" i="27"/>
  <c r="N43" i="27"/>
  <c r="Q43" i="27" s="1"/>
  <c r="N47" i="27"/>
  <c r="Q47" i="27" s="1"/>
  <c r="N53" i="27"/>
  <c r="Q53" i="27" s="1"/>
  <c r="N46" i="27"/>
  <c r="Q46" i="27" s="1"/>
  <c r="N52" i="27"/>
  <c r="Q52" i="27" s="1"/>
  <c r="E7" i="27"/>
  <c r="N41" i="27"/>
  <c r="Q41" i="27" s="1"/>
  <c r="N44" i="27"/>
  <c r="Q44" i="27" s="1"/>
  <c r="N48" i="27"/>
  <c r="Q48" i="27" s="1"/>
  <c r="N45" i="27"/>
  <c r="Q45" i="27" s="1"/>
  <c r="N54" i="27"/>
  <c r="Q54" i="27" s="1"/>
  <c r="N50" i="27"/>
  <c r="Q50" i="27" s="1"/>
  <c r="N51" i="27"/>
  <c r="Q51" i="27" s="1"/>
  <c r="N42" i="27"/>
  <c r="Q42" i="27" s="1"/>
  <c r="N49" i="27"/>
  <c r="Q49" i="27" s="1"/>
  <c r="C46" i="27"/>
  <c r="X41" i="26"/>
  <c r="AC41" i="26" s="1"/>
  <c r="T42" i="26"/>
  <c r="R41" i="26"/>
  <c r="V40" i="26"/>
  <c r="AA40" i="26"/>
  <c r="N49" i="26"/>
  <c r="Q49" i="26" s="1"/>
  <c r="N43" i="26"/>
  <c r="Q43" i="26" s="1"/>
  <c r="N48" i="26"/>
  <c r="Q48" i="26" s="1"/>
  <c r="N42" i="26"/>
  <c r="Q42" i="26" s="1"/>
  <c r="E6" i="26"/>
  <c r="E7" i="26"/>
  <c r="N50" i="26"/>
  <c r="Q50" i="26" s="1"/>
  <c r="N44" i="26"/>
  <c r="Q44" i="26" s="1"/>
  <c r="N51" i="26"/>
  <c r="Q51" i="26" s="1"/>
  <c r="N45" i="26"/>
  <c r="Q45" i="26" s="1"/>
  <c r="N52" i="26"/>
  <c r="Q52" i="26" s="1"/>
  <c r="N46" i="26"/>
  <c r="Q46" i="26" s="1"/>
  <c r="N54" i="26"/>
  <c r="Q54" i="26" s="1"/>
  <c r="N53" i="26"/>
  <c r="Q53" i="26" s="1"/>
  <c r="N47" i="26"/>
  <c r="Q47" i="26" s="1"/>
  <c r="N41" i="26"/>
  <c r="Q41" i="26" s="1"/>
  <c r="D49" i="26"/>
  <c r="C49" i="26" s="1"/>
  <c r="Y40" i="26"/>
  <c r="AD40" i="26" s="1"/>
  <c r="U41" i="26"/>
  <c r="S40" i="26"/>
  <c r="W40" i="26" s="1"/>
  <c r="AB40" i="26" s="1"/>
  <c r="H48" i="26"/>
  <c r="L63" i="26" s="1"/>
  <c r="G48" i="26"/>
  <c r="K63" i="26" s="1"/>
  <c r="F48" i="26"/>
  <c r="J63" i="26" s="1"/>
  <c r="E48" i="26"/>
  <c r="I63" i="26" s="1"/>
  <c r="X41" i="24"/>
  <c r="AC41" i="24" s="1"/>
  <c r="T42" i="24"/>
  <c r="H48" i="24"/>
  <c r="L53" i="24" s="1"/>
  <c r="G48" i="24"/>
  <c r="K53" i="24" s="1"/>
  <c r="F48" i="24"/>
  <c r="J53" i="24" s="1"/>
  <c r="E48" i="24"/>
  <c r="I53" i="24" s="1"/>
  <c r="N54" i="24"/>
  <c r="Q54" i="24" s="1"/>
  <c r="N52" i="24"/>
  <c r="Q52" i="24" s="1"/>
  <c r="N45" i="24"/>
  <c r="Q45" i="24" s="1"/>
  <c r="N42" i="24"/>
  <c r="Q42" i="24" s="1"/>
  <c r="N50" i="24"/>
  <c r="N41" i="24"/>
  <c r="Q41" i="24" s="1"/>
  <c r="E6" i="24"/>
  <c r="N47" i="24"/>
  <c r="Q47" i="24" s="1"/>
  <c r="N46" i="24"/>
  <c r="Q46" i="24" s="1"/>
  <c r="N48" i="24"/>
  <c r="Q48" i="24" s="1"/>
  <c r="N44" i="24"/>
  <c r="Q44" i="24" s="1"/>
  <c r="N49" i="24"/>
  <c r="Q49" i="24" s="1"/>
  <c r="N43" i="24"/>
  <c r="Q43" i="24" s="1"/>
  <c r="N53" i="24"/>
  <c r="Q53" i="24" s="1"/>
  <c r="E7" i="24"/>
  <c r="N51" i="24"/>
  <c r="Q51" i="24" s="1"/>
  <c r="Q50" i="24"/>
  <c r="D49" i="24"/>
  <c r="C49" i="24" s="1"/>
  <c r="R42" i="24"/>
  <c r="AA41" i="24"/>
  <c r="V41" i="24"/>
  <c r="Y40" i="24"/>
  <c r="AD40" i="24" s="1"/>
  <c r="S40" i="24"/>
  <c r="W40" i="24" s="1"/>
  <c r="AB40" i="24" s="1"/>
  <c r="U41" i="24"/>
  <c r="T53" i="28" l="1"/>
  <c r="T54" i="28" s="1"/>
  <c r="S44" i="28"/>
  <c r="W44" i="28" s="1"/>
  <c r="AE40" i="24"/>
  <c r="AF44" i="24" s="1"/>
  <c r="AG44" i="24" s="1"/>
  <c r="AH44" i="24" s="1"/>
  <c r="R53" i="28"/>
  <c r="R54" i="28" s="1"/>
  <c r="E50" i="28"/>
  <c r="I55" i="28" s="1"/>
  <c r="F50" i="28"/>
  <c r="J55" i="28" s="1"/>
  <c r="G50" i="28"/>
  <c r="K55" i="28" s="1"/>
  <c r="H50" i="28"/>
  <c r="L55" i="28" s="1"/>
  <c r="U46" i="28"/>
  <c r="AJ44" i="28"/>
  <c r="AC44" i="28"/>
  <c r="AL44" i="28"/>
  <c r="AB43" i="28"/>
  <c r="AE43" i="28" s="1"/>
  <c r="AF47" i="28" s="1"/>
  <c r="AG47" i="28" s="1"/>
  <c r="AH47" i="28" s="1"/>
  <c r="AI42" i="28" s="1"/>
  <c r="AK43" i="28"/>
  <c r="AD44" i="28"/>
  <c r="AM44" i="28"/>
  <c r="X45" i="28"/>
  <c r="Z43" i="28"/>
  <c r="V45" i="28"/>
  <c r="AJ45" i="28" s="1"/>
  <c r="AA45" i="28"/>
  <c r="Y45" i="28"/>
  <c r="D51" i="28"/>
  <c r="Z40" i="24"/>
  <c r="AE40" i="27"/>
  <c r="AF44" i="27" s="1"/>
  <c r="AG44" i="27" s="1"/>
  <c r="AH44" i="27" s="1"/>
  <c r="AI39" i="27" s="1"/>
  <c r="R42" i="27"/>
  <c r="AA41" i="27"/>
  <c r="V41" i="27"/>
  <c r="E46" i="27"/>
  <c r="I51" i="27" s="1"/>
  <c r="H46" i="27"/>
  <c r="L51" i="27" s="1"/>
  <c r="F46" i="27"/>
  <c r="J51" i="27" s="1"/>
  <c r="G46" i="27"/>
  <c r="K51" i="27" s="1"/>
  <c r="Z40" i="27"/>
  <c r="Y41" i="27"/>
  <c r="AD41" i="27" s="1"/>
  <c r="S41" i="27"/>
  <c r="W41" i="27" s="1"/>
  <c r="AB41" i="27" s="1"/>
  <c r="U42" i="27"/>
  <c r="D48" i="27"/>
  <c r="X42" i="27"/>
  <c r="AC42" i="27" s="1"/>
  <c r="T43" i="27"/>
  <c r="C47" i="27"/>
  <c r="AE40" i="26"/>
  <c r="D50" i="26"/>
  <c r="Z40" i="26"/>
  <c r="H49" i="26"/>
  <c r="L64" i="26" s="1"/>
  <c r="G49" i="26"/>
  <c r="K64" i="26" s="1"/>
  <c r="F49" i="26"/>
  <c r="J64" i="26" s="1"/>
  <c r="E49" i="26"/>
  <c r="I64" i="26" s="1"/>
  <c r="AA41" i="26"/>
  <c r="V41" i="26"/>
  <c r="R42" i="26"/>
  <c r="X42" i="26"/>
  <c r="AC42" i="26" s="1"/>
  <c r="T43" i="26"/>
  <c r="Y41" i="26"/>
  <c r="AD41" i="26" s="1"/>
  <c r="U42" i="26"/>
  <c r="S41" i="26"/>
  <c r="W41" i="26" s="1"/>
  <c r="AB41" i="26" s="1"/>
  <c r="G49" i="24"/>
  <c r="K54" i="24" s="1"/>
  <c r="H49" i="24"/>
  <c r="L54" i="24" s="1"/>
  <c r="F49" i="24"/>
  <c r="J54" i="24" s="1"/>
  <c r="E49" i="24"/>
  <c r="I54" i="24" s="1"/>
  <c r="D50" i="24"/>
  <c r="AA42" i="24"/>
  <c r="R43" i="24"/>
  <c r="V42" i="24"/>
  <c r="S41" i="24"/>
  <c r="W41" i="24" s="1"/>
  <c r="Y41" i="24"/>
  <c r="AD41" i="24" s="1"/>
  <c r="U42" i="24"/>
  <c r="X42" i="24"/>
  <c r="AC42" i="24" s="1"/>
  <c r="T43" i="24"/>
  <c r="S45" i="28" l="1"/>
  <c r="W45" i="28" s="1"/>
  <c r="T55" i="28"/>
  <c r="R55" i="28"/>
  <c r="U47" i="28"/>
  <c r="AB44" i="28"/>
  <c r="AE44" i="28" s="1"/>
  <c r="AF48" i="28" s="1"/>
  <c r="AG48" i="28" s="1"/>
  <c r="AH48" i="28" s="1"/>
  <c r="AI43" i="28" s="1"/>
  <c r="AK44" i="28"/>
  <c r="AD45" i="28"/>
  <c r="AM45" i="28"/>
  <c r="AC45" i="28"/>
  <c r="AL45" i="28"/>
  <c r="Z44" i="28"/>
  <c r="D52" i="28"/>
  <c r="C52" i="28" s="1"/>
  <c r="Y46" i="28"/>
  <c r="C51" i="28"/>
  <c r="V46" i="28"/>
  <c r="AJ46" i="28" s="1"/>
  <c r="AA46" i="28"/>
  <c r="X46" i="28"/>
  <c r="AE41" i="27"/>
  <c r="AF45" i="27" s="1"/>
  <c r="AG45" i="27" s="1"/>
  <c r="AH45" i="27" s="1"/>
  <c r="AI40" i="27" s="1"/>
  <c r="D49" i="27"/>
  <c r="G47" i="27"/>
  <c r="K52" i="27" s="1"/>
  <c r="H47" i="27"/>
  <c r="L52" i="27" s="1"/>
  <c r="E47" i="27"/>
  <c r="I52" i="27" s="1"/>
  <c r="F47" i="27"/>
  <c r="J52" i="27" s="1"/>
  <c r="T44" i="27"/>
  <c r="X43" i="27"/>
  <c r="AC43" i="27" s="1"/>
  <c r="Z41" i="27"/>
  <c r="C48" i="27"/>
  <c r="V42" i="27"/>
  <c r="R43" i="27"/>
  <c r="AA42" i="27"/>
  <c r="S42" i="27"/>
  <c r="W42" i="27" s="1"/>
  <c r="AB42" i="27" s="1"/>
  <c r="Y42" i="27"/>
  <c r="AD42" i="27" s="1"/>
  <c r="U43" i="27"/>
  <c r="Y42" i="26"/>
  <c r="AD42" i="26" s="1"/>
  <c r="U43" i="26"/>
  <c r="S42" i="26"/>
  <c r="W42" i="26" s="1"/>
  <c r="AB42" i="26" s="1"/>
  <c r="D51" i="26"/>
  <c r="C51" i="26" s="1"/>
  <c r="R43" i="26"/>
  <c r="AA42" i="26"/>
  <c r="V42" i="26"/>
  <c r="X43" i="26"/>
  <c r="AC43" i="26" s="1"/>
  <c r="T44" i="26"/>
  <c r="C50" i="26"/>
  <c r="Z41" i="26"/>
  <c r="AE41" i="26"/>
  <c r="D51" i="24"/>
  <c r="AI39" i="24"/>
  <c r="T44" i="24"/>
  <c r="X43" i="24"/>
  <c r="AC43" i="24" s="1"/>
  <c r="AB41" i="24"/>
  <c r="AE41" i="24" s="1"/>
  <c r="AF45" i="24" s="1"/>
  <c r="AG45" i="24" s="1"/>
  <c r="V43" i="24"/>
  <c r="R44" i="24"/>
  <c r="AA43" i="24"/>
  <c r="Z41" i="24"/>
  <c r="U43" i="24"/>
  <c r="S42" i="24"/>
  <c r="W42" i="24" s="1"/>
  <c r="AB42" i="24" s="1"/>
  <c r="Y42" i="24"/>
  <c r="AD42" i="24" s="1"/>
  <c r="C50" i="24"/>
  <c r="S46" i="28" l="1"/>
  <c r="E52" i="28"/>
  <c r="I57" i="28" s="1"/>
  <c r="F52" i="28"/>
  <c r="J57" i="28" s="1"/>
  <c r="G52" i="28"/>
  <c r="K57" i="28" s="1"/>
  <c r="H52" i="28"/>
  <c r="L57" i="28" s="1"/>
  <c r="AE42" i="26"/>
  <c r="S47" i="28"/>
  <c r="U48" i="28"/>
  <c r="F51" i="28"/>
  <c r="J56" i="28" s="1"/>
  <c r="G51" i="28"/>
  <c r="K56" i="28" s="1"/>
  <c r="T56" i="28" s="1"/>
  <c r="H51" i="28"/>
  <c r="L56" i="28" s="1"/>
  <c r="E51" i="28"/>
  <c r="I56" i="28" s="1"/>
  <c r="R56" i="28" s="1"/>
  <c r="W46" i="28"/>
  <c r="Z46" i="28" s="1"/>
  <c r="AD46" i="28"/>
  <c r="AM46" i="28"/>
  <c r="AB45" i="28"/>
  <c r="AE45" i="28" s="1"/>
  <c r="AF49" i="28" s="1"/>
  <c r="AG49" i="28" s="1"/>
  <c r="AH49" i="28" s="1"/>
  <c r="AI44" i="28" s="1"/>
  <c r="AK45" i="28"/>
  <c r="Z45" i="28"/>
  <c r="AC46" i="28"/>
  <c r="AL46" i="28"/>
  <c r="X47" i="28"/>
  <c r="AA47" i="28"/>
  <c r="V47" i="28"/>
  <c r="AJ47" i="28" s="1"/>
  <c r="D53" i="28"/>
  <c r="Y47" i="28"/>
  <c r="AE42" i="24"/>
  <c r="AF46" i="24" s="1"/>
  <c r="AG46" i="24" s="1"/>
  <c r="E48" i="27"/>
  <c r="I53" i="27" s="1"/>
  <c r="F48" i="27"/>
  <c r="J53" i="27" s="1"/>
  <c r="G48" i="27"/>
  <c r="K53" i="27" s="1"/>
  <c r="H48" i="27"/>
  <c r="L53" i="27" s="1"/>
  <c r="D50" i="27"/>
  <c r="S43" i="27"/>
  <c r="W43" i="27" s="1"/>
  <c r="AB43" i="27" s="1"/>
  <c r="U44" i="27"/>
  <c r="Y43" i="27"/>
  <c r="AD43" i="27" s="1"/>
  <c r="AE42" i="27"/>
  <c r="AF46" i="27" s="1"/>
  <c r="AG46" i="27" s="1"/>
  <c r="AA43" i="27"/>
  <c r="V43" i="27"/>
  <c r="R44" i="27"/>
  <c r="Z42" i="27"/>
  <c r="C49" i="27"/>
  <c r="X44" i="27"/>
  <c r="AC44" i="27" s="1"/>
  <c r="T45" i="27"/>
  <c r="F51" i="26"/>
  <c r="J66" i="26" s="1"/>
  <c r="E51" i="26"/>
  <c r="I66" i="26" s="1"/>
  <c r="G51" i="26"/>
  <c r="K66" i="26" s="1"/>
  <c r="H51" i="26"/>
  <c r="L66" i="26" s="1"/>
  <c r="D52" i="26"/>
  <c r="C52" i="26" s="1"/>
  <c r="U44" i="26"/>
  <c r="Y43" i="26"/>
  <c r="AD43" i="26" s="1"/>
  <c r="S43" i="26"/>
  <c r="W43" i="26" s="1"/>
  <c r="AB43" i="26" s="1"/>
  <c r="H50" i="26"/>
  <c r="L65" i="26" s="1"/>
  <c r="F50" i="26"/>
  <c r="J65" i="26" s="1"/>
  <c r="G50" i="26"/>
  <c r="K65" i="26" s="1"/>
  <c r="E50" i="26"/>
  <c r="I65" i="26" s="1"/>
  <c r="R44" i="26"/>
  <c r="AA43" i="26"/>
  <c r="V43" i="26"/>
  <c r="X44" i="26"/>
  <c r="AC44" i="26" s="1"/>
  <c r="T45" i="26"/>
  <c r="Z42" i="26"/>
  <c r="D52" i="24"/>
  <c r="R45" i="24"/>
  <c r="AA44" i="24"/>
  <c r="V44" i="24"/>
  <c r="X44" i="24"/>
  <c r="AC44" i="24" s="1"/>
  <c r="T45" i="24"/>
  <c r="AH45" i="24"/>
  <c r="AI40" i="24" s="1"/>
  <c r="E50" i="24"/>
  <c r="I55" i="24" s="1"/>
  <c r="G50" i="24"/>
  <c r="K55" i="24" s="1"/>
  <c r="F50" i="24"/>
  <c r="J55" i="24" s="1"/>
  <c r="H50" i="24"/>
  <c r="L55" i="24" s="1"/>
  <c r="Y43" i="24"/>
  <c r="AD43" i="24" s="1"/>
  <c r="S43" i="24"/>
  <c r="W43" i="24" s="1"/>
  <c r="AB43" i="24" s="1"/>
  <c r="U44" i="24"/>
  <c r="Z42" i="24"/>
  <c r="C51" i="24"/>
  <c r="T57" i="28" l="1"/>
  <c r="S48" i="28"/>
  <c r="U49" i="28"/>
  <c r="Z43" i="26"/>
  <c r="AE43" i="26"/>
  <c r="R57" i="28"/>
  <c r="AE43" i="24"/>
  <c r="AF47" i="24" s="1"/>
  <c r="AG47" i="24" s="1"/>
  <c r="AD47" i="28"/>
  <c r="AM47" i="28"/>
  <c r="AB46" i="28"/>
  <c r="AE46" i="28" s="1"/>
  <c r="AF50" i="28" s="1"/>
  <c r="AG50" i="28" s="1"/>
  <c r="AH50" i="28" s="1"/>
  <c r="AI45" i="28" s="1"/>
  <c r="AK46" i="28"/>
  <c r="W47" i="28"/>
  <c r="Z47" i="28" s="1"/>
  <c r="AC47" i="28"/>
  <c r="AL47" i="28"/>
  <c r="Y48" i="28"/>
  <c r="D54" i="28"/>
  <c r="C54" i="28" s="1"/>
  <c r="C53" i="28"/>
  <c r="V48" i="28"/>
  <c r="AJ48" i="28" s="1"/>
  <c r="AA48" i="28"/>
  <c r="X48" i="28"/>
  <c r="X45" i="27"/>
  <c r="AC45" i="27" s="1"/>
  <c r="T46" i="27"/>
  <c r="D51" i="27"/>
  <c r="C51" i="27" s="1"/>
  <c r="E49" i="27"/>
  <c r="I54" i="27" s="1"/>
  <c r="F49" i="27"/>
  <c r="J54" i="27" s="1"/>
  <c r="G49" i="27"/>
  <c r="K54" i="27" s="1"/>
  <c r="H49" i="27"/>
  <c r="L54" i="27" s="1"/>
  <c r="C50" i="27"/>
  <c r="R45" i="27"/>
  <c r="V44" i="27"/>
  <c r="AA44" i="27"/>
  <c r="Z43" i="27"/>
  <c r="AE43" i="27"/>
  <c r="AF47" i="27" s="1"/>
  <c r="AG47" i="27" s="1"/>
  <c r="AH46" i="27"/>
  <c r="AI41" i="27" s="1"/>
  <c r="Y44" i="27"/>
  <c r="AD44" i="27" s="1"/>
  <c r="S44" i="27"/>
  <c r="W44" i="27" s="1"/>
  <c r="AB44" i="27" s="1"/>
  <c r="U45" i="27"/>
  <c r="V44" i="26"/>
  <c r="R45" i="26"/>
  <c r="AA44" i="26"/>
  <c r="S44" i="26"/>
  <c r="W44" i="26" s="1"/>
  <c r="AB44" i="26" s="1"/>
  <c r="U45" i="26"/>
  <c r="Y44" i="26"/>
  <c r="AD44" i="26" s="1"/>
  <c r="G52" i="26"/>
  <c r="K67" i="26" s="1"/>
  <c r="F52" i="26"/>
  <c r="J67" i="26" s="1"/>
  <c r="E52" i="26"/>
  <c r="I67" i="26" s="1"/>
  <c r="H52" i="26"/>
  <c r="L67" i="26" s="1"/>
  <c r="D53" i="26"/>
  <c r="C53" i="26" s="1"/>
  <c r="T46" i="26"/>
  <c r="X45" i="26"/>
  <c r="AC45" i="26" s="1"/>
  <c r="AH46" i="24"/>
  <c r="AI41" i="24" s="1"/>
  <c r="T46" i="24"/>
  <c r="X45" i="24"/>
  <c r="AC45" i="24" s="1"/>
  <c r="S44" i="24"/>
  <c r="W44" i="24" s="1"/>
  <c r="AB44" i="24" s="1"/>
  <c r="Y44" i="24"/>
  <c r="AD44" i="24" s="1"/>
  <c r="U45" i="24"/>
  <c r="R46" i="24"/>
  <c r="AA45" i="24"/>
  <c r="V45" i="24"/>
  <c r="D53" i="24"/>
  <c r="C53" i="24" s="1"/>
  <c r="Z43" i="24"/>
  <c r="G51" i="24"/>
  <c r="K56" i="24" s="1"/>
  <c r="H51" i="24"/>
  <c r="L56" i="24" s="1"/>
  <c r="F51" i="24"/>
  <c r="J56" i="24" s="1"/>
  <c r="E51" i="24"/>
  <c r="I56" i="24" s="1"/>
  <c r="C52" i="24"/>
  <c r="E53" i="28" l="1"/>
  <c r="I58" i="28" s="1"/>
  <c r="F53" i="28"/>
  <c r="J58" i="28" s="1"/>
  <c r="G53" i="28"/>
  <c r="K58" i="28" s="1"/>
  <c r="H53" i="28"/>
  <c r="L58" i="28" s="1"/>
  <c r="F54" i="28"/>
  <c r="J59" i="28" s="1"/>
  <c r="G54" i="28"/>
  <c r="K59" i="28" s="1"/>
  <c r="H54" i="28"/>
  <c r="L59" i="28" s="1"/>
  <c r="E54" i="28"/>
  <c r="I59" i="28" s="1"/>
  <c r="S49" i="28"/>
  <c r="U50" i="28"/>
  <c r="W48" i="28"/>
  <c r="AB48" i="28" s="1"/>
  <c r="AD48" i="28"/>
  <c r="AM48" i="28"/>
  <c r="AC48" i="28"/>
  <c r="AL48" i="28"/>
  <c r="AB47" i="28"/>
  <c r="AE47" i="28" s="1"/>
  <c r="AF51" i="28" s="1"/>
  <c r="AG51" i="28" s="1"/>
  <c r="AH51" i="28" s="1"/>
  <c r="AI46" i="28" s="1"/>
  <c r="AK47" i="28"/>
  <c r="X49" i="28"/>
  <c r="Y49" i="28"/>
  <c r="D55" i="28"/>
  <c r="V49" i="28"/>
  <c r="AJ49" i="28" s="1"/>
  <c r="AA49" i="28"/>
  <c r="AE44" i="24"/>
  <c r="AF48" i="24" s="1"/>
  <c r="AG48" i="24" s="1"/>
  <c r="AH47" i="27"/>
  <c r="AI42" i="27" s="1"/>
  <c r="AA45" i="27"/>
  <c r="V45" i="27"/>
  <c r="R46" i="27"/>
  <c r="G50" i="27"/>
  <c r="K55" i="27" s="1"/>
  <c r="H50" i="27"/>
  <c r="L55" i="27" s="1"/>
  <c r="F50" i="27"/>
  <c r="J55" i="27" s="1"/>
  <c r="E50" i="27"/>
  <c r="I55" i="27" s="1"/>
  <c r="S45" i="27"/>
  <c r="W45" i="27" s="1"/>
  <c r="AB45" i="27" s="1"/>
  <c r="U46" i="27"/>
  <c r="Y45" i="27"/>
  <c r="AD45" i="27" s="1"/>
  <c r="D52" i="27"/>
  <c r="E51" i="27"/>
  <c r="I56" i="27" s="1"/>
  <c r="G51" i="27"/>
  <c r="K56" i="27" s="1"/>
  <c r="H51" i="27"/>
  <c r="L56" i="27" s="1"/>
  <c r="F51" i="27"/>
  <c r="J56" i="27" s="1"/>
  <c r="X46" i="27"/>
  <c r="AC46" i="27" s="1"/>
  <c r="T47" i="27"/>
  <c r="AE44" i="27"/>
  <c r="AF48" i="27" s="1"/>
  <c r="AG48" i="27" s="1"/>
  <c r="Z44" i="27"/>
  <c r="X46" i="26"/>
  <c r="AC46" i="26" s="1"/>
  <c r="T47" i="26"/>
  <c r="H53" i="26"/>
  <c r="L68" i="26" s="1"/>
  <c r="G53" i="26"/>
  <c r="K68" i="26" s="1"/>
  <c r="F53" i="26"/>
  <c r="J68" i="26" s="1"/>
  <c r="E53" i="26"/>
  <c r="I68" i="26" s="1"/>
  <c r="D54" i="26"/>
  <c r="AE44" i="26"/>
  <c r="V45" i="26"/>
  <c r="R46" i="26"/>
  <c r="AA45" i="26"/>
  <c r="Z44" i="26"/>
  <c r="S45" i="26"/>
  <c r="W45" i="26" s="1"/>
  <c r="AB45" i="26" s="1"/>
  <c r="U46" i="26"/>
  <c r="Y45" i="26"/>
  <c r="AD45" i="26" s="1"/>
  <c r="F53" i="24"/>
  <c r="J58" i="24" s="1"/>
  <c r="E53" i="24"/>
  <c r="I58" i="24" s="1"/>
  <c r="H53" i="24"/>
  <c r="L58" i="24" s="1"/>
  <c r="G53" i="24"/>
  <c r="K58" i="24" s="1"/>
  <c r="Z44" i="24"/>
  <c r="Y45" i="24"/>
  <c r="AD45" i="24" s="1"/>
  <c r="S45" i="24"/>
  <c r="W45" i="24" s="1"/>
  <c r="AB45" i="24" s="1"/>
  <c r="U46" i="24"/>
  <c r="T47" i="24"/>
  <c r="X46" i="24"/>
  <c r="AC46" i="24" s="1"/>
  <c r="H52" i="24"/>
  <c r="L57" i="24" s="1"/>
  <c r="G52" i="24"/>
  <c r="K57" i="24" s="1"/>
  <c r="F52" i="24"/>
  <c r="J57" i="24" s="1"/>
  <c r="E52" i="24"/>
  <c r="I57" i="24" s="1"/>
  <c r="D54" i="24"/>
  <c r="C54" i="24" s="1"/>
  <c r="AH47" i="24"/>
  <c r="AI42" i="24" s="1"/>
  <c r="R47" i="24"/>
  <c r="AA46" i="24"/>
  <c r="V46" i="24"/>
  <c r="AE45" i="24" l="1"/>
  <c r="AF49" i="24" s="1"/>
  <c r="AG49" i="24" s="1"/>
  <c r="S50" i="28"/>
  <c r="U51" i="28"/>
  <c r="Z48" i="28"/>
  <c r="AK48" i="28"/>
  <c r="AE48" i="28"/>
  <c r="AF52" i="28" s="1"/>
  <c r="AG52" i="28" s="1"/>
  <c r="AH52" i="28" s="1"/>
  <c r="AI47" i="28" s="1"/>
  <c r="W49" i="28"/>
  <c r="Z49" i="28" s="1"/>
  <c r="AD49" i="28"/>
  <c r="AM49" i="28"/>
  <c r="AC49" i="28"/>
  <c r="AL49" i="28"/>
  <c r="V50" i="28"/>
  <c r="AJ50" i="28" s="1"/>
  <c r="AA50" i="28"/>
  <c r="X50" i="28"/>
  <c r="D56" i="28"/>
  <c r="C55" i="28"/>
  <c r="Y50" i="28"/>
  <c r="AH48" i="27"/>
  <c r="AI43" i="27" s="1"/>
  <c r="Y46" i="27"/>
  <c r="AD46" i="27" s="1"/>
  <c r="S46" i="27"/>
  <c r="W46" i="27" s="1"/>
  <c r="AB46" i="27" s="1"/>
  <c r="U47" i="27"/>
  <c r="T48" i="27"/>
  <c r="X47" i="27"/>
  <c r="AC47" i="27" s="1"/>
  <c r="V46" i="27"/>
  <c r="AA46" i="27"/>
  <c r="R47" i="27"/>
  <c r="Z45" i="27"/>
  <c r="AE45" i="27"/>
  <c r="AF49" i="27" s="1"/>
  <c r="AG49" i="27" s="1"/>
  <c r="D53" i="27"/>
  <c r="C53" i="27" s="1"/>
  <c r="C52" i="27"/>
  <c r="X47" i="26"/>
  <c r="AC47" i="26" s="1"/>
  <c r="T48" i="26"/>
  <c r="AE45" i="26"/>
  <c r="R47" i="26"/>
  <c r="V46" i="26"/>
  <c r="AA46" i="26"/>
  <c r="D55" i="26"/>
  <c r="C55" i="26" s="1"/>
  <c r="Z45" i="26"/>
  <c r="Y46" i="26"/>
  <c r="AD46" i="26" s="1"/>
  <c r="U47" i="26"/>
  <c r="S46" i="26"/>
  <c r="W46" i="26" s="1"/>
  <c r="AB46" i="26" s="1"/>
  <c r="C54" i="26"/>
  <c r="S46" i="24"/>
  <c r="W46" i="24" s="1"/>
  <c r="AB46" i="24" s="1"/>
  <c r="Y46" i="24"/>
  <c r="AD46" i="24" s="1"/>
  <c r="U47" i="24"/>
  <c r="T48" i="24"/>
  <c r="X47" i="24"/>
  <c r="AC47" i="24" s="1"/>
  <c r="F54" i="24"/>
  <c r="J59" i="24" s="1"/>
  <c r="E54" i="24"/>
  <c r="I59" i="24" s="1"/>
  <c r="H54" i="24"/>
  <c r="L59" i="24" s="1"/>
  <c r="G54" i="24"/>
  <c r="K59" i="24" s="1"/>
  <c r="D55" i="24"/>
  <c r="C55" i="24" s="1"/>
  <c r="Z45" i="24"/>
  <c r="AA47" i="24"/>
  <c r="R48" i="24"/>
  <c r="V47" i="24"/>
  <c r="AH48" i="24"/>
  <c r="AI43" i="24" s="1"/>
  <c r="E55" i="28" l="1"/>
  <c r="I60" i="28" s="1"/>
  <c r="F55" i="28"/>
  <c r="J60" i="28" s="1"/>
  <c r="G55" i="28"/>
  <c r="K60" i="28" s="1"/>
  <c r="H55" i="28"/>
  <c r="L60" i="28" s="1"/>
  <c r="S51" i="28"/>
  <c r="U52" i="28"/>
  <c r="AE46" i="26"/>
  <c r="AK49" i="28"/>
  <c r="W50" i="28"/>
  <c r="AB50" i="28" s="1"/>
  <c r="AB49" i="28"/>
  <c r="AE49" i="28" s="1"/>
  <c r="AF53" i="28" s="1"/>
  <c r="AG53" i="28" s="1"/>
  <c r="AH53" i="28" s="1"/>
  <c r="AI48" i="28" s="1"/>
  <c r="AD50" i="28"/>
  <c r="AM50" i="28"/>
  <c r="AC50" i="28"/>
  <c r="AL50" i="28"/>
  <c r="D57" i="28"/>
  <c r="C56" i="28"/>
  <c r="X51" i="28"/>
  <c r="AA51" i="28"/>
  <c r="V51" i="28"/>
  <c r="AJ51" i="28" s="1"/>
  <c r="Y51" i="28"/>
  <c r="AE46" i="24"/>
  <c r="AF50" i="24" s="1"/>
  <c r="Z46" i="24"/>
  <c r="Z46" i="27"/>
  <c r="AH49" i="27"/>
  <c r="AI44" i="27" s="1"/>
  <c r="G53" i="27"/>
  <c r="K58" i="27" s="1"/>
  <c r="F53" i="27"/>
  <c r="J58" i="27" s="1"/>
  <c r="H53" i="27"/>
  <c r="L58" i="27" s="1"/>
  <c r="E53" i="27"/>
  <c r="I58" i="27" s="1"/>
  <c r="AA47" i="27"/>
  <c r="R48" i="27"/>
  <c r="V47" i="27"/>
  <c r="AE46" i="27"/>
  <c r="AF50" i="27" s="1"/>
  <c r="AG50" i="27" s="1"/>
  <c r="T49" i="27"/>
  <c r="X48" i="27"/>
  <c r="AC48" i="27" s="1"/>
  <c r="S47" i="27"/>
  <c r="W47" i="27" s="1"/>
  <c r="AB47" i="27" s="1"/>
  <c r="U48" i="27"/>
  <c r="Y47" i="27"/>
  <c r="AD47" i="27" s="1"/>
  <c r="E52" i="27"/>
  <c r="I57" i="27" s="1"/>
  <c r="F52" i="27"/>
  <c r="J57" i="27" s="1"/>
  <c r="G52" i="27"/>
  <c r="K57" i="27" s="1"/>
  <c r="H52" i="27"/>
  <c r="L57" i="27" s="1"/>
  <c r="D54" i="27"/>
  <c r="C54" i="27" s="1"/>
  <c r="F55" i="26"/>
  <c r="J70" i="26" s="1"/>
  <c r="H55" i="26"/>
  <c r="L70" i="26" s="1"/>
  <c r="G55" i="26"/>
  <c r="K70" i="26" s="1"/>
  <c r="E55" i="26"/>
  <c r="I70" i="26" s="1"/>
  <c r="Y47" i="26"/>
  <c r="AD47" i="26" s="1"/>
  <c r="U48" i="26"/>
  <c r="S47" i="26"/>
  <c r="W47" i="26" s="1"/>
  <c r="AB47" i="26" s="1"/>
  <c r="D56" i="26"/>
  <c r="C56" i="26" s="1"/>
  <c r="Z46" i="26"/>
  <c r="AA47" i="26"/>
  <c r="V47" i="26"/>
  <c r="R48" i="26"/>
  <c r="X48" i="26"/>
  <c r="AC48" i="26" s="1"/>
  <c r="T49" i="26"/>
  <c r="H54" i="26"/>
  <c r="L69" i="26" s="1"/>
  <c r="G54" i="26"/>
  <c r="K69" i="26" s="1"/>
  <c r="F54" i="26"/>
  <c r="J69" i="26" s="1"/>
  <c r="E54" i="26"/>
  <c r="I69" i="26" s="1"/>
  <c r="G55" i="24"/>
  <c r="K60" i="24" s="1"/>
  <c r="F55" i="24"/>
  <c r="J60" i="24" s="1"/>
  <c r="H55" i="24"/>
  <c r="L60" i="24" s="1"/>
  <c r="E55" i="24"/>
  <c r="I60" i="24" s="1"/>
  <c r="R49" i="24"/>
  <c r="AA48" i="24"/>
  <c r="V48" i="24"/>
  <c r="AH49" i="24"/>
  <c r="AI44" i="24" s="1"/>
  <c r="AG50" i="24"/>
  <c r="T49" i="24"/>
  <c r="X48" i="24"/>
  <c r="AC48" i="24" s="1"/>
  <c r="S47" i="24"/>
  <c r="W47" i="24" s="1"/>
  <c r="AB47" i="24" s="1"/>
  <c r="Y47" i="24"/>
  <c r="AD47" i="24" s="1"/>
  <c r="U48" i="24"/>
  <c r="D56" i="24"/>
  <c r="C56" i="24" s="1"/>
  <c r="E56" i="28" l="1"/>
  <c r="I61" i="28" s="1"/>
  <c r="F56" i="28"/>
  <c r="J61" i="28" s="1"/>
  <c r="G56" i="28"/>
  <c r="K61" i="28" s="1"/>
  <c r="H56" i="28"/>
  <c r="L61" i="28" s="1"/>
  <c r="U53" i="28"/>
  <c r="S52" i="28"/>
  <c r="AK50" i="28"/>
  <c r="W51" i="28"/>
  <c r="AK51" i="28" s="1"/>
  <c r="Z50" i="28"/>
  <c r="AE50" i="28"/>
  <c r="AF54" i="28" s="1"/>
  <c r="AG54" i="28" s="1"/>
  <c r="AH54" i="28" s="1"/>
  <c r="AI49" i="28" s="1"/>
  <c r="AC51" i="28"/>
  <c r="AL51" i="28"/>
  <c r="AD51" i="28"/>
  <c r="AM51" i="28"/>
  <c r="AA52" i="28"/>
  <c r="V52" i="28"/>
  <c r="AJ52" i="28" s="1"/>
  <c r="X52" i="28"/>
  <c r="Y52" i="28"/>
  <c r="D58" i="28"/>
  <c r="C57" i="28"/>
  <c r="AE47" i="24"/>
  <c r="AF51" i="24" s="1"/>
  <c r="AG51" i="24" s="1"/>
  <c r="AE47" i="27"/>
  <c r="AF51" i="27" s="1"/>
  <c r="AG51" i="27" s="1"/>
  <c r="Z47" i="27"/>
  <c r="AH50" i="27"/>
  <c r="AI45" i="27" s="1"/>
  <c r="D55" i="27"/>
  <c r="AA48" i="27"/>
  <c r="R49" i="27"/>
  <c r="V48" i="27"/>
  <c r="S48" i="27"/>
  <c r="W48" i="27" s="1"/>
  <c r="AB48" i="27" s="1"/>
  <c r="Y48" i="27"/>
  <c r="AD48" i="27" s="1"/>
  <c r="U49" i="27"/>
  <c r="E54" i="27"/>
  <c r="I59" i="27" s="1"/>
  <c r="F54" i="27"/>
  <c r="J59" i="27" s="1"/>
  <c r="H54" i="27"/>
  <c r="L59" i="27" s="1"/>
  <c r="G54" i="27"/>
  <c r="K59" i="27" s="1"/>
  <c r="T50" i="27"/>
  <c r="X49" i="27"/>
  <c r="AC49" i="27" s="1"/>
  <c r="H56" i="26"/>
  <c r="L71" i="26" s="1"/>
  <c r="G56" i="26"/>
  <c r="K71" i="26" s="1"/>
  <c r="F56" i="26"/>
  <c r="J71" i="26" s="1"/>
  <c r="E56" i="26"/>
  <c r="I71" i="26" s="1"/>
  <c r="R49" i="26"/>
  <c r="AA48" i="26"/>
  <c r="V48" i="26"/>
  <c r="Z47" i="26"/>
  <c r="AE47" i="26"/>
  <c r="Y48" i="26"/>
  <c r="AD48" i="26" s="1"/>
  <c r="U49" i="26"/>
  <c r="S48" i="26"/>
  <c r="W48" i="26" s="1"/>
  <c r="AB48" i="26" s="1"/>
  <c r="D57" i="26"/>
  <c r="C57" i="26" s="1"/>
  <c r="X49" i="26"/>
  <c r="AC49" i="26" s="1"/>
  <c r="T50" i="26"/>
  <c r="D57" i="24"/>
  <c r="C57" i="24" s="1"/>
  <c r="F56" i="24"/>
  <c r="J61" i="24" s="1"/>
  <c r="E56" i="24"/>
  <c r="I61" i="24" s="1"/>
  <c r="H56" i="24"/>
  <c r="L61" i="24" s="1"/>
  <c r="G56" i="24"/>
  <c r="K61" i="24" s="1"/>
  <c r="AA49" i="24"/>
  <c r="V49" i="24"/>
  <c r="R50" i="24"/>
  <c r="Z47" i="24"/>
  <c r="S48" i="24"/>
  <c r="W48" i="24" s="1"/>
  <c r="AB48" i="24" s="1"/>
  <c r="U49" i="24"/>
  <c r="Y48" i="24"/>
  <c r="AD48" i="24" s="1"/>
  <c r="AH50" i="24"/>
  <c r="AI45" i="24" s="1"/>
  <c r="X49" i="24"/>
  <c r="AC49" i="24" s="1"/>
  <c r="T50" i="24"/>
  <c r="AE48" i="24" l="1"/>
  <c r="AF52" i="24" s="1"/>
  <c r="AG52" i="24" s="1"/>
  <c r="U54" i="28"/>
  <c r="S53" i="28"/>
  <c r="Z48" i="26"/>
  <c r="F57" i="28"/>
  <c r="J62" i="28" s="1"/>
  <c r="G57" i="28"/>
  <c r="K62" i="28" s="1"/>
  <c r="H57" i="28"/>
  <c r="L62" i="28" s="1"/>
  <c r="E57" i="28"/>
  <c r="I62" i="28" s="1"/>
  <c r="AB51" i="28"/>
  <c r="AE51" i="28" s="1"/>
  <c r="AF55" i="28" s="1"/>
  <c r="AG55" i="28" s="1"/>
  <c r="AH55" i="28" s="1"/>
  <c r="AI50" i="28" s="1"/>
  <c r="Z51" i="28"/>
  <c r="W52" i="28"/>
  <c r="AK52" i="28" s="1"/>
  <c r="AD52" i="28"/>
  <c r="AM52" i="28"/>
  <c r="AC52" i="28"/>
  <c r="AL52" i="28"/>
  <c r="X53" i="28"/>
  <c r="D59" i="28"/>
  <c r="Y53" i="28"/>
  <c r="AA53" i="28"/>
  <c r="V53" i="28"/>
  <c r="AJ53" i="28" s="1"/>
  <c r="C58" i="28"/>
  <c r="Z48" i="27"/>
  <c r="V49" i="27"/>
  <c r="AA49" i="27"/>
  <c r="R50" i="27"/>
  <c r="AE48" i="27"/>
  <c r="AF52" i="27" s="1"/>
  <c r="AG52" i="27" s="1"/>
  <c r="T51" i="27"/>
  <c r="X50" i="27"/>
  <c r="AC50" i="27" s="1"/>
  <c r="D56" i="27"/>
  <c r="C56" i="27" s="1"/>
  <c r="S49" i="27"/>
  <c r="W49" i="27" s="1"/>
  <c r="AB49" i="27" s="1"/>
  <c r="U50" i="27"/>
  <c r="Y49" i="27"/>
  <c r="AD49" i="27" s="1"/>
  <c r="C55" i="27"/>
  <c r="AH51" i="27"/>
  <c r="AI46" i="27" s="1"/>
  <c r="F57" i="26"/>
  <c r="J72" i="26" s="1"/>
  <c r="H57" i="26"/>
  <c r="L72" i="26" s="1"/>
  <c r="G57" i="26"/>
  <c r="K72" i="26" s="1"/>
  <c r="E57" i="26"/>
  <c r="I72" i="26" s="1"/>
  <c r="Y49" i="26"/>
  <c r="AD49" i="26" s="1"/>
  <c r="S49" i="26"/>
  <c r="W49" i="26" s="1"/>
  <c r="AB49" i="26" s="1"/>
  <c r="U50" i="26"/>
  <c r="AE48" i="26"/>
  <c r="R50" i="26"/>
  <c r="AA49" i="26"/>
  <c r="V49" i="26"/>
  <c r="X50" i="26"/>
  <c r="AC50" i="26" s="1"/>
  <c r="T51" i="26"/>
  <c r="D58" i="26"/>
  <c r="H57" i="24"/>
  <c r="L62" i="24" s="1"/>
  <c r="G57" i="24"/>
  <c r="K62" i="24" s="1"/>
  <c r="F57" i="24"/>
  <c r="J62" i="24" s="1"/>
  <c r="E57" i="24"/>
  <c r="I62" i="24" s="1"/>
  <c r="V50" i="24"/>
  <c r="R51" i="24"/>
  <c r="AA50" i="24"/>
  <c r="AH51" i="24"/>
  <c r="AI46" i="24" s="1"/>
  <c r="Z48" i="24"/>
  <c r="X50" i="24"/>
  <c r="AC50" i="24" s="1"/>
  <c r="T51" i="24"/>
  <c r="S49" i="24"/>
  <c r="W49" i="24" s="1"/>
  <c r="AB49" i="24" s="1"/>
  <c r="U50" i="24"/>
  <c r="Y49" i="24"/>
  <c r="AD49" i="24" s="1"/>
  <c r="D58" i="24"/>
  <c r="C58" i="24" s="1"/>
  <c r="E58" i="28" l="1"/>
  <c r="I63" i="28" s="1"/>
  <c r="F58" i="28"/>
  <c r="J63" i="28" s="1"/>
  <c r="G58" i="28"/>
  <c r="K63" i="28" s="1"/>
  <c r="H58" i="28"/>
  <c r="L63" i="28" s="1"/>
  <c r="S54" i="28"/>
  <c r="U55" i="28"/>
  <c r="AB52" i="28"/>
  <c r="AE52" i="28" s="1"/>
  <c r="AF56" i="28" s="1"/>
  <c r="AG56" i="28" s="1"/>
  <c r="AH56" i="28" s="1"/>
  <c r="AI51" i="28" s="1"/>
  <c r="Z52" i="28"/>
  <c r="W53" i="28"/>
  <c r="AK53" i="28" s="1"/>
  <c r="AC53" i="28"/>
  <c r="AL53" i="28"/>
  <c r="AD53" i="28"/>
  <c r="AM53" i="28"/>
  <c r="Y54" i="28"/>
  <c r="V54" i="28"/>
  <c r="AA54" i="28"/>
  <c r="D60" i="28"/>
  <c r="C60" i="28" s="1"/>
  <c r="C59" i="28"/>
  <c r="X54" i="28"/>
  <c r="AE49" i="24"/>
  <c r="AF53" i="24" s="1"/>
  <c r="AG53" i="24" s="1"/>
  <c r="Z49" i="24"/>
  <c r="Y50" i="27"/>
  <c r="AD50" i="27" s="1"/>
  <c r="S50" i="27"/>
  <c r="W50" i="27" s="1"/>
  <c r="AB50" i="27" s="1"/>
  <c r="U51" i="27"/>
  <c r="G56" i="27"/>
  <c r="K61" i="27" s="1"/>
  <c r="H56" i="27"/>
  <c r="L61" i="27" s="1"/>
  <c r="E56" i="27"/>
  <c r="I61" i="27" s="1"/>
  <c r="F56" i="27"/>
  <c r="J61" i="27" s="1"/>
  <c r="E55" i="27"/>
  <c r="I60" i="27" s="1"/>
  <c r="F55" i="27"/>
  <c r="J60" i="27" s="1"/>
  <c r="G55" i="27"/>
  <c r="K60" i="27" s="1"/>
  <c r="H55" i="27"/>
  <c r="L60" i="27" s="1"/>
  <c r="X51" i="27"/>
  <c r="AC51" i="27" s="1"/>
  <c r="T52" i="27"/>
  <c r="D57" i="27"/>
  <c r="C57" i="27" s="1"/>
  <c r="V50" i="27"/>
  <c r="R51" i="27"/>
  <c r="AA50" i="27"/>
  <c r="AH52" i="27"/>
  <c r="AI47" i="27" s="1"/>
  <c r="AE49" i="27"/>
  <c r="AF53" i="27" s="1"/>
  <c r="AG53" i="27" s="1"/>
  <c r="Z49" i="27"/>
  <c r="Z49" i="26"/>
  <c r="AE49" i="26"/>
  <c r="V50" i="26"/>
  <c r="R51" i="26"/>
  <c r="AA50" i="26"/>
  <c r="S50" i="26"/>
  <c r="W50" i="26" s="1"/>
  <c r="AB50" i="26" s="1"/>
  <c r="U51" i="26"/>
  <c r="Y50" i="26"/>
  <c r="AD50" i="26" s="1"/>
  <c r="D59" i="26"/>
  <c r="C59" i="26" s="1"/>
  <c r="C58" i="26"/>
  <c r="T52" i="26"/>
  <c r="X51" i="26"/>
  <c r="AC51" i="26" s="1"/>
  <c r="E58" i="24"/>
  <c r="I63" i="24" s="1"/>
  <c r="H58" i="24"/>
  <c r="L63" i="24" s="1"/>
  <c r="G58" i="24"/>
  <c r="K63" i="24" s="1"/>
  <c r="F58" i="24"/>
  <c r="J63" i="24" s="1"/>
  <c r="AH52" i="24"/>
  <c r="AI47" i="24" s="1"/>
  <c r="V51" i="24"/>
  <c r="AA51" i="24"/>
  <c r="R52" i="24"/>
  <c r="U51" i="24"/>
  <c r="S50" i="24"/>
  <c r="W50" i="24" s="1"/>
  <c r="AB50" i="24" s="1"/>
  <c r="Y50" i="24"/>
  <c r="AD50" i="24" s="1"/>
  <c r="X51" i="24"/>
  <c r="AC51" i="24" s="1"/>
  <c r="T52" i="24"/>
  <c r="D59" i="24"/>
  <c r="E59" i="28" l="1"/>
  <c r="I64" i="28" s="1"/>
  <c r="F59" i="28"/>
  <c r="J64" i="28" s="1"/>
  <c r="G59" i="28"/>
  <c r="K64" i="28" s="1"/>
  <c r="H59" i="28"/>
  <c r="L64" i="28" s="1"/>
  <c r="F60" i="28"/>
  <c r="J65" i="28" s="1"/>
  <c r="G60" i="28"/>
  <c r="K65" i="28" s="1"/>
  <c r="H60" i="28"/>
  <c r="L65" i="28" s="1"/>
  <c r="E60" i="28"/>
  <c r="I65" i="28" s="1"/>
  <c r="U56" i="28"/>
  <c r="S55" i="28"/>
  <c r="W55" i="28" s="1"/>
  <c r="AB53" i="28"/>
  <c r="AE53" i="28" s="1"/>
  <c r="AF57" i="28" s="1"/>
  <c r="AG57" i="28" s="1"/>
  <c r="AH57" i="28" s="1"/>
  <c r="AI52" i="28" s="1"/>
  <c r="W54" i="28"/>
  <c r="Z54" i="28" s="1"/>
  <c r="Z53" i="28"/>
  <c r="AC54" i="28"/>
  <c r="AL54" i="28"/>
  <c r="AJ54" i="28"/>
  <c r="AD54" i="28"/>
  <c r="AM54" i="28"/>
  <c r="Y55" i="28"/>
  <c r="X55" i="28"/>
  <c r="V55" i="28"/>
  <c r="AJ55" i="28" s="1"/>
  <c r="AA55" i="28"/>
  <c r="D61" i="28"/>
  <c r="C61" i="28" s="1"/>
  <c r="AE50" i="24"/>
  <c r="AF54" i="24" s="1"/>
  <c r="AG54" i="24" s="1"/>
  <c r="Z50" i="24"/>
  <c r="AE50" i="27"/>
  <c r="AF54" i="27" s="1"/>
  <c r="AG54" i="27" s="1"/>
  <c r="Z50" i="27"/>
  <c r="AH53" i="27"/>
  <c r="AI48" i="27" s="1"/>
  <c r="AA51" i="27"/>
  <c r="V51" i="27"/>
  <c r="R52" i="27"/>
  <c r="D58" i="27"/>
  <c r="C58" i="27" s="1"/>
  <c r="U52" i="27"/>
  <c r="S51" i="27"/>
  <c r="W51" i="27" s="1"/>
  <c r="AB51" i="27" s="1"/>
  <c r="Y51" i="27"/>
  <c r="AD51" i="27" s="1"/>
  <c r="E57" i="27"/>
  <c r="I62" i="27" s="1"/>
  <c r="F57" i="27"/>
  <c r="J62" i="27" s="1"/>
  <c r="G57" i="27"/>
  <c r="K62" i="27" s="1"/>
  <c r="H57" i="27"/>
  <c r="L62" i="27" s="1"/>
  <c r="X52" i="27"/>
  <c r="AC52" i="27" s="1"/>
  <c r="T53" i="27"/>
  <c r="S51" i="26"/>
  <c r="W51" i="26" s="1"/>
  <c r="AB51" i="26" s="1"/>
  <c r="Y51" i="26"/>
  <c r="AD51" i="26" s="1"/>
  <c r="U52" i="26"/>
  <c r="X52" i="26"/>
  <c r="AC52" i="26" s="1"/>
  <c r="T53" i="26"/>
  <c r="F59" i="26"/>
  <c r="J74" i="26" s="1"/>
  <c r="E59" i="26"/>
  <c r="I74" i="26" s="1"/>
  <c r="H59" i="26"/>
  <c r="L74" i="26" s="1"/>
  <c r="G59" i="26"/>
  <c r="K74" i="26" s="1"/>
  <c r="AE50" i="26"/>
  <c r="D60" i="26"/>
  <c r="V51" i="26"/>
  <c r="R52" i="26"/>
  <c r="AA51" i="26"/>
  <c r="F58" i="26"/>
  <c r="J73" i="26" s="1"/>
  <c r="E58" i="26"/>
  <c r="I73" i="26" s="1"/>
  <c r="H58" i="26"/>
  <c r="L73" i="26" s="1"/>
  <c r="G58" i="26"/>
  <c r="K73" i="26" s="1"/>
  <c r="Z50" i="26"/>
  <c r="AH53" i="24"/>
  <c r="AI48" i="24" s="1"/>
  <c r="D60" i="24"/>
  <c r="C60" i="24" s="1"/>
  <c r="AA52" i="24"/>
  <c r="R53" i="24"/>
  <c r="V52" i="24"/>
  <c r="T53" i="24"/>
  <c r="X52" i="24"/>
  <c r="AC52" i="24" s="1"/>
  <c r="C59" i="24"/>
  <c r="U52" i="24"/>
  <c r="S51" i="24"/>
  <c r="W51" i="24" s="1"/>
  <c r="AB51" i="24" s="1"/>
  <c r="Y51" i="24"/>
  <c r="AD51" i="24" s="1"/>
  <c r="S56" i="28" l="1"/>
  <c r="W56" i="28" s="1"/>
  <c r="U57" i="28"/>
  <c r="E61" i="28"/>
  <c r="I66" i="28" s="1"/>
  <c r="F61" i="28"/>
  <c r="J66" i="28" s="1"/>
  <c r="G61" i="28"/>
  <c r="K66" i="28" s="1"/>
  <c r="H61" i="28"/>
  <c r="L66" i="28" s="1"/>
  <c r="AB54" i="28"/>
  <c r="AE54" i="28" s="1"/>
  <c r="AF58" i="28" s="1"/>
  <c r="AG58" i="28" s="1"/>
  <c r="AH58" i="28" s="1"/>
  <c r="AI53" i="28" s="1"/>
  <c r="AK54" i="28"/>
  <c r="AC55" i="28"/>
  <c r="AL55" i="28"/>
  <c r="AD55" i="28"/>
  <c r="AM55" i="28"/>
  <c r="AB55" i="28"/>
  <c r="AK55" i="28"/>
  <c r="Z55" i="28"/>
  <c r="Y56" i="28"/>
  <c r="X56" i="28"/>
  <c r="D62" i="28"/>
  <c r="C62" i="28" s="1"/>
  <c r="AA56" i="28"/>
  <c r="V56" i="28"/>
  <c r="AJ56" i="28" s="1"/>
  <c r="AE51" i="24"/>
  <c r="AF55" i="24" s="1"/>
  <c r="AG55" i="24" s="1"/>
  <c r="E58" i="27"/>
  <c r="I63" i="27" s="1"/>
  <c r="F58" i="27"/>
  <c r="J63" i="27" s="1"/>
  <c r="G58" i="27"/>
  <c r="K63" i="27" s="1"/>
  <c r="H58" i="27"/>
  <c r="L63" i="27" s="1"/>
  <c r="Y52" i="27"/>
  <c r="AD52" i="27" s="1"/>
  <c r="S52" i="27"/>
  <c r="W52" i="27" s="1"/>
  <c r="AB52" i="27" s="1"/>
  <c r="U53" i="27"/>
  <c r="V52" i="27"/>
  <c r="AA52" i="27"/>
  <c r="R53" i="27"/>
  <c r="Z51" i="27"/>
  <c r="AE51" i="27"/>
  <c r="AF55" i="27" s="1"/>
  <c r="AG55" i="27" s="1"/>
  <c r="D59" i="27"/>
  <c r="X53" i="27"/>
  <c r="AC53" i="27" s="1"/>
  <c r="T54" i="27"/>
  <c r="AH54" i="27"/>
  <c r="AI49" i="27" s="1"/>
  <c r="D61" i="26"/>
  <c r="C61" i="26" s="1"/>
  <c r="X53" i="26"/>
  <c r="AC53" i="26" s="1"/>
  <c r="T54" i="26"/>
  <c r="C60" i="26"/>
  <c r="AE51" i="26"/>
  <c r="Y52" i="26"/>
  <c r="AD52" i="26" s="1"/>
  <c r="U53" i="26"/>
  <c r="S52" i="26"/>
  <c r="W52" i="26" s="1"/>
  <c r="AB52" i="26" s="1"/>
  <c r="Z51" i="26"/>
  <c r="R53" i="26"/>
  <c r="V52" i="26"/>
  <c r="AA52" i="26"/>
  <c r="H60" i="24"/>
  <c r="L65" i="24" s="1"/>
  <c r="G60" i="24"/>
  <c r="K65" i="24" s="1"/>
  <c r="F60" i="24"/>
  <c r="J65" i="24" s="1"/>
  <c r="E60" i="24"/>
  <c r="I65" i="24" s="1"/>
  <c r="X53" i="24"/>
  <c r="AC53" i="24" s="1"/>
  <c r="T54" i="24"/>
  <c r="D61" i="24"/>
  <c r="C61" i="24" s="1"/>
  <c r="AH54" i="24"/>
  <c r="AI49" i="24" s="1"/>
  <c r="Z51" i="24"/>
  <c r="AA53" i="24"/>
  <c r="R54" i="24"/>
  <c r="V53" i="24"/>
  <c r="Y52" i="24"/>
  <c r="AD52" i="24" s="1"/>
  <c r="U53" i="24"/>
  <c r="S52" i="24"/>
  <c r="W52" i="24" s="1"/>
  <c r="AB52" i="24" s="1"/>
  <c r="H59" i="24"/>
  <c r="L64" i="24" s="1"/>
  <c r="G59" i="24"/>
  <c r="K64" i="24" s="1"/>
  <c r="F59" i="24"/>
  <c r="J64" i="24" s="1"/>
  <c r="E59" i="24"/>
  <c r="I64" i="24" s="1"/>
  <c r="AE52" i="24" l="1"/>
  <c r="AF56" i="24" s="1"/>
  <c r="S57" i="28"/>
  <c r="W57" i="28" s="1"/>
  <c r="E62" i="28"/>
  <c r="I67" i="28" s="1"/>
  <c r="F62" i="28"/>
  <c r="J67" i="28" s="1"/>
  <c r="G62" i="28"/>
  <c r="K67" i="28" s="1"/>
  <c r="H62" i="28"/>
  <c r="L67" i="28" s="1"/>
  <c r="AE55" i="28"/>
  <c r="AF59" i="28" s="1"/>
  <c r="AG59" i="28" s="1"/>
  <c r="AH59" i="28" s="1"/>
  <c r="AI54" i="28" s="1"/>
  <c r="AB56" i="28"/>
  <c r="AK56" i="28"/>
  <c r="AC56" i="28"/>
  <c r="AL56" i="28"/>
  <c r="AD56" i="28"/>
  <c r="AM56" i="28"/>
  <c r="Z56" i="28"/>
  <c r="X57" i="28"/>
  <c r="O58" i="28"/>
  <c r="T58" i="28" s="1"/>
  <c r="M58" i="28"/>
  <c r="R58" i="28" s="1"/>
  <c r="AA57" i="28"/>
  <c r="V57" i="28"/>
  <c r="AJ57" i="28" s="1"/>
  <c r="P58" i="28"/>
  <c r="U58" i="28" s="1"/>
  <c r="Y57" i="28"/>
  <c r="D63" i="28"/>
  <c r="C63" i="28" s="1"/>
  <c r="AH55" i="27"/>
  <c r="AI50" i="27" s="1"/>
  <c r="AA53" i="27"/>
  <c r="R54" i="27"/>
  <c r="V53" i="27"/>
  <c r="Z52" i="27"/>
  <c r="O55" i="27"/>
  <c r="T55" i="27" s="1"/>
  <c r="X54" i="27"/>
  <c r="AC54" i="27" s="1"/>
  <c r="S53" i="27"/>
  <c r="W53" i="27" s="1"/>
  <c r="AB53" i="27" s="1"/>
  <c r="U54" i="27"/>
  <c r="Y53" i="27"/>
  <c r="AD53" i="27" s="1"/>
  <c r="AE52" i="27"/>
  <c r="AF56" i="27" s="1"/>
  <c r="AG56" i="27" s="1"/>
  <c r="D60" i="27"/>
  <c r="C59" i="27"/>
  <c r="V53" i="26"/>
  <c r="R54" i="26"/>
  <c r="AA53" i="26"/>
  <c r="Y53" i="26"/>
  <c r="AD53" i="26" s="1"/>
  <c r="U54" i="26"/>
  <c r="S53" i="26"/>
  <c r="W53" i="26" s="1"/>
  <c r="AB53" i="26" s="1"/>
  <c r="H60" i="26"/>
  <c r="L75" i="26" s="1"/>
  <c r="E60" i="26"/>
  <c r="I75" i="26" s="1"/>
  <c r="G60" i="26"/>
  <c r="K75" i="26" s="1"/>
  <c r="F60" i="26"/>
  <c r="J75" i="26" s="1"/>
  <c r="X54" i="26"/>
  <c r="AC54" i="26" s="1"/>
  <c r="O55" i="26"/>
  <c r="T55" i="26" s="1"/>
  <c r="Z52" i="26"/>
  <c r="D62" i="26"/>
  <c r="AE52" i="26"/>
  <c r="G61" i="26"/>
  <c r="K76" i="26" s="1"/>
  <c r="E61" i="26"/>
  <c r="I76" i="26" s="1"/>
  <c r="F61" i="26"/>
  <c r="J76" i="26" s="1"/>
  <c r="H61" i="26"/>
  <c r="L76" i="26" s="1"/>
  <c r="H61" i="24"/>
  <c r="L66" i="24" s="1"/>
  <c r="G61" i="24"/>
  <c r="K66" i="24" s="1"/>
  <c r="F61" i="24"/>
  <c r="J66" i="24" s="1"/>
  <c r="E61" i="24"/>
  <c r="I66" i="24" s="1"/>
  <c r="AH55" i="24"/>
  <c r="AI50" i="24" s="1"/>
  <c r="AG56" i="24"/>
  <c r="Z52" i="24"/>
  <c r="S53" i="24"/>
  <c r="W53" i="24" s="1"/>
  <c r="AB53" i="24" s="1"/>
  <c r="Y53" i="24"/>
  <c r="AD53" i="24" s="1"/>
  <c r="U54" i="24"/>
  <c r="O55" i="24"/>
  <c r="T55" i="24" s="1"/>
  <c r="X54" i="24"/>
  <c r="AC54" i="24" s="1"/>
  <c r="AA54" i="24"/>
  <c r="V54" i="24"/>
  <c r="M55" i="24"/>
  <c r="R55" i="24" s="1"/>
  <c r="D62" i="24"/>
  <c r="C62" i="24" s="1"/>
  <c r="F63" i="28" l="1"/>
  <c r="J68" i="28" s="1"/>
  <c r="G63" i="28"/>
  <c r="K68" i="28" s="1"/>
  <c r="H63" i="28"/>
  <c r="E63" i="28"/>
  <c r="I68" i="28" s="1"/>
  <c r="AE56" i="28"/>
  <c r="AF60" i="28" s="1"/>
  <c r="AG60" i="28" s="1"/>
  <c r="AH60" i="28" s="1"/>
  <c r="AI55" i="28" s="1"/>
  <c r="AC57" i="28"/>
  <c r="AL57" i="28"/>
  <c r="AB57" i="28"/>
  <c r="AK57" i="28"/>
  <c r="AD57" i="28"/>
  <c r="AM57" i="28"/>
  <c r="AA58" i="28"/>
  <c r="V58" i="28"/>
  <c r="D64" i="28"/>
  <c r="C64" i="28" s="1"/>
  <c r="L68" i="28"/>
  <c r="Z57" i="28"/>
  <c r="C6" i="28" s="1"/>
  <c r="M70" i="28"/>
  <c r="M64" i="28"/>
  <c r="M68" i="28"/>
  <c r="M62" i="28"/>
  <c r="M65" i="28"/>
  <c r="M72" i="28"/>
  <c r="M71" i="28"/>
  <c r="M63" i="28"/>
  <c r="M69" i="28"/>
  <c r="M61" i="28"/>
  <c r="M60" i="28"/>
  <c r="M66" i="28"/>
  <c r="N58" i="28"/>
  <c r="Q58" i="28" s="1"/>
  <c r="M67" i="28"/>
  <c r="M59" i="28"/>
  <c r="R59" i="28" s="1"/>
  <c r="O71" i="28"/>
  <c r="O65" i="28"/>
  <c r="O59" i="28"/>
  <c r="T59" i="28" s="1"/>
  <c r="O69" i="28"/>
  <c r="O63" i="28"/>
  <c r="O64" i="28"/>
  <c r="O70" i="28"/>
  <c r="O62" i="28"/>
  <c r="O61" i="28"/>
  <c r="O68" i="28"/>
  <c r="O60" i="28"/>
  <c r="O67" i="28"/>
  <c r="O66" i="28"/>
  <c r="O72" i="28"/>
  <c r="P70" i="28"/>
  <c r="P64" i="28"/>
  <c r="P71" i="28"/>
  <c r="P63" i="28"/>
  <c r="P69" i="28"/>
  <c r="P62" i="28"/>
  <c r="P61" i="28"/>
  <c r="P68" i="28"/>
  <c r="P60" i="28"/>
  <c r="P67" i="28"/>
  <c r="P66" i="28"/>
  <c r="P59" i="28"/>
  <c r="U59" i="28" s="1"/>
  <c r="P72" i="28"/>
  <c r="P65" i="28"/>
  <c r="AE53" i="24"/>
  <c r="AF57" i="24" s="1"/>
  <c r="AG57" i="24" s="1"/>
  <c r="AH56" i="27"/>
  <c r="AI51" i="27" s="1"/>
  <c r="X55" i="27"/>
  <c r="AC55" i="27" s="1"/>
  <c r="S54" i="27"/>
  <c r="W54" i="27" s="1"/>
  <c r="AB54" i="27" s="1"/>
  <c r="P55" i="27"/>
  <c r="Y54" i="27"/>
  <c r="AD54" i="27" s="1"/>
  <c r="Z53" i="27"/>
  <c r="D61" i="27"/>
  <c r="C61" i="27" s="1"/>
  <c r="AA54" i="27"/>
  <c r="V54" i="27"/>
  <c r="M55" i="27"/>
  <c r="AE53" i="27"/>
  <c r="AF57" i="27" s="1"/>
  <c r="AG57" i="27" s="1"/>
  <c r="O57" i="27"/>
  <c r="O60" i="27"/>
  <c r="O59" i="27"/>
  <c r="O65" i="27"/>
  <c r="O63" i="27"/>
  <c r="O56" i="27"/>
  <c r="T56" i="27" s="1"/>
  <c r="O62" i="27"/>
  <c r="O61" i="27"/>
  <c r="O67" i="27"/>
  <c r="O58" i="27"/>
  <c r="O68" i="27"/>
  <c r="O64" i="27"/>
  <c r="O69" i="27"/>
  <c r="O66" i="27"/>
  <c r="E59" i="27"/>
  <c r="I64" i="27" s="1"/>
  <c r="F59" i="27"/>
  <c r="J64" i="27" s="1"/>
  <c r="G59" i="27"/>
  <c r="K64" i="27" s="1"/>
  <c r="H59" i="27"/>
  <c r="L64" i="27" s="1"/>
  <c r="C60" i="27"/>
  <c r="X55" i="26"/>
  <c r="AC55" i="26" s="1"/>
  <c r="P55" i="26"/>
  <c r="U55" i="26" s="1"/>
  <c r="Y54" i="26"/>
  <c r="AD54" i="26" s="1"/>
  <c r="S54" i="26"/>
  <c r="W54" i="26" s="1"/>
  <c r="AB54" i="26" s="1"/>
  <c r="AE53" i="26"/>
  <c r="V54" i="26"/>
  <c r="AA54" i="26"/>
  <c r="M55" i="26"/>
  <c r="D63" i="26"/>
  <c r="C63" i="26" s="1"/>
  <c r="C62" i="26"/>
  <c r="O69" i="26"/>
  <c r="O67" i="26"/>
  <c r="O65" i="26"/>
  <c r="O63" i="26"/>
  <c r="O61" i="26"/>
  <c r="O68" i="26"/>
  <c r="O59" i="26"/>
  <c r="O60" i="26"/>
  <c r="O62" i="26"/>
  <c r="O58" i="26"/>
  <c r="O57" i="26"/>
  <c r="O56" i="26"/>
  <c r="T56" i="26" s="1"/>
  <c r="O64" i="26"/>
  <c r="O66" i="26"/>
  <c r="Z53" i="26"/>
  <c r="F62" i="24"/>
  <c r="J67" i="24" s="1"/>
  <c r="E62" i="24"/>
  <c r="I67" i="24" s="1"/>
  <c r="H62" i="24"/>
  <c r="L67" i="24" s="1"/>
  <c r="G62" i="24"/>
  <c r="K67" i="24" s="1"/>
  <c r="X55" i="24"/>
  <c r="AC55" i="24" s="1"/>
  <c r="O67" i="24"/>
  <c r="O61" i="24"/>
  <c r="O59" i="24"/>
  <c r="O56" i="24"/>
  <c r="T56" i="24" s="1"/>
  <c r="O64" i="24"/>
  <c r="O68" i="24"/>
  <c r="O66" i="24"/>
  <c r="O63" i="24"/>
  <c r="O62" i="24"/>
  <c r="O65" i="24"/>
  <c r="O60" i="24"/>
  <c r="O69" i="24"/>
  <c r="O58" i="24"/>
  <c r="O57" i="24"/>
  <c r="P55" i="24"/>
  <c r="N55" i="24" s="1"/>
  <c r="Y54" i="24"/>
  <c r="AD54" i="24" s="1"/>
  <c r="S54" i="24"/>
  <c r="W54" i="24" s="1"/>
  <c r="AB54" i="24" s="1"/>
  <c r="AH56" i="24"/>
  <c r="AI51" i="24" s="1"/>
  <c r="AA55" i="24"/>
  <c r="V55" i="24"/>
  <c r="D63" i="24"/>
  <c r="C63" i="24" s="1"/>
  <c r="Z53" i="24"/>
  <c r="M66" i="24"/>
  <c r="M60" i="24"/>
  <c r="M67" i="24"/>
  <c r="M61" i="24"/>
  <c r="M68" i="24"/>
  <c r="M63" i="24"/>
  <c r="M62" i="24"/>
  <c r="M59" i="24"/>
  <c r="M58" i="24"/>
  <c r="M57" i="24"/>
  <c r="M65" i="24"/>
  <c r="M64" i="24"/>
  <c r="M69" i="24"/>
  <c r="M56" i="24"/>
  <c r="R56" i="24" s="1"/>
  <c r="R60" i="28" l="1"/>
  <c r="R61" i="28" s="1"/>
  <c r="R62" i="28" s="1"/>
  <c r="R63" i="28" s="1"/>
  <c r="R64" i="28" s="1"/>
  <c r="R65" i="28" s="1"/>
  <c r="R66" i="28" s="1"/>
  <c r="R67" i="28" s="1"/>
  <c r="R68" i="28" s="1"/>
  <c r="E64" i="28"/>
  <c r="I69" i="28" s="1"/>
  <c r="F64" i="28"/>
  <c r="J69" i="28" s="1"/>
  <c r="G64" i="28"/>
  <c r="K69" i="28" s="1"/>
  <c r="H64" i="28"/>
  <c r="L69" i="28" s="1"/>
  <c r="AE54" i="24"/>
  <c r="AF58" i="24" s="1"/>
  <c r="AG58" i="24" s="1"/>
  <c r="U60" i="28"/>
  <c r="T60" i="28"/>
  <c r="T61" i="28" s="1"/>
  <c r="T62" i="28" s="1"/>
  <c r="T63" i="28" s="1"/>
  <c r="T64" i="28" s="1"/>
  <c r="T65" i="28" s="1"/>
  <c r="T66" i="28" s="1"/>
  <c r="T67" i="28" s="1"/>
  <c r="T68" i="28" s="1"/>
  <c r="S58" i="28"/>
  <c r="W58" i="28" s="1"/>
  <c r="AE57" i="28"/>
  <c r="AF61" i="28" s="1"/>
  <c r="AG61" i="28" s="1"/>
  <c r="AH61" i="28" s="1"/>
  <c r="AI56" i="28" s="1"/>
  <c r="AJ58" i="28"/>
  <c r="Y58" i="28"/>
  <c r="X58" i="28"/>
  <c r="D65" i="28"/>
  <c r="C65" i="28" s="1"/>
  <c r="N69" i="28"/>
  <c r="Q69" i="28" s="1"/>
  <c r="N63" i="28"/>
  <c r="Q63" i="28" s="1"/>
  <c r="N72" i="28"/>
  <c r="Q72" i="28" s="1"/>
  <c r="N71" i="28"/>
  <c r="Q71" i="28" s="1"/>
  <c r="N64" i="28"/>
  <c r="Q64" i="28" s="1"/>
  <c r="N70" i="28"/>
  <c r="Q70" i="28" s="1"/>
  <c r="N62" i="28"/>
  <c r="Q62" i="28" s="1"/>
  <c r="N61" i="28"/>
  <c r="Q61" i="28" s="1"/>
  <c r="N68" i="28"/>
  <c r="Q68" i="28" s="1"/>
  <c r="N60" i="28"/>
  <c r="Q60" i="28" s="1"/>
  <c r="N67" i="28"/>
  <c r="Q67" i="28" s="1"/>
  <c r="N59" i="28"/>
  <c r="Q59" i="28" s="1"/>
  <c r="N65" i="28"/>
  <c r="Q65" i="28" s="1"/>
  <c r="N66" i="28"/>
  <c r="Q66" i="28" s="1"/>
  <c r="AH57" i="27"/>
  <c r="AI52" i="27" s="1"/>
  <c r="T57" i="27"/>
  <c r="X56" i="27"/>
  <c r="AC56" i="27" s="1"/>
  <c r="E60" i="27"/>
  <c r="I65" i="27" s="1"/>
  <c r="F60" i="27"/>
  <c r="J65" i="27" s="1"/>
  <c r="G60" i="27"/>
  <c r="K65" i="27" s="1"/>
  <c r="H60" i="27"/>
  <c r="L65" i="27" s="1"/>
  <c r="D62" i="27"/>
  <c r="C62" i="27" s="1"/>
  <c r="E61" i="27"/>
  <c r="I66" i="27" s="1"/>
  <c r="F61" i="27"/>
  <c r="J66" i="27" s="1"/>
  <c r="G61" i="27"/>
  <c r="K66" i="27" s="1"/>
  <c r="H61" i="27"/>
  <c r="L66" i="27" s="1"/>
  <c r="P60" i="27"/>
  <c r="P59" i="27"/>
  <c r="P67" i="27"/>
  <c r="P64" i="27"/>
  <c r="P66" i="27"/>
  <c r="P63" i="27"/>
  <c r="P56" i="27"/>
  <c r="P57" i="27"/>
  <c r="P65" i="27"/>
  <c r="P58" i="27"/>
  <c r="P61" i="27"/>
  <c r="P68" i="27"/>
  <c r="P62" i="27"/>
  <c r="P69" i="27"/>
  <c r="U55" i="27"/>
  <c r="M56" i="27"/>
  <c r="M59" i="27"/>
  <c r="M65" i="27"/>
  <c r="M58" i="27"/>
  <c r="M64" i="27"/>
  <c r="M63" i="27"/>
  <c r="M62" i="27"/>
  <c r="M61" i="27"/>
  <c r="M57" i="27"/>
  <c r="M67" i="27"/>
  <c r="M69" i="27"/>
  <c r="M66" i="27"/>
  <c r="M68" i="27"/>
  <c r="N55" i="27"/>
  <c r="Q55" i="27" s="1"/>
  <c r="M60" i="27"/>
  <c r="Z54" i="27"/>
  <c r="R55" i="27"/>
  <c r="AE54" i="27"/>
  <c r="AF58" i="27" s="1"/>
  <c r="AG58" i="27" s="1"/>
  <c r="AE54" i="26"/>
  <c r="X56" i="26"/>
  <c r="AC56" i="26" s="1"/>
  <c r="T57" i="26"/>
  <c r="H63" i="26"/>
  <c r="L78" i="26" s="1"/>
  <c r="G63" i="26"/>
  <c r="K78" i="26" s="1"/>
  <c r="F63" i="26"/>
  <c r="J78" i="26" s="1"/>
  <c r="E63" i="26"/>
  <c r="I78" i="26" s="1"/>
  <c r="M60" i="26"/>
  <c r="M69" i="26"/>
  <c r="M67" i="26"/>
  <c r="M68" i="26"/>
  <c r="M59" i="26"/>
  <c r="M61" i="26"/>
  <c r="M62" i="26"/>
  <c r="M58" i="26"/>
  <c r="M57" i="26"/>
  <c r="M63" i="26"/>
  <c r="M56" i="26"/>
  <c r="M65" i="26"/>
  <c r="M64" i="26"/>
  <c r="M66" i="26"/>
  <c r="N55" i="26"/>
  <c r="Z54" i="26"/>
  <c r="I6" i="26" s="1"/>
  <c r="J6" i="26" s="1"/>
  <c r="R55" i="26"/>
  <c r="Y55" i="26"/>
  <c r="AD55" i="26" s="1"/>
  <c r="P66" i="26"/>
  <c r="P69" i="26"/>
  <c r="P62" i="26"/>
  <c r="P59" i="26"/>
  <c r="P57" i="26"/>
  <c r="P60" i="26"/>
  <c r="P61" i="26"/>
  <c r="P58" i="26"/>
  <c r="P56" i="26"/>
  <c r="U56" i="26" s="1"/>
  <c r="P64" i="26"/>
  <c r="P63" i="26"/>
  <c r="P65" i="26"/>
  <c r="P68" i="26"/>
  <c r="P67" i="26"/>
  <c r="E62" i="26"/>
  <c r="I77" i="26" s="1"/>
  <c r="G62" i="26"/>
  <c r="K77" i="26" s="1"/>
  <c r="F62" i="26"/>
  <c r="J77" i="26" s="1"/>
  <c r="H62" i="26"/>
  <c r="L77" i="26" s="1"/>
  <c r="D64" i="26"/>
  <c r="C64" i="26" s="1"/>
  <c r="N66" i="24"/>
  <c r="N60" i="24"/>
  <c r="N59" i="24"/>
  <c r="N56" i="24"/>
  <c r="N69" i="24"/>
  <c r="N64" i="24"/>
  <c r="N65" i="24"/>
  <c r="N61" i="24"/>
  <c r="N67" i="24"/>
  <c r="N63" i="24"/>
  <c r="N62" i="24"/>
  <c r="N68" i="24"/>
  <c r="N58" i="24"/>
  <c r="N57" i="24"/>
  <c r="Q55" i="24"/>
  <c r="T57" i="24"/>
  <c r="X56" i="24"/>
  <c r="AC56" i="24" s="1"/>
  <c r="H63" i="24"/>
  <c r="L68" i="24" s="1"/>
  <c r="G63" i="24"/>
  <c r="K68" i="24" s="1"/>
  <c r="F63" i="24"/>
  <c r="J68" i="24" s="1"/>
  <c r="E63" i="24"/>
  <c r="I68" i="24" s="1"/>
  <c r="U55" i="24"/>
  <c r="V56" i="24"/>
  <c r="AA56" i="24"/>
  <c r="R57" i="24"/>
  <c r="Z54" i="24"/>
  <c r="P67" i="24"/>
  <c r="P61" i="24"/>
  <c r="P64" i="24"/>
  <c r="P69" i="24"/>
  <c r="P65" i="24"/>
  <c r="P60" i="24"/>
  <c r="P66" i="24"/>
  <c r="P63" i="24"/>
  <c r="P62" i="24"/>
  <c r="P68" i="24"/>
  <c r="P59" i="24"/>
  <c r="P58" i="24"/>
  <c r="P57" i="24"/>
  <c r="P56" i="24"/>
  <c r="AH57" i="24"/>
  <c r="AI52" i="24" s="1"/>
  <c r="D64" i="24"/>
  <c r="C64" i="24" s="1"/>
  <c r="Q62" i="24" l="1"/>
  <c r="Q69" i="24"/>
  <c r="Q58" i="24"/>
  <c r="T69" i="28"/>
  <c r="Q57" i="24"/>
  <c r="Q59" i="24"/>
  <c r="Q63" i="24"/>
  <c r="E65" i="28"/>
  <c r="I70" i="28" s="1"/>
  <c r="F65" i="28"/>
  <c r="J70" i="28" s="1"/>
  <c r="G65" i="28"/>
  <c r="K70" i="28" s="1"/>
  <c r="H65" i="28"/>
  <c r="L70" i="28" s="1"/>
  <c r="R69" i="28"/>
  <c r="U61" i="28"/>
  <c r="S59" i="28"/>
  <c r="S60" i="28" s="1"/>
  <c r="AC58" i="28"/>
  <c r="AL58" i="28"/>
  <c r="AB58" i="28"/>
  <c r="AK58" i="28"/>
  <c r="AD58" i="28"/>
  <c r="AM58" i="28"/>
  <c r="AA59" i="28"/>
  <c r="V59" i="28"/>
  <c r="D66" i="28"/>
  <c r="C66" i="28" s="1"/>
  <c r="Z58" i="28"/>
  <c r="X59" i="28"/>
  <c r="Y59" i="28"/>
  <c r="Q56" i="24"/>
  <c r="Q64" i="24"/>
  <c r="Q67" i="24"/>
  <c r="Q61" i="24"/>
  <c r="G62" i="27"/>
  <c r="K67" i="27" s="1"/>
  <c r="H62" i="27"/>
  <c r="L67" i="27" s="1"/>
  <c r="E62" i="27"/>
  <c r="I67" i="27" s="1"/>
  <c r="F62" i="27"/>
  <c r="J67" i="27" s="1"/>
  <c r="AH58" i="27"/>
  <c r="AI53" i="27" s="1"/>
  <c r="AA55" i="27"/>
  <c r="V55" i="27"/>
  <c r="R56" i="27"/>
  <c r="I6" i="27"/>
  <c r="D63" i="27"/>
  <c r="S55" i="27"/>
  <c r="W55" i="27" s="1"/>
  <c r="AB55" i="27" s="1"/>
  <c r="U56" i="27"/>
  <c r="Y55" i="27"/>
  <c r="AD55" i="27" s="1"/>
  <c r="N59" i="27"/>
  <c r="Q59" i="27" s="1"/>
  <c r="N58" i="27"/>
  <c r="Q58" i="27" s="1"/>
  <c r="N64" i="27"/>
  <c r="Q64" i="27" s="1"/>
  <c r="N57" i="27"/>
  <c r="Q57" i="27" s="1"/>
  <c r="N66" i="27"/>
  <c r="Q66" i="27" s="1"/>
  <c r="N63" i="27"/>
  <c r="Q63" i="27" s="1"/>
  <c r="N56" i="27"/>
  <c r="Q56" i="27" s="1"/>
  <c r="N62" i="27"/>
  <c r="Q62" i="27" s="1"/>
  <c r="N65" i="27"/>
  <c r="Q65" i="27" s="1"/>
  <c r="N68" i="27"/>
  <c r="Q68" i="27" s="1"/>
  <c r="N61" i="27"/>
  <c r="Q61" i="27" s="1"/>
  <c r="N69" i="27"/>
  <c r="Q69" i="27" s="1"/>
  <c r="N60" i="27"/>
  <c r="Q60" i="27" s="1"/>
  <c r="N67" i="27"/>
  <c r="Q67" i="27" s="1"/>
  <c r="X57" i="27"/>
  <c r="AC57" i="27" s="1"/>
  <c r="T58" i="27"/>
  <c r="U57" i="26"/>
  <c r="Y56" i="26"/>
  <c r="AD56" i="26" s="1"/>
  <c r="D65" i="26"/>
  <c r="N63" i="26"/>
  <c r="Q63" i="26" s="1"/>
  <c r="N66" i="26"/>
  <c r="Q66" i="26" s="1"/>
  <c r="N69" i="26"/>
  <c r="Q69" i="26" s="1"/>
  <c r="N67" i="26"/>
  <c r="Q67" i="26" s="1"/>
  <c r="N68" i="26"/>
  <c r="Q68" i="26" s="1"/>
  <c r="N59" i="26"/>
  <c r="Q59" i="26" s="1"/>
  <c r="N61" i="26"/>
  <c r="Q61" i="26" s="1"/>
  <c r="N60" i="26"/>
  <c r="Q60" i="26" s="1"/>
  <c r="N62" i="26"/>
  <c r="Q62" i="26" s="1"/>
  <c r="N58" i="26"/>
  <c r="Q58" i="26" s="1"/>
  <c r="N57" i="26"/>
  <c r="Q57" i="26" s="1"/>
  <c r="N56" i="26"/>
  <c r="Q56" i="26" s="1"/>
  <c r="N65" i="26"/>
  <c r="Q65" i="26" s="1"/>
  <c r="N64" i="26"/>
  <c r="Q64" i="26" s="1"/>
  <c r="H64" i="26"/>
  <c r="L79" i="26" s="1"/>
  <c r="G64" i="26"/>
  <c r="K79" i="26" s="1"/>
  <c r="F64" i="26"/>
  <c r="J79" i="26" s="1"/>
  <c r="E64" i="26"/>
  <c r="I79" i="26" s="1"/>
  <c r="V55" i="26"/>
  <c r="R56" i="26"/>
  <c r="AA55" i="26"/>
  <c r="S55" i="26"/>
  <c r="W55" i="26" s="1"/>
  <c r="AB55" i="26" s="1"/>
  <c r="T58" i="26"/>
  <c r="X57" i="26"/>
  <c r="AC57" i="26" s="1"/>
  <c r="Q55" i="26"/>
  <c r="Q65" i="24"/>
  <c r="Q68" i="24"/>
  <c r="Q66" i="24"/>
  <c r="Q60" i="24"/>
  <c r="G64" i="24"/>
  <c r="K69" i="24" s="1"/>
  <c r="F64" i="24"/>
  <c r="J69" i="24" s="1"/>
  <c r="E64" i="24"/>
  <c r="I69" i="24" s="1"/>
  <c r="H64" i="24"/>
  <c r="L69" i="24" s="1"/>
  <c r="R58" i="24"/>
  <c r="V57" i="24"/>
  <c r="AA57" i="24"/>
  <c r="D65" i="24"/>
  <c r="C65" i="24" s="1"/>
  <c r="X57" i="24"/>
  <c r="AC57" i="24" s="1"/>
  <c r="T58" i="24"/>
  <c r="U56" i="24"/>
  <c r="Y55" i="24"/>
  <c r="AD55" i="24" s="1"/>
  <c r="S55" i="24"/>
  <c r="W55" i="24" s="1"/>
  <c r="AH58" i="24"/>
  <c r="AI53" i="24" s="1"/>
  <c r="I6" i="24"/>
  <c r="W59" i="28" l="1"/>
  <c r="Z59" i="28" s="1"/>
  <c r="T70" i="28"/>
  <c r="R70" i="28"/>
  <c r="F66" i="28"/>
  <c r="J71" i="28" s="1"/>
  <c r="G66" i="28"/>
  <c r="K71" i="28" s="1"/>
  <c r="H66" i="28"/>
  <c r="L71" i="28" s="1"/>
  <c r="E66" i="28"/>
  <c r="I71" i="28" s="1"/>
  <c r="U62" i="28"/>
  <c r="S61" i="28"/>
  <c r="AD59" i="28"/>
  <c r="AM59" i="28"/>
  <c r="AJ59" i="28"/>
  <c r="AC59" i="28"/>
  <c r="AL59" i="28"/>
  <c r="AE58" i="28"/>
  <c r="AF62" i="28" s="1"/>
  <c r="AG62" i="28" s="1"/>
  <c r="AH62" i="28" s="1"/>
  <c r="AI57" i="28" s="1"/>
  <c r="D6" i="28" s="1"/>
  <c r="D67" i="28"/>
  <c r="C67" i="28" s="1"/>
  <c r="V60" i="28"/>
  <c r="AJ60" i="28" s="1"/>
  <c r="AA60" i="28"/>
  <c r="Y60" i="28"/>
  <c r="W60" i="28"/>
  <c r="X60" i="28"/>
  <c r="Y56" i="27"/>
  <c r="AD56" i="27" s="1"/>
  <c r="S56" i="27"/>
  <c r="W56" i="27" s="1"/>
  <c r="AB56" i="27" s="1"/>
  <c r="U57" i="27"/>
  <c r="V56" i="27"/>
  <c r="AA56" i="27"/>
  <c r="R57" i="27"/>
  <c r="Z55" i="27"/>
  <c r="AE55" i="27"/>
  <c r="AF59" i="27" s="1"/>
  <c r="AG59" i="27" s="1"/>
  <c r="D64" i="27"/>
  <c r="C63" i="27"/>
  <c r="X58" i="27"/>
  <c r="AC58" i="27" s="1"/>
  <c r="T59" i="27"/>
  <c r="AE55" i="26"/>
  <c r="Z55" i="26"/>
  <c r="D66" i="26"/>
  <c r="R57" i="26"/>
  <c r="V56" i="26"/>
  <c r="AA56" i="26"/>
  <c r="C65" i="26"/>
  <c r="X58" i="26"/>
  <c r="AC58" i="26" s="1"/>
  <c r="T59" i="26"/>
  <c r="S56" i="26"/>
  <c r="W56" i="26" s="1"/>
  <c r="AB56" i="26" s="1"/>
  <c r="U58" i="26"/>
  <c r="Y57" i="26"/>
  <c r="AD57" i="26" s="1"/>
  <c r="G65" i="24"/>
  <c r="K70" i="24" s="1"/>
  <c r="F65" i="24"/>
  <c r="J70" i="24" s="1"/>
  <c r="E65" i="24"/>
  <c r="I70" i="24" s="1"/>
  <c r="H65" i="24"/>
  <c r="L70" i="24" s="1"/>
  <c r="V58" i="24"/>
  <c r="AA58" i="24"/>
  <c r="R59" i="24"/>
  <c r="AB55" i="24"/>
  <c r="AE55" i="24" s="1"/>
  <c r="AF59" i="24" s="1"/>
  <c r="AG59" i="24" s="1"/>
  <c r="Z55" i="24"/>
  <c r="D66" i="24"/>
  <c r="U57" i="24"/>
  <c r="Y56" i="24"/>
  <c r="AD56" i="24" s="1"/>
  <c r="S56" i="24"/>
  <c r="W56" i="24" s="1"/>
  <c r="X58" i="24"/>
  <c r="AC58" i="24" s="1"/>
  <c r="T59" i="24"/>
  <c r="T71" i="28" l="1"/>
  <c r="AB59" i="28"/>
  <c r="AE59" i="28" s="1"/>
  <c r="AF63" i="28" s="1"/>
  <c r="AG63" i="28" s="1"/>
  <c r="AH63" i="28" s="1"/>
  <c r="AI58" i="28" s="1"/>
  <c r="AK59" i="28"/>
  <c r="E67" i="28"/>
  <c r="I72" i="28" s="1"/>
  <c r="F67" i="28"/>
  <c r="J72" i="28" s="1"/>
  <c r="G67" i="28"/>
  <c r="K72" i="28" s="1"/>
  <c r="H67" i="28"/>
  <c r="L72" i="28" s="1"/>
  <c r="R71" i="28"/>
  <c r="S62" i="28"/>
  <c r="U63" i="28"/>
  <c r="AC60" i="28"/>
  <c r="AL60" i="28"/>
  <c r="AD60" i="28"/>
  <c r="AM60" i="28"/>
  <c r="AB60" i="28"/>
  <c r="AK60" i="28"/>
  <c r="Z60" i="28"/>
  <c r="V61" i="28"/>
  <c r="AA61" i="28"/>
  <c r="D68" i="28"/>
  <c r="C68" i="28" s="1"/>
  <c r="X61" i="28"/>
  <c r="W61" i="28"/>
  <c r="Y61" i="28"/>
  <c r="D65" i="27"/>
  <c r="C64" i="27"/>
  <c r="AA57" i="27"/>
  <c r="V57" i="27"/>
  <c r="R58" i="27"/>
  <c r="G63" i="27"/>
  <c r="K68" i="27" s="1"/>
  <c r="F63" i="27"/>
  <c r="J68" i="27" s="1"/>
  <c r="E63" i="27"/>
  <c r="I68" i="27" s="1"/>
  <c r="H63" i="27"/>
  <c r="L68" i="27" s="1"/>
  <c r="AE56" i="27"/>
  <c r="AF60" i="27" s="1"/>
  <c r="AG60" i="27" s="1"/>
  <c r="Z56" i="27"/>
  <c r="AH59" i="27"/>
  <c r="AI54" i="27" s="1"/>
  <c r="J6" i="27" s="1"/>
  <c r="U58" i="27"/>
  <c r="S57" i="27"/>
  <c r="W57" i="27" s="1"/>
  <c r="AB57" i="27" s="1"/>
  <c r="Y57" i="27"/>
  <c r="AD57" i="27" s="1"/>
  <c r="X59" i="27"/>
  <c r="AC59" i="27" s="1"/>
  <c r="T60" i="27"/>
  <c r="S57" i="26"/>
  <c r="W57" i="26" s="1"/>
  <c r="AB57" i="26" s="1"/>
  <c r="T60" i="26"/>
  <c r="X59" i="26"/>
  <c r="AC59" i="26" s="1"/>
  <c r="G65" i="26"/>
  <c r="K80" i="26" s="1"/>
  <c r="E65" i="26"/>
  <c r="I80" i="26" s="1"/>
  <c r="H65" i="26"/>
  <c r="L80" i="26" s="1"/>
  <c r="F65" i="26"/>
  <c r="J80" i="26" s="1"/>
  <c r="AE56" i="26"/>
  <c r="Z56" i="26"/>
  <c r="V57" i="26"/>
  <c r="R58" i="26"/>
  <c r="AA57" i="26"/>
  <c r="Y58" i="26"/>
  <c r="AD58" i="26" s="1"/>
  <c r="U59" i="26"/>
  <c r="D67" i="26"/>
  <c r="C66" i="26"/>
  <c r="AH59" i="24"/>
  <c r="AI54" i="24" s="1"/>
  <c r="J6" i="24" s="1"/>
  <c r="AB56" i="24"/>
  <c r="AE56" i="24" s="1"/>
  <c r="AF60" i="24" s="1"/>
  <c r="AG60" i="24" s="1"/>
  <c r="Z56" i="24"/>
  <c r="D67" i="24"/>
  <c r="C67" i="24" s="1"/>
  <c r="X59" i="24"/>
  <c r="AC59" i="24" s="1"/>
  <c r="T60" i="24"/>
  <c r="U58" i="24"/>
  <c r="S57" i="24"/>
  <c r="W57" i="24" s="1"/>
  <c r="Y57" i="24"/>
  <c r="AD57" i="24" s="1"/>
  <c r="V59" i="24"/>
  <c r="R60" i="24"/>
  <c r="AA59" i="24"/>
  <c r="C66" i="24"/>
  <c r="T72" i="28" l="1"/>
  <c r="E68" i="28"/>
  <c r="I73" i="28" s="1"/>
  <c r="F68" i="28"/>
  <c r="J73" i="28" s="1"/>
  <c r="H68" i="28"/>
  <c r="L73" i="28" s="1"/>
  <c r="G68" i="28"/>
  <c r="K73" i="28" s="1"/>
  <c r="R72" i="28"/>
  <c r="S58" i="26"/>
  <c r="W58" i="26" s="1"/>
  <c r="AB58" i="26" s="1"/>
  <c r="Z57" i="26"/>
  <c r="S63" i="28"/>
  <c r="U64" i="28"/>
  <c r="AE60" i="28"/>
  <c r="AF64" i="28" s="1"/>
  <c r="AG64" i="28" s="1"/>
  <c r="AH64" i="28" s="1"/>
  <c r="AI59" i="28" s="1"/>
  <c r="AJ61" i="28"/>
  <c r="AD61" i="28"/>
  <c r="AM61" i="28"/>
  <c r="AB61" i="28"/>
  <c r="AK61" i="28"/>
  <c r="AC61" i="28"/>
  <c r="AL61" i="28"/>
  <c r="X62" i="28"/>
  <c r="D69" i="28"/>
  <c r="AA62" i="28"/>
  <c r="V62" i="28"/>
  <c r="Z61" i="28"/>
  <c r="Y62" i="28"/>
  <c r="W62" i="28"/>
  <c r="AH60" i="27"/>
  <c r="AI55" i="27" s="1"/>
  <c r="V58" i="27"/>
  <c r="AA58" i="27"/>
  <c r="R59" i="27"/>
  <c r="Z57" i="27"/>
  <c r="T61" i="27"/>
  <c r="X60" i="27"/>
  <c r="AC60" i="27" s="1"/>
  <c r="AE57" i="27"/>
  <c r="AF61" i="27" s="1"/>
  <c r="AG61" i="27" s="1"/>
  <c r="Y58" i="27"/>
  <c r="AD58" i="27" s="1"/>
  <c r="U59" i="27"/>
  <c r="S58" i="27"/>
  <c r="W58" i="27" s="1"/>
  <c r="AB58" i="27" s="1"/>
  <c r="H64" i="27"/>
  <c r="L69" i="27" s="1"/>
  <c r="G64" i="27"/>
  <c r="K69" i="27" s="1"/>
  <c r="E64" i="27"/>
  <c r="I69" i="27" s="1"/>
  <c r="F64" i="27"/>
  <c r="J69" i="27" s="1"/>
  <c r="D66" i="27"/>
  <c r="C66" i="27" s="1"/>
  <c r="C65" i="27"/>
  <c r="AE57" i="26"/>
  <c r="R59" i="26"/>
  <c r="V58" i="26"/>
  <c r="AA58" i="26"/>
  <c r="H66" i="26"/>
  <c r="L81" i="26" s="1"/>
  <c r="G66" i="26"/>
  <c r="K81" i="26" s="1"/>
  <c r="F66" i="26"/>
  <c r="J81" i="26" s="1"/>
  <c r="E66" i="26"/>
  <c r="I81" i="26" s="1"/>
  <c r="D68" i="26"/>
  <c r="C68" i="26" s="1"/>
  <c r="C67" i="26"/>
  <c r="U60" i="26"/>
  <c r="Y59" i="26"/>
  <c r="AD59" i="26" s="1"/>
  <c r="T61" i="26"/>
  <c r="X60" i="26"/>
  <c r="AC60" i="26" s="1"/>
  <c r="AH60" i="24"/>
  <c r="AI55" i="24" s="1"/>
  <c r="X60" i="24"/>
  <c r="AC60" i="24" s="1"/>
  <c r="T61" i="24"/>
  <c r="D68" i="24"/>
  <c r="C68" i="24" s="1"/>
  <c r="H67" i="24"/>
  <c r="L72" i="24" s="1"/>
  <c r="G67" i="24"/>
  <c r="K72" i="24" s="1"/>
  <c r="F67" i="24"/>
  <c r="J72" i="24" s="1"/>
  <c r="E67" i="24"/>
  <c r="I72" i="24" s="1"/>
  <c r="R61" i="24"/>
  <c r="V60" i="24"/>
  <c r="AA60" i="24"/>
  <c r="E66" i="24"/>
  <c r="I71" i="24" s="1"/>
  <c r="H66" i="24"/>
  <c r="L71" i="24" s="1"/>
  <c r="G66" i="24"/>
  <c r="K71" i="24" s="1"/>
  <c r="F66" i="24"/>
  <c r="J71" i="24" s="1"/>
  <c r="AB57" i="24"/>
  <c r="AE57" i="24" s="1"/>
  <c r="AF61" i="24" s="1"/>
  <c r="AG61" i="24" s="1"/>
  <c r="Z57" i="24"/>
  <c r="S58" i="24"/>
  <c r="W58" i="24" s="1"/>
  <c r="Y58" i="24"/>
  <c r="AD58" i="24" s="1"/>
  <c r="U59" i="24"/>
  <c r="Z58" i="26" l="1"/>
  <c r="AE58" i="26"/>
  <c r="S59" i="26"/>
  <c r="W59" i="26" s="1"/>
  <c r="AB59" i="26" s="1"/>
  <c r="U65" i="28"/>
  <c r="S64" i="28"/>
  <c r="AE61" i="28"/>
  <c r="AF65" i="28" s="1"/>
  <c r="AG65" i="28" s="1"/>
  <c r="AH65" i="28" s="1"/>
  <c r="AI60" i="28" s="1"/>
  <c r="AB62" i="28"/>
  <c r="AK62" i="28"/>
  <c r="AD62" i="28"/>
  <c r="AM62" i="28"/>
  <c r="Z62" i="28"/>
  <c r="AJ62" i="28"/>
  <c r="AC62" i="28"/>
  <c r="AL62" i="28"/>
  <c r="AA63" i="28"/>
  <c r="V63" i="28"/>
  <c r="D70" i="28"/>
  <c r="C70" i="28" s="1"/>
  <c r="C69" i="28"/>
  <c r="X63" i="28"/>
  <c r="Y63" i="28"/>
  <c r="W63" i="28"/>
  <c r="AH61" i="27"/>
  <c r="AI56" i="27" s="1"/>
  <c r="G65" i="27"/>
  <c r="K70" i="27" s="1"/>
  <c r="F65" i="27"/>
  <c r="J70" i="27" s="1"/>
  <c r="E65" i="27"/>
  <c r="I70" i="27" s="1"/>
  <c r="H65" i="27"/>
  <c r="L70" i="27" s="1"/>
  <c r="T62" i="27"/>
  <c r="X61" i="27"/>
  <c r="AC61" i="27" s="1"/>
  <c r="E66" i="27"/>
  <c r="I71" i="27" s="1"/>
  <c r="F66" i="27"/>
  <c r="J71" i="27" s="1"/>
  <c r="G66" i="27"/>
  <c r="K71" i="27" s="1"/>
  <c r="H66" i="27"/>
  <c r="L71" i="27" s="1"/>
  <c r="D67" i="27"/>
  <c r="C67" i="27" s="1"/>
  <c r="Z58" i="27"/>
  <c r="AA59" i="27"/>
  <c r="R60" i="27"/>
  <c r="V59" i="27"/>
  <c r="AE58" i="27"/>
  <c r="AF62" i="27" s="1"/>
  <c r="AG62" i="27" s="1"/>
  <c r="Y59" i="27"/>
  <c r="AD59" i="27" s="1"/>
  <c r="S59" i="27"/>
  <c r="W59" i="27" s="1"/>
  <c r="AB59" i="27" s="1"/>
  <c r="U60" i="27"/>
  <c r="H67" i="26"/>
  <c r="L82" i="26" s="1"/>
  <c r="G67" i="26"/>
  <c r="K82" i="26" s="1"/>
  <c r="F67" i="26"/>
  <c r="J82" i="26" s="1"/>
  <c r="E67" i="26"/>
  <c r="I82" i="26" s="1"/>
  <c r="D69" i="26"/>
  <c r="C69" i="26" s="1"/>
  <c r="U61" i="26"/>
  <c r="Y60" i="26"/>
  <c r="AD60" i="26" s="1"/>
  <c r="H68" i="26"/>
  <c r="L83" i="26" s="1"/>
  <c r="F68" i="26"/>
  <c r="J83" i="26" s="1"/>
  <c r="G68" i="26"/>
  <c r="K83" i="26" s="1"/>
  <c r="E68" i="26"/>
  <c r="I83" i="26" s="1"/>
  <c r="T62" i="26"/>
  <c r="X61" i="26"/>
  <c r="AC61" i="26" s="1"/>
  <c r="R60" i="26"/>
  <c r="AA59" i="26"/>
  <c r="V59" i="26"/>
  <c r="F68" i="24"/>
  <c r="J73" i="24" s="1"/>
  <c r="E68" i="24"/>
  <c r="I73" i="24" s="1"/>
  <c r="H68" i="24"/>
  <c r="L73" i="24" s="1"/>
  <c r="G68" i="24"/>
  <c r="K73" i="24" s="1"/>
  <c r="AH61" i="24"/>
  <c r="AI56" i="24" s="1"/>
  <c r="R62" i="24"/>
  <c r="AA61" i="24"/>
  <c r="V61" i="24"/>
  <c r="AB58" i="24"/>
  <c r="AE58" i="24" s="1"/>
  <c r="AF62" i="24" s="1"/>
  <c r="AG62" i="24" s="1"/>
  <c r="Z58" i="24"/>
  <c r="D69" i="24"/>
  <c r="X61" i="24"/>
  <c r="AC61" i="24" s="1"/>
  <c r="T62" i="24"/>
  <c r="U60" i="24"/>
  <c r="Y59" i="24"/>
  <c r="AD59" i="24" s="1"/>
  <c r="S59" i="24"/>
  <c r="W59" i="24" s="1"/>
  <c r="S60" i="26" l="1"/>
  <c r="W60" i="26" s="1"/>
  <c r="AB60" i="26" s="1"/>
  <c r="Z59" i="26"/>
  <c r="AE59" i="26"/>
  <c r="F69" i="28"/>
  <c r="J74" i="28" s="1"/>
  <c r="G69" i="28"/>
  <c r="K74" i="28" s="1"/>
  <c r="H69" i="28"/>
  <c r="L74" i="28" s="1"/>
  <c r="E69" i="28"/>
  <c r="I74" i="28" s="1"/>
  <c r="E70" i="28"/>
  <c r="I75" i="28" s="1"/>
  <c r="F70" i="28"/>
  <c r="J75" i="28" s="1"/>
  <c r="G70" i="28"/>
  <c r="K75" i="28" s="1"/>
  <c r="H70" i="28"/>
  <c r="L75" i="28" s="1"/>
  <c r="S65" i="28"/>
  <c r="U66" i="28"/>
  <c r="AE62" i="28"/>
  <c r="AF66" i="28" s="1"/>
  <c r="AG66" i="28" s="1"/>
  <c r="AH66" i="28" s="1"/>
  <c r="AI61" i="28" s="1"/>
  <c r="AB63" i="28"/>
  <c r="AK63" i="28"/>
  <c r="AC63" i="28"/>
  <c r="AL63" i="28"/>
  <c r="AD63" i="28"/>
  <c r="AM63" i="28"/>
  <c r="AJ63" i="28"/>
  <c r="D71" i="28"/>
  <c r="C71" i="28" s="1"/>
  <c r="AA64" i="28"/>
  <c r="V64" i="28"/>
  <c r="AJ64" i="28" s="1"/>
  <c r="Z63" i="28"/>
  <c r="X64" i="28"/>
  <c r="Y64" i="28"/>
  <c r="W64" i="28"/>
  <c r="AH62" i="27"/>
  <c r="AI57" i="27" s="1"/>
  <c r="Y60" i="27"/>
  <c r="AD60" i="27" s="1"/>
  <c r="U61" i="27"/>
  <c r="S60" i="27"/>
  <c r="W60" i="27" s="1"/>
  <c r="AB60" i="27" s="1"/>
  <c r="X62" i="27"/>
  <c r="AC62" i="27" s="1"/>
  <c r="T63" i="27"/>
  <c r="Z59" i="27"/>
  <c r="AE59" i="27"/>
  <c r="AF63" i="27" s="1"/>
  <c r="AG63" i="27" s="1"/>
  <c r="F67" i="27"/>
  <c r="J72" i="27" s="1"/>
  <c r="G67" i="27"/>
  <c r="K72" i="27" s="1"/>
  <c r="H67" i="27"/>
  <c r="L72" i="27" s="1"/>
  <c r="E67" i="27"/>
  <c r="I72" i="27" s="1"/>
  <c r="AA60" i="27"/>
  <c r="R61" i="27"/>
  <c r="V60" i="27"/>
  <c r="D68" i="27"/>
  <c r="E69" i="26"/>
  <c r="I84" i="26" s="1"/>
  <c r="H69" i="26"/>
  <c r="L84" i="26" s="1"/>
  <c r="G69" i="26"/>
  <c r="K84" i="26" s="1"/>
  <c r="F69" i="26"/>
  <c r="J84" i="26" s="1"/>
  <c r="R61" i="26"/>
  <c r="AA60" i="26"/>
  <c r="AE60" i="26" s="1"/>
  <c r="V60" i="26"/>
  <c r="Z60" i="26" s="1"/>
  <c r="U62" i="26"/>
  <c r="S61" i="26"/>
  <c r="W61" i="26" s="1"/>
  <c r="AB61" i="26" s="1"/>
  <c r="Y61" i="26"/>
  <c r="AD61" i="26" s="1"/>
  <c r="D70" i="26"/>
  <c r="C70" i="26" s="1"/>
  <c r="X62" i="26"/>
  <c r="AC62" i="26" s="1"/>
  <c r="T63" i="26"/>
  <c r="AH62" i="24"/>
  <c r="AI57" i="24" s="1"/>
  <c r="Y60" i="24"/>
  <c r="AD60" i="24" s="1"/>
  <c r="U61" i="24"/>
  <c r="S60" i="24"/>
  <c r="W60" i="24" s="1"/>
  <c r="AB59" i="24"/>
  <c r="AE59" i="24" s="1"/>
  <c r="AF63" i="24" s="1"/>
  <c r="AG63" i="24" s="1"/>
  <c r="Z59" i="24"/>
  <c r="T63" i="24"/>
  <c r="X62" i="24"/>
  <c r="AC62" i="24" s="1"/>
  <c r="V62" i="24"/>
  <c r="R63" i="24"/>
  <c r="AA62" i="24"/>
  <c r="D70" i="24"/>
  <c r="C69" i="24"/>
  <c r="E71" i="28" l="1"/>
  <c r="I76" i="28" s="1"/>
  <c r="F71" i="28"/>
  <c r="J76" i="28" s="1"/>
  <c r="H71" i="28"/>
  <c r="L76" i="28" s="1"/>
  <c r="G71" i="28"/>
  <c r="K76" i="28" s="1"/>
  <c r="S66" i="28"/>
  <c r="U67" i="28"/>
  <c r="AE63" i="28"/>
  <c r="AF67" i="28" s="1"/>
  <c r="AG67" i="28" s="1"/>
  <c r="AH67" i="28" s="1"/>
  <c r="AI62" i="28" s="1"/>
  <c r="AC64" i="28"/>
  <c r="AL64" i="28"/>
  <c r="AB64" i="28"/>
  <c r="AK64" i="28"/>
  <c r="AD64" i="28"/>
  <c r="AM64" i="28"/>
  <c r="AA65" i="28"/>
  <c r="V65" i="28"/>
  <c r="X65" i="28"/>
  <c r="D72" i="28"/>
  <c r="C72" i="28" s="1"/>
  <c r="W65" i="28"/>
  <c r="Y65" i="28"/>
  <c r="Z64" i="28"/>
  <c r="AH63" i="27"/>
  <c r="AI58" i="27" s="1"/>
  <c r="X63" i="27"/>
  <c r="AC63" i="27" s="1"/>
  <c r="T64" i="27"/>
  <c r="S61" i="27"/>
  <c r="W61" i="27" s="1"/>
  <c r="AB61" i="27" s="1"/>
  <c r="U62" i="27"/>
  <c r="Y61" i="27"/>
  <c r="AD61" i="27" s="1"/>
  <c r="D69" i="27"/>
  <c r="C68" i="27"/>
  <c r="AA61" i="27"/>
  <c r="V61" i="27"/>
  <c r="R62" i="27"/>
  <c r="Z60" i="27"/>
  <c r="AE60" i="27"/>
  <c r="AF64" i="27" s="1"/>
  <c r="AG64" i="27" s="1"/>
  <c r="U63" i="26"/>
  <c r="S62" i="26"/>
  <c r="W62" i="26" s="1"/>
  <c r="AB62" i="26" s="1"/>
  <c r="Y62" i="26"/>
  <c r="AD62" i="26" s="1"/>
  <c r="H70" i="26"/>
  <c r="L85" i="26" s="1"/>
  <c r="G70" i="26"/>
  <c r="K85" i="26" s="1"/>
  <c r="F70" i="26"/>
  <c r="J85" i="26" s="1"/>
  <c r="E70" i="26"/>
  <c r="I85" i="26" s="1"/>
  <c r="AA61" i="26"/>
  <c r="AE61" i="26" s="1"/>
  <c r="R62" i="26"/>
  <c r="V61" i="26"/>
  <c r="Z61" i="26" s="1"/>
  <c r="T64" i="26"/>
  <c r="X63" i="26"/>
  <c r="AC63" i="26" s="1"/>
  <c r="D71" i="26"/>
  <c r="AH63" i="24"/>
  <c r="AI58" i="24" s="1"/>
  <c r="X63" i="24"/>
  <c r="AC63" i="24" s="1"/>
  <c r="T64" i="24"/>
  <c r="AB60" i="24"/>
  <c r="AE60" i="24" s="1"/>
  <c r="AF64" i="24" s="1"/>
  <c r="AG64" i="24" s="1"/>
  <c r="Z60" i="24"/>
  <c r="U62" i="24"/>
  <c r="S61" i="24"/>
  <c r="W61" i="24" s="1"/>
  <c r="Y61" i="24"/>
  <c r="AD61" i="24" s="1"/>
  <c r="D71" i="24"/>
  <c r="C71" i="24" s="1"/>
  <c r="C70" i="24"/>
  <c r="H69" i="24"/>
  <c r="L74" i="24" s="1"/>
  <c r="G69" i="24"/>
  <c r="K74" i="24" s="1"/>
  <c r="F69" i="24"/>
  <c r="J74" i="24" s="1"/>
  <c r="E69" i="24"/>
  <c r="I74" i="24" s="1"/>
  <c r="V63" i="24"/>
  <c r="R64" i="24"/>
  <c r="AA63" i="24"/>
  <c r="F72" i="28" l="1"/>
  <c r="J77" i="28" s="1"/>
  <c r="G72" i="28"/>
  <c r="K77" i="28" s="1"/>
  <c r="H72" i="28"/>
  <c r="L77" i="28" s="1"/>
  <c r="E72" i="28"/>
  <c r="I77" i="28" s="1"/>
  <c r="U68" i="28"/>
  <c r="S67" i="28"/>
  <c r="AE64" i="28"/>
  <c r="AF68" i="28" s="1"/>
  <c r="AG68" i="28" s="1"/>
  <c r="AH68" i="28" s="1"/>
  <c r="AI63" i="28" s="1"/>
  <c r="AD65" i="28"/>
  <c r="AM65" i="28"/>
  <c r="AB65" i="28"/>
  <c r="AK65" i="28"/>
  <c r="AC65" i="28"/>
  <c r="AL65" i="28"/>
  <c r="AJ65" i="28"/>
  <c r="Z65" i="28"/>
  <c r="Y66" i="28"/>
  <c r="W66" i="28"/>
  <c r="AA66" i="28"/>
  <c r="V66" i="28"/>
  <c r="AJ66" i="28" s="1"/>
  <c r="X66" i="28"/>
  <c r="D73" i="28"/>
  <c r="AH64" i="27"/>
  <c r="AI59" i="27" s="1"/>
  <c r="D70" i="27"/>
  <c r="S62" i="27"/>
  <c r="W62" i="27" s="1"/>
  <c r="AB62" i="27" s="1"/>
  <c r="U63" i="27"/>
  <c r="Y62" i="27"/>
  <c r="AD62" i="27" s="1"/>
  <c r="X64" i="27"/>
  <c r="AC64" i="27" s="1"/>
  <c r="T65" i="27"/>
  <c r="F68" i="27"/>
  <c r="J73" i="27" s="1"/>
  <c r="H68" i="27"/>
  <c r="L73" i="27" s="1"/>
  <c r="E68" i="27"/>
  <c r="I73" i="27" s="1"/>
  <c r="G68" i="27"/>
  <c r="K73" i="27" s="1"/>
  <c r="C69" i="27"/>
  <c r="Z61" i="27"/>
  <c r="V62" i="27"/>
  <c r="AA62" i="27"/>
  <c r="R63" i="27"/>
  <c r="AE61" i="27"/>
  <c r="AF65" i="27" s="1"/>
  <c r="AG65" i="27" s="1"/>
  <c r="V62" i="26"/>
  <c r="Z62" i="26" s="1"/>
  <c r="R63" i="26"/>
  <c r="AA62" i="26"/>
  <c r="AE62" i="26" s="1"/>
  <c r="T65" i="26"/>
  <c r="X64" i="26"/>
  <c r="AC64" i="26" s="1"/>
  <c r="D72" i="26"/>
  <c r="C72" i="26" s="1"/>
  <c r="C71" i="26"/>
  <c r="U64" i="26"/>
  <c r="Y63" i="26"/>
  <c r="AD63" i="26" s="1"/>
  <c r="S63" i="26"/>
  <c r="W63" i="26" s="1"/>
  <c r="AB63" i="26" s="1"/>
  <c r="G71" i="24"/>
  <c r="K76" i="24" s="1"/>
  <c r="F71" i="24"/>
  <c r="J76" i="24" s="1"/>
  <c r="H71" i="24"/>
  <c r="L76" i="24" s="1"/>
  <c r="E71" i="24"/>
  <c r="I76" i="24" s="1"/>
  <c r="AH64" i="24"/>
  <c r="AI59" i="24" s="1"/>
  <c r="U63" i="24"/>
  <c r="Y62" i="24"/>
  <c r="AD62" i="24" s="1"/>
  <c r="S62" i="24"/>
  <c r="W62" i="24" s="1"/>
  <c r="AB61" i="24"/>
  <c r="AE61" i="24" s="1"/>
  <c r="AF65" i="24" s="1"/>
  <c r="AG65" i="24" s="1"/>
  <c r="Z61" i="24"/>
  <c r="X64" i="24"/>
  <c r="AC64" i="24" s="1"/>
  <c r="T65" i="24"/>
  <c r="D72" i="24"/>
  <c r="V64" i="24"/>
  <c r="AA64" i="24"/>
  <c r="R65" i="24"/>
  <c r="G70" i="24"/>
  <c r="K75" i="24" s="1"/>
  <c r="F70" i="24"/>
  <c r="J75" i="24" s="1"/>
  <c r="E70" i="24"/>
  <c r="I75" i="24" s="1"/>
  <c r="H70" i="24"/>
  <c r="L75" i="24" s="1"/>
  <c r="S68" i="28" l="1"/>
  <c r="U69" i="28"/>
  <c r="AE65" i="28"/>
  <c r="AF69" i="28" s="1"/>
  <c r="AG69" i="28" s="1"/>
  <c r="AH69" i="28" s="1"/>
  <c r="AI64" i="28" s="1"/>
  <c r="AD66" i="28"/>
  <c r="AM66" i="28"/>
  <c r="AC66" i="28"/>
  <c r="AL66" i="28"/>
  <c r="AB66" i="28"/>
  <c r="AK66" i="28"/>
  <c r="Z66" i="28"/>
  <c r="V67" i="28"/>
  <c r="AJ67" i="28" s="1"/>
  <c r="AA67" i="28"/>
  <c r="W67" i="28"/>
  <c r="Y67" i="28"/>
  <c r="D74" i="28"/>
  <c r="C74" i="28" s="1"/>
  <c r="C73" i="28"/>
  <c r="X67" i="28"/>
  <c r="AH65" i="27"/>
  <c r="AI60" i="27" s="1"/>
  <c r="U64" i="27"/>
  <c r="Y63" i="27"/>
  <c r="AD63" i="27" s="1"/>
  <c r="S63" i="27"/>
  <c r="W63" i="27" s="1"/>
  <c r="AB63" i="27" s="1"/>
  <c r="D71" i="27"/>
  <c r="T66" i="27"/>
  <c r="X65" i="27"/>
  <c r="AC65" i="27" s="1"/>
  <c r="Z62" i="27"/>
  <c r="C70" i="27"/>
  <c r="V63" i="27"/>
  <c r="AA63" i="27"/>
  <c r="R64" i="27"/>
  <c r="AE62" i="27"/>
  <c r="AF66" i="27" s="1"/>
  <c r="AG66" i="27" s="1"/>
  <c r="H69" i="27"/>
  <c r="L74" i="27" s="1"/>
  <c r="G69" i="27"/>
  <c r="K74" i="27" s="1"/>
  <c r="E69" i="27"/>
  <c r="I74" i="27" s="1"/>
  <c r="F69" i="27"/>
  <c r="J74" i="27" s="1"/>
  <c r="H71" i="26"/>
  <c r="L86" i="26" s="1"/>
  <c r="G71" i="26"/>
  <c r="K86" i="26" s="1"/>
  <c r="F71" i="26"/>
  <c r="J86" i="26" s="1"/>
  <c r="E71" i="26"/>
  <c r="I86" i="26" s="1"/>
  <c r="F72" i="26"/>
  <c r="J87" i="26" s="1"/>
  <c r="E72" i="26"/>
  <c r="I87" i="26" s="1"/>
  <c r="H72" i="26"/>
  <c r="L87" i="26" s="1"/>
  <c r="G72" i="26"/>
  <c r="K87" i="26" s="1"/>
  <c r="D73" i="26"/>
  <c r="AA63" i="26"/>
  <c r="AE63" i="26" s="1"/>
  <c r="V63" i="26"/>
  <c r="Z63" i="26" s="1"/>
  <c r="R64" i="26"/>
  <c r="Y64" i="26"/>
  <c r="AD64" i="26" s="1"/>
  <c r="S64" i="26"/>
  <c r="W64" i="26" s="1"/>
  <c r="AB64" i="26" s="1"/>
  <c r="U65" i="26"/>
  <c r="X65" i="26"/>
  <c r="AC65" i="26" s="1"/>
  <c r="T66" i="26"/>
  <c r="AH65" i="24"/>
  <c r="AI60" i="24" s="1"/>
  <c r="U64" i="24"/>
  <c r="S63" i="24"/>
  <c r="W63" i="24" s="1"/>
  <c r="Y63" i="24"/>
  <c r="AD63" i="24" s="1"/>
  <c r="AB62" i="24"/>
  <c r="AE62" i="24" s="1"/>
  <c r="AF66" i="24" s="1"/>
  <c r="AG66" i="24" s="1"/>
  <c r="Z62" i="24"/>
  <c r="D73" i="24"/>
  <c r="C72" i="24"/>
  <c r="X65" i="24"/>
  <c r="AC65" i="24" s="1"/>
  <c r="T66" i="24"/>
  <c r="R66" i="24"/>
  <c r="AA65" i="24"/>
  <c r="V65" i="24"/>
  <c r="E73" i="28" l="1"/>
  <c r="I78" i="28" s="1"/>
  <c r="F73" i="28"/>
  <c r="J78" i="28" s="1"/>
  <c r="G73" i="28"/>
  <c r="K78" i="28" s="1"/>
  <c r="H73" i="28"/>
  <c r="L78" i="28" s="1"/>
  <c r="E74" i="28"/>
  <c r="I79" i="28" s="1"/>
  <c r="F74" i="28"/>
  <c r="J79" i="28" s="1"/>
  <c r="H74" i="28"/>
  <c r="L79" i="28" s="1"/>
  <c r="G74" i="28"/>
  <c r="K79" i="28" s="1"/>
  <c r="S69" i="28"/>
  <c r="U70" i="28"/>
  <c r="AE66" i="28"/>
  <c r="AF70" i="28" s="1"/>
  <c r="AG70" i="28" s="1"/>
  <c r="AH70" i="28" s="1"/>
  <c r="AI65" i="28" s="1"/>
  <c r="AC67" i="28"/>
  <c r="AL67" i="28"/>
  <c r="AB67" i="28"/>
  <c r="AK67" i="28"/>
  <c r="AD67" i="28"/>
  <c r="AM67" i="28"/>
  <c r="D75" i="28"/>
  <c r="Y68" i="28"/>
  <c r="W68" i="28"/>
  <c r="V68" i="28"/>
  <c r="AJ68" i="28" s="1"/>
  <c r="AA68" i="28"/>
  <c r="Z67" i="28"/>
  <c r="X68" i="28"/>
  <c r="Z63" i="27"/>
  <c r="AH66" i="27"/>
  <c r="AI61" i="27" s="1"/>
  <c r="X66" i="27"/>
  <c r="AC66" i="27" s="1"/>
  <c r="T67" i="27"/>
  <c r="D72" i="27"/>
  <c r="C72" i="27" s="1"/>
  <c r="C71" i="27"/>
  <c r="H70" i="27"/>
  <c r="L75" i="27" s="1"/>
  <c r="G70" i="27"/>
  <c r="K75" i="27" s="1"/>
  <c r="F70" i="27"/>
  <c r="J75" i="27" s="1"/>
  <c r="E70" i="27"/>
  <c r="I75" i="27" s="1"/>
  <c r="Y64" i="27"/>
  <c r="AD64" i="27" s="1"/>
  <c r="U65" i="27"/>
  <c r="S64" i="27"/>
  <c r="W64" i="27" s="1"/>
  <c r="AB64" i="27" s="1"/>
  <c r="AA64" i="27"/>
  <c r="R65" i="27"/>
  <c r="V64" i="27"/>
  <c r="AE63" i="27"/>
  <c r="AF67" i="27" s="1"/>
  <c r="AG67" i="27" s="1"/>
  <c r="D74" i="26"/>
  <c r="C74" i="26" s="1"/>
  <c r="C73" i="26"/>
  <c r="X66" i="26"/>
  <c r="AC66" i="26" s="1"/>
  <c r="T67" i="26"/>
  <c r="U66" i="26"/>
  <c r="Y65" i="26"/>
  <c r="AD65" i="26" s="1"/>
  <c r="S65" i="26"/>
  <c r="W65" i="26" s="1"/>
  <c r="AB65" i="26" s="1"/>
  <c r="R65" i="26"/>
  <c r="V64" i="26"/>
  <c r="Z64" i="26" s="1"/>
  <c r="AA64" i="26"/>
  <c r="AE64" i="26" s="1"/>
  <c r="AH66" i="24"/>
  <c r="AI61" i="24" s="1"/>
  <c r="G72" i="24"/>
  <c r="K77" i="24" s="1"/>
  <c r="F72" i="24"/>
  <c r="J77" i="24" s="1"/>
  <c r="E72" i="24"/>
  <c r="I77" i="24" s="1"/>
  <c r="H72" i="24"/>
  <c r="L77" i="24" s="1"/>
  <c r="D74" i="24"/>
  <c r="C74" i="24" s="1"/>
  <c r="AB63" i="24"/>
  <c r="AE63" i="24" s="1"/>
  <c r="AF67" i="24" s="1"/>
  <c r="AG67" i="24" s="1"/>
  <c r="Z63" i="24"/>
  <c r="C73" i="24"/>
  <c r="V66" i="24"/>
  <c r="R67" i="24"/>
  <c r="AA66" i="24"/>
  <c r="Y64" i="24"/>
  <c r="AD64" i="24" s="1"/>
  <c r="U65" i="24"/>
  <c r="S64" i="24"/>
  <c r="W64" i="24" s="1"/>
  <c r="X66" i="24"/>
  <c r="AC66" i="24" s="1"/>
  <c r="T67" i="24"/>
  <c r="U71" i="28" l="1"/>
  <c r="S70" i="28"/>
  <c r="AE67" i="28"/>
  <c r="AF71" i="28" s="1"/>
  <c r="AG71" i="28" s="1"/>
  <c r="AH71" i="28" s="1"/>
  <c r="AI66" i="28" s="1"/>
  <c r="AC68" i="28"/>
  <c r="AL68" i="28"/>
  <c r="AD68" i="28"/>
  <c r="AM68" i="28"/>
  <c r="AB68" i="28"/>
  <c r="AK68" i="28"/>
  <c r="W69" i="28"/>
  <c r="Y69" i="28"/>
  <c r="X69" i="28"/>
  <c r="AA69" i="28"/>
  <c r="V69" i="28"/>
  <c r="Z68" i="28"/>
  <c r="D76" i="28"/>
  <c r="C76" i="28" s="1"/>
  <c r="C75" i="28"/>
  <c r="Z64" i="27"/>
  <c r="AH67" i="27"/>
  <c r="AI62" i="27" s="1"/>
  <c r="E72" i="27"/>
  <c r="I77" i="27" s="1"/>
  <c r="F72" i="27"/>
  <c r="J77" i="27" s="1"/>
  <c r="G72" i="27"/>
  <c r="K77" i="27" s="1"/>
  <c r="H72" i="27"/>
  <c r="L77" i="27" s="1"/>
  <c r="D73" i="27"/>
  <c r="T68" i="27"/>
  <c r="X67" i="27"/>
  <c r="AC67" i="27" s="1"/>
  <c r="E71" i="27"/>
  <c r="I76" i="27" s="1"/>
  <c r="F71" i="27"/>
  <c r="J76" i="27" s="1"/>
  <c r="G71" i="27"/>
  <c r="K76" i="27" s="1"/>
  <c r="H71" i="27"/>
  <c r="L76" i="27" s="1"/>
  <c r="Y65" i="27"/>
  <c r="AD65" i="27" s="1"/>
  <c r="U66" i="27"/>
  <c r="S65" i="27"/>
  <c r="W65" i="27" s="1"/>
  <c r="AB65" i="27" s="1"/>
  <c r="AA65" i="27"/>
  <c r="R66" i="27"/>
  <c r="V65" i="27"/>
  <c r="AE64" i="27"/>
  <c r="AF68" i="27" s="1"/>
  <c r="AG68" i="27" s="1"/>
  <c r="AA65" i="26"/>
  <c r="AE65" i="26" s="1"/>
  <c r="V65" i="26"/>
  <c r="Z65" i="26" s="1"/>
  <c r="R66" i="26"/>
  <c r="Y66" i="26"/>
  <c r="AD66" i="26" s="1"/>
  <c r="U67" i="26"/>
  <c r="S66" i="26"/>
  <c r="W66" i="26" s="1"/>
  <c r="AB66" i="26" s="1"/>
  <c r="G74" i="26"/>
  <c r="K89" i="26" s="1"/>
  <c r="F74" i="26"/>
  <c r="J89" i="26" s="1"/>
  <c r="E74" i="26"/>
  <c r="I89" i="26" s="1"/>
  <c r="H74" i="26"/>
  <c r="L89" i="26" s="1"/>
  <c r="X67" i="26"/>
  <c r="AC67" i="26" s="1"/>
  <c r="T68" i="26"/>
  <c r="E73" i="26"/>
  <c r="I88" i="26" s="1"/>
  <c r="F73" i="26"/>
  <c r="J88" i="26" s="1"/>
  <c r="H73" i="26"/>
  <c r="L88" i="26" s="1"/>
  <c r="G73" i="26"/>
  <c r="K88" i="26" s="1"/>
  <c r="D75" i="26"/>
  <c r="AH67" i="24"/>
  <c r="AI62" i="24" s="1"/>
  <c r="F74" i="24"/>
  <c r="J79" i="24" s="1"/>
  <c r="E74" i="24"/>
  <c r="I79" i="24" s="1"/>
  <c r="H74" i="24"/>
  <c r="L79" i="24" s="1"/>
  <c r="G74" i="24"/>
  <c r="K79" i="24" s="1"/>
  <c r="D75" i="24"/>
  <c r="C75" i="24" s="1"/>
  <c r="X67" i="24"/>
  <c r="AC67" i="24" s="1"/>
  <c r="T68" i="24"/>
  <c r="G73" i="24"/>
  <c r="K78" i="24" s="1"/>
  <c r="F73" i="24"/>
  <c r="J78" i="24" s="1"/>
  <c r="E73" i="24"/>
  <c r="I78" i="24" s="1"/>
  <c r="H73" i="24"/>
  <c r="L78" i="24" s="1"/>
  <c r="AB64" i="24"/>
  <c r="AE64" i="24" s="1"/>
  <c r="AF68" i="24" s="1"/>
  <c r="AG68" i="24" s="1"/>
  <c r="Z64" i="24"/>
  <c r="R68" i="24"/>
  <c r="AA67" i="24"/>
  <c r="V67" i="24"/>
  <c r="Y65" i="24"/>
  <c r="AD65" i="24" s="1"/>
  <c r="U66" i="24"/>
  <c r="S65" i="24"/>
  <c r="W65" i="24" s="1"/>
  <c r="AE68" i="28" l="1"/>
  <c r="AF72" i="28" s="1"/>
  <c r="AG72" i="28" s="1"/>
  <c r="AH72" i="28" s="1"/>
  <c r="AI67" i="28" s="1"/>
  <c r="F75" i="28"/>
  <c r="J80" i="28" s="1"/>
  <c r="G75" i="28"/>
  <c r="K80" i="28" s="1"/>
  <c r="H75" i="28"/>
  <c r="L80" i="28" s="1"/>
  <c r="E75" i="28"/>
  <c r="I80" i="28" s="1"/>
  <c r="E76" i="28"/>
  <c r="I81" i="28" s="1"/>
  <c r="F76" i="28"/>
  <c r="J81" i="28" s="1"/>
  <c r="G76" i="28"/>
  <c r="K81" i="28" s="1"/>
  <c r="H76" i="28"/>
  <c r="L81" i="28" s="1"/>
  <c r="S71" i="28"/>
  <c r="U72" i="28"/>
  <c r="AD69" i="28"/>
  <c r="AM69" i="28"/>
  <c r="AB69" i="28"/>
  <c r="AK69" i="28"/>
  <c r="AC69" i="28"/>
  <c r="AL69" i="28"/>
  <c r="Z69" i="28"/>
  <c r="AJ69" i="28"/>
  <c r="X70" i="28"/>
  <c r="Y70" i="28"/>
  <c r="W70" i="28"/>
  <c r="AA70" i="28"/>
  <c r="V70" i="28"/>
  <c r="AJ70" i="28" s="1"/>
  <c r="D77" i="28"/>
  <c r="C77" i="28" s="1"/>
  <c r="Z65" i="27"/>
  <c r="AE65" i="27"/>
  <c r="AF69" i="27" s="1"/>
  <c r="AG69" i="27" s="1"/>
  <c r="AH68" i="27"/>
  <c r="AI63" i="27" s="1"/>
  <c r="T69" i="27"/>
  <c r="X68" i="27"/>
  <c r="AC68" i="27" s="1"/>
  <c r="D74" i="27"/>
  <c r="C73" i="27"/>
  <c r="R67" i="27"/>
  <c r="AA66" i="27"/>
  <c r="V66" i="27"/>
  <c r="Y66" i="27"/>
  <c r="AD66" i="27" s="1"/>
  <c r="U67" i="27"/>
  <c r="S66" i="27"/>
  <c r="W66" i="27" s="1"/>
  <c r="AB66" i="27" s="1"/>
  <c r="X68" i="26"/>
  <c r="AC68" i="26" s="1"/>
  <c r="T69" i="26"/>
  <c r="U68" i="26"/>
  <c r="Y67" i="26"/>
  <c r="AD67" i="26" s="1"/>
  <c r="S67" i="26"/>
  <c r="W67" i="26" s="1"/>
  <c r="AB67" i="26" s="1"/>
  <c r="AA66" i="26"/>
  <c r="AE66" i="26" s="1"/>
  <c r="V66" i="26"/>
  <c r="Z66" i="26" s="1"/>
  <c r="R67" i="26"/>
  <c r="D76" i="26"/>
  <c r="C76" i="26" s="1"/>
  <c r="C75" i="26"/>
  <c r="AH68" i="24"/>
  <c r="AI63" i="24" s="1"/>
  <c r="T69" i="24"/>
  <c r="X68" i="24"/>
  <c r="AC68" i="24" s="1"/>
  <c r="Y66" i="24"/>
  <c r="AD66" i="24" s="1"/>
  <c r="S66" i="24"/>
  <c r="W66" i="24" s="1"/>
  <c r="U67" i="24"/>
  <c r="AB65" i="24"/>
  <c r="AE65" i="24" s="1"/>
  <c r="AF69" i="24" s="1"/>
  <c r="AG69" i="24" s="1"/>
  <c r="Z65" i="24"/>
  <c r="H75" i="24"/>
  <c r="L80" i="24" s="1"/>
  <c r="G75" i="24"/>
  <c r="K80" i="24" s="1"/>
  <c r="F75" i="24"/>
  <c r="J80" i="24" s="1"/>
  <c r="E75" i="24"/>
  <c r="I80" i="24" s="1"/>
  <c r="V68" i="24"/>
  <c r="AA68" i="24"/>
  <c r="R69" i="24"/>
  <c r="D76" i="24"/>
  <c r="C76" i="24" s="1"/>
  <c r="E77" i="28" l="1"/>
  <c r="I82" i="28" s="1"/>
  <c r="F77" i="28"/>
  <c r="J82" i="28" s="1"/>
  <c r="H77" i="28"/>
  <c r="L82" i="28" s="1"/>
  <c r="G77" i="28"/>
  <c r="K82" i="28" s="1"/>
  <c r="S72" i="28"/>
  <c r="AE69" i="28"/>
  <c r="AF73" i="28" s="1"/>
  <c r="AG73" i="28" s="1"/>
  <c r="AH73" i="28" s="1"/>
  <c r="AI68" i="28" s="1"/>
  <c r="AC70" i="28"/>
  <c r="AL70" i="28"/>
  <c r="AB70" i="28"/>
  <c r="AK70" i="28"/>
  <c r="AD70" i="28"/>
  <c r="AM70" i="28"/>
  <c r="Z70" i="28"/>
  <c r="AA71" i="28"/>
  <c r="V71" i="28"/>
  <c r="AJ71" i="28" s="1"/>
  <c r="W71" i="28"/>
  <c r="Y71" i="28"/>
  <c r="X71" i="28"/>
  <c r="D78" i="28"/>
  <c r="C78" i="28" s="1"/>
  <c r="Z66" i="27"/>
  <c r="R68" i="27"/>
  <c r="V67" i="27"/>
  <c r="AA67" i="27"/>
  <c r="F73" i="27"/>
  <c r="J78" i="27" s="1"/>
  <c r="G73" i="27"/>
  <c r="K78" i="27" s="1"/>
  <c r="H73" i="27"/>
  <c r="L78" i="27" s="1"/>
  <c r="E73" i="27"/>
  <c r="I78" i="27" s="1"/>
  <c r="X69" i="27"/>
  <c r="AC69" i="27" s="1"/>
  <c r="O70" i="27"/>
  <c r="AE66" i="27"/>
  <c r="AF70" i="27" s="1"/>
  <c r="AG70" i="27" s="1"/>
  <c r="D75" i="27"/>
  <c r="AH69" i="27"/>
  <c r="AI64" i="27" s="1"/>
  <c r="C74" i="27"/>
  <c r="S67" i="27"/>
  <c r="W67" i="27" s="1"/>
  <c r="AB67" i="27" s="1"/>
  <c r="U68" i="27"/>
  <c r="Y67" i="27"/>
  <c r="AD67" i="27" s="1"/>
  <c r="H75" i="26"/>
  <c r="L90" i="26" s="1"/>
  <c r="G75" i="26"/>
  <c r="K90" i="26" s="1"/>
  <c r="F75" i="26"/>
  <c r="J90" i="26" s="1"/>
  <c r="E75" i="26"/>
  <c r="I90" i="26" s="1"/>
  <c r="H76" i="26"/>
  <c r="L91" i="26" s="1"/>
  <c r="G76" i="26"/>
  <c r="K91" i="26" s="1"/>
  <c r="F76" i="26"/>
  <c r="J91" i="26" s="1"/>
  <c r="E76" i="26"/>
  <c r="I91" i="26" s="1"/>
  <c r="D77" i="26"/>
  <c r="C77" i="26" s="1"/>
  <c r="AA67" i="26"/>
  <c r="AE67" i="26" s="1"/>
  <c r="V67" i="26"/>
  <c r="Z67" i="26" s="1"/>
  <c r="R68" i="26"/>
  <c r="S68" i="26"/>
  <c r="W68" i="26" s="1"/>
  <c r="AB68" i="26" s="1"/>
  <c r="Y68" i="26"/>
  <c r="AD68" i="26" s="1"/>
  <c r="U69" i="26"/>
  <c r="O70" i="26"/>
  <c r="T70" i="26" s="1"/>
  <c r="X69" i="26"/>
  <c r="AC69" i="26" s="1"/>
  <c r="AH69" i="24"/>
  <c r="AI64" i="24" s="1"/>
  <c r="H76" i="24"/>
  <c r="L81" i="24" s="1"/>
  <c r="G76" i="24"/>
  <c r="K81" i="24" s="1"/>
  <c r="F76" i="24"/>
  <c r="J81" i="24" s="1"/>
  <c r="E76" i="24"/>
  <c r="I81" i="24" s="1"/>
  <c r="Y67" i="24"/>
  <c r="AD67" i="24" s="1"/>
  <c r="U68" i="24"/>
  <c r="S67" i="24"/>
  <c r="W67" i="24" s="1"/>
  <c r="AB66" i="24"/>
  <c r="AE66" i="24" s="1"/>
  <c r="AF70" i="24" s="1"/>
  <c r="AG70" i="24" s="1"/>
  <c r="Z66" i="24"/>
  <c r="M70" i="24"/>
  <c r="R70" i="24" s="1"/>
  <c r="AA69" i="24"/>
  <c r="V69" i="24"/>
  <c r="X69" i="24"/>
  <c r="AC69" i="24" s="1"/>
  <c r="O70" i="24"/>
  <c r="D77" i="24"/>
  <c r="C77" i="24" s="1"/>
  <c r="AE70" i="28" l="1"/>
  <c r="AF74" i="28" s="1"/>
  <c r="AG74" i="28" s="1"/>
  <c r="AH74" i="28" s="1"/>
  <c r="AI69" i="28" s="1"/>
  <c r="F78" i="28"/>
  <c r="J83" i="28" s="1"/>
  <c r="G78" i="28"/>
  <c r="K83" i="28" s="1"/>
  <c r="H78" i="28"/>
  <c r="L83" i="28" s="1"/>
  <c r="E78" i="28"/>
  <c r="I83" i="28" s="1"/>
  <c r="AC71" i="28"/>
  <c r="AL71" i="28"/>
  <c r="AD71" i="28"/>
  <c r="AM71" i="28"/>
  <c r="AB71" i="28"/>
  <c r="Y72" i="28"/>
  <c r="W72" i="28"/>
  <c r="P73" i="28"/>
  <c r="U73" i="28" s="1"/>
  <c r="M73" i="28"/>
  <c r="R73" i="28" s="1"/>
  <c r="AA72" i="28"/>
  <c r="V72" i="28"/>
  <c r="Z71" i="28"/>
  <c r="D79" i="28"/>
  <c r="C79" i="28" s="1"/>
  <c r="X72" i="28"/>
  <c r="O73" i="28"/>
  <c r="T73" i="28" s="1"/>
  <c r="AH70" i="27"/>
  <c r="AI65" i="27" s="1"/>
  <c r="F8" i="27"/>
  <c r="O71" i="27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O84" i="27" s="1"/>
  <c r="T70" i="27"/>
  <c r="AE67" i="27"/>
  <c r="AF71" i="27" s="1"/>
  <c r="AG71" i="27" s="1"/>
  <c r="Y68" i="27"/>
  <c r="AD68" i="27" s="1"/>
  <c r="U69" i="27"/>
  <c r="S68" i="27"/>
  <c r="W68" i="27" s="1"/>
  <c r="AB68" i="27" s="1"/>
  <c r="Z67" i="27"/>
  <c r="F74" i="27"/>
  <c r="J79" i="27" s="1"/>
  <c r="H74" i="27"/>
  <c r="L79" i="27" s="1"/>
  <c r="G74" i="27"/>
  <c r="K79" i="27" s="1"/>
  <c r="E74" i="27"/>
  <c r="I79" i="27" s="1"/>
  <c r="V68" i="27"/>
  <c r="R69" i="27"/>
  <c r="AA68" i="27"/>
  <c r="D76" i="27"/>
  <c r="C75" i="27"/>
  <c r="E77" i="26"/>
  <c r="I92" i="26" s="1"/>
  <c r="F77" i="26"/>
  <c r="J92" i="26" s="1"/>
  <c r="H77" i="26"/>
  <c r="L92" i="26" s="1"/>
  <c r="G77" i="26"/>
  <c r="K92" i="26" s="1"/>
  <c r="O71" i="26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O84" i="26" s="1"/>
  <c r="F8" i="26"/>
  <c r="D78" i="26"/>
  <c r="X70" i="26"/>
  <c r="AC70" i="26" s="1"/>
  <c r="P70" i="26"/>
  <c r="U70" i="26" s="1"/>
  <c r="Y69" i="26"/>
  <c r="AD69" i="26" s="1"/>
  <c r="S69" i="26"/>
  <c r="W69" i="26" s="1"/>
  <c r="AB69" i="26" s="1"/>
  <c r="R69" i="26"/>
  <c r="V68" i="26"/>
  <c r="Z68" i="26" s="1"/>
  <c r="AA68" i="26"/>
  <c r="AE68" i="26" s="1"/>
  <c r="H77" i="24"/>
  <c r="L82" i="24" s="1"/>
  <c r="G77" i="24"/>
  <c r="K82" i="24" s="1"/>
  <c r="F77" i="24"/>
  <c r="J82" i="24" s="1"/>
  <c r="E77" i="24"/>
  <c r="I82" i="24" s="1"/>
  <c r="AH70" i="24"/>
  <c r="AI65" i="24" s="1"/>
  <c r="AB67" i="24"/>
  <c r="AE67" i="24" s="1"/>
  <c r="AF71" i="24" s="1"/>
  <c r="AG71" i="24" s="1"/>
  <c r="Z67" i="24"/>
  <c r="O71" i="24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O84" i="24" s="1"/>
  <c r="F8" i="24"/>
  <c r="V70" i="24"/>
  <c r="AA70" i="24"/>
  <c r="Y68" i="24"/>
  <c r="AD68" i="24" s="1"/>
  <c r="U69" i="24"/>
  <c r="S68" i="24"/>
  <c r="W68" i="24" s="1"/>
  <c r="T70" i="24"/>
  <c r="D78" i="24"/>
  <c r="C78" i="24" s="1"/>
  <c r="M71" i="24"/>
  <c r="D8" i="24"/>
  <c r="T71" i="26" l="1"/>
  <c r="T72" i="26" s="1"/>
  <c r="E79" i="28"/>
  <c r="I84" i="28" s="1"/>
  <c r="F79" i="28"/>
  <c r="J84" i="28" s="1"/>
  <c r="G79" i="28"/>
  <c r="K84" i="28" s="1"/>
  <c r="H79" i="28"/>
  <c r="L84" i="28" s="1"/>
  <c r="AE71" i="28"/>
  <c r="AF75" i="28" s="1"/>
  <c r="AG75" i="28" s="1"/>
  <c r="AH75" i="28" s="1"/>
  <c r="AD72" i="28"/>
  <c r="AM72" i="28"/>
  <c r="AC72" i="28"/>
  <c r="AL72" i="28"/>
  <c r="AB72" i="28"/>
  <c r="Z72" i="28"/>
  <c r="C7" i="28" s="1"/>
  <c r="AJ72" i="28"/>
  <c r="M74" i="28"/>
  <c r="R74" i="28" s="1"/>
  <c r="N73" i="28"/>
  <c r="S73" i="28" s="1"/>
  <c r="F8" i="28"/>
  <c r="I8" i="28"/>
  <c r="P74" i="28"/>
  <c r="P75" i="28" s="1"/>
  <c r="P76" i="28" s="1"/>
  <c r="P77" i="28" s="1"/>
  <c r="P78" i="28" s="1"/>
  <c r="P79" i="28" s="1"/>
  <c r="P80" i="28" s="1"/>
  <c r="P81" i="28" s="1"/>
  <c r="P82" i="28" s="1"/>
  <c r="P83" i="28" s="1"/>
  <c r="P84" i="28" s="1"/>
  <c r="P85" i="28" s="1"/>
  <c r="P86" i="28" s="1"/>
  <c r="P87" i="28" s="1"/>
  <c r="O74" i="28"/>
  <c r="O75" i="28" s="1"/>
  <c r="O76" i="28" s="1"/>
  <c r="O77" i="28" s="1"/>
  <c r="O78" i="28" s="1"/>
  <c r="O79" i="28" s="1"/>
  <c r="O80" i="28" s="1"/>
  <c r="O81" i="28" s="1"/>
  <c r="O82" i="28" s="1"/>
  <c r="O83" i="28" s="1"/>
  <c r="O84" i="28" s="1"/>
  <c r="O85" i="28" s="1"/>
  <c r="O86" i="28" s="1"/>
  <c r="O87" i="28" s="1"/>
  <c r="H8" i="28"/>
  <c r="V73" i="28"/>
  <c r="AA73" i="28"/>
  <c r="D80" i="28"/>
  <c r="C80" i="28" s="1"/>
  <c r="AH71" i="27"/>
  <c r="AI66" i="27" s="1"/>
  <c r="Y69" i="27"/>
  <c r="AD69" i="27" s="1"/>
  <c r="P70" i="27"/>
  <c r="U70" i="27" s="1"/>
  <c r="S69" i="27"/>
  <c r="W69" i="27" s="1"/>
  <c r="AB69" i="27" s="1"/>
  <c r="D77" i="27"/>
  <c r="C77" i="27" s="1"/>
  <c r="AE68" i="27"/>
  <c r="AF72" i="27" s="1"/>
  <c r="AG72" i="27" s="1"/>
  <c r="X70" i="27"/>
  <c r="AC70" i="27" s="1"/>
  <c r="T71" i="27"/>
  <c r="H75" i="27"/>
  <c r="L80" i="27" s="1"/>
  <c r="G75" i="27"/>
  <c r="K80" i="27" s="1"/>
  <c r="E75" i="27"/>
  <c r="I80" i="27" s="1"/>
  <c r="F75" i="27"/>
  <c r="J80" i="27" s="1"/>
  <c r="Z68" i="27"/>
  <c r="C76" i="27"/>
  <c r="V69" i="27"/>
  <c r="M70" i="27"/>
  <c r="R70" i="27" s="1"/>
  <c r="AA69" i="27"/>
  <c r="Y70" i="26"/>
  <c r="AD70" i="26" s="1"/>
  <c r="D79" i="26"/>
  <c r="C78" i="26"/>
  <c r="P71" i="26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P84" i="26" s="1"/>
  <c r="G8" i="26"/>
  <c r="X71" i="26"/>
  <c r="AC71" i="26" s="1"/>
  <c r="AA69" i="26"/>
  <c r="AE69" i="26" s="1"/>
  <c r="M70" i="26"/>
  <c r="V69" i="26"/>
  <c r="Z69" i="26" s="1"/>
  <c r="I7" i="26" s="1"/>
  <c r="J7" i="26" s="1"/>
  <c r="AH71" i="24"/>
  <c r="AI66" i="24" s="1"/>
  <c r="H78" i="24"/>
  <c r="L83" i="24" s="1"/>
  <c r="G78" i="24"/>
  <c r="K83" i="24" s="1"/>
  <c r="F78" i="24"/>
  <c r="J83" i="24" s="1"/>
  <c r="E78" i="24"/>
  <c r="I83" i="24" s="1"/>
  <c r="M72" i="24"/>
  <c r="T71" i="24"/>
  <c r="X70" i="24"/>
  <c r="AC70" i="24" s="1"/>
  <c r="S69" i="24"/>
  <c r="W69" i="24" s="1"/>
  <c r="Y69" i="24"/>
  <c r="AD69" i="24" s="1"/>
  <c r="P70" i="24"/>
  <c r="D79" i="24"/>
  <c r="R71" i="24"/>
  <c r="AB68" i="24"/>
  <c r="AE68" i="24" s="1"/>
  <c r="AF72" i="24" s="1"/>
  <c r="AG72" i="24" s="1"/>
  <c r="Z68" i="24"/>
  <c r="E80" i="28" l="1"/>
  <c r="I85" i="28" s="1"/>
  <c r="F80" i="28"/>
  <c r="J85" i="28" s="1"/>
  <c r="H80" i="28"/>
  <c r="L85" i="28" s="1"/>
  <c r="G80" i="28"/>
  <c r="K85" i="28" s="1"/>
  <c r="AE72" i="28"/>
  <c r="AF76" i="28" s="1"/>
  <c r="AG76" i="28" s="1"/>
  <c r="AH76" i="28" s="1"/>
  <c r="T74" i="28"/>
  <c r="T75" i="28" s="1"/>
  <c r="T76" i="28" s="1"/>
  <c r="T77" i="28" s="1"/>
  <c r="T78" i="28" s="1"/>
  <c r="T79" i="28" s="1"/>
  <c r="T80" i="28" s="1"/>
  <c r="T81" i="28" s="1"/>
  <c r="T82" i="28" s="1"/>
  <c r="T83" i="28" s="1"/>
  <c r="T84" i="28" s="1"/>
  <c r="U74" i="28"/>
  <c r="AI70" i="28"/>
  <c r="W73" i="28"/>
  <c r="Y73" i="28"/>
  <c r="D81" i="28"/>
  <c r="X73" i="28"/>
  <c r="N74" i="28"/>
  <c r="N75" i="28" s="1"/>
  <c r="N76" i="28" s="1"/>
  <c r="N77" i="28" s="1"/>
  <c r="N78" i="28" s="1"/>
  <c r="N79" i="28" s="1"/>
  <c r="N80" i="28" s="1"/>
  <c r="N81" i="28" s="1"/>
  <c r="N82" i="28" s="1"/>
  <c r="N83" i="28" s="1"/>
  <c r="N84" i="28" s="1"/>
  <c r="N85" i="28" s="1"/>
  <c r="N86" i="28" s="1"/>
  <c r="N87" i="28" s="1"/>
  <c r="G8" i="28"/>
  <c r="Q73" i="28"/>
  <c r="M75" i="28"/>
  <c r="R75" i="28" s="1"/>
  <c r="AA74" i="28"/>
  <c r="V74" i="28"/>
  <c r="AH72" i="27"/>
  <c r="AI67" i="27" s="1"/>
  <c r="E77" i="27"/>
  <c r="I82" i="27" s="1"/>
  <c r="F77" i="27"/>
  <c r="J82" i="27" s="1"/>
  <c r="G77" i="27"/>
  <c r="K82" i="27" s="1"/>
  <c r="H77" i="27"/>
  <c r="L82" i="27" s="1"/>
  <c r="V70" i="27"/>
  <c r="AA70" i="27"/>
  <c r="Y70" i="27"/>
  <c r="AD70" i="27" s="1"/>
  <c r="X71" i="27"/>
  <c r="AC71" i="27" s="1"/>
  <c r="T72" i="27"/>
  <c r="D8" i="27"/>
  <c r="N70" i="27"/>
  <c r="Q70" i="27" s="1"/>
  <c r="M71" i="27"/>
  <c r="R71" i="27" s="1"/>
  <c r="D78" i="27"/>
  <c r="C78" i="27" s="1"/>
  <c r="G8" i="27"/>
  <c r="P71" i="27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P84" i="27" s="1"/>
  <c r="AE69" i="27"/>
  <c r="AF73" i="27" s="1"/>
  <c r="AG73" i="27" s="1"/>
  <c r="Z69" i="27"/>
  <c r="H76" i="27"/>
  <c r="L81" i="27" s="1"/>
  <c r="E76" i="27"/>
  <c r="I81" i="27" s="1"/>
  <c r="F76" i="27"/>
  <c r="J81" i="27" s="1"/>
  <c r="G76" i="27"/>
  <c r="K81" i="27" s="1"/>
  <c r="M71" i="26"/>
  <c r="D8" i="26"/>
  <c r="N70" i="26"/>
  <c r="T73" i="26"/>
  <c r="X72" i="26"/>
  <c r="AC72" i="26" s="1"/>
  <c r="H78" i="26"/>
  <c r="L93" i="26" s="1"/>
  <c r="G78" i="26"/>
  <c r="K93" i="26" s="1"/>
  <c r="F78" i="26"/>
  <c r="J93" i="26" s="1"/>
  <c r="E78" i="26"/>
  <c r="I93" i="26" s="1"/>
  <c r="D80" i="26"/>
  <c r="C79" i="26"/>
  <c r="R70" i="26"/>
  <c r="U71" i="26"/>
  <c r="AH72" i="24"/>
  <c r="AI67" i="24" s="1"/>
  <c r="X71" i="24"/>
  <c r="AC71" i="24" s="1"/>
  <c r="T72" i="24"/>
  <c r="AA71" i="24"/>
  <c r="R72" i="24"/>
  <c r="V71" i="24"/>
  <c r="M73" i="24"/>
  <c r="D80" i="24"/>
  <c r="C80" i="24" s="1"/>
  <c r="P71" i="24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P84" i="24" s="1"/>
  <c r="G8" i="24"/>
  <c r="N70" i="24"/>
  <c r="AB69" i="24"/>
  <c r="AE69" i="24" s="1"/>
  <c r="AF73" i="24" s="1"/>
  <c r="AG73" i="24" s="1"/>
  <c r="Z69" i="24"/>
  <c r="C79" i="24"/>
  <c r="U70" i="24"/>
  <c r="T85" i="28" l="1"/>
  <c r="S74" i="28"/>
  <c r="W74" i="28" s="1"/>
  <c r="U75" i="28"/>
  <c r="AD73" i="28"/>
  <c r="AB73" i="28"/>
  <c r="AC73" i="28"/>
  <c r="Q74" i="28"/>
  <c r="Z73" i="28"/>
  <c r="M76" i="28"/>
  <c r="R76" i="28" s="1"/>
  <c r="Q75" i="28"/>
  <c r="D82" i="28"/>
  <c r="C82" i="28" s="1"/>
  <c r="AA75" i="28"/>
  <c r="V75" i="28"/>
  <c r="C81" i="28"/>
  <c r="X74" i="28"/>
  <c r="Y74" i="28"/>
  <c r="S70" i="27"/>
  <c r="W70" i="27" s="1"/>
  <c r="AB70" i="27" s="1"/>
  <c r="AE70" i="27" s="1"/>
  <c r="AF74" i="27" s="1"/>
  <c r="AG74" i="27" s="1"/>
  <c r="AH73" i="27"/>
  <c r="U71" i="27"/>
  <c r="AA71" i="27"/>
  <c r="V71" i="27"/>
  <c r="M72" i="27"/>
  <c r="E8" i="27"/>
  <c r="N71" i="27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N84" i="27" s="1"/>
  <c r="D79" i="27"/>
  <c r="C79" i="27" s="1"/>
  <c r="T73" i="27"/>
  <c r="X72" i="27"/>
  <c r="AC72" i="27" s="1"/>
  <c r="E78" i="27"/>
  <c r="I83" i="27" s="1"/>
  <c r="F78" i="27"/>
  <c r="J83" i="27" s="1"/>
  <c r="H78" i="27"/>
  <c r="L83" i="27" s="1"/>
  <c r="G78" i="27"/>
  <c r="K83" i="27" s="1"/>
  <c r="I7" i="27"/>
  <c r="D81" i="26"/>
  <c r="C80" i="26"/>
  <c r="T74" i="26"/>
  <c r="X73" i="26"/>
  <c r="AC73" i="26" s="1"/>
  <c r="N71" i="26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N84" i="26" s="1"/>
  <c r="E8" i="26"/>
  <c r="S70" i="26"/>
  <c r="W70" i="26" s="1"/>
  <c r="AB70" i="26" s="1"/>
  <c r="U72" i="26"/>
  <c r="Y71" i="26"/>
  <c r="AD71" i="26" s="1"/>
  <c r="M72" i="26"/>
  <c r="AA70" i="26"/>
  <c r="R71" i="26"/>
  <c r="V70" i="26"/>
  <c r="F79" i="26"/>
  <c r="J94" i="26" s="1"/>
  <c r="E79" i="26"/>
  <c r="I94" i="26" s="1"/>
  <c r="H79" i="26"/>
  <c r="L94" i="26" s="1"/>
  <c r="G79" i="26"/>
  <c r="K94" i="26" s="1"/>
  <c r="Q70" i="26"/>
  <c r="AH73" i="24"/>
  <c r="F80" i="24"/>
  <c r="J85" i="24" s="1"/>
  <c r="E80" i="24"/>
  <c r="I85" i="24" s="1"/>
  <c r="H80" i="24"/>
  <c r="L85" i="24" s="1"/>
  <c r="G80" i="24"/>
  <c r="K85" i="24" s="1"/>
  <c r="D81" i="24"/>
  <c r="C81" i="24" s="1"/>
  <c r="V72" i="24"/>
  <c r="R73" i="24"/>
  <c r="AA72" i="24"/>
  <c r="M74" i="24"/>
  <c r="T73" i="24"/>
  <c r="X72" i="24"/>
  <c r="AC72" i="24" s="1"/>
  <c r="I7" i="24"/>
  <c r="N71" i="24"/>
  <c r="E8" i="24"/>
  <c r="Q70" i="24"/>
  <c r="G79" i="24"/>
  <c r="K84" i="24" s="1"/>
  <c r="F79" i="24"/>
  <c r="J84" i="24" s="1"/>
  <c r="H79" i="24"/>
  <c r="L84" i="24" s="1"/>
  <c r="E79" i="24"/>
  <c r="I84" i="24" s="1"/>
  <c r="U71" i="24"/>
  <c r="Y70" i="24"/>
  <c r="AD70" i="24" s="1"/>
  <c r="S70" i="24"/>
  <c r="W70" i="24" s="1"/>
  <c r="E82" i="28" l="1"/>
  <c r="I87" i="28" s="1"/>
  <c r="F82" i="28"/>
  <c r="J87" i="28" s="1"/>
  <c r="G82" i="28"/>
  <c r="K87" i="28" s="1"/>
  <c r="H82" i="28"/>
  <c r="L87" i="28" s="1"/>
  <c r="Q71" i="26"/>
  <c r="S71" i="26"/>
  <c r="W71" i="26" s="1"/>
  <c r="AB71" i="26" s="1"/>
  <c r="F81" i="28"/>
  <c r="J86" i="28" s="1"/>
  <c r="G81" i="28"/>
  <c r="K86" i="28" s="1"/>
  <c r="T86" i="28" s="1"/>
  <c r="H81" i="28"/>
  <c r="L86" i="28" s="1"/>
  <c r="E81" i="28"/>
  <c r="I86" i="28" s="1"/>
  <c r="AE73" i="28"/>
  <c r="AF77" i="28" s="1"/>
  <c r="AG77" i="28" s="1"/>
  <c r="AH77" i="28" s="1"/>
  <c r="AI71" i="28" s="1"/>
  <c r="S75" i="28"/>
  <c r="W75" i="28" s="1"/>
  <c r="U76" i="28"/>
  <c r="AB74" i="28"/>
  <c r="AD74" i="28"/>
  <c r="AC74" i="28"/>
  <c r="D83" i="28"/>
  <c r="C83" i="28" s="1"/>
  <c r="Y75" i="28"/>
  <c r="Q76" i="28"/>
  <c r="M77" i="28"/>
  <c r="R77" i="28" s="1"/>
  <c r="X75" i="28"/>
  <c r="Z74" i="28"/>
  <c r="Q71" i="27"/>
  <c r="Z70" i="27"/>
  <c r="F79" i="27"/>
  <c r="J84" i="27" s="1"/>
  <c r="G79" i="27"/>
  <c r="K84" i="27" s="1"/>
  <c r="H79" i="27"/>
  <c r="L84" i="27" s="1"/>
  <c r="E79" i="27"/>
  <c r="I84" i="27" s="1"/>
  <c r="Q72" i="27"/>
  <c r="M73" i="27"/>
  <c r="R72" i="27"/>
  <c r="T74" i="27"/>
  <c r="X73" i="27"/>
  <c r="AC73" i="27" s="1"/>
  <c r="U72" i="27"/>
  <c r="S71" i="27"/>
  <c r="W71" i="27" s="1"/>
  <c r="AB71" i="27" s="1"/>
  <c r="Y71" i="27"/>
  <c r="AD71" i="27" s="1"/>
  <c r="D80" i="27"/>
  <c r="AH74" i="27"/>
  <c r="U73" i="26"/>
  <c r="Y72" i="26"/>
  <c r="AD72" i="26" s="1"/>
  <c r="T75" i="26"/>
  <c r="X74" i="26"/>
  <c r="AC74" i="26" s="1"/>
  <c r="AA71" i="26"/>
  <c r="R72" i="26"/>
  <c r="V71" i="26"/>
  <c r="H80" i="26"/>
  <c r="L95" i="26" s="1"/>
  <c r="G80" i="26"/>
  <c r="K95" i="26" s="1"/>
  <c r="F80" i="26"/>
  <c r="J95" i="26" s="1"/>
  <c r="E80" i="26"/>
  <c r="I95" i="26" s="1"/>
  <c r="D82" i="26"/>
  <c r="C82" i="26" s="1"/>
  <c r="Z70" i="26"/>
  <c r="AE70" i="26"/>
  <c r="M73" i="26"/>
  <c r="Q72" i="26"/>
  <c r="C81" i="26"/>
  <c r="H81" i="24"/>
  <c r="L86" i="24" s="1"/>
  <c r="G81" i="24"/>
  <c r="K86" i="24" s="1"/>
  <c r="F81" i="24"/>
  <c r="J86" i="24" s="1"/>
  <c r="E81" i="24"/>
  <c r="I86" i="24" s="1"/>
  <c r="R74" i="24"/>
  <c r="AA73" i="24"/>
  <c r="V73" i="24"/>
  <c r="D82" i="24"/>
  <c r="C82" i="24" s="1"/>
  <c r="T74" i="24"/>
  <c r="X73" i="24"/>
  <c r="AC73" i="24" s="1"/>
  <c r="N72" i="24"/>
  <c r="Q71" i="24"/>
  <c r="U72" i="24"/>
  <c r="Y71" i="24"/>
  <c r="AD71" i="24" s="1"/>
  <c r="S71" i="24"/>
  <c r="W71" i="24" s="1"/>
  <c r="M75" i="24"/>
  <c r="AB70" i="24"/>
  <c r="AE70" i="24" s="1"/>
  <c r="AF74" i="24" s="1"/>
  <c r="AG74" i="24" s="1"/>
  <c r="Z70" i="24"/>
  <c r="T87" i="28" l="1"/>
  <c r="AE71" i="26"/>
  <c r="S72" i="26"/>
  <c r="W72" i="26" s="1"/>
  <c r="AB72" i="26" s="1"/>
  <c r="Z71" i="26"/>
  <c r="E83" i="28"/>
  <c r="I88" i="28" s="1"/>
  <c r="F83" i="28"/>
  <c r="J88" i="28" s="1"/>
  <c r="H83" i="28"/>
  <c r="L88" i="28" s="1"/>
  <c r="G83" i="28"/>
  <c r="K88" i="28" s="1"/>
  <c r="U77" i="28"/>
  <c r="S76" i="28"/>
  <c r="W76" i="28" s="1"/>
  <c r="AE74" i="28"/>
  <c r="AF78" i="28" s="1"/>
  <c r="AG78" i="28" s="1"/>
  <c r="AH78" i="28" s="1"/>
  <c r="AI72" i="28" s="1"/>
  <c r="D7" i="28" s="1"/>
  <c r="AD75" i="28"/>
  <c r="AB75" i="28"/>
  <c r="AC75" i="28"/>
  <c r="Y76" i="28"/>
  <c r="AA76" i="28"/>
  <c r="V76" i="28"/>
  <c r="D84" i="28"/>
  <c r="X76" i="28"/>
  <c r="Z75" i="28"/>
  <c r="Q77" i="28"/>
  <c r="M78" i="28"/>
  <c r="R78" i="28" s="1"/>
  <c r="AI68" i="27"/>
  <c r="AE71" i="27"/>
  <c r="AF75" i="27" s="1"/>
  <c r="AG75" i="27" s="1"/>
  <c r="AH75" i="27" s="1"/>
  <c r="AI69" i="27" s="1"/>
  <c r="Z71" i="27"/>
  <c r="T75" i="27"/>
  <c r="X74" i="27"/>
  <c r="AC74" i="27" s="1"/>
  <c r="R73" i="27"/>
  <c r="AA72" i="27"/>
  <c r="V72" i="27"/>
  <c r="D81" i="27"/>
  <c r="Q73" i="27"/>
  <c r="M74" i="27"/>
  <c r="C80" i="27"/>
  <c r="Y72" i="27"/>
  <c r="AD72" i="27" s="1"/>
  <c r="U73" i="27"/>
  <c r="S72" i="27"/>
  <c r="W72" i="27" s="1"/>
  <c r="AB72" i="27" s="1"/>
  <c r="R73" i="26"/>
  <c r="AA72" i="26"/>
  <c r="V72" i="26"/>
  <c r="X75" i="26"/>
  <c r="AC75" i="26" s="1"/>
  <c r="T76" i="26"/>
  <c r="G82" i="26"/>
  <c r="K97" i="26" s="1"/>
  <c r="F82" i="26"/>
  <c r="J97" i="26" s="1"/>
  <c r="E82" i="26"/>
  <c r="I97" i="26" s="1"/>
  <c r="H82" i="26"/>
  <c r="L97" i="26" s="1"/>
  <c r="U74" i="26"/>
  <c r="Y73" i="26"/>
  <c r="AD73" i="26" s="1"/>
  <c r="E81" i="26"/>
  <c r="I96" i="26" s="1"/>
  <c r="F81" i="26"/>
  <c r="J96" i="26" s="1"/>
  <c r="H81" i="26"/>
  <c r="L96" i="26" s="1"/>
  <c r="G81" i="26"/>
  <c r="K96" i="26" s="1"/>
  <c r="Q73" i="26"/>
  <c r="M74" i="26"/>
  <c r="D83" i="26"/>
  <c r="C83" i="26" s="1"/>
  <c r="E82" i="24"/>
  <c r="I87" i="24" s="1"/>
  <c r="H82" i="24"/>
  <c r="L87" i="24" s="1"/>
  <c r="G82" i="24"/>
  <c r="K87" i="24" s="1"/>
  <c r="F82" i="24"/>
  <c r="J87" i="24" s="1"/>
  <c r="T75" i="24"/>
  <c r="X74" i="24"/>
  <c r="AC74" i="24" s="1"/>
  <c r="V74" i="24"/>
  <c r="R75" i="24"/>
  <c r="AA74" i="24"/>
  <c r="D83" i="24"/>
  <c r="C83" i="24" s="1"/>
  <c r="Y72" i="24"/>
  <c r="AD72" i="24" s="1"/>
  <c r="U73" i="24"/>
  <c r="S72" i="24"/>
  <c r="W72" i="24" s="1"/>
  <c r="AB71" i="24"/>
  <c r="AE71" i="24" s="1"/>
  <c r="AF75" i="24" s="1"/>
  <c r="AG75" i="24" s="1"/>
  <c r="Z71" i="24"/>
  <c r="AH74" i="24"/>
  <c r="AI68" i="24" s="1"/>
  <c r="M76" i="24"/>
  <c r="N73" i="24"/>
  <c r="Q72" i="24"/>
  <c r="Z72" i="26" l="1"/>
  <c r="AE72" i="26"/>
  <c r="S73" i="26"/>
  <c r="W73" i="26" s="1"/>
  <c r="AB73" i="26" s="1"/>
  <c r="J7" i="27"/>
  <c r="S77" i="28"/>
  <c r="W77" i="28" s="1"/>
  <c r="U78" i="28"/>
  <c r="AE75" i="28"/>
  <c r="AF79" i="28" s="1"/>
  <c r="AG79" i="28" s="1"/>
  <c r="AH79" i="28" s="1"/>
  <c r="AD76" i="28"/>
  <c r="AC76" i="28"/>
  <c r="AB76" i="28"/>
  <c r="Z76" i="28"/>
  <c r="AA77" i="28"/>
  <c r="V77" i="28"/>
  <c r="Y77" i="28"/>
  <c r="Q78" i="28"/>
  <c r="M79" i="28"/>
  <c r="R79" i="28" s="1"/>
  <c r="D85" i="28"/>
  <c r="X77" i="28"/>
  <c r="C84" i="28"/>
  <c r="D82" i="27"/>
  <c r="C81" i="27"/>
  <c r="Z72" i="27"/>
  <c r="AE72" i="27"/>
  <c r="AF76" i="27" s="1"/>
  <c r="AG76" i="27" s="1"/>
  <c r="R74" i="27"/>
  <c r="V73" i="27"/>
  <c r="AA73" i="27"/>
  <c r="S73" i="27"/>
  <c r="W73" i="27" s="1"/>
  <c r="AB73" i="27" s="1"/>
  <c r="U74" i="27"/>
  <c r="Y73" i="27"/>
  <c r="AD73" i="27" s="1"/>
  <c r="X75" i="27"/>
  <c r="AC75" i="27" s="1"/>
  <c r="T76" i="27"/>
  <c r="F80" i="27"/>
  <c r="J85" i="27" s="1"/>
  <c r="H80" i="27"/>
  <c r="L85" i="27" s="1"/>
  <c r="G80" i="27"/>
  <c r="K85" i="27" s="1"/>
  <c r="E80" i="27"/>
  <c r="I85" i="27" s="1"/>
  <c r="M75" i="27"/>
  <c r="Q74" i="27"/>
  <c r="U75" i="26"/>
  <c r="Y74" i="26"/>
  <c r="AD74" i="26" s="1"/>
  <c r="S74" i="26"/>
  <c r="W74" i="26" s="1"/>
  <c r="AB74" i="26" s="1"/>
  <c r="D84" i="26"/>
  <c r="H83" i="26"/>
  <c r="L98" i="26" s="1"/>
  <c r="G83" i="26"/>
  <c r="K98" i="26" s="1"/>
  <c r="F83" i="26"/>
  <c r="J98" i="26" s="1"/>
  <c r="E83" i="26"/>
  <c r="I98" i="26" s="1"/>
  <c r="M75" i="26"/>
  <c r="Q74" i="26"/>
  <c r="T77" i="26"/>
  <c r="X76" i="26"/>
  <c r="AC76" i="26" s="1"/>
  <c r="AA73" i="26"/>
  <c r="R74" i="26"/>
  <c r="V73" i="26"/>
  <c r="Z73" i="26" s="1"/>
  <c r="H83" i="24"/>
  <c r="L88" i="24" s="1"/>
  <c r="G83" i="24"/>
  <c r="K88" i="24" s="1"/>
  <c r="F83" i="24"/>
  <c r="J88" i="24" s="1"/>
  <c r="E83" i="24"/>
  <c r="I88" i="24" s="1"/>
  <c r="M77" i="24"/>
  <c r="AA75" i="24"/>
  <c r="V75" i="24"/>
  <c r="R76" i="24"/>
  <c r="N74" i="24"/>
  <c r="Q73" i="24"/>
  <c r="X75" i="24"/>
  <c r="AC75" i="24" s="1"/>
  <c r="T76" i="24"/>
  <c r="Y73" i="24"/>
  <c r="AD73" i="24" s="1"/>
  <c r="U74" i="24"/>
  <c r="S73" i="24"/>
  <c r="W73" i="24" s="1"/>
  <c r="AH75" i="24"/>
  <c r="AI69" i="24" s="1"/>
  <c r="J7" i="24" s="1"/>
  <c r="AB72" i="24"/>
  <c r="AE72" i="24" s="1"/>
  <c r="AF76" i="24" s="1"/>
  <c r="AG76" i="24" s="1"/>
  <c r="Z72" i="24"/>
  <c r="D84" i="24"/>
  <c r="C84" i="24" s="1"/>
  <c r="AE73" i="26" l="1"/>
  <c r="F84" i="28"/>
  <c r="J89" i="28" s="1"/>
  <c r="G84" i="28"/>
  <c r="K89" i="28" s="1"/>
  <c r="H84" i="28"/>
  <c r="E84" i="28"/>
  <c r="I89" i="28" s="1"/>
  <c r="S78" i="28"/>
  <c r="W78" i="28" s="1"/>
  <c r="U79" i="28"/>
  <c r="AE76" i="28"/>
  <c r="AF80" i="28" s="1"/>
  <c r="AG80" i="28" s="1"/>
  <c r="AH80" i="28" s="1"/>
  <c r="AB77" i="28"/>
  <c r="AD77" i="28"/>
  <c r="AC77" i="28"/>
  <c r="M80" i="28"/>
  <c r="R80" i="28" s="1"/>
  <c r="Q79" i="28"/>
  <c r="Y78" i="28"/>
  <c r="AA78" i="28"/>
  <c r="V78" i="28"/>
  <c r="Z77" i="28"/>
  <c r="L89" i="28"/>
  <c r="D86" i="28"/>
  <c r="C85" i="28"/>
  <c r="X78" i="28"/>
  <c r="U75" i="27"/>
  <c r="Y74" i="27"/>
  <c r="AD74" i="27" s="1"/>
  <c r="S74" i="27"/>
  <c r="W74" i="27" s="1"/>
  <c r="AB74" i="27" s="1"/>
  <c r="AE73" i="27"/>
  <c r="AF77" i="27" s="1"/>
  <c r="AG77" i="27" s="1"/>
  <c r="Z73" i="27"/>
  <c r="V74" i="27"/>
  <c r="R75" i="27"/>
  <c r="AA74" i="27"/>
  <c r="AH76" i="27"/>
  <c r="M76" i="27"/>
  <c r="Q75" i="27"/>
  <c r="G81" i="27"/>
  <c r="K86" i="27" s="1"/>
  <c r="E81" i="27"/>
  <c r="I86" i="27" s="1"/>
  <c r="F81" i="27"/>
  <c r="J86" i="27" s="1"/>
  <c r="H81" i="27"/>
  <c r="L86" i="27" s="1"/>
  <c r="D83" i="27"/>
  <c r="C83" i="27" s="1"/>
  <c r="X76" i="27"/>
  <c r="AC76" i="27" s="1"/>
  <c r="T77" i="27"/>
  <c r="C82" i="27"/>
  <c r="M76" i="26"/>
  <c r="Q75" i="26"/>
  <c r="D85" i="26"/>
  <c r="T78" i="26"/>
  <c r="X77" i="26"/>
  <c r="AC77" i="26" s="1"/>
  <c r="C84" i="26"/>
  <c r="AA74" i="26"/>
  <c r="AE74" i="26" s="1"/>
  <c r="V74" i="26"/>
  <c r="Z74" i="26" s="1"/>
  <c r="R75" i="26"/>
  <c r="U76" i="26"/>
  <c r="S75" i="26"/>
  <c r="W75" i="26" s="1"/>
  <c r="AB75" i="26" s="1"/>
  <c r="Y75" i="26"/>
  <c r="AD75" i="26" s="1"/>
  <c r="H84" i="24"/>
  <c r="L89" i="24" s="1"/>
  <c r="G84" i="24"/>
  <c r="K89" i="24" s="1"/>
  <c r="F84" i="24"/>
  <c r="J89" i="24" s="1"/>
  <c r="E84" i="24"/>
  <c r="I89" i="24" s="1"/>
  <c r="AH76" i="24"/>
  <c r="N75" i="24"/>
  <c r="Q74" i="24"/>
  <c r="V76" i="24"/>
  <c r="R77" i="24"/>
  <c r="AA76" i="24"/>
  <c r="AB73" i="24"/>
  <c r="AE73" i="24" s="1"/>
  <c r="AF77" i="24" s="1"/>
  <c r="AG77" i="24" s="1"/>
  <c r="Z73" i="24"/>
  <c r="M78" i="24"/>
  <c r="X76" i="24"/>
  <c r="AC76" i="24" s="1"/>
  <c r="T77" i="24"/>
  <c r="S74" i="24"/>
  <c r="W74" i="24" s="1"/>
  <c r="Y74" i="24"/>
  <c r="AD74" i="24" s="1"/>
  <c r="U75" i="24"/>
  <c r="D85" i="24"/>
  <c r="C85" i="24" s="1"/>
  <c r="E85" i="28" l="1"/>
  <c r="F85" i="28"/>
  <c r="G85" i="28"/>
  <c r="K90" i="28" s="1"/>
  <c r="H85" i="28"/>
  <c r="U80" i="28"/>
  <c r="S79" i="28"/>
  <c r="W79" i="28" s="1"/>
  <c r="AE77" i="28"/>
  <c r="AF81" i="28" s="1"/>
  <c r="AG81" i="28" s="1"/>
  <c r="AH81" i="28" s="1"/>
  <c r="AB78" i="28"/>
  <c r="AC78" i="28"/>
  <c r="AD78" i="28"/>
  <c r="AM78" i="28"/>
  <c r="Z78" i="28"/>
  <c r="V79" i="28"/>
  <c r="AA79" i="28"/>
  <c r="Y79" i="28"/>
  <c r="D87" i="28"/>
  <c r="X79" i="28"/>
  <c r="L90" i="28"/>
  <c r="J90" i="28"/>
  <c r="I90" i="28"/>
  <c r="C86" i="28"/>
  <c r="M81" i="28"/>
  <c r="R81" i="28" s="1"/>
  <c r="Q80" i="28"/>
  <c r="Z74" i="27"/>
  <c r="AE74" i="27"/>
  <c r="AF78" i="27" s="1"/>
  <c r="AG78" i="27" s="1"/>
  <c r="E83" i="27"/>
  <c r="I88" i="27" s="1"/>
  <c r="F83" i="27"/>
  <c r="J88" i="27" s="1"/>
  <c r="G83" i="27"/>
  <c r="K88" i="27" s="1"/>
  <c r="H83" i="27"/>
  <c r="L88" i="27" s="1"/>
  <c r="X77" i="27"/>
  <c r="AC77" i="27" s="1"/>
  <c r="T78" i="27"/>
  <c r="AH77" i="27"/>
  <c r="V75" i="27"/>
  <c r="R76" i="27"/>
  <c r="AA75" i="27"/>
  <c r="E82" i="27"/>
  <c r="I87" i="27" s="1"/>
  <c r="F82" i="27"/>
  <c r="J87" i="27" s="1"/>
  <c r="G82" i="27"/>
  <c r="K87" i="27" s="1"/>
  <c r="H82" i="27"/>
  <c r="L87" i="27" s="1"/>
  <c r="D84" i="27"/>
  <c r="C84" i="27" s="1"/>
  <c r="Q76" i="27"/>
  <c r="M77" i="27"/>
  <c r="Y75" i="27"/>
  <c r="AD75" i="27" s="1"/>
  <c r="S75" i="27"/>
  <c r="W75" i="27" s="1"/>
  <c r="AB75" i="27" s="1"/>
  <c r="U76" i="27"/>
  <c r="H84" i="26"/>
  <c r="L99" i="26" s="1"/>
  <c r="G84" i="26"/>
  <c r="K99" i="26" s="1"/>
  <c r="F84" i="26"/>
  <c r="J99" i="26" s="1"/>
  <c r="E84" i="26"/>
  <c r="I99" i="26" s="1"/>
  <c r="AA75" i="26"/>
  <c r="AE75" i="26" s="1"/>
  <c r="R76" i="26"/>
  <c r="V75" i="26"/>
  <c r="Z75" i="26" s="1"/>
  <c r="D86" i="26"/>
  <c r="C86" i="26" s="1"/>
  <c r="C85" i="26"/>
  <c r="U77" i="26"/>
  <c r="Y76" i="26"/>
  <c r="AD76" i="26" s="1"/>
  <c r="S76" i="26"/>
  <c r="W76" i="26" s="1"/>
  <c r="AB76" i="26" s="1"/>
  <c r="X78" i="26"/>
  <c r="AC78" i="26" s="1"/>
  <c r="T79" i="26"/>
  <c r="M77" i="26"/>
  <c r="Q76" i="26"/>
  <c r="H85" i="24"/>
  <c r="L90" i="24" s="1"/>
  <c r="G85" i="24"/>
  <c r="K90" i="24" s="1"/>
  <c r="F85" i="24"/>
  <c r="J90" i="24" s="1"/>
  <c r="E85" i="24"/>
  <c r="I90" i="24" s="1"/>
  <c r="AA77" i="24"/>
  <c r="V77" i="24"/>
  <c r="R78" i="24"/>
  <c r="AB74" i="24"/>
  <c r="AE74" i="24" s="1"/>
  <c r="AF78" i="24" s="1"/>
  <c r="AG78" i="24" s="1"/>
  <c r="Z74" i="24"/>
  <c r="N76" i="24"/>
  <c r="Q75" i="24"/>
  <c r="X77" i="24"/>
  <c r="AC77" i="24" s="1"/>
  <c r="T78" i="24"/>
  <c r="AH77" i="24"/>
  <c r="M79" i="24"/>
  <c r="U76" i="24"/>
  <c r="S75" i="24"/>
  <c r="W75" i="24" s="1"/>
  <c r="Y75" i="24"/>
  <c r="AD75" i="24" s="1"/>
  <c r="D86" i="24"/>
  <c r="E86" i="28" l="1"/>
  <c r="I91" i="28" s="1"/>
  <c r="F86" i="28"/>
  <c r="J91" i="28" s="1"/>
  <c r="H86" i="28"/>
  <c r="G86" i="28"/>
  <c r="K91" i="28" s="1"/>
  <c r="AE78" i="28"/>
  <c r="AF82" i="28" s="1"/>
  <c r="AG82" i="28" s="1"/>
  <c r="AH82" i="28" s="1"/>
  <c r="S80" i="28"/>
  <c r="W80" i="28" s="1"/>
  <c r="U81" i="28"/>
  <c r="AD79" i="28"/>
  <c r="AM79" i="28"/>
  <c r="AB79" i="28"/>
  <c r="AC79" i="28"/>
  <c r="M82" i="28"/>
  <c r="R82" i="28" s="1"/>
  <c r="Q81" i="28"/>
  <c r="Y80" i="28"/>
  <c r="L91" i="28"/>
  <c r="AA80" i="28"/>
  <c r="V80" i="28"/>
  <c r="Z79" i="28"/>
  <c r="X80" i="28"/>
  <c r="D88" i="28"/>
  <c r="C88" i="28" s="1"/>
  <c r="C87" i="28"/>
  <c r="E84" i="27"/>
  <c r="I89" i="27" s="1"/>
  <c r="F84" i="27"/>
  <c r="J89" i="27" s="1"/>
  <c r="G84" i="27"/>
  <c r="K89" i="27" s="1"/>
  <c r="H84" i="27"/>
  <c r="L89" i="27" s="1"/>
  <c r="AE75" i="27"/>
  <c r="AF79" i="27" s="1"/>
  <c r="AG79" i="27" s="1"/>
  <c r="V76" i="27"/>
  <c r="R77" i="27"/>
  <c r="AA76" i="27"/>
  <c r="Z75" i="27"/>
  <c r="AH78" i="27"/>
  <c r="T79" i="27"/>
  <c r="X78" i="27"/>
  <c r="AC78" i="27" s="1"/>
  <c r="M78" i="27"/>
  <c r="Q77" i="27"/>
  <c r="D85" i="27"/>
  <c r="Y76" i="27"/>
  <c r="AD76" i="27" s="1"/>
  <c r="S76" i="27"/>
  <c r="W76" i="27" s="1"/>
  <c r="AB76" i="27" s="1"/>
  <c r="U77" i="27"/>
  <c r="E86" i="26"/>
  <c r="I101" i="26" s="1"/>
  <c r="H86" i="26"/>
  <c r="L101" i="26" s="1"/>
  <c r="G86" i="26"/>
  <c r="K101" i="26" s="1"/>
  <c r="F86" i="26"/>
  <c r="J101" i="26" s="1"/>
  <c r="D87" i="26"/>
  <c r="C87" i="26" s="1"/>
  <c r="R77" i="26"/>
  <c r="AA76" i="26"/>
  <c r="AE76" i="26" s="1"/>
  <c r="V76" i="26"/>
  <c r="Z76" i="26" s="1"/>
  <c r="H85" i="26"/>
  <c r="L100" i="26" s="1"/>
  <c r="G85" i="26"/>
  <c r="K100" i="26" s="1"/>
  <c r="E85" i="26"/>
  <c r="I100" i="26" s="1"/>
  <c r="F85" i="26"/>
  <c r="J100" i="26" s="1"/>
  <c r="X79" i="26"/>
  <c r="AC79" i="26" s="1"/>
  <c r="T80" i="26"/>
  <c r="U78" i="26"/>
  <c r="Y77" i="26"/>
  <c r="AD77" i="26" s="1"/>
  <c r="S77" i="26"/>
  <c r="W77" i="26" s="1"/>
  <c r="AB77" i="26" s="1"/>
  <c r="Q77" i="26"/>
  <c r="M78" i="26"/>
  <c r="AH78" i="24"/>
  <c r="N77" i="24"/>
  <c r="Q76" i="24"/>
  <c r="AB75" i="24"/>
  <c r="AE75" i="24" s="1"/>
  <c r="AF79" i="24" s="1"/>
  <c r="AG79" i="24" s="1"/>
  <c r="Z75" i="24"/>
  <c r="AA78" i="24"/>
  <c r="V78" i="24"/>
  <c r="R79" i="24"/>
  <c r="D87" i="24"/>
  <c r="M80" i="24"/>
  <c r="Y76" i="24"/>
  <c r="AD76" i="24" s="1"/>
  <c r="U77" i="24"/>
  <c r="S76" i="24"/>
  <c r="W76" i="24" s="1"/>
  <c r="T79" i="24"/>
  <c r="X78" i="24"/>
  <c r="AC78" i="24" s="1"/>
  <c r="C86" i="24"/>
  <c r="E88" i="28" l="1"/>
  <c r="I93" i="28" s="1"/>
  <c r="F88" i="28"/>
  <c r="J93" i="28" s="1"/>
  <c r="G88" i="28"/>
  <c r="K93" i="28" s="1"/>
  <c r="H88" i="28"/>
  <c r="L93" i="28" s="1"/>
  <c r="F87" i="28"/>
  <c r="G87" i="28"/>
  <c r="K92" i="28" s="1"/>
  <c r="H87" i="28"/>
  <c r="L92" i="28" s="1"/>
  <c r="E87" i="28"/>
  <c r="I92" i="28" s="1"/>
  <c r="AE79" i="28"/>
  <c r="AF83" i="28" s="1"/>
  <c r="AG83" i="28" s="1"/>
  <c r="AH83" i="28" s="1"/>
  <c r="S81" i="28"/>
  <c r="W81" i="28" s="1"/>
  <c r="U82" i="28"/>
  <c r="AB80" i="28"/>
  <c r="AD80" i="28"/>
  <c r="AM80" i="28"/>
  <c r="AC80" i="28"/>
  <c r="Y81" i="28"/>
  <c r="X81" i="28"/>
  <c r="J92" i="28"/>
  <c r="D89" i="28"/>
  <c r="M83" i="28"/>
  <c r="R83" i="28" s="1"/>
  <c r="Q82" i="28"/>
  <c r="AA81" i="28"/>
  <c r="V81" i="28"/>
  <c r="Z80" i="28"/>
  <c r="AH79" i="27"/>
  <c r="S77" i="27"/>
  <c r="W77" i="27" s="1"/>
  <c r="AB77" i="27" s="1"/>
  <c r="Y77" i="27"/>
  <c r="AD77" i="27" s="1"/>
  <c r="U78" i="27"/>
  <c r="AE76" i="27"/>
  <c r="AF80" i="27" s="1"/>
  <c r="AG80" i="27" s="1"/>
  <c r="AA77" i="27"/>
  <c r="R78" i="27"/>
  <c r="V77" i="27"/>
  <c r="Z76" i="27"/>
  <c r="D86" i="27"/>
  <c r="C85" i="27"/>
  <c r="Q78" i="27"/>
  <c r="M79" i="27"/>
  <c r="T80" i="27"/>
  <c r="X79" i="27"/>
  <c r="AC79" i="27" s="1"/>
  <c r="H87" i="26"/>
  <c r="L102" i="26" s="1"/>
  <c r="G87" i="26"/>
  <c r="K102" i="26" s="1"/>
  <c r="F87" i="26"/>
  <c r="J102" i="26" s="1"/>
  <c r="E87" i="26"/>
  <c r="I102" i="26" s="1"/>
  <c r="M79" i="26"/>
  <c r="Q78" i="26"/>
  <c r="T81" i="26"/>
  <c r="X80" i="26"/>
  <c r="AC80" i="26" s="1"/>
  <c r="D88" i="26"/>
  <c r="C88" i="26" s="1"/>
  <c r="AA77" i="26"/>
  <c r="AE77" i="26" s="1"/>
  <c r="R78" i="26"/>
  <c r="V77" i="26"/>
  <c r="Z77" i="26" s="1"/>
  <c r="Y78" i="26"/>
  <c r="AD78" i="26" s="1"/>
  <c r="S78" i="26"/>
  <c r="W78" i="26" s="1"/>
  <c r="AB78" i="26" s="1"/>
  <c r="U79" i="26"/>
  <c r="AH79" i="24"/>
  <c r="F86" i="24"/>
  <c r="J91" i="24" s="1"/>
  <c r="E86" i="24"/>
  <c r="I91" i="24" s="1"/>
  <c r="H86" i="24"/>
  <c r="L91" i="24" s="1"/>
  <c r="G86" i="24"/>
  <c r="K91" i="24" s="1"/>
  <c r="AB76" i="24"/>
  <c r="AE76" i="24" s="1"/>
  <c r="AF80" i="24" s="1"/>
  <c r="AG80" i="24" s="1"/>
  <c r="Z76" i="24"/>
  <c r="R80" i="24"/>
  <c r="AA79" i="24"/>
  <c r="V79" i="24"/>
  <c r="D88" i="24"/>
  <c r="C88" i="24" s="1"/>
  <c r="N78" i="24"/>
  <c r="Q77" i="24"/>
  <c r="Y77" i="24"/>
  <c r="AD77" i="24" s="1"/>
  <c r="U78" i="24"/>
  <c r="S77" i="24"/>
  <c r="W77" i="24" s="1"/>
  <c r="M81" i="24"/>
  <c r="C87" i="24"/>
  <c r="X79" i="24"/>
  <c r="AC79" i="24" s="1"/>
  <c r="T80" i="24"/>
  <c r="U83" i="28" l="1"/>
  <c r="S82" i="28"/>
  <c r="W82" i="28" s="1"/>
  <c r="AE80" i="28"/>
  <c r="AF84" i="28" s="1"/>
  <c r="AG84" i="28" s="1"/>
  <c r="AH84" i="28" s="1"/>
  <c r="AB81" i="28"/>
  <c r="AI73" i="28"/>
  <c r="AC81" i="28"/>
  <c r="AD81" i="28"/>
  <c r="AM81" i="28"/>
  <c r="D90" i="28"/>
  <c r="C90" i="28" s="1"/>
  <c r="X82" i="28"/>
  <c r="Z81" i="28"/>
  <c r="AA82" i="28"/>
  <c r="V82" i="28"/>
  <c r="Y82" i="28"/>
  <c r="Q83" i="28"/>
  <c r="M84" i="28"/>
  <c r="R84" i="28" s="1"/>
  <c r="C89" i="28"/>
  <c r="Z77" i="27"/>
  <c r="AE77" i="27"/>
  <c r="AF81" i="27" s="1"/>
  <c r="AG81" i="27" s="1"/>
  <c r="AH80" i="27"/>
  <c r="R79" i="27"/>
  <c r="V78" i="27"/>
  <c r="AA78" i="27"/>
  <c r="S78" i="27"/>
  <c r="W78" i="27" s="1"/>
  <c r="AB78" i="27" s="1"/>
  <c r="U79" i="27"/>
  <c r="Y78" i="27"/>
  <c r="AD78" i="27" s="1"/>
  <c r="M80" i="27"/>
  <c r="Q79" i="27"/>
  <c r="E85" i="27"/>
  <c r="I90" i="27" s="1"/>
  <c r="F85" i="27"/>
  <c r="J90" i="27" s="1"/>
  <c r="H85" i="27"/>
  <c r="L90" i="27" s="1"/>
  <c r="G85" i="27"/>
  <c r="K90" i="27" s="1"/>
  <c r="T81" i="27"/>
  <c r="X80" i="27"/>
  <c r="AC80" i="27" s="1"/>
  <c r="D87" i="27"/>
  <c r="C86" i="27"/>
  <c r="H88" i="26"/>
  <c r="L103" i="26" s="1"/>
  <c r="G88" i="26"/>
  <c r="K103" i="26" s="1"/>
  <c r="F88" i="26"/>
  <c r="J103" i="26" s="1"/>
  <c r="E88" i="26"/>
  <c r="I103" i="26" s="1"/>
  <c r="R79" i="26"/>
  <c r="V78" i="26"/>
  <c r="Z78" i="26" s="1"/>
  <c r="AA78" i="26"/>
  <c r="AE78" i="26" s="1"/>
  <c r="M80" i="26"/>
  <c r="Q79" i="26"/>
  <c r="U80" i="26"/>
  <c r="S79" i="26"/>
  <c r="W79" i="26" s="1"/>
  <c r="AB79" i="26" s="1"/>
  <c r="Y79" i="26"/>
  <c r="AD79" i="26" s="1"/>
  <c r="T82" i="26"/>
  <c r="X81" i="26"/>
  <c r="AC81" i="26" s="1"/>
  <c r="D89" i="26"/>
  <c r="AH80" i="24"/>
  <c r="AI70" i="24" s="1"/>
  <c r="H88" i="24"/>
  <c r="L93" i="24" s="1"/>
  <c r="G88" i="24"/>
  <c r="K93" i="24" s="1"/>
  <c r="F88" i="24"/>
  <c r="J93" i="24" s="1"/>
  <c r="E88" i="24"/>
  <c r="I93" i="24" s="1"/>
  <c r="M82" i="24"/>
  <c r="AB77" i="24"/>
  <c r="AE77" i="24" s="1"/>
  <c r="AF81" i="24" s="1"/>
  <c r="AG81" i="24" s="1"/>
  <c r="Z77" i="24"/>
  <c r="N79" i="24"/>
  <c r="Q78" i="24"/>
  <c r="H87" i="24"/>
  <c r="L92" i="24" s="1"/>
  <c r="G87" i="24"/>
  <c r="K92" i="24" s="1"/>
  <c r="F87" i="24"/>
  <c r="J92" i="24" s="1"/>
  <c r="E87" i="24"/>
  <c r="I92" i="24" s="1"/>
  <c r="V80" i="24"/>
  <c r="R81" i="24"/>
  <c r="AA80" i="24"/>
  <c r="D89" i="24"/>
  <c r="C89" i="24" s="1"/>
  <c r="Y78" i="24"/>
  <c r="AD78" i="24" s="1"/>
  <c r="U79" i="24"/>
  <c r="S78" i="24"/>
  <c r="W78" i="24" s="1"/>
  <c r="T81" i="24"/>
  <c r="X80" i="24"/>
  <c r="AC80" i="24" s="1"/>
  <c r="F90" i="28" l="1"/>
  <c r="J95" i="28" s="1"/>
  <c r="G90" i="28"/>
  <c r="K95" i="28" s="1"/>
  <c r="H90" i="28"/>
  <c r="L95" i="28" s="1"/>
  <c r="E90" i="28"/>
  <c r="I95" i="28" s="1"/>
  <c r="E89" i="28"/>
  <c r="I94" i="28" s="1"/>
  <c r="F89" i="28"/>
  <c r="J94" i="28" s="1"/>
  <c r="H89" i="28"/>
  <c r="G89" i="28"/>
  <c r="S83" i="28"/>
  <c r="W83" i="28" s="1"/>
  <c r="U84" i="28"/>
  <c r="AE81" i="28"/>
  <c r="AF85" i="28" s="1"/>
  <c r="AG85" i="28" s="1"/>
  <c r="AH85" i="28" s="1"/>
  <c r="AC82" i="28"/>
  <c r="AB82" i="28"/>
  <c r="AD82" i="28"/>
  <c r="AM82" i="28"/>
  <c r="Z82" i="28"/>
  <c r="V83" i="28"/>
  <c r="AA83" i="28"/>
  <c r="X83" i="28"/>
  <c r="Y83" i="28"/>
  <c r="L94" i="28"/>
  <c r="K94" i="28"/>
  <c r="Q84" i="28"/>
  <c r="M85" i="28"/>
  <c r="R85" i="28" s="1"/>
  <c r="D91" i="28"/>
  <c r="AI70" i="27"/>
  <c r="S79" i="27"/>
  <c r="W79" i="27" s="1"/>
  <c r="AB79" i="27" s="1"/>
  <c r="Y79" i="27"/>
  <c r="AD79" i="27" s="1"/>
  <c r="U80" i="27"/>
  <c r="AE78" i="27"/>
  <c r="AF82" i="27" s="1"/>
  <c r="AG82" i="27" s="1"/>
  <c r="Q80" i="27"/>
  <c r="M81" i="27"/>
  <c r="T82" i="27"/>
  <c r="X81" i="27"/>
  <c r="AC81" i="27" s="1"/>
  <c r="Z78" i="27"/>
  <c r="V79" i="27"/>
  <c r="R80" i="27"/>
  <c r="AA79" i="27"/>
  <c r="D88" i="27"/>
  <c r="C88" i="27" s="1"/>
  <c r="G86" i="27"/>
  <c r="K91" i="27" s="1"/>
  <c r="H86" i="27"/>
  <c r="L91" i="27" s="1"/>
  <c r="E86" i="27"/>
  <c r="I91" i="27" s="1"/>
  <c r="F86" i="27"/>
  <c r="J91" i="27" s="1"/>
  <c r="C87" i="27"/>
  <c r="AH81" i="27"/>
  <c r="Q80" i="26"/>
  <c r="M81" i="26"/>
  <c r="U81" i="26"/>
  <c r="Y80" i="26"/>
  <c r="AD80" i="26" s="1"/>
  <c r="S80" i="26"/>
  <c r="W80" i="26" s="1"/>
  <c r="AB80" i="26" s="1"/>
  <c r="AA79" i="26"/>
  <c r="AE79" i="26" s="1"/>
  <c r="R80" i="26"/>
  <c r="V79" i="26"/>
  <c r="Z79" i="26" s="1"/>
  <c r="D90" i="26"/>
  <c r="C89" i="26"/>
  <c r="X82" i="26"/>
  <c r="AC82" i="26" s="1"/>
  <c r="T83" i="26"/>
  <c r="AH81" i="24"/>
  <c r="G89" i="24"/>
  <c r="K94" i="24" s="1"/>
  <c r="F89" i="24"/>
  <c r="J94" i="24" s="1"/>
  <c r="H89" i="24"/>
  <c r="L94" i="24" s="1"/>
  <c r="E89" i="24"/>
  <c r="I94" i="24" s="1"/>
  <c r="M83" i="24"/>
  <c r="R82" i="24"/>
  <c r="AA81" i="24"/>
  <c r="V81" i="24"/>
  <c r="N80" i="24"/>
  <c r="Q79" i="24"/>
  <c r="Y79" i="24"/>
  <c r="AD79" i="24" s="1"/>
  <c r="U80" i="24"/>
  <c r="S79" i="24"/>
  <c r="W79" i="24" s="1"/>
  <c r="D90" i="24"/>
  <c r="C90" i="24" s="1"/>
  <c r="X81" i="24"/>
  <c r="AC81" i="24" s="1"/>
  <c r="T82" i="24"/>
  <c r="AB78" i="24"/>
  <c r="AE78" i="24" s="1"/>
  <c r="AF82" i="24" s="1"/>
  <c r="AG82" i="24" s="1"/>
  <c r="Z78" i="24"/>
  <c r="S84" i="28" l="1"/>
  <c r="W84" i="28" s="1"/>
  <c r="U85" i="28"/>
  <c r="AE82" i="28"/>
  <c r="AF86" i="28" s="1"/>
  <c r="AG86" i="28" s="1"/>
  <c r="AH86" i="28" s="1"/>
  <c r="AC83" i="28"/>
  <c r="AE83" i="28" s="1"/>
  <c r="AF87" i="28" s="1"/>
  <c r="AB83" i="28"/>
  <c r="AD83" i="28"/>
  <c r="AM83" i="28"/>
  <c r="Z83" i="28"/>
  <c r="AA84" i="28"/>
  <c r="V84" i="28"/>
  <c r="D92" i="28"/>
  <c r="C92" i="28" s="1"/>
  <c r="M86" i="28"/>
  <c r="R86" i="28" s="1"/>
  <c r="Q85" i="28"/>
  <c r="Y84" i="28"/>
  <c r="C91" i="28"/>
  <c r="X84" i="28"/>
  <c r="AE79" i="27"/>
  <c r="AF83" i="27" s="1"/>
  <c r="AG83" i="27" s="1"/>
  <c r="Z79" i="27"/>
  <c r="AA80" i="27"/>
  <c r="V80" i="27"/>
  <c r="R81" i="27"/>
  <c r="F87" i="27"/>
  <c r="J92" i="27" s="1"/>
  <c r="E87" i="27"/>
  <c r="I92" i="27" s="1"/>
  <c r="G87" i="27"/>
  <c r="K92" i="27" s="1"/>
  <c r="H87" i="27"/>
  <c r="L92" i="27" s="1"/>
  <c r="X82" i="27"/>
  <c r="AC82" i="27" s="1"/>
  <c r="T83" i="27"/>
  <c r="AH82" i="27"/>
  <c r="AI71" i="27" s="1"/>
  <c r="Q81" i="27"/>
  <c r="M82" i="27"/>
  <c r="S80" i="27"/>
  <c r="W80" i="27" s="1"/>
  <c r="AB80" i="27" s="1"/>
  <c r="U81" i="27"/>
  <c r="Y80" i="27"/>
  <c r="AD80" i="27" s="1"/>
  <c r="G88" i="27"/>
  <c r="K93" i="27" s="1"/>
  <c r="H88" i="27"/>
  <c r="L93" i="27" s="1"/>
  <c r="E88" i="27"/>
  <c r="I93" i="27" s="1"/>
  <c r="F88" i="27"/>
  <c r="J93" i="27" s="1"/>
  <c r="D89" i="27"/>
  <c r="G89" i="26"/>
  <c r="K104" i="26" s="1"/>
  <c r="F89" i="26"/>
  <c r="J104" i="26" s="1"/>
  <c r="E89" i="26"/>
  <c r="I104" i="26" s="1"/>
  <c r="H89" i="26"/>
  <c r="L104" i="26" s="1"/>
  <c r="D91" i="26"/>
  <c r="C90" i="26"/>
  <c r="AA80" i="26"/>
  <c r="AE80" i="26" s="1"/>
  <c r="R81" i="26"/>
  <c r="V80" i="26"/>
  <c r="Z80" i="26" s="1"/>
  <c r="U82" i="26"/>
  <c r="S81" i="26"/>
  <c r="W81" i="26" s="1"/>
  <c r="AB81" i="26" s="1"/>
  <c r="Y81" i="26"/>
  <c r="AD81" i="26" s="1"/>
  <c r="Q81" i="26"/>
  <c r="M82" i="26"/>
  <c r="X83" i="26"/>
  <c r="AC83" i="26" s="1"/>
  <c r="T84" i="26"/>
  <c r="AH82" i="24"/>
  <c r="AI71" i="24" s="1"/>
  <c r="E90" i="24"/>
  <c r="I95" i="24" s="1"/>
  <c r="H90" i="24"/>
  <c r="L95" i="24" s="1"/>
  <c r="G90" i="24"/>
  <c r="K95" i="24" s="1"/>
  <c r="F90" i="24"/>
  <c r="J95" i="24" s="1"/>
  <c r="V82" i="24"/>
  <c r="AA82" i="24"/>
  <c r="R83" i="24"/>
  <c r="X82" i="24"/>
  <c r="AC82" i="24" s="1"/>
  <c r="T83" i="24"/>
  <c r="Y80" i="24"/>
  <c r="AD80" i="24" s="1"/>
  <c r="U81" i="24"/>
  <c r="S80" i="24"/>
  <c r="W80" i="24" s="1"/>
  <c r="AB79" i="24"/>
  <c r="AE79" i="24" s="1"/>
  <c r="AF83" i="24" s="1"/>
  <c r="AG83" i="24" s="1"/>
  <c r="Z79" i="24"/>
  <c r="M84" i="24"/>
  <c r="N81" i="24"/>
  <c r="Q80" i="24"/>
  <c r="D91" i="24"/>
  <c r="AG87" i="28" l="1"/>
  <c r="AH87" i="28" s="1"/>
  <c r="AI74" i="28" s="1"/>
  <c r="E91" i="28"/>
  <c r="I96" i="28" s="1"/>
  <c r="F91" i="28"/>
  <c r="J96" i="28" s="1"/>
  <c r="G91" i="28"/>
  <c r="H91" i="28"/>
  <c r="E92" i="28"/>
  <c r="I97" i="28" s="1"/>
  <c r="F92" i="28"/>
  <c r="J97" i="28" s="1"/>
  <c r="H92" i="28"/>
  <c r="L97" i="28" s="1"/>
  <c r="G92" i="28"/>
  <c r="K97" i="28" s="1"/>
  <c r="U86" i="28"/>
  <c r="S85" i="28"/>
  <c r="W85" i="28" s="1"/>
  <c r="AC84" i="28"/>
  <c r="AB84" i="28"/>
  <c r="AD84" i="28"/>
  <c r="AM84" i="28"/>
  <c r="M87" i="28"/>
  <c r="Q87" i="28" s="1"/>
  <c r="Q86" i="28"/>
  <c r="D93" i="28"/>
  <c r="C93" i="28" s="1"/>
  <c r="Z84" i="28"/>
  <c r="X85" i="28"/>
  <c r="V85" i="28"/>
  <c r="AA85" i="28"/>
  <c r="L96" i="28"/>
  <c r="K96" i="28"/>
  <c r="Y85" i="28"/>
  <c r="D90" i="27"/>
  <c r="AH83" i="27"/>
  <c r="X83" i="27"/>
  <c r="AC83" i="27" s="1"/>
  <c r="T84" i="27"/>
  <c r="S81" i="27"/>
  <c r="W81" i="27" s="1"/>
  <c r="AB81" i="27" s="1"/>
  <c r="U82" i="27"/>
  <c r="Y81" i="27"/>
  <c r="AD81" i="27" s="1"/>
  <c r="M83" i="27"/>
  <c r="Q82" i="27"/>
  <c r="V81" i="27"/>
  <c r="R82" i="27"/>
  <c r="AA81" i="27"/>
  <c r="Z80" i="27"/>
  <c r="C89" i="27"/>
  <c r="AE80" i="27"/>
  <c r="AF84" i="27" s="1"/>
  <c r="AG84" i="27" s="1"/>
  <c r="D92" i="26"/>
  <c r="C91" i="26"/>
  <c r="Q82" i="26"/>
  <c r="M83" i="26"/>
  <c r="S82" i="26"/>
  <c r="W82" i="26" s="1"/>
  <c r="AB82" i="26" s="1"/>
  <c r="Y82" i="26"/>
  <c r="AD82" i="26" s="1"/>
  <c r="U83" i="26"/>
  <c r="AA81" i="26"/>
  <c r="AE81" i="26" s="1"/>
  <c r="R82" i="26"/>
  <c r="V81" i="26"/>
  <c r="Z81" i="26" s="1"/>
  <c r="H90" i="26"/>
  <c r="L105" i="26" s="1"/>
  <c r="G90" i="26"/>
  <c r="K105" i="26" s="1"/>
  <c r="F90" i="26"/>
  <c r="J105" i="26" s="1"/>
  <c r="E90" i="26"/>
  <c r="I105" i="26" s="1"/>
  <c r="O85" i="26"/>
  <c r="T85" i="26" s="1"/>
  <c r="X84" i="26"/>
  <c r="AC84" i="26" s="1"/>
  <c r="AH83" i="24"/>
  <c r="N82" i="24"/>
  <c r="Q81" i="24"/>
  <c r="AA83" i="24"/>
  <c r="V83" i="24"/>
  <c r="R84" i="24"/>
  <c r="X83" i="24"/>
  <c r="AC83" i="24" s="1"/>
  <c r="T84" i="24"/>
  <c r="AB80" i="24"/>
  <c r="AE80" i="24" s="1"/>
  <c r="AF84" i="24" s="1"/>
  <c r="AG84" i="24" s="1"/>
  <c r="Z80" i="24"/>
  <c r="D92" i="24"/>
  <c r="C92" i="24" s="1"/>
  <c r="U82" i="24"/>
  <c r="S81" i="24"/>
  <c r="W81" i="24" s="1"/>
  <c r="Y81" i="24"/>
  <c r="AD81" i="24" s="1"/>
  <c r="C91" i="24"/>
  <c r="F93" i="28" l="1"/>
  <c r="J98" i="28" s="1"/>
  <c r="G93" i="28"/>
  <c r="K98" i="28" s="1"/>
  <c r="H93" i="28"/>
  <c r="L98" i="28" s="1"/>
  <c r="E93" i="28"/>
  <c r="I98" i="28" s="1"/>
  <c r="S86" i="28"/>
  <c r="W86" i="28" s="1"/>
  <c r="U87" i="28"/>
  <c r="R87" i="28"/>
  <c r="AE84" i="28"/>
  <c r="AF88" i="28" s="1"/>
  <c r="AG88" i="28" s="1"/>
  <c r="AH88" i="28" s="1"/>
  <c r="AC85" i="28"/>
  <c r="AB85" i="28"/>
  <c r="AD85" i="28"/>
  <c r="AM85" i="28"/>
  <c r="Z85" i="28"/>
  <c r="D94" i="28"/>
  <c r="C94" i="28" s="1"/>
  <c r="Y86" i="28"/>
  <c r="X86" i="28"/>
  <c r="V86" i="28"/>
  <c r="AA86" i="28"/>
  <c r="Z81" i="27"/>
  <c r="AH84" i="27"/>
  <c r="AI72" i="27" s="1"/>
  <c r="M84" i="27"/>
  <c r="Q84" i="27" s="1"/>
  <c r="Q83" i="27"/>
  <c r="U83" i="27"/>
  <c r="S82" i="27"/>
  <c r="W82" i="27" s="1"/>
  <c r="AB82" i="27" s="1"/>
  <c r="Y82" i="27"/>
  <c r="AD82" i="27" s="1"/>
  <c r="X84" i="27"/>
  <c r="AC84" i="27" s="1"/>
  <c r="O85" i="27"/>
  <c r="AE81" i="27"/>
  <c r="AF85" i="27" s="1"/>
  <c r="AG85" i="27" s="1"/>
  <c r="D91" i="27"/>
  <c r="C91" i="27" s="1"/>
  <c r="E89" i="27"/>
  <c r="I94" i="27" s="1"/>
  <c r="F89" i="27"/>
  <c r="J94" i="27" s="1"/>
  <c r="G89" i="27"/>
  <c r="K94" i="27" s="1"/>
  <c r="H89" i="27"/>
  <c r="L94" i="27" s="1"/>
  <c r="V82" i="27"/>
  <c r="R83" i="27"/>
  <c r="AA82" i="27"/>
  <c r="C90" i="27"/>
  <c r="AA82" i="26"/>
  <c r="AE82" i="26" s="1"/>
  <c r="V82" i="26"/>
  <c r="Z82" i="26" s="1"/>
  <c r="R83" i="26"/>
  <c r="U84" i="26"/>
  <c r="Y83" i="26"/>
  <c r="AD83" i="26" s="1"/>
  <c r="S83" i="26"/>
  <c r="W83" i="26" s="1"/>
  <c r="AB83" i="26" s="1"/>
  <c r="X85" i="26"/>
  <c r="AC85" i="26" s="1"/>
  <c r="M84" i="26"/>
  <c r="Q84" i="26" s="1"/>
  <c r="Q83" i="26"/>
  <c r="O99" i="26"/>
  <c r="O97" i="26"/>
  <c r="O95" i="26"/>
  <c r="O93" i="26"/>
  <c r="O91" i="26"/>
  <c r="O89" i="26"/>
  <c r="O87" i="26"/>
  <c r="O90" i="26"/>
  <c r="O98" i="26"/>
  <c r="O92" i="26"/>
  <c r="O88" i="26"/>
  <c r="O96" i="26"/>
  <c r="O86" i="26"/>
  <c r="T86" i="26" s="1"/>
  <c r="O94" i="26"/>
  <c r="F9" i="26"/>
  <c r="H91" i="26"/>
  <c r="L106" i="26" s="1"/>
  <c r="G91" i="26"/>
  <c r="K106" i="26" s="1"/>
  <c r="F91" i="26"/>
  <c r="J106" i="26" s="1"/>
  <c r="E91" i="26"/>
  <c r="I106" i="26" s="1"/>
  <c r="D93" i="26"/>
  <c r="C92" i="26"/>
  <c r="AH84" i="24"/>
  <c r="O85" i="24"/>
  <c r="T85" i="24" s="1"/>
  <c r="X84" i="24"/>
  <c r="AC84" i="24" s="1"/>
  <c r="V84" i="24"/>
  <c r="AA84" i="24"/>
  <c r="M85" i="24"/>
  <c r="R85" i="24" s="1"/>
  <c r="F92" i="24"/>
  <c r="J97" i="24" s="1"/>
  <c r="E92" i="24"/>
  <c r="I97" i="24" s="1"/>
  <c r="H92" i="24"/>
  <c r="L97" i="24" s="1"/>
  <c r="G92" i="24"/>
  <c r="K97" i="24" s="1"/>
  <c r="D93" i="24"/>
  <c r="C93" i="24" s="1"/>
  <c r="N83" i="24"/>
  <c r="Q82" i="24"/>
  <c r="AB81" i="24"/>
  <c r="AE81" i="24" s="1"/>
  <c r="AF85" i="24" s="1"/>
  <c r="AG85" i="24" s="1"/>
  <c r="Z81" i="24"/>
  <c r="H91" i="24"/>
  <c r="L96" i="24" s="1"/>
  <c r="G91" i="24"/>
  <c r="K96" i="24" s="1"/>
  <c r="F91" i="24"/>
  <c r="J96" i="24" s="1"/>
  <c r="E91" i="24"/>
  <c r="I96" i="24" s="1"/>
  <c r="S82" i="24"/>
  <c r="W82" i="24" s="1"/>
  <c r="Y82" i="24"/>
  <c r="AD82" i="24" s="1"/>
  <c r="U83" i="24"/>
  <c r="E94" i="28" l="1"/>
  <c r="I99" i="28" s="1"/>
  <c r="F94" i="28"/>
  <c r="J99" i="28" s="1"/>
  <c r="G94" i="28"/>
  <c r="K99" i="28" s="1"/>
  <c r="H94" i="28"/>
  <c r="L99" i="28" s="1"/>
  <c r="S87" i="28"/>
  <c r="W87" i="28" s="1"/>
  <c r="AE85" i="28"/>
  <c r="AF89" i="28" s="1"/>
  <c r="AG89" i="28" s="1"/>
  <c r="AH89" i="28" s="1"/>
  <c r="AC86" i="28"/>
  <c r="AB86" i="28"/>
  <c r="AD86" i="28"/>
  <c r="AM86" i="28"/>
  <c r="O88" i="28"/>
  <c r="T88" i="28" s="1"/>
  <c r="X87" i="28"/>
  <c r="P88" i="28"/>
  <c r="U88" i="28" s="1"/>
  <c r="Y87" i="28"/>
  <c r="AA87" i="28"/>
  <c r="V87" i="28"/>
  <c r="M88" i="28"/>
  <c r="R88" i="28" s="1"/>
  <c r="Z86" i="28"/>
  <c r="D95" i="28"/>
  <c r="C95" i="28" s="1"/>
  <c r="AE82" i="27"/>
  <c r="AF86" i="27" s="1"/>
  <c r="AG86" i="27" s="1"/>
  <c r="Z82" i="27"/>
  <c r="AH85" i="27"/>
  <c r="H90" i="27"/>
  <c r="L95" i="27" s="1"/>
  <c r="F90" i="27"/>
  <c r="J95" i="27" s="1"/>
  <c r="G90" i="27"/>
  <c r="K95" i="27" s="1"/>
  <c r="E90" i="27"/>
  <c r="I95" i="27" s="1"/>
  <c r="F9" i="27"/>
  <c r="O90" i="27"/>
  <c r="O94" i="27"/>
  <c r="O89" i="27"/>
  <c r="O99" i="27"/>
  <c r="O97" i="27"/>
  <c r="O95" i="27"/>
  <c r="O92" i="27"/>
  <c r="O98" i="27"/>
  <c r="O86" i="27"/>
  <c r="O88" i="27"/>
  <c r="O96" i="27"/>
  <c r="O87" i="27"/>
  <c r="O91" i="27"/>
  <c r="O93" i="27"/>
  <c r="T85" i="27"/>
  <c r="V83" i="27"/>
  <c r="R84" i="27"/>
  <c r="AA83" i="27"/>
  <c r="Y83" i="27"/>
  <c r="AD83" i="27" s="1"/>
  <c r="S83" i="27"/>
  <c r="W83" i="27" s="1"/>
  <c r="AB83" i="27" s="1"/>
  <c r="U84" i="27"/>
  <c r="E91" i="27"/>
  <c r="I96" i="27" s="1"/>
  <c r="F91" i="27"/>
  <c r="J96" i="27" s="1"/>
  <c r="G91" i="27"/>
  <c r="K96" i="27" s="1"/>
  <c r="H91" i="27"/>
  <c r="L96" i="27" s="1"/>
  <c r="D92" i="27"/>
  <c r="X86" i="26"/>
  <c r="AC86" i="26" s="1"/>
  <c r="T87" i="26"/>
  <c r="H92" i="26"/>
  <c r="L107" i="26" s="1"/>
  <c r="G92" i="26"/>
  <c r="K107" i="26" s="1"/>
  <c r="F92" i="26"/>
  <c r="J107" i="26" s="1"/>
  <c r="E92" i="26"/>
  <c r="I107" i="26" s="1"/>
  <c r="D94" i="26"/>
  <c r="C94" i="26" s="1"/>
  <c r="Y84" i="26"/>
  <c r="AD84" i="26" s="1"/>
  <c r="P85" i="26"/>
  <c r="S84" i="26"/>
  <c r="W84" i="26" s="1"/>
  <c r="AB84" i="26" s="1"/>
  <c r="C93" i="26"/>
  <c r="AA83" i="26"/>
  <c r="AE83" i="26" s="1"/>
  <c r="R84" i="26"/>
  <c r="V83" i="26"/>
  <c r="Z83" i="26" s="1"/>
  <c r="H93" i="24"/>
  <c r="L98" i="24" s="1"/>
  <c r="G93" i="24"/>
  <c r="K98" i="24" s="1"/>
  <c r="F93" i="24"/>
  <c r="J98" i="24" s="1"/>
  <c r="E93" i="24"/>
  <c r="I98" i="24" s="1"/>
  <c r="AA85" i="24"/>
  <c r="V85" i="24"/>
  <c r="AH85" i="24"/>
  <c r="AI72" i="24" s="1"/>
  <c r="U84" i="24"/>
  <c r="Y83" i="24"/>
  <c r="AD83" i="24" s="1"/>
  <c r="S83" i="24"/>
  <c r="W83" i="24" s="1"/>
  <c r="X85" i="24"/>
  <c r="AC85" i="24" s="1"/>
  <c r="M99" i="24"/>
  <c r="M96" i="24"/>
  <c r="M90" i="24"/>
  <c r="M88" i="24"/>
  <c r="M93" i="24"/>
  <c r="M97" i="24"/>
  <c r="M94" i="24"/>
  <c r="M91" i="24"/>
  <c r="D9" i="24"/>
  <c r="M87" i="24"/>
  <c r="M95" i="24"/>
  <c r="M92" i="24"/>
  <c r="M89" i="24"/>
  <c r="M98" i="24"/>
  <c r="M86" i="24"/>
  <c r="R86" i="24" s="1"/>
  <c r="N84" i="24"/>
  <c r="Q84" i="24" s="1"/>
  <c r="Q83" i="24"/>
  <c r="AB82" i="24"/>
  <c r="AE82" i="24" s="1"/>
  <c r="AF86" i="24" s="1"/>
  <c r="AG86" i="24" s="1"/>
  <c r="Z82" i="24"/>
  <c r="O97" i="24"/>
  <c r="O91" i="24"/>
  <c r="O98" i="24"/>
  <c r="O90" i="24"/>
  <c r="O99" i="24"/>
  <c r="O96" i="24"/>
  <c r="O88" i="24"/>
  <c r="O95" i="24"/>
  <c r="O94" i="24"/>
  <c r="O92" i="24"/>
  <c r="O89" i="24"/>
  <c r="O86" i="24"/>
  <c r="T86" i="24" s="1"/>
  <c r="O93" i="24"/>
  <c r="O87" i="24"/>
  <c r="F9" i="24"/>
  <c r="D94" i="24"/>
  <c r="AE86" i="28" l="1"/>
  <c r="AF90" i="28" s="1"/>
  <c r="E95" i="28"/>
  <c r="I100" i="28" s="1"/>
  <c r="F95" i="28"/>
  <c r="J100" i="28" s="1"/>
  <c r="H95" i="28"/>
  <c r="G95" i="28"/>
  <c r="AG90" i="28"/>
  <c r="AH90" i="28" s="1"/>
  <c r="AI75" i="28" s="1"/>
  <c r="AB87" i="28"/>
  <c r="AD87" i="28"/>
  <c r="AM87" i="28"/>
  <c r="AC87" i="28"/>
  <c r="P99" i="28"/>
  <c r="P93" i="28"/>
  <c r="P100" i="28"/>
  <c r="P94" i="28"/>
  <c r="P91" i="28"/>
  <c r="P90" i="28"/>
  <c r="P97" i="28"/>
  <c r="P102" i="28"/>
  <c r="P101" i="28"/>
  <c r="P89" i="28"/>
  <c r="U89" i="28" s="1"/>
  <c r="P98" i="28"/>
  <c r="P95" i="28"/>
  <c r="P96" i="28"/>
  <c r="P92" i="28"/>
  <c r="I9" i="28"/>
  <c r="D96" i="28"/>
  <c r="C96" i="28" s="1"/>
  <c r="X88" i="28"/>
  <c r="L100" i="28"/>
  <c r="K100" i="28"/>
  <c r="O99" i="28"/>
  <c r="O93" i="28"/>
  <c r="O101" i="28"/>
  <c r="O94" i="28"/>
  <c r="O100" i="28"/>
  <c r="O91" i="28"/>
  <c r="O89" i="28"/>
  <c r="T89" i="28" s="1"/>
  <c r="O90" i="28"/>
  <c r="O97" i="28"/>
  <c r="O98" i="28"/>
  <c r="O95" i="28"/>
  <c r="O102" i="28"/>
  <c r="H9" i="28"/>
  <c r="O92" i="28"/>
  <c r="O96" i="28"/>
  <c r="M98" i="28"/>
  <c r="M92" i="28"/>
  <c r="M96" i="28"/>
  <c r="M102" i="28"/>
  <c r="M95" i="28"/>
  <c r="M101" i="28"/>
  <c r="M94" i="28"/>
  <c r="M89" i="28"/>
  <c r="R89" i="28" s="1"/>
  <c r="M100" i="28"/>
  <c r="M90" i="28"/>
  <c r="M93" i="28"/>
  <c r="M97" i="28"/>
  <c r="M99" i="28"/>
  <c r="M91" i="28"/>
  <c r="F9" i="28"/>
  <c r="N88" i="28"/>
  <c r="S88" i="28" s="1"/>
  <c r="Z87" i="28"/>
  <c r="Z83" i="27"/>
  <c r="AA84" i="27"/>
  <c r="M85" i="27"/>
  <c r="V84" i="27"/>
  <c r="D93" i="27"/>
  <c r="C93" i="27" s="1"/>
  <c r="C92" i="27"/>
  <c r="T86" i="27"/>
  <c r="X85" i="27"/>
  <c r="AC85" i="27" s="1"/>
  <c r="Y84" i="27"/>
  <c r="AD84" i="27" s="1"/>
  <c r="P85" i="27"/>
  <c r="S84" i="27"/>
  <c r="W84" i="27" s="1"/>
  <c r="AB84" i="27" s="1"/>
  <c r="AE83" i="27"/>
  <c r="AF87" i="27" s="1"/>
  <c r="AG87" i="27" s="1"/>
  <c r="AH86" i="27"/>
  <c r="H94" i="26"/>
  <c r="L109" i="26" s="1"/>
  <c r="G94" i="26"/>
  <c r="K109" i="26" s="1"/>
  <c r="F94" i="26"/>
  <c r="J109" i="26" s="1"/>
  <c r="E94" i="26"/>
  <c r="I109" i="26" s="1"/>
  <c r="P99" i="26"/>
  <c r="P90" i="26"/>
  <c r="P98" i="26"/>
  <c r="P93" i="26"/>
  <c r="P86" i="26"/>
  <c r="P95" i="26"/>
  <c r="P91" i="26"/>
  <c r="P87" i="26"/>
  <c r="P92" i="26"/>
  <c r="P88" i="26"/>
  <c r="P96" i="26"/>
  <c r="P89" i="26"/>
  <c r="P97" i="26"/>
  <c r="P94" i="26"/>
  <c r="G9" i="26"/>
  <c r="U85" i="26"/>
  <c r="D95" i="26"/>
  <c r="M85" i="26"/>
  <c r="R85" i="26" s="1"/>
  <c r="AA84" i="26"/>
  <c r="AE84" i="26" s="1"/>
  <c r="V84" i="26"/>
  <c r="Z84" i="26" s="1"/>
  <c r="I8" i="26" s="1"/>
  <c r="J8" i="26" s="1"/>
  <c r="T88" i="26"/>
  <c r="X87" i="26"/>
  <c r="AC87" i="26" s="1"/>
  <c r="E93" i="26"/>
  <c r="I108" i="26" s="1"/>
  <c r="H93" i="26"/>
  <c r="L108" i="26" s="1"/>
  <c r="G93" i="26"/>
  <c r="K108" i="26" s="1"/>
  <c r="F93" i="26"/>
  <c r="J108" i="26" s="1"/>
  <c r="AA86" i="24"/>
  <c r="V86" i="24"/>
  <c r="R87" i="24"/>
  <c r="T87" i="24"/>
  <c r="X86" i="24"/>
  <c r="AC86" i="24" s="1"/>
  <c r="D95" i="24"/>
  <c r="C95" i="24" s="1"/>
  <c r="AB83" i="24"/>
  <c r="AE83" i="24" s="1"/>
  <c r="AF87" i="24" s="1"/>
  <c r="AG87" i="24" s="1"/>
  <c r="Z83" i="24"/>
  <c r="AH86" i="24"/>
  <c r="C94" i="24"/>
  <c r="P85" i="24"/>
  <c r="U85" i="24" s="1"/>
  <c r="Y84" i="24"/>
  <c r="AD84" i="24" s="1"/>
  <c r="S84" i="24"/>
  <c r="W84" i="24" s="1"/>
  <c r="T90" i="28" l="1"/>
  <c r="T91" i="28" s="1"/>
  <c r="F96" i="28"/>
  <c r="J101" i="28" s="1"/>
  <c r="G96" i="28"/>
  <c r="K101" i="28" s="1"/>
  <c r="H96" i="28"/>
  <c r="L101" i="28" s="1"/>
  <c r="E96" i="28"/>
  <c r="R90" i="28"/>
  <c r="R91" i="28" s="1"/>
  <c r="R92" i="28" s="1"/>
  <c r="R93" i="28" s="1"/>
  <c r="R94" i="28" s="1"/>
  <c r="R95" i="28" s="1"/>
  <c r="R96" i="28" s="1"/>
  <c r="R97" i="28" s="1"/>
  <c r="R98" i="28" s="1"/>
  <c r="R99" i="28" s="1"/>
  <c r="R100" i="28" s="1"/>
  <c r="U90" i="28"/>
  <c r="AE87" i="28"/>
  <c r="AF91" i="28" s="1"/>
  <c r="AG91" i="28" s="1"/>
  <c r="AH91" i="28" s="1"/>
  <c r="T92" i="28"/>
  <c r="T93" i="28" s="1"/>
  <c r="T94" i="28" s="1"/>
  <c r="T95" i="28" s="1"/>
  <c r="T96" i="28" s="1"/>
  <c r="T97" i="28" s="1"/>
  <c r="T98" i="28" s="1"/>
  <c r="T99" i="28" s="1"/>
  <c r="T100" i="28" s="1"/>
  <c r="AC88" i="28"/>
  <c r="X89" i="28"/>
  <c r="N98" i="28"/>
  <c r="Q98" i="28" s="1"/>
  <c r="N92" i="28"/>
  <c r="Q92" i="28" s="1"/>
  <c r="N99" i="28"/>
  <c r="Q99" i="28" s="1"/>
  <c r="N102" i="28"/>
  <c r="Q102" i="28" s="1"/>
  <c r="N95" i="28"/>
  <c r="Q95" i="28" s="1"/>
  <c r="N101" i="28"/>
  <c r="Q101" i="28" s="1"/>
  <c r="N94" i="28"/>
  <c r="Q94" i="28" s="1"/>
  <c r="N100" i="28"/>
  <c r="Q100" i="28" s="1"/>
  <c r="N91" i="28"/>
  <c r="Q91" i="28" s="1"/>
  <c r="N96" i="28"/>
  <c r="Q96" i="28" s="1"/>
  <c r="N89" i="28"/>
  <c r="Q89" i="28" s="1"/>
  <c r="N90" i="28"/>
  <c r="Q90" i="28" s="1"/>
  <c r="N97" i="28"/>
  <c r="Q97" i="28" s="1"/>
  <c r="G9" i="28"/>
  <c r="N93" i="28"/>
  <c r="Q93" i="28" s="1"/>
  <c r="Q88" i="28"/>
  <c r="I101" i="28"/>
  <c r="D97" i="28"/>
  <c r="C97" i="28" s="1"/>
  <c r="Y88" i="28"/>
  <c r="W88" i="28"/>
  <c r="C8" i="28"/>
  <c r="AA88" i="28"/>
  <c r="V88" i="28"/>
  <c r="AI74" i="27"/>
  <c r="AI73" i="27"/>
  <c r="AI75" i="27"/>
  <c r="H93" i="27"/>
  <c r="L98" i="27" s="1"/>
  <c r="E93" i="27"/>
  <c r="I98" i="27" s="1"/>
  <c r="F93" i="27"/>
  <c r="J98" i="27" s="1"/>
  <c r="G93" i="27"/>
  <c r="K98" i="27" s="1"/>
  <c r="G9" i="27"/>
  <c r="P90" i="27"/>
  <c r="P89" i="27"/>
  <c r="P88" i="27"/>
  <c r="P93" i="27"/>
  <c r="P95" i="27"/>
  <c r="P97" i="27"/>
  <c r="P99" i="27"/>
  <c r="P94" i="27"/>
  <c r="P92" i="27"/>
  <c r="P98" i="27"/>
  <c r="P86" i="27"/>
  <c r="P96" i="27"/>
  <c r="P87" i="27"/>
  <c r="P91" i="27"/>
  <c r="X86" i="27"/>
  <c r="AC86" i="27" s="1"/>
  <c r="T87" i="27"/>
  <c r="G92" i="27"/>
  <c r="K97" i="27" s="1"/>
  <c r="H92" i="27"/>
  <c r="L97" i="27" s="1"/>
  <c r="F92" i="27"/>
  <c r="J97" i="27" s="1"/>
  <c r="E92" i="27"/>
  <c r="I97" i="27" s="1"/>
  <c r="D94" i="27"/>
  <c r="AH87" i="27"/>
  <c r="Z84" i="27"/>
  <c r="D9" i="27"/>
  <c r="M89" i="27"/>
  <c r="M87" i="27"/>
  <c r="M99" i="27"/>
  <c r="M94" i="27"/>
  <c r="M95" i="27"/>
  <c r="M90" i="27"/>
  <c r="M92" i="27"/>
  <c r="M98" i="27"/>
  <c r="M86" i="27"/>
  <c r="M88" i="27"/>
  <c r="M96" i="27"/>
  <c r="M97" i="27"/>
  <c r="M91" i="27"/>
  <c r="M93" i="27"/>
  <c r="N85" i="27"/>
  <c r="R85" i="27"/>
  <c r="U85" i="27"/>
  <c r="AE84" i="27"/>
  <c r="AF88" i="27" s="1"/>
  <c r="AG88" i="27" s="1"/>
  <c r="AA85" i="26"/>
  <c r="V85" i="26"/>
  <c r="D96" i="26"/>
  <c r="C96" i="26" s="1"/>
  <c r="C95" i="26"/>
  <c r="U86" i="26"/>
  <c r="Y85" i="26"/>
  <c r="AD85" i="26" s="1"/>
  <c r="M99" i="26"/>
  <c r="M94" i="26"/>
  <c r="M87" i="26"/>
  <c r="D9" i="26"/>
  <c r="M98" i="26"/>
  <c r="M95" i="26"/>
  <c r="M91" i="26"/>
  <c r="M92" i="26"/>
  <c r="M88" i="26"/>
  <c r="M96" i="26"/>
  <c r="M93" i="26"/>
  <c r="M89" i="26"/>
  <c r="M97" i="26"/>
  <c r="M90" i="26"/>
  <c r="M86" i="26"/>
  <c r="R86" i="26" s="1"/>
  <c r="N85" i="26"/>
  <c r="Q85" i="26" s="1"/>
  <c r="T89" i="26"/>
  <c r="X88" i="26"/>
  <c r="AC88" i="26" s="1"/>
  <c r="AH87" i="24"/>
  <c r="G95" i="24"/>
  <c r="K100" i="24" s="1"/>
  <c r="F95" i="24"/>
  <c r="J100" i="24" s="1"/>
  <c r="H95" i="24"/>
  <c r="L100" i="24" s="1"/>
  <c r="E95" i="24"/>
  <c r="I100" i="24" s="1"/>
  <c r="Y85" i="24"/>
  <c r="AD85" i="24" s="1"/>
  <c r="D96" i="24"/>
  <c r="C96" i="24"/>
  <c r="P97" i="24"/>
  <c r="P91" i="24"/>
  <c r="P90" i="24"/>
  <c r="P94" i="24"/>
  <c r="P99" i="24"/>
  <c r="P96" i="24"/>
  <c r="P88" i="24"/>
  <c r="P93" i="24"/>
  <c r="P95" i="24"/>
  <c r="P92" i="24"/>
  <c r="P89" i="24"/>
  <c r="P86" i="24"/>
  <c r="U86" i="24" s="1"/>
  <c r="P87" i="24"/>
  <c r="P98" i="24"/>
  <c r="G9" i="24"/>
  <c r="N85" i="24"/>
  <c r="S85" i="24" s="1"/>
  <c r="W85" i="24" s="1"/>
  <c r="AB84" i="24"/>
  <c r="AE84" i="24" s="1"/>
  <c r="AF88" i="24" s="1"/>
  <c r="AG88" i="24" s="1"/>
  <c r="Z84" i="24"/>
  <c r="H94" i="24"/>
  <c r="L99" i="24" s="1"/>
  <c r="G94" i="24"/>
  <c r="K99" i="24" s="1"/>
  <c r="F94" i="24"/>
  <c r="J99" i="24" s="1"/>
  <c r="E94" i="24"/>
  <c r="I99" i="24" s="1"/>
  <c r="X87" i="24"/>
  <c r="AC87" i="24" s="1"/>
  <c r="T88" i="24"/>
  <c r="AI73" i="24"/>
  <c r="AI74" i="24"/>
  <c r="AI75" i="24"/>
  <c r="V87" i="24"/>
  <c r="AA87" i="24"/>
  <c r="R88" i="24"/>
  <c r="R101" i="28" l="1"/>
  <c r="T101" i="28"/>
  <c r="S85" i="26"/>
  <c r="W85" i="26" s="1"/>
  <c r="AB85" i="26" s="1"/>
  <c r="E97" i="28"/>
  <c r="F97" i="28"/>
  <c r="G97" i="28"/>
  <c r="K102" i="28" s="1"/>
  <c r="T102" i="28" s="1"/>
  <c r="H97" i="28"/>
  <c r="L102" i="28" s="1"/>
  <c r="U91" i="28"/>
  <c r="S89" i="28"/>
  <c r="S90" i="28" s="1"/>
  <c r="AD88" i="28"/>
  <c r="AC89" i="28"/>
  <c r="AB88" i="28"/>
  <c r="AE88" i="28" s="1"/>
  <c r="AF92" i="28" s="1"/>
  <c r="AG92" i="28" s="1"/>
  <c r="V89" i="28"/>
  <c r="AA89" i="28"/>
  <c r="D98" i="28"/>
  <c r="C98" i="28" s="1"/>
  <c r="I102" i="28"/>
  <c r="R102" i="28" s="1"/>
  <c r="J102" i="28"/>
  <c r="X90" i="28"/>
  <c r="Z88" i="28"/>
  <c r="Y89" i="28"/>
  <c r="E9" i="27"/>
  <c r="N89" i="27"/>
  <c r="Q89" i="27" s="1"/>
  <c r="N92" i="27"/>
  <c r="Q92" i="27" s="1"/>
  <c r="N94" i="27"/>
  <c r="Q94" i="27" s="1"/>
  <c r="N97" i="27"/>
  <c r="Q97" i="27" s="1"/>
  <c r="N99" i="27"/>
  <c r="Q99" i="27" s="1"/>
  <c r="N95" i="27"/>
  <c r="Q95" i="27" s="1"/>
  <c r="N90" i="27"/>
  <c r="Q90" i="27" s="1"/>
  <c r="N98" i="27"/>
  <c r="Q98" i="27" s="1"/>
  <c r="N86" i="27"/>
  <c r="Q86" i="27" s="1"/>
  <c r="N88" i="27"/>
  <c r="Q88" i="27" s="1"/>
  <c r="N96" i="27"/>
  <c r="Q96" i="27" s="1"/>
  <c r="N87" i="27"/>
  <c r="Q87" i="27" s="1"/>
  <c r="N91" i="27"/>
  <c r="Q91" i="27" s="1"/>
  <c r="N93" i="27"/>
  <c r="Q93" i="27" s="1"/>
  <c r="X87" i="27"/>
  <c r="AC87" i="27" s="1"/>
  <c r="T88" i="27"/>
  <c r="Q85" i="27"/>
  <c r="I8" i="27"/>
  <c r="AH88" i="27"/>
  <c r="D95" i="27"/>
  <c r="AA85" i="27"/>
  <c r="V85" i="27"/>
  <c r="R86" i="27"/>
  <c r="C94" i="27"/>
  <c r="Y85" i="27"/>
  <c r="AD85" i="27" s="1"/>
  <c r="S85" i="27"/>
  <c r="W85" i="27" s="1"/>
  <c r="AB85" i="27" s="1"/>
  <c r="U86" i="27"/>
  <c r="Y86" i="26"/>
  <c r="AD86" i="26" s="1"/>
  <c r="U87" i="26"/>
  <c r="H95" i="26"/>
  <c r="L110" i="26" s="1"/>
  <c r="G95" i="26"/>
  <c r="K110" i="26" s="1"/>
  <c r="F95" i="26"/>
  <c r="J110" i="26" s="1"/>
  <c r="E95" i="26"/>
  <c r="I110" i="26" s="1"/>
  <c r="H96" i="26"/>
  <c r="L111" i="26" s="1"/>
  <c r="F96" i="26"/>
  <c r="J111" i="26" s="1"/>
  <c r="E96" i="26"/>
  <c r="I111" i="26" s="1"/>
  <c r="G96" i="26"/>
  <c r="K111" i="26" s="1"/>
  <c r="D97" i="26"/>
  <c r="Z85" i="26"/>
  <c r="N99" i="26"/>
  <c r="Q99" i="26" s="1"/>
  <c r="N97" i="26"/>
  <c r="Q97" i="26" s="1"/>
  <c r="N94" i="26"/>
  <c r="Q94" i="26" s="1"/>
  <c r="N87" i="26"/>
  <c r="Q87" i="26" s="1"/>
  <c r="E9" i="26"/>
  <c r="N90" i="26"/>
  <c r="Q90" i="26" s="1"/>
  <c r="N98" i="26"/>
  <c r="Q98" i="26" s="1"/>
  <c r="N95" i="26"/>
  <c r="Q95" i="26" s="1"/>
  <c r="N91" i="26"/>
  <c r="Q91" i="26" s="1"/>
  <c r="N92" i="26"/>
  <c r="Q92" i="26" s="1"/>
  <c r="N88" i="26"/>
  <c r="Q88" i="26" s="1"/>
  <c r="N96" i="26"/>
  <c r="Q96" i="26" s="1"/>
  <c r="N93" i="26"/>
  <c r="Q93" i="26" s="1"/>
  <c r="N89" i="26"/>
  <c r="Q89" i="26" s="1"/>
  <c r="N86" i="26"/>
  <c r="S86" i="26" s="1"/>
  <c r="W86" i="26" s="1"/>
  <c r="AB86" i="26" s="1"/>
  <c r="AA86" i="26"/>
  <c r="V86" i="26"/>
  <c r="R87" i="26"/>
  <c r="X89" i="26"/>
  <c r="AC89" i="26" s="1"/>
  <c r="T90" i="26"/>
  <c r="AE85" i="26"/>
  <c r="AH88" i="24"/>
  <c r="T89" i="24"/>
  <c r="X88" i="24"/>
  <c r="AC88" i="24" s="1"/>
  <c r="D97" i="24"/>
  <c r="C97" i="24" s="1"/>
  <c r="G96" i="24"/>
  <c r="K101" i="24" s="1"/>
  <c r="E96" i="24"/>
  <c r="I101" i="24" s="1"/>
  <c r="H96" i="24"/>
  <c r="L101" i="24" s="1"/>
  <c r="F96" i="24"/>
  <c r="J101" i="24" s="1"/>
  <c r="AB85" i="24"/>
  <c r="AE85" i="24" s="1"/>
  <c r="AF89" i="24" s="1"/>
  <c r="AG89" i="24" s="1"/>
  <c r="Z85" i="24"/>
  <c r="I8" i="24"/>
  <c r="N96" i="24"/>
  <c r="Q96" i="24" s="1"/>
  <c r="N90" i="24"/>
  <c r="Q90" i="24" s="1"/>
  <c r="N93" i="24"/>
  <c r="Q93" i="24" s="1"/>
  <c r="N98" i="24"/>
  <c r="Q98" i="24" s="1"/>
  <c r="N95" i="24"/>
  <c r="Q95" i="24" s="1"/>
  <c r="N99" i="24"/>
  <c r="Q99" i="24" s="1"/>
  <c r="N88" i="24"/>
  <c r="Q88" i="24" s="1"/>
  <c r="N91" i="24"/>
  <c r="Q91" i="24" s="1"/>
  <c r="N94" i="24"/>
  <c r="Q94" i="24" s="1"/>
  <c r="N92" i="24"/>
  <c r="Q92" i="24" s="1"/>
  <c r="N89" i="24"/>
  <c r="Q89" i="24" s="1"/>
  <c r="N86" i="24"/>
  <c r="Q86" i="24" s="1"/>
  <c r="E9" i="24"/>
  <c r="N97" i="24"/>
  <c r="Q97" i="24" s="1"/>
  <c r="N87" i="24"/>
  <c r="Q87" i="24" s="1"/>
  <c r="Q85" i="24"/>
  <c r="V88" i="24"/>
  <c r="AA88" i="24"/>
  <c r="R89" i="24"/>
  <c r="U87" i="24"/>
  <c r="Y86" i="24"/>
  <c r="AD86" i="24" s="1"/>
  <c r="W89" i="28" l="1"/>
  <c r="E98" i="28"/>
  <c r="I103" i="28" s="1"/>
  <c r="F98" i="28"/>
  <c r="J103" i="28" s="1"/>
  <c r="H98" i="28"/>
  <c r="L103" i="28" s="1"/>
  <c r="G98" i="28"/>
  <c r="U92" i="28"/>
  <c r="S91" i="28"/>
  <c r="AD89" i="28"/>
  <c r="AB89" i="28"/>
  <c r="AC90" i="28"/>
  <c r="K103" i="28"/>
  <c r="X91" i="28"/>
  <c r="AH92" i="28"/>
  <c r="D99" i="28"/>
  <c r="C99" i="28" s="1"/>
  <c r="W90" i="28"/>
  <c r="Y90" i="28"/>
  <c r="Z89" i="28"/>
  <c r="V90" i="28"/>
  <c r="AA90" i="28"/>
  <c r="AE85" i="27"/>
  <c r="AF89" i="27" s="1"/>
  <c r="AG89" i="27" s="1"/>
  <c r="AH89" i="27" s="1"/>
  <c r="AI76" i="27" s="1"/>
  <c r="D96" i="27"/>
  <c r="S86" i="27"/>
  <c r="W86" i="27" s="1"/>
  <c r="AB86" i="27" s="1"/>
  <c r="U87" i="27"/>
  <c r="Y86" i="27"/>
  <c r="AD86" i="27" s="1"/>
  <c r="X88" i="27"/>
  <c r="AC88" i="27" s="1"/>
  <c r="T89" i="27"/>
  <c r="C95" i="27"/>
  <c r="H94" i="27"/>
  <c r="L99" i="27" s="1"/>
  <c r="E94" i="27"/>
  <c r="I99" i="27" s="1"/>
  <c r="F94" i="27"/>
  <c r="J99" i="27" s="1"/>
  <c r="G94" i="27"/>
  <c r="K99" i="27" s="1"/>
  <c r="V86" i="27"/>
  <c r="R87" i="27"/>
  <c r="AA86" i="27"/>
  <c r="Z85" i="27"/>
  <c r="Q86" i="26"/>
  <c r="D98" i="26"/>
  <c r="C98" i="26" s="1"/>
  <c r="U88" i="26"/>
  <c r="Y87" i="26"/>
  <c r="AD87" i="26" s="1"/>
  <c r="S87" i="26"/>
  <c r="W87" i="26" s="1"/>
  <c r="AB87" i="26" s="1"/>
  <c r="AA87" i="26"/>
  <c r="R88" i="26"/>
  <c r="V87" i="26"/>
  <c r="C97" i="26"/>
  <c r="X90" i="26"/>
  <c r="AC90" i="26" s="1"/>
  <c r="T91" i="26"/>
  <c r="Z86" i="26"/>
  <c r="AE86" i="26"/>
  <c r="S86" i="24"/>
  <c r="W86" i="24" s="1"/>
  <c r="AB86" i="24" s="1"/>
  <c r="AE86" i="24" s="1"/>
  <c r="AF90" i="24" s="1"/>
  <c r="AG90" i="24" s="1"/>
  <c r="AH89" i="24"/>
  <c r="AI76" i="24" s="1"/>
  <c r="G97" i="24"/>
  <c r="K102" i="24" s="1"/>
  <c r="F97" i="24"/>
  <c r="J102" i="24" s="1"/>
  <c r="H97" i="24"/>
  <c r="L102" i="24" s="1"/>
  <c r="E97" i="24"/>
  <c r="I102" i="24" s="1"/>
  <c r="R90" i="24"/>
  <c r="V89" i="24"/>
  <c r="AA89" i="24"/>
  <c r="U88" i="24"/>
  <c r="Y87" i="24"/>
  <c r="AD87" i="24" s="1"/>
  <c r="D98" i="24"/>
  <c r="C98" i="24" s="1"/>
  <c r="X89" i="24"/>
  <c r="AC89" i="24" s="1"/>
  <c r="T90" i="24"/>
  <c r="Z87" i="26" l="1"/>
  <c r="Z86" i="24"/>
  <c r="F99" i="28"/>
  <c r="J104" i="28" s="1"/>
  <c r="G99" i="28"/>
  <c r="K104" i="28" s="1"/>
  <c r="H99" i="28"/>
  <c r="L104" i="28" s="1"/>
  <c r="E99" i="28"/>
  <c r="I104" i="28" s="1"/>
  <c r="S92" i="28"/>
  <c r="U93" i="28"/>
  <c r="AI76" i="28"/>
  <c r="AI77" i="28"/>
  <c r="AE89" i="28"/>
  <c r="AF93" i="28" s="1"/>
  <c r="AG93" i="28" s="1"/>
  <c r="AH93" i="28" s="1"/>
  <c r="AC91" i="28"/>
  <c r="AD90" i="28"/>
  <c r="AB90" i="28"/>
  <c r="D100" i="28"/>
  <c r="C100" i="28" s="1"/>
  <c r="AA91" i="28"/>
  <c r="V91" i="28"/>
  <c r="X92" i="28"/>
  <c r="Z90" i="28"/>
  <c r="W91" i="28"/>
  <c r="Y91" i="28"/>
  <c r="S87" i="24"/>
  <c r="W87" i="24" s="1"/>
  <c r="AB87" i="24" s="1"/>
  <c r="AE87" i="24" s="1"/>
  <c r="AF91" i="24" s="1"/>
  <c r="AG91" i="24" s="1"/>
  <c r="X89" i="27"/>
  <c r="AC89" i="27" s="1"/>
  <c r="T90" i="27"/>
  <c r="U88" i="27"/>
  <c r="S87" i="27"/>
  <c r="W87" i="27" s="1"/>
  <c r="AB87" i="27" s="1"/>
  <c r="Y87" i="27"/>
  <c r="AD87" i="27" s="1"/>
  <c r="AE86" i="27"/>
  <c r="AF90" i="27" s="1"/>
  <c r="AG90" i="27" s="1"/>
  <c r="D97" i="27"/>
  <c r="C97" i="27" s="1"/>
  <c r="E95" i="27"/>
  <c r="I100" i="27" s="1"/>
  <c r="G95" i="27"/>
  <c r="K100" i="27" s="1"/>
  <c r="F95" i="27"/>
  <c r="J100" i="27" s="1"/>
  <c r="H95" i="27"/>
  <c r="L100" i="27" s="1"/>
  <c r="Z86" i="27"/>
  <c r="C96" i="27"/>
  <c r="V87" i="27"/>
  <c r="AA87" i="27"/>
  <c r="R88" i="27"/>
  <c r="H98" i="26"/>
  <c r="L113" i="26" s="1"/>
  <c r="G98" i="26"/>
  <c r="K113" i="26" s="1"/>
  <c r="F98" i="26"/>
  <c r="J113" i="26" s="1"/>
  <c r="E98" i="26"/>
  <c r="I113" i="26" s="1"/>
  <c r="E97" i="26"/>
  <c r="I112" i="26" s="1"/>
  <c r="H97" i="26"/>
  <c r="L112" i="26" s="1"/>
  <c r="G97" i="26"/>
  <c r="K112" i="26" s="1"/>
  <c r="F97" i="26"/>
  <c r="J112" i="26" s="1"/>
  <c r="S88" i="26"/>
  <c r="W88" i="26" s="1"/>
  <c r="AB88" i="26" s="1"/>
  <c r="U89" i="26"/>
  <c r="Y88" i="26"/>
  <c r="AD88" i="26" s="1"/>
  <c r="T92" i="26"/>
  <c r="X91" i="26"/>
  <c r="AC91" i="26" s="1"/>
  <c r="R89" i="26"/>
  <c r="V88" i="26"/>
  <c r="AA88" i="26"/>
  <c r="AE87" i="26"/>
  <c r="D99" i="26"/>
  <c r="C99" i="26" s="1"/>
  <c r="F98" i="24"/>
  <c r="J103" i="24" s="1"/>
  <c r="E98" i="24"/>
  <c r="I103" i="24" s="1"/>
  <c r="G98" i="24"/>
  <c r="K103" i="24" s="1"/>
  <c r="H98" i="24"/>
  <c r="L103" i="24" s="1"/>
  <c r="AH90" i="24"/>
  <c r="D99" i="24"/>
  <c r="X90" i="24"/>
  <c r="AC90" i="24" s="1"/>
  <c r="T91" i="24"/>
  <c r="R91" i="24"/>
  <c r="AA90" i="24"/>
  <c r="V90" i="24"/>
  <c r="U89" i="24"/>
  <c r="Y88" i="24"/>
  <c r="AD88" i="24" s="1"/>
  <c r="S88" i="24" l="1"/>
  <c r="W88" i="24" s="1"/>
  <c r="AB88" i="24" s="1"/>
  <c r="AE88" i="24" s="1"/>
  <c r="AF92" i="24" s="1"/>
  <c r="AG92" i="24" s="1"/>
  <c r="Z87" i="24"/>
  <c r="E100" i="28"/>
  <c r="I105" i="28" s="1"/>
  <c r="F100" i="28"/>
  <c r="J105" i="28" s="1"/>
  <c r="G100" i="28"/>
  <c r="K105" i="28" s="1"/>
  <c r="H100" i="28"/>
  <c r="L105" i="28" s="1"/>
  <c r="S93" i="28"/>
  <c r="U94" i="28"/>
  <c r="AI78" i="28"/>
  <c r="AE90" i="28"/>
  <c r="AF94" i="28" s="1"/>
  <c r="AG94" i="28" s="1"/>
  <c r="AH94" i="28" s="1"/>
  <c r="AC92" i="28"/>
  <c r="Z91" i="28"/>
  <c r="AD91" i="28"/>
  <c r="AB91" i="28"/>
  <c r="V92" i="28"/>
  <c r="AA92" i="28"/>
  <c r="D101" i="28"/>
  <c r="C101" i="28" s="1"/>
  <c r="Y92" i="28"/>
  <c r="W92" i="28"/>
  <c r="X93" i="28"/>
  <c r="AE87" i="27"/>
  <c r="AF91" i="27" s="1"/>
  <c r="AG91" i="27" s="1"/>
  <c r="Z87" i="27"/>
  <c r="E97" i="27"/>
  <c r="I102" i="27" s="1"/>
  <c r="F97" i="27"/>
  <c r="J102" i="27" s="1"/>
  <c r="G97" i="27"/>
  <c r="K102" i="27" s="1"/>
  <c r="H97" i="27"/>
  <c r="L102" i="27" s="1"/>
  <c r="D98" i="27"/>
  <c r="AH90" i="27"/>
  <c r="V88" i="27"/>
  <c r="AA88" i="27"/>
  <c r="R89" i="27"/>
  <c r="S88" i="27"/>
  <c r="W88" i="27" s="1"/>
  <c r="AB88" i="27" s="1"/>
  <c r="U89" i="27"/>
  <c r="Y88" i="27"/>
  <c r="AD88" i="27" s="1"/>
  <c r="X90" i="27"/>
  <c r="AC90" i="27" s="1"/>
  <c r="T91" i="27"/>
  <c r="G96" i="27"/>
  <c r="K101" i="27" s="1"/>
  <c r="E96" i="27"/>
  <c r="I101" i="27" s="1"/>
  <c r="F96" i="27"/>
  <c r="J101" i="27" s="1"/>
  <c r="H96" i="27"/>
  <c r="L101" i="27" s="1"/>
  <c r="F99" i="26"/>
  <c r="J114" i="26" s="1"/>
  <c r="G99" i="26"/>
  <c r="K114" i="26" s="1"/>
  <c r="E99" i="26"/>
  <c r="I114" i="26" s="1"/>
  <c r="H99" i="26"/>
  <c r="L114" i="26" s="1"/>
  <c r="U90" i="26"/>
  <c r="S89" i="26"/>
  <c r="W89" i="26" s="1"/>
  <c r="AB89" i="26" s="1"/>
  <c r="Y89" i="26"/>
  <c r="AD89" i="26" s="1"/>
  <c r="Z88" i="26"/>
  <c r="D100" i="26"/>
  <c r="C100" i="26" s="1"/>
  <c r="AE88" i="26"/>
  <c r="AA89" i="26"/>
  <c r="V89" i="26"/>
  <c r="R90" i="26"/>
  <c r="T93" i="26"/>
  <c r="X92" i="26"/>
  <c r="AC92" i="26" s="1"/>
  <c r="Y89" i="24"/>
  <c r="AD89" i="24" s="1"/>
  <c r="S89" i="24"/>
  <c r="W89" i="24" s="1"/>
  <c r="U90" i="24"/>
  <c r="AH91" i="24"/>
  <c r="AI77" i="24" s="1"/>
  <c r="D100" i="24"/>
  <c r="C100" i="24" s="1"/>
  <c r="R92" i="24"/>
  <c r="AA91" i="24"/>
  <c r="V91" i="24"/>
  <c r="T92" i="24"/>
  <c r="X91" i="24"/>
  <c r="AC91" i="24" s="1"/>
  <c r="C99" i="24"/>
  <c r="AE91" i="28" l="1"/>
  <c r="AF95" i="28" s="1"/>
  <c r="AG95" i="28" s="1"/>
  <c r="AH95" i="28" s="1"/>
  <c r="Z88" i="24"/>
  <c r="E101" i="28"/>
  <c r="I106" i="28" s="1"/>
  <c r="F101" i="28"/>
  <c r="J106" i="28" s="1"/>
  <c r="H101" i="28"/>
  <c r="L106" i="28" s="1"/>
  <c r="G101" i="28"/>
  <c r="K106" i="28" s="1"/>
  <c r="U95" i="28"/>
  <c r="S94" i="28"/>
  <c r="AC93" i="28"/>
  <c r="AB92" i="28"/>
  <c r="AD92" i="28"/>
  <c r="AM92" i="28"/>
  <c r="X94" i="28"/>
  <c r="D102" i="28"/>
  <c r="C102" i="28" s="1"/>
  <c r="Z92" i="28"/>
  <c r="W93" i="28"/>
  <c r="Y93" i="28"/>
  <c r="AA93" i="28"/>
  <c r="V93" i="28"/>
  <c r="AA89" i="27"/>
  <c r="V89" i="27"/>
  <c r="R90" i="27"/>
  <c r="AE88" i="27"/>
  <c r="AF92" i="27" s="1"/>
  <c r="AG92" i="27" s="1"/>
  <c r="Z88" i="27"/>
  <c r="AH91" i="27"/>
  <c r="AI77" i="27" s="1"/>
  <c r="D99" i="27"/>
  <c r="C98" i="27"/>
  <c r="T92" i="27"/>
  <c r="X91" i="27"/>
  <c r="AC91" i="27" s="1"/>
  <c r="Y89" i="27"/>
  <c r="AD89" i="27" s="1"/>
  <c r="S89" i="27"/>
  <c r="W89" i="27" s="1"/>
  <c r="AB89" i="27" s="1"/>
  <c r="U90" i="27"/>
  <c r="AE89" i="26"/>
  <c r="D101" i="26"/>
  <c r="H100" i="26"/>
  <c r="L115" i="26" s="1"/>
  <c r="G100" i="26"/>
  <c r="K115" i="26" s="1"/>
  <c r="F100" i="26"/>
  <c r="J115" i="26" s="1"/>
  <c r="E100" i="26"/>
  <c r="I115" i="26" s="1"/>
  <c r="AA90" i="26"/>
  <c r="V90" i="26"/>
  <c r="R91" i="26"/>
  <c r="Y90" i="26"/>
  <c r="AD90" i="26" s="1"/>
  <c r="S90" i="26"/>
  <c r="W90" i="26" s="1"/>
  <c r="AB90" i="26" s="1"/>
  <c r="U91" i="26"/>
  <c r="X93" i="26"/>
  <c r="AC93" i="26" s="1"/>
  <c r="T94" i="26"/>
  <c r="Z89" i="26"/>
  <c r="AH92" i="24"/>
  <c r="H100" i="24"/>
  <c r="L105" i="24" s="1"/>
  <c r="E100" i="24"/>
  <c r="I105" i="24" s="1"/>
  <c r="G100" i="24"/>
  <c r="K105" i="24" s="1"/>
  <c r="F100" i="24"/>
  <c r="J105" i="24" s="1"/>
  <c r="D101" i="24"/>
  <c r="C101" i="24" s="1"/>
  <c r="H99" i="24"/>
  <c r="L104" i="24" s="1"/>
  <c r="G99" i="24"/>
  <c r="K104" i="24" s="1"/>
  <c r="E99" i="24"/>
  <c r="I104" i="24" s="1"/>
  <c r="F99" i="24"/>
  <c r="J104" i="24" s="1"/>
  <c r="Y90" i="24"/>
  <c r="AD90" i="24" s="1"/>
  <c r="S90" i="24"/>
  <c r="W90" i="24" s="1"/>
  <c r="U91" i="24"/>
  <c r="T93" i="24"/>
  <c r="X92" i="24"/>
  <c r="AC92" i="24" s="1"/>
  <c r="AB89" i="24"/>
  <c r="AE89" i="24" s="1"/>
  <c r="AF93" i="24" s="1"/>
  <c r="AG93" i="24" s="1"/>
  <c r="Z89" i="24"/>
  <c r="V92" i="24"/>
  <c r="R93" i="24"/>
  <c r="AA92" i="24"/>
  <c r="F102" i="28" l="1"/>
  <c r="J107" i="28" s="1"/>
  <c r="G102" i="28"/>
  <c r="H102" i="28"/>
  <c r="L107" i="28" s="1"/>
  <c r="E102" i="28"/>
  <c r="I107" i="28" s="1"/>
  <c r="S95" i="28"/>
  <c r="U96" i="28"/>
  <c r="AI79" i="28"/>
  <c r="AE92" i="28"/>
  <c r="AF96" i="28" s="1"/>
  <c r="AG96" i="28" s="1"/>
  <c r="AH96" i="28" s="1"/>
  <c r="AD93" i="28"/>
  <c r="AM93" i="28"/>
  <c r="AB93" i="28"/>
  <c r="AC94" i="28"/>
  <c r="Z93" i="28"/>
  <c r="K107" i="28"/>
  <c r="D103" i="28"/>
  <c r="C103" i="28" s="1"/>
  <c r="X95" i="28"/>
  <c r="AA94" i="28"/>
  <c r="V94" i="28"/>
  <c r="W94" i="28"/>
  <c r="Y94" i="28"/>
  <c r="F98" i="27"/>
  <c r="J103" i="27" s="1"/>
  <c r="G98" i="27"/>
  <c r="K103" i="27" s="1"/>
  <c r="H98" i="27"/>
  <c r="L103" i="27" s="1"/>
  <c r="E98" i="27"/>
  <c r="I103" i="27" s="1"/>
  <c r="D100" i="27"/>
  <c r="C99" i="27"/>
  <c r="AH92" i="27"/>
  <c r="Y90" i="27"/>
  <c r="AD90" i="27" s="1"/>
  <c r="U91" i="27"/>
  <c r="S90" i="27"/>
  <c r="W90" i="27" s="1"/>
  <c r="AB90" i="27" s="1"/>
  <c r="X92" i="27"/>
  <c r="AC92" i="27" s="1"/>
  <c r="T93" i="27"/>
  <c r="AA90" i="27"/>
  <c r="R91" i="27"/>
  <c r="V90" i="27"/>
  <c r="Z89" i="27"/>
  <c r="AE89" i="27"/>
  <c r="AF93" i="27" s="1"/>
  <c r="AG93" i="27" s="1"/>
  <c r="AA91" i="26"/>
  <c r="R92" i="26"/>
  <c r="V91" i="26"/>
  <c r="X94" i="26"/>
  <c r="AC94" i="26" s="1"/>
  <c r="T95" i="26"/>
  <c r="AE90" i="26"/>
  <c r="D102" i="26"/>
  <c r="C102" i="26" s="1"/>
  <c r="Z90" i="26"/>
  <c r="U92" i="26"/>
  <c r="Y91" i="26"/>
  <c r="AD91" i="26" s="1"/>
  <c r="S91" i="26"/>
  <c r="W91" i="26" s="1"/>
  <c r="AB91" i="26" s="1"/>
  <c r="C101" i="26"/>
  <c r="AH93" i="24"/>
  <c r="AA93" i="24"/>
  <c r="R94" i="24"/>
  <c r="V93" i="24"/>
  <c r="D102" i="24"/>
  <c r="C102" i="24" s="1"/>
  <c r="U92" i="24"/>
  <c r="Y91" i="24"/>
  <c r="AD91" i="24" s="1"/>
  <c r="S91" i="24"/>
  <c r="W91" i="24" s="1"/>
  <c r="AB90" i="24"/>
  <c r="AE90" i="24" s="1"/>
  <c r="AF94" i="24" s="1"/>
  <c r="AG94" i="24" s="1"/>
  <c r="Z90" i="24"/>
  <c r="F101" i="24"/>
  <c r="J106" i="24" s="1"/>
  <c r="E101" i="24"/>
  <c r="I106" i="24" s="1"/>
  <c r="H101" i="24"/>
  <c r="L106" i="24" s="1"/>
  <c r="G101" i="24"/>
  <c r="K106" i="24" s="1"/>
  <c r="T94" i="24"/>
  <c r="X93" i="24"/>
  <c r="AC93" i="24" s="1"/>
  <c r="E103" i="28" l="1"/>
  <c r="I108" i="28" s="1"/>
  <c r="F103" i="28"/>
  <c r="J108" i="28" s="1"/>
  <c r="G103" i="28"/>
  <c r="K108" i="28" s="1"/>
  <c r="H103" i="28"/>
  <c r="L108" i="28" s="1"/>
  <c r="S96" i="28"/>
  <c r="U97" i="28"/>
  <c r="AE93" i="28"/>
  <c r="AF97" i="28" s="1"/>
  <c r="AG97" i="28" s="1"/>
  <c r="AH97" i="28" s="1"/>
  <c r="AC95" i="28"/>
  <c r="AB94" i="28"/>
  <c r="AD94" i="28"/>
  <c r="AM94" i="28"/>
  <c r="X96" i="28"/>
  <c r="W95" i="28"/>
  <c r="Y95" i="28"/>
  <c r="AA95" i="28"/>
  <c r="V95" i="28"/>
  <c r="D104" i="28"/>
  <c r="C104" i="28" s="1"/>
  <c r="Z94" i="28"/>
  <c r="Z90" i="27"/>
  <c r="AH93" i="27"/>
  <c r="AI78" i="27" s="1"/>
  <c r="E99" i="27"/>
  <c r="I104" i="27" s="1"/>
  <c r="F99" i="27"/>
  <c r="J104" i="27" s="1"/>
  <c r="G99" i="27"/>
  <c r="K104" i="27" s="1"/>
  <c r="H99" i="27"/>
  <c r="L104" i="27" s="1"/>
  <c r="D101" i="27"/>
  <c r="AE90" i="27"/>
  <c r="AF94" i="27" s="1"/>
  <c r="AG94" i="27" s="1"/>
  <c r="C100" i="27"/>
  <c r="X93" i="27"/>
  <c r="AC93" i="27" s="1"/>
  <c r="T94" i="27"/>
  <c r="Y91" i="27"/>
  <c r="AD91" i="27" s="1"/>
  <c r="U92" i="27"/>
  <c r="S91" i="27"/>
  <c r="W91" i="27" s="1"/>
  <c r="AB91" i="27" s="1"/>
  <c r="V91" i="27"/>
  <c r="R92" i="27"/>
  <c r="AA91" i="27"/>
  <c r="H102" i="26"/>
  <c r="L117" i="26" s="1"/>
  <c r="G102" i="26"/>
  <c r="K117" i="26" s="1"/>
  <c r="F102" i="26"/>
  <c r="J117" i="26" s="1"/>
  <c r="E102" i="26"/>
  <c r="I117" i="26" s="1"/>
  <c r="D103" i="26"/>
  <c r="Z91" i="26"/>
  <c r="R93" i="26"/>
  <c r="V92" i="26"/>
  <c r="AA92" i="26"/>
  <c r="S92" i="26"/>
  <c r="W92" i="26" s="1"/>
  <c r="AB92" i="26" s="1"/>
  <c r="U93" i="26"/>
  <c r="Y92" i="26"/>
  <c r="AD92" i="26" s="1"/>
  <c r="T96" i="26"/>
  <c r="X95" i="26"/>
  <c r="AC95" i="26" s="1"/>
  <c r="H101" i="26"/>
  <c r="L116" i="26" s="1"/>
  <c r="G101" i="26"/>
  <c r="K116" i="26" s="1"/>
  <c r="F101" i="26"/>
  <c r="J116" i="26" s="1"/>
  <c r="E101" i="26"/>
  <c r="I116" i="26" s="1"/>
  <c r="AE91" i="26"/>
  <c r="AH94" i="24"/>
  <c r="AI78" i="24" s="1"/>
  <c r="H102" i="24"/>
  <c r="L107" i="24" s="1"/>
  <c r="G102" i="24"/>
  <c r="K107" i="24" s="1"/>
  <c r="E102" i="24"/>
  <c r="I107" i="24" s="1"/>
  <c r="F102" i="24"/>
  <c r="J107" i="24" s="1"/>
  <c r="S92" i="24"/>
  <c r="W92" i="24" s="1"/>
  <c r="Y92" i="24"/>
  <c r="AD92" i="24" s="1"/>
  <c r="U93" i="24"/>
  <c r="X94" i="24"/>
  <c r="AC94" i="24" s="1"/>
  <c r="T95" i="24"/>
  <c r="D103" i="24"/>
  <c r="C103" i="24" s="1"/>
  <c r="V94" i="24"/>
  <c r="R95" i="24"/>
  <c r="AA94" i="24"/>
  <c r="AB91" i="24"/>
  <c r="AE91" i="24" s="1"/>
  <c r="AF95" i="24" s="1"/>
  <c r="AG95" i="24" s="1"/>
  <c r="Z91" i="24"/>
  <c r="E104" i="28" l="1"/>
  <c r="I109" i="28" s="1"/>
  <c r="F104" i="28"/>
  <c r="J109" i="28" s="1"/>
  <c r="H104" i="28"/>
  <c r="L109" i="28" s="1"/>
  <c r="G104" i="28"/>
  <c r="K109" i="28" s="1"/>
  <c r="U98" i="28"/>
  <c r="S97" i="28"/>
  <c r="AE94" i="28"/>
  <c r="AF98" i="28" s="1"/>
  <c r="AG98" i="28" s="1"/>
  <c r="AD95" i="28"/>
  <c r="AM95" i="28"/>
  <c r="AB95" i="28"/>
  <c r="AC96" i="28"/>
  <c r="Z95" i="28"/>
  <c r="AH98" i="28"/>
  <c r="Y96" i="28"/>
  <c r="W96" i="28"/>
  <c r="V96" i="28"/>
  <c r="AA96" i="28"/>
  <c r="D105" i="28"/>
  <c r="C105" i="28" s="1"/>
  <c r="X97" i="28"/>
  <c r="AE91" i="27"/>
  <c r="AF95" i="27" s="1"/>
  <c r="AG95" i="27" s="1"/>
  <c r="AH94" i="27"/>
  <c r="D102" i="27"/>
  <c r="C102" i="27" s="1"/>
  <c r="C101" i="27"/>
  <c r="S92" i="27"/>
  <c r="W92" i="27" s="1"/>
  <c r="AB92" i="27" s="1"/>
  <c r="U93" i="27"/>
  <c r="Y92" i="27"/>
  <c r="AD92" i="27" s="1"/>
  <c r="V92" i="27"/>
  <c r="R93" i="27"/>
  <c r="AA92" i="27"/>
  <c r="G100" i="27"/>
  <c r="K105" i="27" s="1"/>
  <c r="E100" i="27"/>
  <c r="I105" i="27" s="1"/>
  <c r="F100" i="27"/>
  <c r="J105" i="27" s="1"/>
  <c r="H100" i="27"/>
  <c r="L105" i="27" s="1"/>
  <c r="Z91" i="27"/>
  <c r="T95" i="27"/>
  <c r="X94" i="27"/>
  <c r="AC94" i="27" s="1"/>
  <c r="AE92" i="26"/>
  <c r="Z92" i="26"/>
  <c r="AA93" i="26"/>
  <c r="V93" i="26"/>
  <c r="R94" i="26"/>
  <c r="D104" i="26"/>
  <c r="C104" i="26" s="1"/>
  <c r="C103" i="26"/>
  <c r="U94" i="26"/>
  <c r="S93" i="26"/>
  <c r="W93" i="26" s="1"/>
  <c r="AB93" i="26" s="1"/>
  <c r="Y93" i="26"/>
  <c r="AD93" i="26" s="1"/>
  <c r="X96" i="26"/>
  <c r="AC96" i="26" s="1"/>
  <c r="T97" i="26"/>
  <c r="AH95" i="24"/>
  <c r="X95" i="24"/>
  <c r="AC95" i="24" s="1"/>
  <c r="T96" i="24"/>
  <c r="AB92" i="24"/>
  <c r="AE92" i="24" s="1"/>
  <c r="AF96" i="24" s="1"/>
  <c r="AG96" i="24" s="1"/>
  <c r="Z92" i="24"/>
  <c r="H103" i="24"/>
  <c r="L108" i="24" s="1"/>
  <c r="E103" i="24"/>
  <c r="I108" i="24" s="1"/>
  <c r="G103" i="24"/>
  <c r="K108" i="24" s="1"/>
  <c r="F103" i="24"/>
  <c r="J108" i="24" s="1"/>
  <c r="U94" i="24"/>
  <c r="S93" i="24"/>
  <c r="W93" i="24" s="1"/>
  <c r="Y93" i="24"/>
  <c r="AD93" i="24" s="1"/>
  <c r="V95" i="24"/>
  <c r="R96" i="24"/>
  <c r="AA95" i="24"/>
  <c r="D104" i="24"/>
  <c r="AE95" i="28" l="1"/>
  <c r="AF99" i="28" s="1"/>
  <c r="AG99" i="28" s="1"/>
  <c r="F105" i="28"/>
  <c r="J110" i="28" s="1"/>
  <c r="G105" i="28"/>
  <c r="K110" i="28" s="1"/>
  <c r="H105" i="28"/>
  <c r="L110" i="28" s="1"/>
  <c r="E105" i="28"/>
  <c r="I110" i="28" s="1"/>
  <c r="S98" i="28"/>
  <c r="U99" i="28"/>
  <c r="AI80" i="28"/>
  <c r="AB96" i="28"/>
  <c r="AC97" i="28"/>
  <c r="AD96" i="28"/>
  <c r="AE96" i="28" s="1"/>
  <c r="AF100" i="28" s="1"/>
  <c r="AG100" i="28" s="1"/>
  <c r="AM96" i="28"/>
  <c r="Z96" i="28"/>
  <c r="Y97" i="28"/>
  <c r="W97" i="28"/>
  <c r="V97" i="28"/>
  <c r="AA97" i="28"/>
  <c r="X98" i="28"/>
  <c r="D106" i="28"/>
  <c r="C106" i="28" s="1"/>
  <c r="AH99" i="28"/>
  <c r="AE92" i="27"/>
  <c r="AF96" i="27" s="1"/>
  <c r="Z92" i="27"/>
  <c r="T96" i="27"/>
  <c r="X95" i="27"/>
  <c r="AC95" i="27" s="1"/>
  <c r="E101" i="27"/>
  <c r="I106" i="27" s="1"/>
  <c r="F101" i="27"/>
  <c r="J106" i="27" s="1"/>
  <c r="G101" i="27"/>
  <c r="K106" i="27" s="1"/>
  <c r="H101" i="27"/>
  <c r="L106" i="27" s="1"/>
  <c r="G102" i="27"/>
  <c r="K107" i="27" s="1"/>
  <c r="H102" i="27"/>
  <c r="L107" i="27" s="1"/>
  <c r="E102" i="27"/>
  <c r="I107" i="27" s="1"/>
  <c r="F102" i="27"/>
  <c r="J107" i="27" s="1"/>
  <c r="S93" i="27"/>
  <c r="W93" i="27" s="1"/>
  <c r="AB93" i="27" s="1"/>
  <c r="Y93" i="27"/>
  <c r="AD93" i="27" s="1"/>
  <c r="U94" i="27"/>
  <c r="D103" i="27"/>
  <c r="V93" i="27"/>
  <c r="AA93" i="27"/>
  <c r="R94" i="27"/>
  <c r="AG96" i="27"/>
  <c r="AH95" i="27"/>
  <c r="AI79" i="27" s="1"/>
  <c r="U95" i="26"/>
  <c r="Y94" i="26"/>
  <c r="AD94" i="26" s="1"/>
  <c r="S94" i="26"/>
  <c r="W94" i="26" s="1"/>
  <c r="AB94" i="26" s="1"/>
  <c r="H103" i="26"/>
  <c r="L118" i="26" s="1"/>
  <c r="G103" i="26"/>
  <c r="K118" i="26" s="1"/>
  <c r="F103" i="26"/>
  <c r="J118" i="26" s="1"/>
  <c r="E103" i="26"/>
  <c r="I118" i="26" s="1"/>
  <c r="Z93" i="26"/>
  <c r="AE93" i="26"/>
  <c r="H104" i="26"/>
  <c r="L119" i="26" s="1"/>
  <c r="F104" i="26"/>
  <c r="J119" i="26" s="1"/>
  <c r="E104" i="26"/>
  <c r="I119" i="26" s="1"/>
  <c r="G104" i="26"/>
  <c r="K119" i="26" s="1"/>
  <c r="D105" i="26"/>
  <c r="AA94" i="26"/>
  <c r="V94" i="26"/>
  <c r="R95" i="26"/>
  <c r="T98" i="26"/>
  <c r="X97" i="26"/>
  <c r="AC97" i="26" s="1"/>
  <c r="AH96" i="24"/>
  <c r="AI79" i="24" s="1"/>
  <c r="U95" i="24"/>
  <c r="Y94" i="24"/>
  <c r="AD94" i="24" s="1"/>
  <c r="S94" i="24"/>
  <c r="W94" i="24" s="1"/>
  <c r="AB93" i="24"/>
  <c r="AE93" i="24" s="1"/>
  <c r="AF97" i="24" s="1"/>
  <c r="AG97" i="24" s="1"/>
  <c r="Z93" i="24"/>
  <c r="D105" i="24"/>
  <c r="T97" i="24"/>
  <c r="X96" i="24"/>
  <c r="AC96" i="24" s="1"/>
  <c r="C104" i="24"/>
  <c r="AA96" i="24"/>
  <c r="V96" i="24"/>
  <c r="R97" i="24"/>
  <c r="Z94" i="26" l="1"/>
  <c r="E106" i="28"/>
  <c r="I111" i="28" s="1"/>
  <c r="F106" i="28"/>
  <c r="G106" i="28"/>
  <c r="K111" i="28" s="1"/>
  <c r="H106" i="28"/>
  <c r="L111" i="28" s="1"/>
  <c r="S99" i="28"/>
  <c r="U100" i="28"/>
  <c r="AB97" i="28"/>
  <c r="AD97" i="28"/>
  <c r="AM97" i="28"/>
  <c r="AC98" i="28"/>
  <c r="Z97" i="28"/>
  <c r="Y98" i="28"/>
  <c r="W98" i="28"/>
  <c r="J111" i="28"/>
  <c r="D107" i="28"/>
  <c r="C107" i="28" s="1"/>
  <c r="AH100" i="28"/>
  <c r="X99" i="28"/>
  <c r="V98" i="28"/>
  <c r="AA98" i="28"/>
  <c r="AE93" i="27"/>
  <c r="AF97" i="27" s="1"/>
  <c r="AG97" i="27" s="1"/>
  <c r="Z93" i="27"/>
  <c r="D104" i="27"/>
  <c r="C103" i="27"/>
  <c r="Y94" i="27"/>
  <c r="AD94" i="27" s="1"/>
  <c r="U95" i="27"/>
  <c r="S94" i="27"/>
  <c r="W94" i="27" s="1"/>
  <c r="AB94" i="27" s="1"/>
  <c r="AH96" i="27"/>
  <c r="X96" i="27"/>
  <c r="AC96" i="27" s="1"/>
  <c r="T97" i="27"/>
  <c r="AA94" i="27"/>
  <c r="R95" i="27"/>
  <c r="V94" i="27"/>
  <c r="T99" i="26"/>
  <c r="X98" i="26"/>
  <c r="AC98" i="26" s="1"/>
  <c r="AA95" i="26"/>
  <c r="V95" i="26"/>
  <c r="R96" i="26"/>
  <c r="AE94" i="26"/>
  <c r="D106" i="26"/>
  <c r="C105" i="26"/>
  <c r="U96" i="26"/>
  <c r="Y95" i="26"/>
  <c r="AD95" i="26" s="1"/>
  <c r="S95" i="26"/>
  <c r="W95" i="26" s="1"/>
  <c r="AB95" i="26" s="1"/>
  <c r="AH97" i="24"/>
  <c r="D106" i="24"/>
  <c r="C106" i="24" s="1"/>
  <c r="AB94" i="24"/>
  <c r="AE94" i="24" s="1"/>
  <c r="AF98" i="24" s="1"/>
  <c r="AG98" i="24" s="1"/>
  <c r="Z94" i="24"/>
  <c r="C105" i="24"/>
  <c r="T98" i="24"/>
  <c r="X97" i="24"/>
  <c r="AC97" i="24" s="1"/>
  <c r="U96" i="24"/>
  <c r="S95" i="24"/>
  <c r="W95" i="24" s="1"/>
  <c r="Y95" i="24"/>
  <c r="AD95" i="24" s="1"/>
  <c r="R98" i="24"/>
  <c r="AA97" i="24"/>
  <c r="V97" i="24"/>
  <c r="H104" i="24"/>
  <c r="L109" i="24" s="1"/>
  <c r="G104" i="24"/>
  <c r="K109" i="24" s="1"/>
  <c r="E104" i="24"/>
  <c r="I109" i="24" s="1"/>
  <c r="F104" i="24"/>
  <c r="J109" i="24" s="1"/>
  <c r="E107" i="28" l="1"/>
  <c r="I112" i="28" s="1"/>
  <c r="F107" i="28"/>
  <c r="H107" i="28"/>
  <c r="L112" i="28" s="1"/>
  <c r="G107" i="28"/>
  <c r="K112" i="28" s="1"/>
  <c r="U101" i="28"/>
  <c r="S100" i="28"/>
  <c r="AI81" i="28"/>
  <c r="AE97" i="28"/>
  <c r="AF101" i="28" s="1"/>
  <c r="AG101" i="28" s="1"/>
  <c r="AH101" i="28" s="1"/>
  <c r="AB98" i="28"/>
  <c r="AC99" i="28"/>
  <c r="AD98" i="28"/>
  <c r="AM98" i="28"/>
  <c r="Z98" i="28"/>
  <c r="J112" i="28"/>
  <c r="D108" i="28"/>
  <c r="C108" i="28" s="1"/>
  <c r="AA99" i="28"/>
  <c r="V99" i="28"/>
  <c r="W99" i="28"/>
  <c r="Y99" i="28"/>
  <c r="X100" i="28"/>
  <c r="T98" i="27"/>
  <c r="X97" i="27"/>
  <c r="AC97" i="27" s="1"/>
  <c r="AH97" i="27"/>
  <c r="AI80" i="27" s="1"/>
  <c r="S95" i="27"/>
  <c r="W95" i="27" s="1"/>
  <c r="AB95" i="27" s="1"/>
  <c r="U96" i="27"/>
  <c r="Y95" i="27"/>
  <c r="AD95" i="27" s="1"/>
  <c r="Z94" i="27"/>
  <c r="F103" i="27"/>
  <c r="J108" i="27" s="1"/>
  <c r="E103" i="27"/>
  <c r="I108" i="27" s="1"/>
  <c r="G103" i="27"/>
  <c r="K108" i="27" s="1"/>
  <c r="H103" i="27"/>
  <c r="L108" i="27" s="1"/>
  <c r="R96" i="27"/>
  <c r="V95" i="27"/>
  <c r="AA95" i="27"/>
  <c r="D105" i="27"/>
  <c r="AE94" i="27"/>
  <c r="AF98" i="27" s="1"/>
  <c r="AG98" i="27" s="1"/>
  <c r="C104" i="27"/>
  <c r="D107" i="26"/>
  <c r="C107" i="26" s="1"/>
  <c r="E105" i="26"/>
  <c r="I120" i="26" s="1"/>
  <c r="H105" i="26"/>
  <c r="L120" i="26" s="1"/>
  <c r="G105" i="26"/>
  <c r="K120" i="26" s="1"/>
  <c r="F105" i="26"/>
  <c r="J120" i="26" s="1"/>
  <c r="AE95" i="26"/>
  <c r="S96" i="26"/>
  <c r="W96" i="26" s="1"/>
  <c r="AB96" i="26" s="1"/>
  <c r="Y96" i="26"/>
  <c r="AD96" i="26" s="1"/>
  <c r="U97" i="26"/>
  <c r="C106" i="26"/>
  <c r="V96" i="26"/>
  <c r="R97" i="26"/>
  <c r="AA96" i="26"/>
  <c r="Z95" i="26"/>
  <c r="O100" i="26"/>
  <c r="X99" i="26"/>
  <c r="AC99" i="26" s="1"/>
  <c r="AH98" i="24"/>
  <c r="AI80" i="24" s="1"/>
  <c r="H106" i="24"/>
  <c r="L111" i="24" s="1"/>
  <c r="F106" i="24"/>
  <c r="J111" i="24" s="1"/>
  <c r="E106" i="24"/>
  <c r="I111" i="24" s="1"/>
  <c r="G106" i="24"/>
  <c r="K111" i="24" s="1"/>
  <c r="Y96" i="24"/>
  <c r="AD96" i="24" s="1"/>
  <c r="U97" i="24"/>
  <c r="S96" i="24"/>
  <c r="W96" i="24" s="1"/>
  <c r="H105" i="24"/>
  <c r="L110" i="24" s="1"/>
  <c r="E105" i="24"/>
  <c r="I110" i="24" s="1"/>
  <c r="G105" i="24"/>
  <c r="K110" i="24" s="1"/>
  <c r="F105" i="24"/>
  <c r="J110" i="24" s="1"/>
  <c r="R99" i="24"/>
  <c r="AA98" i="24"/>
  <c r="V98" i="24"/>
  <c r="D107" i="24"/>
  <c r="C107" i="24" s="1"/>
  <c r="T99" i="24"/>
  <c r="X98" i="24"/>
  <c r="AC98" i="24" s="1"/>
  <c r="AB95" i="24"/>
  <c r="AE95" i="24" s="1"/>
  <c r="AF99" i="24" s="1"/>
  <c r="AG99" i="24" s="1"/>
  <c r="Z95" i="24"/>
  <c r="F108" i="28" l="1"/>
  <c r="J113" i="28" s="1"/>
  <c r="G108" i="28"/>
  <c r="K113" i="28" s="1"/>
  <c r="H108" i="28"/>
  <c r="L113" i="28" s="1"/>
  <c r="E108" i="28"/>
  <c r="I113" i="28" s="1"/>
  <c r="S101" i="28"/>
  <c r="U102" i="28"/>
  <c r="AE98" i="28"/>
  <c r="AF102" i="28" s="1"/>
  <c r="AG102" i="28" s="1"/>
  <c r="AH102" i="28" s="1"/>
  <c r="AC100" i="28"/>
  <c r="AD99" i="28"/>
  <c r="AM99" i="28"/>
  <c r="AB99" i="28"/>
  <c r="W100" i="28"/>
  <c r="Y100" i="28"/>
  <c r="D109" i="28"/>
  <c r="C109" i="28" s="1"/>
  <c r="X101" i="28"/>
  <c r="V100" i="28"/>
  <c r="AA100" i="28"/>
  <c r="Z99" i="28"/>
  <c r="AH98" i="27"/>
  <c r="S96" i="27"/>
  <c r="W96" i="27" s="1"/>
  <c r="AB96" i="27" s="1"/>
  <c r="U97" i="27"/>
  <c r="Y96" i="27"/>
  <c r="AD96" i="27" s="1"/>
  <c r="D106" i="27"/>
  <c r="C105" i="27"/>
  <c r="H104" i="27"/>
  <c r="L109" i="27" s="1"/>
  <c r="E104" i="27"/>
  <c r="I109" i="27" s="1"/>
  <c r="G104" i="27"/>
  <c r="K109" i="27" s="1"/>
  <c r="F104" i="27"/>
  <c r="J109" i="27" s="1"/>
  <c r="AE95" i="27"/>
  <c r="AF99" i="27" s="1"/>
  <c r="AG99" i="27" s="1"/>
  <c r="Z95" i="27"/>
  <c r="V96" i="27"/>
  <c r="AA96" i="27"/>
  <c r="R97" i="27"/>
  <c r="T99" i="27"/>
  <c r="X98" i="27"/>
  <c r="AC98" i="27" s="1"/>
  <c r="Z96" i="26"/>
  <c r="G107" i="26"/>
  <c r="K122" i="26" s="1"/>
  <c r="F107" i="26"/>
  <c r="J122" i="26" s="1"/>
  <c r="H107" i="26"/>
  <c r="L122" i="26" s="1"/>
  <c r="E107" i="26"/>
  <c r="I122" i="26" s="1"/>
  <c r="G106" i="26"/>
  <c r="K121" i="26" s="1"/>
  <c r="F106" i="26"/>
  <c r="J121" i="26" s="1"/>
  <c r="E106" i="26"/>
  <c r="I121" i="26" s="1"/>
  <c r="H106" i="26"/>
  <c r="L121" i="26" s="1"/>
  <c r="U98" i="26"/>
  <c r="S97" i="26"/>
  <c r="W97" i="26" s="1"/>
  <c r="AB97" i="26" s="1"/>
  <c r="Y97" i="26"/>
  <c r="AD97" i="26" s="1"/>
  <c r="O106" i="26"/>
  <c r="O105" i="26"/>
  <c r="O103" i="26"/>
  <c r="O101" i="26"/>
  <c r="O112" i="26"/>
  <c r="O108" i="26"/>
  <c r="F10" i="26"/>
  <c r="O107" i="26"/>
  <c r="O111" i="26"/>
  <c r="O104" i="26"/>
  <c r="O110" i="26"/>
  <c r="O109" i="26"/>
  <c r="O114" i="26"/>
  <c r="O102" i="26"/>
  <c r="O113" i="26"/>
  <c r="T100" i="26"/>
  <c r="AE96" i="26"/>
  <c r="AA97" i="26"/>
  <c r="R98" i="26"/>
  <c r="V97" i="26"/>
  <c r="D108" i="26"/>
  <c r="C108" i="26" s="1"/>
  <c r="AH99" i="24"/>
  <c r="U98" i="24"/>
  <c r="Y97" i="24"/>
  <c r="AD97" i="24" s="1"/>
  <c r="S97" i="24"/>
  <c r="W97" i="24" s="1"/>
  <c r="O100" i="24"/>
  <c r="T100" i="24" s="1"/>
  <c r="X99" i="24"/>
  <c r="AC99" i="24" s="1"/>
  <c r="D108" i="24"/>
  <c r="C108" i="24" s="1"/>
  <c r="M100" i="24"/>
  <c r="R100" i="24" s="1"/>
  <c r="AA99" i="24"/>
  <c r="V99" i="24"/>
  <c r="F107" i="24"/>
  <c r="J112" i="24" s="1"/>
  <c r="E107" i="24"/>
  <c r="I112" i="24" s="1"/>
  <c r="G107" i="24"/>
  <c r="K112" i="24" s="1"/>
  <c r="H107" i="24"/>
  <c r="L112" i="24" s="1"/>
  <c r="AB96" i="24"/>
  <c r="AE96" i="24" s="1"/>
  <c r="AF100" i="24" s="1"/>
  <c r="AG100" i="24" s="1"/>
  <c r="Z96" i="24"/>
  <c r="E109" i="28" l="1"/>
  <c r="I114" i="28" s="1"/>
  <c r="F109" i="28"/>
  <c r="J114" i="28" s="1"/>
  <c r="G109" i="28"/>
  <c r="K114" i="28" s="1"/>
  <c r="H109" i="28"/>
  <c r="S102" i="28"/>
  <c r="AE99" i="28"/>
  <c r="AF103" i="28" s="1"/>
  <c r="AG103" i="28" s="1"/>
  <c r="AH103" i="28" s="1"/>
  <c r="AI82" i="28" s="1"/>
  <c r="AB100" i="28"/>
  <c r="AC101" i="28"/>
  <c r="AD100" i="28"/>
  <c r="AM100" i="28"/>
  <c r="L114" i="28"/>
  <c r="W101" i="28"/>
  <c r="Y101" i="28"/>
  <c r="O103" i="28"/>
  <c r="T103" i="28" s="1"/>
  <c r="X102" i="28"/>
  <c r="D110" i="28"/>
  <c r="C110" i="28" s="1"/>
  <c r="Z100" i="28"/>
  <c r="AA101" i="28"/>
  <c r="V101" i="28"/>
  <c r="Z96" i="27"/>
  <c r="AE96" i="27"/>
  <c r="AF100" i="27" s="1"/>
  <c r="AG100" i="27" s="1"/>
  <c r="G105" i="27"/>
  <c r="K110" i="27" s="1"/>
  <c r="E105" i="27"/>
  <c r="I110" i="27" s="1"/>
  <c r="F105" i="27"/>
  <c r="J110" i="27" s="1"/>
  <c r="H105" i="27"/>
  <c r="L110" i="27" s="1"/>
  <c r="O100" i="27"/>
  <c r="T100" i="27" s="1"/>
  <c r="X99" i="27"/>
  <c r="AC99" i="27" s="1"/>
  <c r="D107" i="27"/>
  <c r="C107" i="27" s="1"/>
  <c r="AA97" i="27"/>
  <c r="R98" i="27"/>
  <c r="V97" i="27"/>
  <c r="C106" i="27"/>
  <c r="U98" i="27"/>
  <c r="Y97" i="27"/>
  <c r="AD97" i="27" s="1"/>
  <c r="S97" i="27"/>
  <c r="W97" i="27" s="1"/>
  <c r="AB97" i="27" s="1"/>
  <c r="AH99" i="27"/>
  <c r="H108" i="26"/>
  <c r="L123" i="26" s="1"/>
  <c r="G108" i="26"/>
  <c r="K123" i="26" s="1"/>
  <c r="F108" i="26"/>
  <c r="J123" i="26" s="1"/>
  <c r="E108" i="26"/>
  <c r="I123" i="26" s="1"/>
  <c r="U99" i="26"/>
  <c r="Y98" i="26"/>
  <c r="AD98" i="26" s="1"/>
  <c r="S98" i="26"/>
  <c r="W98" i="26" s="1"/>
  <c r="AB98" i="26" s="1"/>
  <c r="R99" i="26"/>
  <c r="AA98" i="26"/>
  <c r="V98" i="26"/>
  <c r="AE97" i="26"/>
  <c r="D109" i="26"/>
  <c r="C109" i="26" s="1"/>
  <c r="Z97" i="26"/>
  <c r="T101" i="26"/>
  <c r="X100" i="26"/>
  <c r="AC100" i="26" s="1"/>
  <c r="H108" i="24"/>
  <c r="L113" i="24" s="1"/>
  <c r="G108" i="24"/>
  <c r="K113" i="24" s="1"/>
  <c r="F108" i="24"/>
  <c r="J113" i="24" s="1"/>
  <c r="E108" i="24"/>
  <c r="I113" i="24" s="1"/>
  <c r="AH100" i="24"/>
  <c r="AI81" i="24" s="1"/>
  <c r="O112" i="24"/>
  <c r="O106" i="24"/>
  <c r="O108" i="24"/>
  <c r="O113" i="24"/>
  <c r="O111" i="24"/>
  <c r="O107" i="24"/>
  <c r="O105" i="24"/>
  <c r="O102" i="24"/>
  <c r="O101" i="24"/>
  <c r="T101" i="24" s="1"/>
  <c r="O109" i="24"/>
  <c r="O104" i="24"/>
  <c r="O103" i="24"/>
  <c r="F10" i="24"/>
  <c r="O110" i="24"/>
  <c r="O114" i="24"/>
  <c r="AB97" i="24"/>
  <c r="AE97" i="24" s="1"/>
  <c r="AF101" i="24" s="1"/>
  <c r="AG101" i="24" s="1"/>
  <c r="Z97" i="24"/>
  <c r="D109" i="24"/>
  <c r="U99" i="24"/>
  <c r="Y98" i="24"/>
  <c r="AD98" i="24" s="1"/>
  <c r="S98" i="24"/>
  <c r="W98" i="24" s="1"/>
  <c r="AA100" i="24"/>
  <c r="V100" i="24"/>
  <c r="X100" i="24"/>
  <c r="AC100" i="24" s="1"/>
  <c r="M111" i="24"/>
  <c r="M105" i="24"/>
  <c r="M113" i="24"/>
  <c r="M103" i="24"/>
  <c r="M109" i="24"/>
  <c r="M104" i="24"/>
  <c r="M110" i="24"/>
  <c r="M114" i="24"/>
  <c r="M108" i="24"/>
  <c r="M107" i="24"/>
  <c r="M106" i="24"/>
  <c r="M102" i="24"/>
  <c r="M101" i="24"/>
  <c r="R101" i="24" s="1"/>
  <c r="M112" i="24"/>
  <c r="D10" i="24"/>
  <c r="E110" i="28" l="1"/>
  <c r="I115" i="28" s="1"/>
  <c r="F110" i="28"/>
  <c r="J115" i="28" s="1"/>
  <c r="H110" i="28"/>
  <c r="G110" i="28"/>
  <c r="AE100" i="28"/>
  <c r="AF104" i="28" s="1"/>
  <c r="AG104" i="28" s="1"/>
  <c r="AH104" i="28" s="1"/>
  <c r="AC102" i="28"/>
  <c r="AD101" i="28"/>
  <c r="AM101" i="28"/>
  <c r="AB101" i="28"/>
  <c r="Z101" i="28"/>
  <c r="O113" i="28"/>
  <c r="O116" i="28"/>
  <c r="O111" i="28"/>
  <c r="O105" i="28"/>
  <c r="O114" i="28"/>
  <c r="O108" i="28"/>
  <c r="O107" i="28"/>
  <c r="O106" i="28"/>
  <c r="O109" i="28"/>
  <c r="O115" i="28"/>
  <c r="O112" i="28"/>
  <c r="O117" i="28"/>
  <c r="O110" i="28"/>
  <c r="O104" i="28"/>
  <c r="T104" i="28" s="1"/>
  <c r="H10" i="28"/>
  <c r="X103" i="28"/>
  <c r="V102" i="28"/>
  <c r="M103" i="28"/>
  <c r="R103" i="28" s="1"/>
  <c r="AA102" i="28"/>
  <c r="W102" i="28"/>
  <c r="P103" i="28"/>
  <c r="U103" i="28" s="1"/>
  <c r="Y102" i="28"/>
  <c r="L115" i="28"/>
  <c r="K115" i="28"/>
  <c r="D111" i="28"/>
  <c r="C111" i="28" s="1"/>
  <c r="Z97" i="27"/>
  <c r="X100" i="27"/>
  <c r="AC100" i="27" s="1"/>
  <c r="V98" i="27"/>
  <c r="R99" i="27"/>
  <c r="AA98" i="27"/>
  <c r="AE97" i="27"/>
  <c r="AF101" i="27" s="1"/>
  <c r="AG101" i="27" s="1"/>
  <c r="D108" i="27"/>
  <c r="C108" i="27" s="1"/>
  <c r="E107" i="27"/>
  <c r="I112" i="27" s="1"/>
  <c r="F107" i="27"/>
  <c r="J112" i="27" s="1"/>
  <c r="G107" i="27"/>
  <c r="K112" i="27" s="1"/>
  <c r="H107" i="27"/>
  <c r="L112" i="27" s="1"/>
  <c r="AH100" i="27"/>
  <c r="AI81" i="27" s="1"/>
  <c r="F10" i="27"/>
  <c r="O103" i="27"/>
  <c r="O102" i="27"/>
  <c r="O109" i="27"/>
  <c r="O105" i="27"/>
  <c r="O108" i="27"/>
  <c r="O114" i="27"/>
  <c r="O107" i="27"/>
  <c r="O113" i="27"/>
  <c r="O101" i="27"/>
  <c r="T101" i="27" s="1"/>
  <c r="O106" i="27"/>
  <c r="O112" i="27"/>
  <c r="O111" i="27"/>
  <c r="O104" i="27"/>
  <c r="O110" i="27"/>
  <c r="S98" i="27"/>
  <c r="W98" i="27" s="1"/>
  <c r="AB98" i="27" s="1"/>
  <c r="U99" i="27"/>
  <c r="Y98" i="27"/>
  <c r="AD98" i="27" s="1"/>
  <c r="G106" i="27"/>
  <c r="K111" i="27" s="1"/>
  <c r="H106" i="27"/>
  <c r="L111" i="27" s="1"/>
  <c r="E106" i="27"/>
  <c r="I111" i="27" s="1"/>
  <c r="F106" i="27"/>
  <c r="J111" i="27" s="1"/>
  <c r="G109" i="26"/>
  <c r="K124" i="26" s="1"/>
  <c r="F109" i="26"/>
  <c r="J124" i="26" s="1"/>
  <c r="H109" i="26"/>
  <c r="L124" i="26" s="1"/>
  <c r="E109" i="26"/>
  <c r="I124" i="26" s="1"/>
  <c r="Z98" i="26"/>
  <c r="AE98" i="26"/>
  <c r="AA99" i="26"/>
  <c r="M100" i="26"/>
  <c r="V99" i="26"/>
  <c r="R100" i="26"/>
  <c r="S99" i="26"/>
  <c r="W99" i="26" s="1"/>
  <c r="AB99" i="26" s="1"/>
  <c r="P100" i="26"/>
  <c r="U100" i="26" s="1"/>
  <c r="Y99" i="26"/>
  <c r="AD99" i="26" s="1"/>
  <c r="T102" i="26"/>
  <c r="X101" i="26"/>
  <c r="AC101" i="26" s="1"/>
  <c r="D110" i="26"/>
  <c r="AH101" i="24"/>
  <c r="T102" i="24"/>
  <c r="X101" i="24"/>
  <c r="AC101" i="24" s="1"/>
  <c r="AB98" i="24"/>
  <c r="AE98" i="24" s="1"/>
  <c r="AF102" i="24" s="1"/>
  <c r="AG102" i="24" s="1"/>
  <c r="Z98" i="24"/>
  <c r="P100" i="24"/>
  <c r="U100" i="24" s="1"/>
  <c r="Y99" i="24"/>
  <c r="AD99" i="24" s="1"/>
  <c r="S99" i="24"/>
  <c r="W99" i="24" s="1"/>
  <c r="R102" i="24"/>
  <c r="AA101" i="24"/>
  <c r="V101" i="24"/>
  <c r="D110" i="24"/>
  <c r="C110" i="24" s="1"/>
  <c r="C109" i="24"/>
  <c r="T105" i="28" l="1"/>
  <c r="T106" i="28" s="1"/>
  <c r="T107" i="28" s="1"/>
  <c r="T108" i="28" s="1"/>
  <c r="T109" i="28" s="1"/>
  <c r="T110" i="28" s="1"/>
  <c r="T111" i="28" s="1"/>
  <c r="F111" i="28"/>
  <c r="J116" i="28" s="1"/>
  <c r="G111" i="28"/>
  <c r="K116" i="28" s="1"/>
  <c r="H111" i="28"/>
  <c r="L116" i="28" s="1"/>
  <c r="E111" i="28"/>
  <c r="I116" i="28" s="1"/>
  <c r="T112" i="28"/>
  <c r="T113" i="28" s="1"/>
  <c r="T114" i="28" s="1"/>
  <c r="T115" i="28" s="1"/>
  <c r="AE101" i="28"/>
  <c r="AF105" i="28" s="1"/>
  <c r="AG105" i="28" s="1"/>
  <c r="AH105" i="28" s="1"/>
  <c r="AD102" i="28"/>
  <c r="AM102" i="28"/>
  <c r="AC103" i="28"/>
  <c r="AB102" i="28"/>
  <c r="Y103" i="28"/>
  <c r="M112" i="28"/>
  <c r="M110" i="28"/>
  <c r="M104" i="28"/>
  <c r="R104" i="28" s="1"/>
  <c r="M116" i="28"/>
  <c r="M109" i="28"/>
  <c r="M108" i="28"/>
  <c r="M107" i="28"/>
  <c r="M111" i="28"/>
  <c r="M106" i="28"/>
  <c r="M113" i="28"/>
  <c r="M115" i="28"/>
  <c r="M117" i="28"/>
  <c r="M114" i="28"/>
  <c r="M105" i="28"/>
  <c r="F10" i="28"/>
  <c r="N103" i="28"/>
  <c r="S103" i="28" s="1"/>
  <c r="V103" i="28"/>
  <c r="AA103" i="28"/>
  <c r="Z102" i="28"/>
  <c r="X104" i="28"/>
  <c r="D112" i="28"/>
  <c r="C112" i="28" s="1"/>
  <c r="P111" i="28"/>
  <c r="P105" i="28"/>
  <c r="P114" i="28"/>
  <c r="P106" i="28"/>
  <c r="P107" i="28"/>
  <c r="P116" i="28"/>
  <c r="P109" i="28"/>
  <c r="P113" i="28"/>
  <c r="P115" i="28"/>
  <c r="P104" i="28"/>
  <c r="U104" i="28" s="1"/>
  <c r="P117" i="28"/>
  <c r="P108" i="28"/>
  <c r="P110" i="28"/>
  <c r="P112" i="28"/>
  <c r="I10" i="28"/>
  <c r="AH101" i="27"/>
  <c r="X101" i="27"/>
  <c r="AC101" i="27" s="1"/>
  <c r="T102" i="27"/>
  <c r="D109" i="27"/>
  <c r="E108" i="27"/>
  <c r="I113" i="27" s="1"/>
  <c r="F108" i="27"/>
  <c r="J113" i="27" s="1"/>
  <c r="G108" i="27"/>
  <c r="K113" i="27" s="1"/>
  <c r="H108" i="27"/>
  <c r="L113" i="27" s="1"/>
  <c r="Y99" i="27"/>
  <c r="AD99" i="27" s="1"/>
  <c r="P100" i="27"/>
  <c r="S99" i="27"/>
  <c r="W99" i="27" s="1"/>
  <c r="AB99" i="27" s="1"/>
  <c r="AE98" i="27"/>
  <c r="AF102" i="27" s="1"/>
  <c r="AG102" i="27" s="1"/>
  <c r="AA99" i="27"/>
  <c r="V99" i="27"/>
  <c r="M100" i="27"/>
  <c r="Z98" i="27"/>
  <c r="Y100" i="26"/>
  <c r="AD100" i="26" s="1"/>
  <c r="AA100" i="26"/>
  <c r="V100" i="26"/>
  <c r="M114" i="26"/>
  <c r="M112" i="26"/>
  <c r="M110" i="26"/>
  <c r="M108" i="26"/>
  <c r="M106" i="26"/>
  <c r="M107" i="26"/>
  <c r="M111" i="26"/>
  <c r="M113" i="26"/>
  <c r="M103" i="26"/>
  <c r="M102" i="26"/>
  <c r="D10" i="26"/>
  <c r="M101" i="26"/>
  <c r="M104" i="26"/>
  <c r="M109" i="26"/>
  <c r="M105" i="26"/>
  <c r="N100" i="26"/>
  <c r="Q100" i="26" s="1"/>
  <c r="AE99" i="26"/>
  <c r="D111" i="26"/>
  <c r="C111" i="26" s="1"/>
  <c r="X102" i="26"/>
  <c r="AC102" i="26" s="1"/>
  <c r="T103" i="26"/>
  <c r="Z99" i="26"/>
  <c r="I9" i="26" s="1"/>
  <c r="J9" i="26" s="1"/>
  <c r="C110" i="26"/>
  <c r="P111" i="26"/>
  <c r="P112" i="26"/>
  <c r="P108" i="26"/>
  <c r="P103" i="26"/>
  <c r="G10" i="26"/>
  <c r="P107" i="26"/>
  <c r="P101" i="26"/>
  <c r="U101" i="26" s="1"/>
  <c r="P104" i="26"/>
  <c r="P110" i="26"/>
  <c r="P109" i="26"/>
  <c r="P106" i="26"/>
  <c r="P102" i="26"/>
  <c r="P105" i="26"/>
  <c r="P114" i="26"/>
  <c r="P113" i="26"/>
  <c r="AH102" i="24"/>
  <c r="E110" i="24"/>
  <c r="I115" i="24" s="1"/>
  <c r="H110" i="24"/>
  <c r="L115" i="24" s="1"/>
  <c r="F110" i="24"/>
  <c r="J115" i="24" s="1"/>
  <c r="G110" i="24"/>
  <c r="K115" i="24" s="1"/>
  <c r="AA102" i="24"/>
  <c r="V102" i="24"/>
  <c r="R103" i="24"/>
  <c r="Y100" i="24"/>
  <c r="AD100" i="24" s="1"/>
  <c r="P112" i="24"/>
  <c r="P106" i="24"/>
  <c r="P110" i="24"/>
  <c r="P113" i="24"/>
  <c r="P105" i="24"/>
  <c r="P114" i="24"/>
  <c r="P107" i="24"/>
  <c r="P109" i="24"/>
  <c r="P108" i="24"/>
  <c r="P104" i="24"/>
  <c r="P103" i="24"/>
  <c r="G10" i="24"/>
  <c r="P101" i="24"/>
  <c r="U101" i="24" s="1"/>
  <c r="P102" i="24"/>
  <c r="P111" i="24"/>
  <c r="N100" i="24"/>
  <c r="X102" i="24"/>
  <c r="AC102" i="24" s="1"/>
  <c r="T103" i="24"/>
  <c r="AB99" i="24"/>
  <c r="AE99" i="24" s="1"/>
  <c r="AF103" i="24" s="1"/>
  <c r="AG103" i="24" s="1"/>
  <c r="Z99" i="24"/>
  <c r="H109" i="24"/>
  <c r="L114" i="24" s="1"/>
  <c r="F109" i="24"/>
  <c r="J114" i="24" s="1"/>
  <c r="E109" i="24"/>
  <c r="I114" i="24" s="1"/>
  <c r="G109" i="24"/>
  <c r="K114" i="24" s="1"/>
  <c r="D111" i="24"/>
  <c r="C111" i="24" s="1"/>
  <c r="T116" i="28" l="1"/>
  <c r="E112" i="28"/>
  <c r="F112" i="28"/>
  <c r="J117" i="28" s="1"/>
  <c r="G112" i="28"/>
  <c r="K117" i="28" s="1"/>
  <c r="T117" i="28" s="1"/>
  <c r="H112" i="28"/>
  <c r="L117" i="28" s="1"/>
  <c r="AE102" i="28"/>
  <c r="AF106" i="28" s="1"/>
  <c r="AG106" i="28" s="1"/>
  <c r="AH106" i="28" s="1"/>
  <c r="U105" i="28"/>
  <c r="R105" i="28"/>
  <c r="R106" i="28" s="1"/>
  <c r="R107" i="28" s="1"/>
  <c r="R108" i="28" s="1"/>
  <c r="R109" i="28" s="1"/>
  <c r="R110" i="28" s="1"/>
  <c r="R111" i="28" s="1"/>
  <c r="R112" i="28" s="1"/>
  <c r="R113" i="28" s="1"/>
  <c r="R114" i="28" s="1"/>
  <c r="R115" i="28" s="1"/>
  <c r="R116" i="28" s="1"/>
  <c r="AI83" i="28"/>
  <c r="AC104" i="28"/>
  <c r="AD103" i="28"/>
  <c r="Y104" i="28"/>
  <c r="D113" i="28"/>
  <c r="N110" i="28"/>
  <c r="Q110" i="28" s="1"/>
  <c r="N104" i="28"/>
  <c r="Q104" i="28" s="1"/>
  <c r="N116" i="28"/>
  <c r="Q116" i="28" s="1"/>
  <c r="N111" i="28"/>
  <c r="Q111" i="28" s="1"/>
  <c r="N105" i="28"/>
  <c r="Q105" i="28" s="1"/>
  <c r="N109" i="28"/>
  <c r="Q109" i="28" s="1"/>
  <c r="N108" i="28"/>
  <c r="Q108" i="28" s="1"/>
  <c r="N107" i="28"/>
  <c r="Q107" i="28" s="1"/>
  <c r="N106" i="28"/>
  <c r="Q106" i="28" s="1"/>
  <c r="N113" i="28"/>
  <c r="Q113" i="28" s="1"/>
  <c r="N112" i="28"/>
  <c r="Q112" i="28" s="1"/>
  <c r="N117" i="28"/>
  <c r="Q117" i="28" s="1"/>
  <c r="N114" i="28"/>
  <c r="Q114" i="28" s="1"/>
  <c r="N115" i="28"/>
  <c r="Q115" i="28" s="1"/>
  <c r="G10" i="28"/>
  <c r="Q103" i="28"/>
  <c r="X105" i="28"/>
  <c r="I117" i="28"/>
  <c r="C9" i="28"/>
  <c r="W103" i="28"/>
  <c r="Z99" i="27"/>
  <c r="I9" i="27" s="1"/>
  <c r="AH102" i="27"/>
  <c r="AI82" i="27" s="1"/>
  <c r="G10" i="27"/>
  <c r="P102" i="27"/>
  <c r="P110" i="27"/>
  <c r="P109" i="27"/>
  <c r="P105" i="27"/>
  <c r="P107" i="27"/>
  <c r="P113" i="27"/>
  <c r="P101" i="27"/>
  <c r="P106" i="27"/>
  <c r="P112" i="27"/>
  <c r="P103" i="27"/>
  <c r="P111" i="27"/>
  <c r="P104" i="27"/>
  <c r="P114" i="27"/>
  <c r="P108" i="27"/>
  <c r="D10" i="27"/>
  <c r="M102" i="27"/>
  <c r="M105" i="27"/>
  <c r="M108" i="27"/>
  <c r="M114" i="27"/>
  <c r="M107" i="27"/>
  <c r="M113" i="27"/>
  <c r="M101" i="27"/>
  <c r="M106" i="27"/>
  <c r="M112" i="27"/>
  <c r="M103" i="27"/>
  <c r="M111" i="27"/>
  <c r="M104" i="27"/>
  <c r="M110" i="27"/>
  <c r="N100" i="27"/>
  <c r="M109" i="27"/>
  <c r="D110" i="27"/>
  <c r="C110" i="27" s="1"/>
  <c r="AE99" i="27"/>
  <c r="AF103" i="27" s="1"/>
  <c r="AG103" i="27" s="1"/>
  <c r="C109" i="27"/>
  <c r="R100" i="27"/>
  <c r="X102" i="27"/>
  <c r="AC102" i="27" s="1"/>
  <c r="T103" i="27"/>
  <c r="U100" i="27"/>
  <c r="U102" i="26"/>
  <c r="Y101" i="26"/>
  <c r="AD101" i="26" s="1"/>
  <c r="G111" i="26"/>
  <c r="K126" i="26" s="1"/>
  <c r="F111" i="26"/>
  <c r="J126" i="26" s="1"/>
  <c r="H111" i="26"/>
  <c r="L126" i="26" s="1"/>
  <c r="E111" i="26"/>
  <c r="I126" i="26" s="1"/>
  <c r="N106" i="26"/>
  <c r="Q106" i="26" s="1"/>
  <c r="N105" i="26"/>
  <c r="Q105" i="26" s="1"/>
  <c r="N103" i="26"/>
  <c r="Q103" i="26" s="1"/>
  <c r="N101" i="26"/>
  <c r="Q101" i="26" s="1"/>
  <c r="N114" i="26"/>
  <c r="Q114" i="26" s="1"/>
  <c r="N110" i="26"/>
  <c r="Q110" i="26" s="1"/>
  <c r="N113" i="26"/>
  <c r="Q113" i="26" s="1"/>
  <c r="N108" i="26"/>
  <c r="Q108" i="26" s="1"/>
  <c r="N112" i="26"/>
  <c r="Q112" i="26" s="1"/>
  <c r="E10" i="26"/>
  <c r="N107" i="26"/>
  <c r="Q107" i="26" s="1"/>
  <c r="N111" i="26"/>
  <c r="Q111" i="26" s="1"/>
  <c r="N104" i="26"/>
  <c r="Q104" i="26" s="1"/>
  <c r="N109" i="26"/>
  <c r="Q109" i="26" s="1"/>
  <c r="N102" i="26"/>
  <c r="Q102" i="26" s="1"/>
  <c r="H110" i="26"/>
  <c r="L125" i="26" s="1"/>
  <c r="G110" i="26"/>
  <c r="K125" i="26" s="1"/>
  <c r="F110" i="26"/>
  <c r="J125" i="26" s="1"/>
  <c r="E110" i="26"/>
  <c r="I125" i="26" s="1"/>
  <c r="R101" i="26"/>
  <c r="T104" i="26"/>
  <c r="X103" i="26"/>
  <c r="AC103" i="26" s="1"/>
  <c r="S100" i="26"/>
  <c r="W100" i="26" s="1"/>
  <c r="AB100" i="26" s="1"/>
  <c r="AE100" i="26" s="1"/>
  <c r="D112" i="26"/>
  <c r="C112" i="26" s="1"/>
  <c r="AH103" i="24"/>
  <c r="AI82" i="24" s="1"/>
  <c r="U102" i="24"/>
  <c r="Y101" i="24"/>
  <c r="AD101" i="24" s="1"/>
  <c r="I9" i="24"/>
  <c r="V103" i="24"/>
  <c r="AA103" i="24"/>
  <c r="R104" i="24"/>
  <c r="X103" i="24"/>
  <c r="AC103" i="24" s="1"/>
  <c r="T104" i="24"/>
  <c r="N111" i="24"/>
  <c r="Q111" i="24" s="1"/>
  <c r="N105" i="24"/>
  <c r="Q105" i="24" s="1"/>
  <c r="N103" i="24"/>
  <c r="Q103" i="24" s="1"/>
  <c r="N108" i="24"/>
  <c r="Q108" i="24" s="1"/>
  <c r="N110" i="24"/>
  <c r="Q110" i="24" s="1"/>
  <c r="N114" i="24"/>
  <c r="Q114" i="24" s="1"/>
  <c r="N112" i="24"/>
  <c r="Q112" i="24" s="1"/>
  <c r="N113" i="24"/>
  <c r="Q113" i="24" s="1"/>
  <c r="N107" i="24"/>
  <c r="Q107" i="24" s="1"/>
  <c r="N106" i="24"/>
  <c r="Q106" i="24" s="1"/>
  <c r="N102" i="24"/>
  <c r="Q102" i="24" s="1"/>
  <c r="N101" i="24"/>
  <c r="Q101" i="24" s="1"/>
  <c r="N104" i="24"/>
  <c r="Q104" i="24" s="1"/>
  <c r="E10" i="24"/>
  <c r="N109" i="24"/>
  <c r="Q109" i="24" s="1"/>
  <c r="Q100" i="24"/>
  <c r="G111" i="24"/>
  <c r="K116" i="24" s="1"/>
  <c r="F111" i="24"/>
  <c r="J116" i="24" s="1"/>
  <c r="E111" i="24"/>
  <c r="I116" i="24" s="1"/>
  <c r="H111" i="24"/>
  <c r="L116" i="24" s="1"/>
  <c r="D112" i="24"/>
  <c r="C112" i="24" s="1"/>
  <c r="S100" i="24"/>
  <c r="W100" i="24" s="1"/>
  <c r="R117" i="28" l="1"/>
  <c r="U106" i="28"/>
  <c r="S104" i="28"/>
  <c r="S105" i="28" s="1"/>
  <c r="AD104" i="28"/>
  <c r="AC105" i="28"/>
  <c r="AB103" i="28"/>
  <c r="AE103" i="28" s="1"/>
  <c r="AF107" i="28" s="1"/>
  <c r="AG107" i="28" s="1"/>
  <c r="AH107" i="28" s="1"/>
  <c r="X106" i="28"/>
  <c r="V104" i="28"/>
  <c r="AA104" i="28"/>
  <c r="Z103" i="28"/>
  <c r="D114" i="28"/>
  <c r="C114" i="28" s="1"/>
  <c r="C113" i="28"/>
  <c r="Y105" i="28"/>
  <c r="AH103" i="27"/>
  <c r="E110" i="27"/>
  <c r="I115" i="27" s="1"/>
  <c r="F110" i="27"/>
  <c r="J115" i="27" s="1"/>
  <c r="G110" i="27"/>
  <c r="K115" i="27" s="1"/>
  <c r="H110" i="27"/>
  <c r="L115" i="27" s="1"/>
  <c r="E10" i="27"/>
  <c r="N109" i="27"/>
  <c r="Q109" i="27" s="1"/>
  <c r="N105" i="27"/>
  <c r="Q105" i="27" s="1"/>
  <c r="N108" i="27"/>
  <c r="Q108" i="27" s="1"/>
  <c r="N114" i="27"/>
  <c r="Q114" i="27" s="1"/>
  <c r="N101" i="27"/>
  <c r="Q101" i="27" s="1"/>
  <c r="N102" i="27"/>
  <c r="Q102" i="27" s="1"/>
  <c r="N106" i="27"/>
  <c r="Q106" i="27" s="1"/>
  <c r="N112" i="27"/>
  <c r="Q112" i="27" s="1"/>
  <c r="N103" i="27"/>
  <c r="Q103" i="27" s="1"/>
  <c r="N111" i="27"/>
  <c r="Q111" i="27" s="1"/>
  <c r="N104" i="27"/>
  <c r="Q104" i="27" s="1"/>
  <c r="N110" i="27"/>
  <c r="Q110" i="27" s="1"/>
  <c r="N113" i="27"/>
  <c r="Q113" i="27" s="1"/>
  <c r="N107" i="27"/>
  <c r="Q107" i="27" s="1"/>
  <c r="S100" i="27"/>
  <c r="W100" i="27" s="1"/>
  <c r="AB100" i="27" s="1"/>
  <c r="U101" i="27"/>
  <c r="Y100" i="27"/>
  <c r="AD100" i="27" s="1"/>
  <c r="T104" i="27"/>
  <c r="X103" i="27"/>
  <c r="AC103" i="27" s="1"/>
  <c r="Q100" i="27"/>
  <c r="AA100" i="27"/>
  <c r="V100" i="27"/>
  <c r="R101" i="27"/>
  <c r="E109" i="27"/>
  <c r="I114" i="27" s="1"/>
  <c r="G109" i="27"/>
  <c r="K114" i="27" s="1"/>
  <c r="H109" i="27"/>
  <c r="L114" i="27" s="1"/>
  <c r="F109" i="27"/>
  <c r="J114" i="27" s="1"/>
  <c r="D111" i="27"/>
  <c r="C111" i="27" s="1"/>
  <c r="G112" i="26"/>
  <c r="K127" i="26" s="1"/>
  <c r="F112" i="26"/>
  <c r="J127" i="26" s="1"/>
  <c r="H112" i="26"/>
  <c r="L127" i="26" s="1"/>
  <c r="E112" i="26"/>
  <c r="I127" i="26" s="1"/>
  <c r="D113" i="26"/>
  <c r="C113" i="26" s="1"/>
  <c r="S101" i="26"/>
  <c r="W101" i="26" s="1"/>
  <c r="AB101" i="26" s="1"/>
  <c r="AA101" i="26"/>
  <c r="R102" i="26"/>
  <c r="V101" i="26"/>
  <c r="T105" i="26"/>
  <c r="X104" i="26"/>
  <c r="AC104" i="26" s="1"/>
  <c r="Z100" i="26"/>
  <c r="Y102" i="26"/>
  <c r="AD102" i="26" s="1"/>
  <c r="U103" i="26"/>
  <c r="E112" i="24"/>
  <c r="I117" i="24" s="1"/>
  <c r="H112" i="24"/>
  <c r="L117" i="24" s="1"/>
  <c r="G112" i="24"/>
  <c r="K117" i="24" s="1"/>
  <c r="F112" i="24"/>
  <c r="J117" i="24" s="1"/>
  <c r="X104" i="24"/>
  <c r="AC104" i="24" s="1"/>
  <c r="T105" i="24"/>
  <c r="D113" i="24"/>
  <c r="C113" i="24" s="1"/>
  <c r="V104" i="24"/>
  <c r="R105" i="24"/>
  <c r="AA104" i="24"/>
  <c r="S101" i="24"/>
  <c r="W101" i="24" s="1"/>
  <c r="U103" i="24"/>
  <c r="Y102" i="24"/>
  <c r="AD102" i="24" s="1"/>
  <c r="AB100" i="24"/>
  <c r="AE100" i="24" s="1"/>
  <c r="AF104" i="24" s="1"/>
  <c r="AG104" i="24" s="1"/>
  <c r="Z100" i="24"/>
  <c r="E113" i="28" l="1"/>
  <c r="I118" i="28" s="1"/>
  <c r="F113" i="28"/>
  <c r="J118" i="28" s="1"/>
  <c r="H113" i="28"/>
  <c r="L118" i="28" s="1"/>
  <c r="G113" i="28"/>
  <c r="K118" i="28" s="1"/>
  <c r="Z101" i="26"/>
  <c r="F114" i="28"/>
  <c r="J119" i="28" s="1"/>
  <c r="G114" i="28"/>
  <c r="K119" i="28" s="1"/>
  <c r="H114" i="28"/>
  <c r="L119" i="28" s="1"/>
  <c r="E114" i="28"/>
  <c r="I119" i="28" s="1"/>
  <c r="U107" i="28"/>
  <c r="S106" i="28"/>
  <c r="W104" i="28"/>
  <c r="Z104" i="28" s="1"/>
  <c r="AD105" i="28"/>
  <c r="AC106" i="28"/>
  <c r="D115" i="28"/>
  <c r="C115" i="28" s="1"/>
  <c r="AA105" i="28"/>
  <c r="V105" i="28"/>
  <c r="X107" i="28"/>
  <c r="Y106" i="28"/>
  <c r="W105" i="28"/>
  <c r="Z100" i="27"/>
  <c r="AE100" i="27"/>
  <c r="AF104" i="27" s="1"/>
  <c r="AG104" i="27" s="1"/>
  <c r="AH104" i="27" s="1"/>
  <c r="AI83" i="27" s="1"/>
  <c r="F111" i="27"/>
  <c r="J116" i="27" s="1"/>
  <c r="G111" i="27"/>
  <c r="K116" i="27" s="1"/>
  <c r="H111" i="27"/>
  <c r="L116" i="27" s="1"/>
  <c r="E111" i="27"/>
  <c r="I116" i="27" s="1"/>
  <c r="X104" i="27"/>
  <c r="AC104" i="27" s="1"/>
  <c r="T105" i="27"/>
  <c r="D112" i="27"/>
  <c r="Y101" i="27"/>
  <c r="AD101" i="27" s="1"/>
  <c r="S101" i="27"/>
  <c r="W101" i="27" s="1"/>
  <c r="AB101" i="27" s="1"/>
  <c r="U102" i="27"/>
  <c r="V101" i="27"/>
  <c r="AA101" i="27"/>
  <c r="R102" i="27"/>
  <c r="R103" i="26"/>
  <c r="AA102" i="26"/>
  <c r="V102" i="26"/>
  <c r="G113" i="26"/>
  <c r="K128" i="26" s="1"/>
  <c r="F113" i="26"/>
  <c r="J128" i="26" s="1"/>
  <c r="E113" i="26"/>
  <c r="I128" i="26" s="1"/>
  <c r="H113" i="26"/>
  <c r="L128" i="26" s="1"/>
  <c r="AE101" i="26"/>
  <c r="S102" i="26"/>
  <c r="W102" i="26" s="1"/>
  <c r="AB102" i="26" s="1"/>
  <c r="T106" i="26"/>
  <c r="X105" i="26"/>
  <c r="AC105" i="26" s="1"/>
  <c r="U104" i="26"/>
  <c r="Y103" i="26"/>
  <c r="AD103" i="26" s="1"/>
  <c r="D114" i="26"/>
  <c r="C114" i="26" s="1"/>
  <c r="S102" i="24"/>
  <c r="W102" i="24" s="1"/>
  <c r="Z102" i="24" s="1"/>
  <c r="F113" i="24"/>
  <c r="J118" i="24" s="1"/>
  <c r="E113" i="24"/>
  <c r="I118" i="24" s="1"/>
  <c r="H113" i="24"/>
  <c r="L118" i="24" s="1"/>
  <c r="G113" i="24"/>
  <c r="K118" i="24" s="1"/>
  <c r="AA105" i="24"/>
  <c r="V105" i="24"/>
  <c r="R106" i="24"/>
  <c r="D114" i="24"/>
  <c r="C114" i="24" s="1"/>
  <c r="X105" i="24"/>
  <c r="AC105" i="24" s="1"/>
  <c r="T106" i="24"/>
  <c r="U104" i="24"/>
  <c r="Y103" i="24"/>
  <c r="AD103" i="24" s="1"/>
  <c r="AH104" i="24"/>
  <c r="AB101" i="24"/>
  <c r="AE101" i="24" s="1"/>
  <c r="AF105" i="24" s="1"/>
  <c r="AG105" i="24" s="1"/>
  <c r="Z101" i="24"/>
  <c r="E115" i="28" l="1"/>
  <c r="I120" i="28" s="1"/>
  <c r="F115" i="28"/>
  <c r="J120" i="28" s="1"/>
  <c r="G115" i="28"/>
  <c r="K120" i="28" s="1"/>
  <c r="H115" i="28"/>
  <c r="L120" i="28" s="1"/>
  <c r="AB104" i="28"/>
  <c r="AE104" i="28" s="1"/>
  <c r="AF108" i="28" s="1"/>
  <c r="AG108" i="28" s="1"/>
  <c r="AH108" i="28" s="1"/>
  <c r="S107" i="28"/>
  <c r="U108" i="28"/>
  <c r="AD106" i="28"/>
  <c r="AC107" i="28"/>
  <c r="AB105" i="28"/>
  <c r="AE105" i="28" s="1"/>
  <c r="AF109" i="28" s="1"/>
  <c r="AG109" i="28" s="1"/>
  <c r="Z105" i="28"/>
  <c r="D116" i="28"/>
  <c r="C116" i="28" s="1"/>
  <c r="V106" i="28"/>
  <c r="AA106" i="28"/>
  <c r="W106" i="28"/>
  <c r="X108" i="28"/>
  <c r="Y107" i="28"/>
  <c r="S103" i="24"/>
  <c r="W103" i="24" s="1"/>
  <c r="AB103" i="24" s="1"/>
  <c r="AE103" i="24" s="1"/>
  <c r="AF107" i="24" s="1"/>
  <c r="AB102" i="24"/>
  <c r="AE102" i="24" s="1"/>
  <c r="AF106" i="24" s="1"/>
  <c r="AG106" i="24" s="1"/>
  <c r="D113" i="27"/>
  <c r="C112" i="27"/>
  <c r="T106" i="27"/>
  <c r="X105" i="27"/>
  <c r="AC105" i="27" s="1"/>
  <c r="R103" i="27"/>
  <c r="AA102" i="27"/>
  <c r="V102" i="27"/>
  <c r="AE101" i="27"/>
  <c r="AF105" i="27" s="1"/>
  <c r="AG105" i="27" s="1"/>
  <c r="Z101" i="27"/>
  <c r="Y102" i="27"/>
  <c r="AD102" i="27" s="1"/>
  <c r="U103" i="27"/>
  <c r="S102" i="27"/>
  <c r="W102" i="27" s="1"/>
  <c r="AB102" i="27" s="1"/>
  <c r="E114" i="26"/>
  <c r="I129" i="26" s="1"/>
  <c r="H114" i="26"/>
  <c r="L129" i="26" s="1"/>
  <c r="G114" i="26"/>
  <c r="K129" i="26" s="1"/>
  <c r="F114" i="26"/>
  <c r="J129" i="26" s="1"/>
  <c r="U105" i="26"/>
  <c r="Y104" i="26"/>
  <c r="AD104" i="26" s="1"/>
  <c r="D115" i="26"/>
  <c r="C115" i="26" s="1"/>
  <c r="Z102" i="26"/>
  <c r="S103" i="26"/>
  <c r="W103" i="26" s="1"/>
  <c r="AB103" i="26" s="1"/>
  <c r="AE102" i="26"/>
  <c r="X106" i="26"/>
  <c r="AC106" i="26" s="1"/>
  <c r="T107" i="26"/>
  <c r="AA103" i="26"/>
  <c r="V103" i="26"/>
  <c r="R104" i="26"/>
  <c r="AH105" i="24"/>
  <c r="AI83" i="24" s="1"/>
  <c r="H114" i="24"/>
  <c r="L119" i="24" s="1"/>
  <c r="G114" i="24"/>
  <c r="K119" i="24" s="1"/>
  <c r="F114" i="24"/>
  <c r="J119" i="24" s="1"/>
  <c r="E114" i="24"/>
  <c r="I119" i="24" s="1"/>
  <c r="R107" i="24"/>
  <c r="AA106" i="24"/>
  <c r="V106" i="24"/>
  <c r="D115" i="24"/>
  <c r="U105" i="24"/>
  <c r="Y104" i="24"/>
  <c r="AD104" i="24" s="1"/>
  <c r="T107" i="24"/>
  <c r="X106" i="24"/>
  <c r="AC106" i="24" s="1"/>
  <c r="S104" i="24" l="1"/>
  <c r="W104" i="24" s="1"/>
  <c r="Z104" i="24" s="1"/>
  <c r="E116" i="28"/>
  <c r="I121" i="28" s="1"/>
  <c r="F116" i="28"/>
  <c r="H116" i="28"/>
  <c r="L121" i="28" s="1"/>
  <c r="G116" i="28"/>
  <c r="K121" i="28" s="1"/>
  <c r="Z103" i="24"/>
  <c r="S108" i="28"/>
  <c r="U109" i="28"/>
  <c r="AI84" i="28"/>
  <c r="AD107" i="28"/>
  <c r="AC108" i="28"/>
  <c r="AB106" i="28"/>
  <c r="AE106" i="28" s="1"/>
  <c r="AF110" i="28" s="1"/>
  <c r="AG110" i="28" s="1"/>
  <c r="Z106" i="28"/>
  <c r="W107" i="28"/>
  <c r="J121" i="28"/>
  <c r="AH109" i="28"/>
  <c r="Y108" i="28"/>
  <c r="AA107" i="28"/>
  <c r="V107" i="28"/>
  <c r="D117" i="28"/>
  <c r="C117" i="28" s="1"/>
  <c r="X109" i="28"/>
  <c r="AH105" i="27"/>
  <c r="AE102" i="27"/>
  <c r="AF106" i="27" s="1"/>
  <c r="AG106" i="27" s="1"/>
  <c r="AA103" i="27"/>
  <c r="R104" i="27"/>
  <c r="V103" i="27"/>
  <c r="X106" i="27"/>
  <c r="AC106" i="27" s="1"/>
  <c r="T107" i="27"/>
  <c r="Z102" i="27"/>
  <c r="H112" i="27"/>
  <c r="L117" i="27" s="1"/>
  <c r="E112" i="27"/>
  <c r="I117" i="27" s="1"/>
  <c r="F112" i="27"/>
  <c r="J117" i="27" s="1"/>
  <c r="G112" i="27"/>
  <c r="K117" i="27" s="1"/>
  <c r="D114" i="27"/>
  <c r="C114" i="27" s="1"/>
  <c r="U104" i="27"/>
  <c r="Y103" i="27"/>
  <c r="AD103" i="27" s="1"/>
  <c r="S103" i="27"/>
  <c r="W103" i="27" s="1"/>
  <c r="AB103" i="27" s="1"/>
  <c r="C113" i="27"/>
  <c r="G115" i="26"/>
  <c r="K130" i="26" s="1"/>
  <c r="F115" i="26"/>
  <c r="J130" i="26" s="1"/>
  <c r="E115" i="26"/>
  <c r="I130" i="26" s="1"/>
  <c r="H115" i="26"/>
  <c r="L130" i="26" s="1"/>
  <c r="U106" i="26"/>
  <c r="Y105" i="26"/>
  <c r="AD105" i="26" s="1"/>
  <c r="D116" i="26"/>
  <c r="R105" i="26"/>
  <c r="V104" i="26"/>
  <c r="AA104" i="26"/>
  <c r="S104" i="26"/>
  <c r="W104" i="26" s="1"/>
  <c r="AB104" i="26" s="1"/>
  <c r="Z103" i="26"/>
  <c r="AE103" i="26"/>
  <c r="T108" i="26"/>
  <c r="X107" i="26"/>
  <c r="AC107" i="26" s="1"/>
  <c r="AA107" i="24"/>
  <c r="R108" i="24"/>
  <c r="V107" i="24"/>
  <c r="T108" i="24"/>
  <c r="X107" i="24"/>
  <c r="AC107" i="24" s="1"/>
  <c r="D116" i="24"/>
  <c r="C115" i="24"/>
  <c r="Y105" i="24"/>
  <c r="AD105" i="24" s="1"/>
  <c r="U106" i="24"/>
  <c r="AH106" i="24"/>
  <c r="AG107" i="24"/>
  <c r="AB104" i="24" l="1"/>
  <c r="AE104" i="24" s="1"/>
  <c r="AF108" i="24" s="1"/>
  <c r="S105" i="24"/>
  <c r="W105" i="24" s="1"/>
  <c r="AB105" i="24" s="1"/>
  <c r="AE105" i="24" s="1"/>
  <c r="AF109" i="24" s="1"/>
  <c r="F117" i="28"/>
  <c r="J122" i="28" s="1"/>
  <c r="G117" i="28"/>
  <c r="K122" i="28" s="1"/>
  <c r="H117" i="28"/>
  <c r="L122" i="28" s="1"/>
  <c r="E117" i="28"/>
  <c r="I122" i="28" s="1"/>
  <c r="Z104" i="26"/>
  <c r="U110" i="28"/>
  <c r="S109" i="28"/>
  <c r="AC109" i="28"/>
  <c r="W108" i="28"/>
  <c r="AB107" i="28"/>
  <c r="AE107" i="28" s="1"/>
  <c r="AF111" i="28" s="1"/>
  <c r="AG111" i="28" s="1"/>
  <c r="AD108" i="28"/>
  <c r="Z107" i="28"/>
  <c r="AH110" i="28"/>
  <c r="D118" i="28"/>
  <c r="C118" i="28" s="1"/>
  <c r="Y109" i="28"/>
  <c r="X110" i="28"/>
  <c r="V108" i="28"/>
  <c r="AA108" i="28"/>
  <c r="AH106" i="27"/>
  <c r="X107" i="27"/>
  <c r="AC107" i="27" s="1"/>
  <c r="T108" i="27"/>
  <c r="Z103" i="27"/>
  <c r="V104" i="27"/>
  <c r="R105" i="27"/>
  <c r="AA104" i="27"/>
  <c r="E113" i="27"/>
  <c r="I118" i="27" s="1"/>
  <c r="F113" i="27"/>
  <c r="J118" i="27" s="1"/>
  <c r="G113" i="27"/>
  <c r="K118" i="27" s="1"/>
  <c r="H113" i="27"/>
  <c r="L118" i="27" s="1"/>
  <c r="E114" i="27"/>
  <c r="I119" i="27" s="1"/>
  <c r="F114" i="27"/>
  <c r="J119" i="27" s="1"/>
  <c r="G114" i="27"/>
  <c r="K119" i="27" s="1"/>
  <c r="H114" i="27"/>
  <c r="L119" i="27" s="1"/>
  <c r="AE103" i="27"/>
  <c r="AF107" i="27" s="1"/>
  <c r="AG107" i="27" s="1"/>
  <c r="D115" i="27"/>
  <c r="S104" i="27"/>
  <c r="W104" i="27" s="1"/>
  <c r="AB104" i="27" s="1"/>
  <c r="U105" i="27"/>
  <c r="Y104" i="27"/>
  <c r="AD104" i="27" s="1"/>
  <c r="AE104" i="26"/>
  <c r="S105" i="26"/>
  <c r="W105" i="26" s="1"/>
  <c r="AB105" i="26" s="1"/>
  <c r="Y106" i="26"/>
  <c r="AD106" i="26" s="1"/>
  <c r="U107" i="26"/>
  <c r="D117" i="26"/>
  <c r="AA105" i="26"/>
  <c r="R106" i="26"/>
  <c r="V105" i="26"/>
  <c r="C116" i="26"/>
  <c r="X108" i="26"/>
  <c r="AC108" i="26" s="1"/>
  <c r="T109" i="26"/>
  <c r="D117" i="24"/>
  <c r="C117" i="24" s="1"/>
  <c r="C116" i="24"/>
  <c r="AH107" i="24"/>
  <c r="AI84" i="24" s="1"/>
  <c r="J8" i="24" s="1"/>
  <c r="AG108" i="24"/>
  <c r="T109" i="24"/>
  <c r="X108" i="24"/>
  <c r="AC108" i="24" s="1"/>
  <c r="Z105" i="24"/>
  <c r="F115" i="24"/>
  <c r="J120" i="24" s="1"/>
  <c r="E115" i="24"/>
  <c r="I120" i="24" s="1"/>
  <c r="H115" i="24"/>
  <c r="L120" i="24" s="1"/>
  <c r="G115" i="24"/>
  <c r="K120" i="24" s="1"/>
  <c r="U107" i="24"/>
  <c r="Y106" i="24"/>
  <c r="AD106" i="24" s="1"/>
  <c r="AA108" i="24"/>
  <c r="R109" i="24"/>
  <c r="V108" i="24"/>
  <c r="AI85" i="24"/>
  <c r="S106" i="24" l="1"/>
  <c r="W106" i="24" s="1"/>
  <c r="Z105" i="26"/>
  <c r="E118" i="28"/>
  <c r="I123" i="28" s="1"/>
  <c r="F118" i="28"/>
  <c r="J123" i="28" s="1"/>
  <c r="G118" i="28"/>
  <c r="K123" i="28" s="1"/>
  <c r="H118" i="28"/>
  <c r="L123" i="28" s="1"/>
  <c r="S110" i="28"/>
  <c r="U111" i="28"/>
  <c r="AI85" i="28"/>
  <c r="AD109" i="28"/>
  <c r="AB108" i="28"/>
  <c r="AE108" i="28" s="1"/>
  <c r="AF112" i="28" s="1"/>
  <c r="AG112" i="28" s="1"/>
  <c r="Z108" i="28"/>
  <c r="AC110" i="28"/>
  <c r="W109" i="28"/>
  <c r="V109" i="28"/>
  <c r="AA109" i="28"/>
  <c r="D119" i="28"/>
  <c r="C119" i="28" s="1"/>
  <c r="X111" i="28"/>
  <c r="AH111" i="28"/>
  <c r="Y110" i="28"/>
  <c r="AI84" i="27"/>
  <c r="J8" i="27" s="1"/>
  <c r="AI85" i="27"/>
  <c r="AH107" i="27"/>
  <c r="AE104" i="27"/>
  <c r="AF108" i="27" s="1"/>
  <c r="AG108" i="27" s="1"/>
  <c r="S105" i="27"/>
  <c r="W105" i="27" s="1"/>
  <c r="AB105" i="27" s="1"/>
  <c r="U106" i="27"/>
  <c r="Y105" i="27"/>
  <c r="AD105" i="27" s="1"/>
  <c r="X108" i="27"/>
  <c r="AC108" i="27" s="1"/>
  <c r="T109" i="27"/>
  <c r="D116" i="27"/>
  <c r="C116" i="27" s="1"/>
  <c r="C115" i="27"/>
  <c r="Z104" i="27"/>
  <c r="AA105" i="27"/>
  <c r="V105" i="27"/>
  <c r="R106" i="27"/>
  <c r="S106" i="26"/>
  <c r="W106" i="26" s="1"/>
  <c r="AB106" i="26" s="1"/>
  <c r="AE105" i="26"/>
  <c r="H116" i="26"/>
  <c r="L131" i="26" s="1"/>
  <c r="E116" i="26"/>
  <c r="I131" i="26" s="1"/>
  <c r="G116" i="26"/>
  <c r="K131" i="26" s="1"/>
  <c r="F116" i="26"/>
  <c r="J131" i="26" s="1"/>
  <c r="R107" i="26"/>
  <c r="V106" i="26"/>
  <c r="AA106" i="26"/>
  <c r="D118" i="26"/>
  <c r="C117" i="26"/>
  <c r="X109" i="26"/>
  <c r="AC109" i="26" s="1"/>
  <c r="T110" i="26"/>
  <c r="Y107" i="26"/>
  <c r="AD107" i="26" s="1"/>
  <c r="U108" i="26"/>
  <c r="F117" i="24"/>
  <c r="J122" i="24" s="1"/>
  <c r="E117" i="24"/>
  <c r="I122" i="24" s="1"/>
  <c r="H117" i="24"/>
  <c r="L122" i="24" s="1"/>
  <c r="G117" i="24"/>
  <c r="K122" i="24" s="1"/>
  <c r="X109" i="24"/>
  <c r="AC109" i="24" s="1"/>
  <c r="T110" i="24"/>
  <c r="AG109" i="24"/>
  <c r="AH108" i="24"/>
  <c r="V109" i="24"/>
  <c r="R110" i="24"/>
  <c r="AA109" i="24"/>
  <c r="U108" i="24"/>
  <c r="S107" i="24"/>
  <c r="W107" i="24" s="1"/>
  <c r="Y107" i="24"/>
  <c r="AD107" i="24" s="1"/>
  <c r="H116" i="24"/>
  <c r="L121" i="24" s="1"/>
  <c r="F116" i="24"/>
  <c r="J121" i="24" s="1"/>
  <c r="E116" i="24"/>
  <c r="I121" i="24" s="1"/>
  <c r="G116" i="24"/>
  <c r="K121" i="24" s="1"/>
  <c r="AB106" i="24"/>
  <c r="AE106" i="24" s="1"/>
  <c r="AF110" i="24" s="1"/>
  <c r="Z106" i="24"/>
  <c r="D118" i="24"/>
  <c r="C118" i="24" s="1"/>
  <c r="E119" i="28" l="1"/>
  <c r="I124" i="28" s="1"/>
  <c r="F119" i="28"/>
  <c r="J124" i="28" s="1"/>
  <c r="H119" i="28"/>
  <c r="L124" i="28" s="1"/>
  <c r="G119" i="28"/>
  <c r="K124" i="28" s="1"/>
  <c r="S111" i="28"/>
  <c r="U112" i="28"/>
  <c r="AB109" i="28"/>
  <c r="AE109" i="28" s="1"/>
  <c r="AF113" i="28" s="1"/>
  <c r="AG113" i="28" s="1"/>
  <c r="AD110" i="28"/>
  <c r="AC111" i="28"/>
  <c r="Z109" i="28"/>
  <c r="W110" i="28"/>
  <c r="X112" i="28"/>
  <c r="D120" i="28"/>
  <c r="C120" i="28" s="1"/>
  <c r="AA110" i="28"/>
  <c r="V110" i="28"/>
  <c r="Y111" i="28"/>
  <c r="AH112" i="28"/>
  <c r="Z105" i="27"/>
  <c r="E116" i="27"/>
  <c r="I121" i="27" s="1"/>
  <c r="F116" i="27"/>
  <c r="J121" i="27" s="1"/>
  <c r="G116" i="27"/>
  <c r="K121" i="27" s="1"/>
  <c r="H116" i="27"/>
  <c r="L121" i="27" s="1"/>
  <c r="AH108" i="27"/>
  <c r="D117" i="27"/>
  <c r="C117" i="27" s="1"/>
  <c r="X109" i="27"/>
  <c r="AC109" i="27" s="1"/>
  <c r="T110" i="27"/>
  <c r="E115" i="27"/>
  <c r="I120" i="27" s="1"/>
  <c r="G115" i="27"/>
  <c r="K120" i="27" s="1"/>
  <c r="H115" i="27"/>
  <c r="L120" i="27" s="1"/>
  <c r="F115" i="27"/>
  <c r="J120" i="27" s="1"/>
  <c r="V106" i="27"/>
  <c r="AA106" i="27"/>
  <c r="R107" i="27"/>
  <c r="Y106" i="27"/>
  <c r="AD106" i="27" s="1"/>
  <c r="S106" i="27"/>
  <c r="W106" i="27" s="1"/>
  <c r="AB106" i="27" s="1"/>
  <c r="U107" i="27"/>
  <c r="AE105" i="27"/>
  <c r="AF109" i="27" s="1"/>
  <c r="AG109" i="27" s="1"/>
  <c r="Z106" i="26"/>
  <c r="S107" i="26"/>
  <c r="W107" i="26" s="1"/>
  <c r="AB107" i="26" s="1"/>
  <c r="AE106" i="26"/>
  <c r="D119" i="26"/>
  <c r="C119" i="26" s="1"/>
  <c r="AA107" i="26"/>
  <c r="R108" i="26"/>
  <c r="V107" i="26"/>
  <c r="G117" i="26"/>
  <c r="K132" i="26" s="1"/>
  <c r="F117" i="26"/>
  <c r="J132" i="26" s="1"/>
  <c r="H117" i="26"/>
  <c r="L132" i="26" s="1"/>
  <c r="E117" i="26"/>
  <c r="I132" i="26" s="1"/>
  <c r="Y108" i="26"/>
  <c r="AD108" i="26" s="1"/>
  <c r="U109" i="26"/>
  <c r="X110" i="26"/>
  <c r="AC110" i="26" s="1"/>
  <c r="T111" i="26"/>
  <c r="C118" i="26"/>
  <c r="X110" i="24"/>
  <c r="AC110" i="24" s="1"/>
  <c r="T111" i="24"/>
  <c r="AH109" i="24"/>
  <c r="AI86" i="24" s="1"/>
  <c r="AG110" i="24"/>
  <c r="E118" i="24"/>
  <c r="I123" i="24" s="1"/>
  <c r="G118" i="24"/>
  <c r="K123" i="24" s="1"/>
  <c r="F118" i="24"/>
  <c r="J123" i="24" s="1"/>
  <c r="H118" i="24"/>
  <c r="L123" i="24" s="1"/>
  <c r="AB107" i="24"/>
  <c r="AE107" i="24" s="1"/>
  <c r="AF111" i="24" s="1"/>
  <c r="Z107" i="24"/>
  <c r="R111" i="24"/>
  <c r="AA110" i="24"/>
  <c r="V110" i="24"/>
  <c r="D119" i="24"/>
  <c r="C119" i="24" s="1"/>
  <c r="U109" i="24"/>
  <c r="S108" i="24"/>
  <c r="W108" i="24" s="1"/>
  <c r="Y108" i="24"/>
  <c r="AD108" i="24" s="1"/>
  <c r="AE107" i="26" l="1"/>
  <c r="Z107" i="26"/>
  <c r="S108" i="26"/>
  <c r="W108" i="26" s="1"/>
  <c r="AB108" i="26" s="1"/>
  <c r="F120" i="28"/>
  <c r="J125" i="28" s="1"/>
  <c r="G120" i="28"/>
  <c r="K125" i="28" s="1"/>
  <c r="H120" i="28"/>
  <c r="L125" i="28" s="1"/>
  <c r="E120" i="28"/>
  <c r="I125" i="28" s="1"/>
  <c r="U113" i="28"/>
  <c r="S112" i="28"/>
  <c r="W112" i="28" s="1"/>
  <c r="AC112" i="28"/>
  <c r="W111" i="28"/>
  <c r="Z110" i="28"/>
  <c r="AD111" i="28"/>
  <c r="AB110" i="28"/>
  <c r="AE110" i="28" s="1"/>
  <c r="AF114" i="28" s="1"/>
  <c r="AG114" i="28" s="1"/>
  <c r="AH113" i="28"/>
  <c r="AA111" i="28"/>
  <c r="V111" i="28"/>
  <c r="D121" i="28"/>
  <c r="Y112" i="28"/>
  <c r="X113" i="28"/>
  <c r="AI86" i="27"/>
  <c r="AH109" i="27"/>
  <c r="T111" i="27"/>
  <c r="X110" i="27"/>
  <c r="AC110" i="27" s="1"/>
  <c r="Y107" i="27"/>
  <c r="AD107" i="27" s="1"/>
  <c r="S107" i="27"/>
  <c r="W107" i="27" s="1"/>
  <c r="AB107" i="27" s="1"/>
  <c r="U108" i="27"/>
  <c r="D118" i="27"/>
  <c r="C118" i="27" s="1"/>
  <c r="F117" i="27"/>
  <c r="J122" i="27" s="1"/>
  <c r="G117" i="27"/>
  <c r="K122" i="27" s="1"/>
  <c r="H117" i="27"/>
  <c r="L122" i="27" s="1"/>
  <c r="E117" i="27"/>
  <c r="I122" i="27" s="1"/>
  <c r="V107" i="27"/>
  <c r="AA107" i="27"/>
  <c r="R108" i="27"/>
  <c r="AE106" i="27"/>
  <c r="AF110" i="27" s="1"/>
  <c r="AG110" i="27" s="1"/>
  <c r="Z106" i="27"/>
  <c r="R109" i="26"/>
  <c r="AA108" i="26"/>
  <c r="V108" i="26"/>
  <c r="G118" i="26"/>
  <c r="K133" i="26" s="1"/>
  <c r="F118" i="26"/>
  <c r="J133" i="26" s="1"/>
  <c r="E118" i="26"/>
  <c r="I133" i="26" s="1"/>
  <c r="H118" i="26"/>
  <c r="L133" i="26" s="1"/>
  <c r="Y109" i="26"/>
  <c r="AD109" i="26" s="1"/>
  <c r="U110" i="26"/>
  <c r="T112" i="26"/>
  <c r="X111" i="26"/>
  <c r="AC111" i="26" s="1"/>
  <c r="G119" i="26"/>
  <c r="K134" i="26" s="1"/>
  <c r="F119" i="26"/>
  <c r="J134" i="26" s="1"/>
  <c r="H119" i="26"/>
  <c r="L134" i="26" s="1"/>
  <c r="E119" i="26"/>
  <c r="I134" i="26" s="1"/>
  <c r="D120" i="26"/>
  <c r="C120" i="26" s="1"/>
  <c r="F119" i="24"/>
  <c r="J124" i="24" s="1"/>
  <c r="H119" i="24"/>
  <c r="L124" i="24" s="1"/>
  <c r="G119" i="24"/>
  <c r="K124" i="24" s="1"/>
  <c r="E119" i="24"/>
  <c r="I124" i="24" s="1"/>
  <c r="AH110" i="24"/>
  <c r="AG111" i="24"/>
  <c r="D120" i="24"/>
  <c r="X111" i="24"/>
  <c r="AC111" i="24" s="1"/>
  <c r="T112" i="24"/>
  <c r="Y109" i="24"/>
  <c r="AD109" i="24" s="1"/>
  <c r="S109" i="24"/>
  <c r="W109" i="24" s="1"/>
  <c r="U110" i="24"/>
  <c r="AB108" i="24"/>
  <c r="AE108" i="24" s="1"/>
  <c r="AF112" i="24" s="1"/>
  <c r="Z108" i="24"/>
  <c r="R112" i="24"/>
  <c r="AA111" i="24"/>
  <c r="V111" i="24"/>
  <c r="Z108" i="26" l="1"/>
  <c r="AE108" i="26"/>
  <c r="S109" i="26"/>
  <c r="W109" i="26" s="1"/>
  <c r="AB109" i="26" s="1"/>
  <c r="S113" i="28"/>
  <c r="W113" i="28" s="1"/>
  <c r="U114" i="28"/>
  <c r="AI86" i="28"/>
  <c r="AB111" i="28"/>
  <c r="AE111" i="28" s="1"/>
  <c r="AF115" i="28" s="1"/>
  <c r="AG115" i="28" s="1"/>
  <c r="AC113" i="28"/>
  <c r="AB112" i="28"/>
  <c r="AD112" i="28"/>
  <c r="Z111" i="28"/>
  <c r="V112" i="28"/>
  <c r="AA112" i="28"/>
  <c r="D122" i="28"/>
  <c r="C122" i="28" s="1"/>
  <c r="C121" i="28"/>
  <c r="AH114" i="28"/>
  <c r="X114" i="28"/>
  <c r="Y113" i="28"/>
  <c r="AI87" i="24"/>
  <c r="AH110" i="27"/>
  <c r="AI87" i="27" s="1"/>
  <c r="D119" i="27"/>
  <c r="H118" i="27"/>
  <c r="L123" i="27" s="1"/>
  <c r="E118" i="27"/>
  <c r="I123" i="27" s="1"/>
  <c r="F118" i="27"/>
  <c r="J123" i="27" s="1"/>
  <c r="G118" i="27"/>
  <c r="K123" i="27" s="1"/>
  <c r="Y108" i="27"/>
  <c r="AD108" i="27" s="1"/>
  <c r="S108" i="27"/>
  <c r="W108" i="27" s="1"/>
  <c r="AB108" i="27" s="1"/>
  <c r="U109" i="27"/>
  <c r="AA108" i="27"/>
  <c r="V108" i="27"/>
  <c r="R109" i="27"/>
  <c r="AE107" i="27"/>
  <c r="AF111" i="27" s="1"/>
  <c r="AG111" i="27" s="1"/>
  <c r="T112" i="27"/>
  <c r="X111" i="27"/>
  <c r="AC111" i="27" s="1"/>
  <c r="Z107" i="27"/>
  <c r="G120" i="26"/>
  <c r="K135" i="26" s="1"/>
  <c r="F120" i="26"/>
  <c r="J135" i="26" s="1"/>
  <c r="E120" i="26"/>
  <c r="I135" i="26" s="1"/>
  <c r="H120" i="26"/>
  <c r="L135" i="26" s="1"/>
  <c r="X112" i="26"/>
  <c r="AC112" i="26" s="1"/>
  <c r="T113" i="26"/>
  <c r="Y110" i="26"/>
  <c r="AD110" i="26" s="1"/>
  <c r="U111" i="26"/>
  <c r="D121" i="26"/>
  <c r="C121" i="26" s="1"/>
  <c r="AA109" i="26"/>
  <c r="R110" i="26"/>
  <c r="V109" i="26"/>
  <c r="X112" i="24"/>
  <c r="AC112" i="24" s="1"/>
  <c r="T113" i="24"/>
  <c r="D121" i="24"/>
  <c r="C121" i="24" s="1"/>
  <c r="AG112" i="24"/>
  <c r="AH111" i="24"/>
  <c r="R113" i="24"/>
  <c r="AA112" i="24"/>
  <c r="V112" i="24"/>
  <c r="S110" i="24"/>
  <c r="W110" i="24" s="1"/>
  <c r="Y110" i="24"/>
  <c r="AD110" i="24" s="1"/>
  <c r="U111" i="24"/>
  <c r="AB109" i="24"/>
  <c r="AE109" i="24" s="1"/>
  <c r="AF113" i="24" s="1"/>
  <c r="Z109" i="24"/>
  <c r="C120" i="24"/>
  <c r="Z109" i="26" l="1"/>
  <c r="S110" i="26"/>
  <c r="W110" i="26" s="1"/>
  <c r="AB110" i="26" s="1"/>
  <c r="AE109" i="26"/>
  <c r="E121" i="28"/>
  <c r="I126" i="28" s="1"/>
  <c r="F121" i="28"/>
  <c r="J126" i="28" s="1"/>
  <c r="G121" i="28"/>
  <c r="K126" i="28" s="1"/>
  <c r="H121" i="28"/>
  <c r="L126" i="28" s="1"/>
  <c r="E122" i="28"/>
  <c r="F122" i="28"/>
  <c r="H122" i="28"/>
  <c r="L127" i="28" s="1"/>
  <c r="G122" i="28"/>
  <c r="K127" i="28" s="1"/>
  <c r="S114" i="28"/>
  <c r="W114" i="28" s="1"/>
  <c r="U115" i="28"/>
  <c r="AI88" i="28"/>
  <c r="Z112" i="28"/>
  <c r="AB113" i="28"/>
  <c r="AD113" i="28"/>
  <c r="AC114" i="28"/>
  <c r="AE112" i="28"/>
  <c r="AF116" i="28" s="1"/>
  <c r="AG116" i="28" s="1"/>
  <c r="I127" i="28"/>
  <c r="J127" i="28"/>
  <c r="X115" i="28"/>
  <c r="AH115" i="28"/>
  <c r="D123" i="28"/>
  <c r="AA113" i="28"/>
  <c r="V113" i="28"/>
  <c r="Y114" i="28"/>
  <c r="AH111" i="27"/>
  <c r="AE108" i="27"/>
  <c r="AF112" i="27" s="1"/>
  <c r="AG112" i="27" s="1"/>
  <c r="S109" i="27"/>
  <c r="W109" i="27" s="1"/>
  <c r="AB109" i="27" s="1"/>
  <c r="U110" i="27"/>
  <c r="Y109" i="27"/>
  <c r="AD109" i="27" s="1"/>
  <c r="T113" i="27"/>
  <c r="X112" i="27"/>
  <c r="AC112" i="27" s="1"/>
  <c r="D120" i="27"/>
  <c r="C120" i="27" s="1"/>
  <c r="C119" i="27"/>
  <c r="AA109" i="27"/>
  <c r="R110" i="27"/>
  <c r="V109" i="27"/>
  <c r="Z108" i="27"/>
  <c r="D122" i="26"/>
  <c r="C122" i="26" s="1"/>
  <c r="S111" i="26"/>
  <c r="W111" i="26" s="1"/>
  <c r="AB111" i="26" s="1"/>
  <c r="U112" i="26"/>
  <c r="Y111" i="26"/>
  <c r="AD111" i="26" s="1"/>
  <c r="T114" i="26"/>
  <c r="X113" i="26"/>
  <c r="AC113" i="26" s="1"/>
  <c r="G121" i="26"/>
  <c r="K136" i="26" s="1"/>
  <c r="F121" i="26"/>
  <c r="J136" i="26" s="1"/>
  <c r="H121" i="26"/>
  <c r="L136" i="26" s="1"/>
  <c r="E121" i="26"/>
  <c r="I136" i="26" s="1"/>
  <c r="R111" i="26"/>
  <c r="V110" i="26"/>
  <c r="AA110" i="26"/>
  <c r="E121" i="24"/>
  <c r="I126" i="24" s="1"/>
  <c r="G121" i="24"/>
  <c r="K126" i="24" s="1"/>
  <c r="F121" i="24"/>
  <c r="J126" i="24" s="1"/>
  <c r="H121" i="24"/>
  <c r="L126" i="24" s="1"/>
  <c r="AA113" i="24"/>
  <c r="V113" i="24"/>
  <c r="R114" i="24"/>
  <c r="AG113" i="24"/>
  <c r="AH112" i="24"/>
  <c r="Y111" i="24"/>
  <c r="AD111" i="24" s="1"/>
  <c r="U112" i="24"/>
  <c r="S111" i="24"/>
  <c r="W111" i="24" s="1"/>
  <c r="D122" i="24"/>
  <c r="C122" i="24" s="1"/>
  <c r="H120" i="24"/>
  <c r="L125" i="24" s="1"/>
  <c r="G120" i="24"/>
  <c r="K125" i="24" s="1"/>
  <c r="E120" i="24"/>
  <c r="I125" i="24" s="1"/>
  <c r="F120" i="24"/>
  <c r="J125" i="24" s="1"/>
  <c r="T114" i="24"/>
  <c r="X113" i="24"/>
  <c r="AC113" i="24" s="1"/>
  <c r="AB110" i="24"/>
  <c r="AE110" i="24" s="1"/>
  <c r="AF114" i="24" s="1"/>
  <c r="Z110" i="24"/>
  <c r="AE110" i="26" l="1"/>
  <c r="Z110" i="26"/>
  <c r="U116" i="28"/>
  <c r="S115" i="28"/>
  <c r="W115" i="28" s="1"/>
  <c r="AI87" i="28"/>
  <c r="D8" i="28" s="1"/>
  <c r="AB114" i="28"/>
  <c r="Z113" i="28"/>
  <c r="AE113" i="28"/>
  <c r="AF117" i="28" s="1"/>
  <c r="AG117" i="28" s="1"/>
  <c r="AD114" i="28"/>
  <c r="AC115" i="28"/>
  <c r="AH116" i="28"/>
  <c r="X116" i="28"/>
  <c r="Y115" i="28"/>
  <c r="V114" i="28"/>
  <c r="AA114" i="28"/>
  <c r="D124" i="28"/>
  <c r="C124" i="28" s="1"/>
  <c r="C123" i="28"/>
  <c r="AI88" i="24"/>
  <c r="E120" i="27"/>
  <c r="I125" i="27" s="1"/>
  <c r="F120" i="27"/>
  <c r="J125" i="27" s="1"/>
  <c r="G120" i="27"/>
  <c r="K125" i="27" s="1"/>
  <c r="H120" i="27"/>
  <c r="L125" i="27" s="1"/>
  <c r="AH112" i="27"/>
  <c r="X113" i="27"/>
  <c r="AC113" i="27" s="1"/>
  <c r="T114" i="27"/>
  <c r="S110" i="27"/>
  <c r="W110" i="27" s="1"/>
  <c r="AB110" i="27" s="1"/>
  <c r="U111" i="27"/>
  <c r="Y110" i="27"/>
  <c r="AD110" i="27" s="1"/>
  <c r="D121" i="27"/>
  <c r="Z109" i="27"/>
  <c r="R111" i="27"/>
  <c r="V110" i="27"/>
  <c r="AA110" i="27"/>
  <c r="AE109" i="27"/>
  <c r="AF113" i="27" s="1"/>
  <c r="AG113" i="27" s="1"/>
  <c r="G119" i="27"/>
  <c r="K124" i="27" s="1"/>
  <c r="H119" i="27"/>
  <c r="L124" i="27" s="1"/>
  <c r="E119" i="27"/>
  <c r="I124" i="27" s="1"/>
  <c r="F119" i="27"/>
  <c r="J124" i="27" s="1"/>
  <c r="V111" i="26"/>
  <c r="Z111" i="26" s="1"/>
  <c r="AA111" i="26"/>
  <c r="AE111" i="26" s="1"/>
  <c r="R112" i="26"/>
  <c r="X114" i="26"/>
  <c r="AC114" i="26" s="1"/>
  <c r="O115" i="26"/>
  <c r="T115" i="26" s="1"/>
  <c r="Y112" i="26"/>
  <c r="AD112" i="26" s="1"/>
  <c r="U113" i="26"/>
  <c r="S112" i="26"/>
  <c r="W112" i="26" s="1"/>
  <c r="AB112" i="26" s="1"/>
  <c r="H122" i="26"/>
  <c r="L137" i="26" s="1"/>
  <c r="G122" i="26"/>
  <c r="K137" i="26" s="1"/>
  <c r="F122" i="26"/>
  <c r="J137" i="26" s="1"/>
  <c r="E122" i="26"/>
  <c r="I137" i="26" s="1"/>
  <c r="D123" i="26"/>
  <c r="C123" i="26" s="1"/>
  <c r="AG114" i="24"/>
  <c r="AH113" i="24"/>
  <c r="X114" i="24"/>
  <c r="AC114" i="24" s="1"/>
  <c r="O115" i="24"/>
  <c r="V114" i="24"/>
  <c r="M115" i="24"/>
  <c r="AA114" i="24"/>
  <c r="G122" i="24"/>
  <c r="K127" i="24" s="1"/>
  <c r="F122" i="24"/>
  <c r="J127" i="24" s="1"/>
  <c r="H122" i="24"/>
  <c r="L127" i="24" s="1"/>
  <c r="E122" i="24"/>
  <c r="I127" i="24" s="1"/>
  <c r="D123" i="24"/>
  <c r="C123" i="24" s="1"/>
  <c r="AB111" i="24"/>
  <c r="AE111" i="24" s="1"/>
  <c r="AF115" i="24" s="1"/>
  <c r="Z111" i="24"/>
  <c r="S112" i="24"/>
  <c r="W112" i="24" s="1"/>
  <c r="U113" i="24"/>
  <c r="Y112" i="24"/>
  <c r="AD112" i="24" s="1"/>
  <c r="F123" i="28" l="1"/>
  <c r="J128" i="28" s="1"/>
  <c r="G123" i="28"/>
  <c r="K128" i="28" s="1"/>
  <c r="H123" i="28"/>
  <c r="L128" i="28" s="1"/>
  <c r="E123" i="28"/>
  <c r="I128" i="28" s="1"/>
  <c r="E124" i="28"/>
  <c r="I129" i="28" s="1"/>
  <c r="F124" i="28"/>
  <c r="J129" i="28" s="1"/>
  <c r="G124" i="28"/>
  <c r="K129" i="28" s="1"/>
  <c r="H124" i="28"/>
  <c r="L129" i="28" s="1"/>
  <c r="S116" i="28"/>
  <c r="W116" i="28" s="1"/>
  <c r="U117" i="28"/>
  <c r="AI89" i="28"/>
  <c r="AC116" i="28"/>
  <c r="AE114" i="28"/>
  <c r="AF118" i="28" s="1"/>
  <c r="AG118" i="28" s="1"/>
  <c r="Z114" i="28"/>
  <c r="AD115" i="28"/>
  <c r="AB115" i="28"/>
  <c r="V115" i="28"/>
  <c r="AA115" i="28"/>
  <c r="Y116" i="28"/>
  <c r="X117" i="28"/>
  <c r="O118" i="28"/>
  <c r="T118" i="28" s="1"/>
  <c r="AH117" i="28"/>
  <c r="D125" i="28"/>
  <c r="C125" i="28" s="1"/>
  <c r="AI88" i="27"/>
  <c r="AH113" i="27"/>
  <c r="S111" i="27"/>
  <c r="W111" i="27" s="1"/>
  <c r="AB111" i="27" s="1"/>
  <c r="U112" i="27"/>
  <c r="Y111" i="27"/>
  <c r="AD111" i="27" s="1"/>
  <c r="X114" i="27"/>
  <c r="AC114" i="27" s="1"/>
  <c r="O115" i="27"/>
  <c r="T115" i="27" s="1"/>
  <c r="AE110" i="27"/>
  <c r="AF114" i="27" s="1"/>
  <c r="AG114" i="27" s="1"/>
  <c r="AA111" i="27"/>
  <c r="R112" i="27"/>
  <c r="V111" i="27"/>
  <c r="Z110" i="27"/>
  <c r="D122" i="27"/>
  <c r="C122" i="27" s="1"/>
  <c r="C121" i="27"/>
  <c r="X115" i="26"/>
  <c r="AC115" i="26" s="1"/>
  <c r="O126" i="26"/>
  <c r="O125" i="26"/>
  <c r="O129" i="26"/>
  <c r="O118" i="26"/>
  <c r="O117" i="26"/>
  <c r="O128" i="26"/>
  <c r="O116" i="26"/>
  <c r="T116" i="26" s="1"/>
  <c r="O120" i="26"/>
  <c r="O123" i="26"/>
  <c r="O124" i="26"/>
  <c r="O127" i="26"/>
  <c r="O122" i="26"/>
  <c r="O121" i="26"/>
  <c r="F11" i="26"/>
  <c r="O119" i="26"/>
  <c r="S113" i="26"/>
  <c r="W113" i="26" s="1"/>
  <c r="AB113" i="26" s="1"/>
  <c r="U114" i="26"/>
  <c r="Y113" i="26"/>
  <c r="AD113" i="26" s="1"/>
  <c r="G123" i="26"/>
  <c r="K138" i="26" s="1"/>
  <c r="F123" i="26"/>
  <c r="J138" i="26" s="1"/>
  <c r="H123" i="26"/>
  <c r="L138" i="26" s="1"/>
  <c r="E123" i="26"/>
  <c r="I138" i="26" s="1"/>
  <c r="R113" i="26"/>
  <c r="V112" i="26"/>
  <c r="Z112" i="26" s="1"/>
  <c r="AA112" i="26"/>
  <c r="AE112" i="26" s="1"/>
  <c r="D124" i="26"/>
  <c r="AB112" i="24"/>
  <c r="AE112" i="24" s="1"/>
  <c r="AF116" i="24" s="1"/>
  <c r="Z112" i="24"/>
  <c r="M125" i="24"/>
  <c r="M126" i="24"/>
  <c r="M120" i="24"/>
  <c r="M123" i="24"/>
  <c r="M117" i="24"/>
  <c r="M116" i="24"/>
  <c r="M118" i="24"/>
  <c r="M128" i="24"/>
  <c r="M127" i="24"/>
  <c r="M121" i="24"/>
  <c r="M129" i="24"/>
  <c r="M124" i="24"/>
  <c r="M119" i="24"/>
  <c r="D11" i="24"/>
  <c r="M122" i="24"/>
  <c r="R115" i="24"/>
  <c r="S113" i="24"/>
  <c r="W113" i="24" s="1"/>
  <c r="U114" i="24"/>
  <c r="Y113" i="24"/>
  <c r="AD113" i="24" s="1"/>
  <c r="H123" i="24"/>
  <c r="L128" i="24" s="1"/>
  <c r="G123" i="24"/>
  <c r="K128" i="24" s="1"/>
  <c r="F123" i="24"/>
  <c r="J128" i="24" s="1"/>
  <c r="E123" i="24"/>
  <c r="I128" i="24" s="1"/>
  <c r="O126" i="24"/>
  <c r="O129" i="24"/>
  <c r="O123" i="24"/>
  <c r="O118" i="24"/>
  <c r="O124" i="24"/>
  <c r="O119" i="24"/>
  <c r="O125" i="24"/>
  <c r="O116" i="24"/>
  <c r="O117" i="24"/>
  <c r="O122" i="24"/>
  <c r="O120" i="24"/>
  <c r="O128" i="24"/>
  <c r="O121" i="24"/>
  <c r="O127" i="24"/>
  <c r="F11" i="24"/>
  <c r="D124" i="24"/>
  <c r="C124" i="24" s="1"/>
  <c r="T115" i="24"/>
  <c r="AG115" i="24"/>
  <c r="AH114" i="24"/>
  <c r="E125" i="28" l="1"/>
  <c r="I130" i="28" s="1"/>
  <c r="F125" i="28"/>
  <c r="J130" i="28" s="1"/>
  <c r="H125" i="28"/>
  <c r="L130" i="28" s="1"/>
  <c r="G125" i="28"/>
  <c r="K130" i="28" s="1"/>
  <c r="AE111" i="27"/>
  <c r="AF115" i="27" s="1"/>
  <c r="AG115" i="27" s="1"/>
  <c r="S117" i="28"/>
  <c r="W117" i="28" s="1"/>
  <c r="AE115" i="28"/>
  <c r="AF119" i="28" s="1"/>
  <c r="AC117" i="28"/>
  <c r="Z115" i="28"/>
  <c r="AD116" i="28"/>
  <c r="AB116" i="28"/>
  <c r="D126" i="28"/>
  <c r="C126" i="28" s="1"/>
  <c r="Y117" i="28"/>
  <c r="P118" i="28"/>
  <c r="U118" i="28" s="1"/>
  <c r="AG119" i="28"/>
  <c r="AH118" i="28"/>
  <c r="AA116" i="28"/>
  <c r="V116" i="28"/>
  <c r="O131" i="28"/>
  <c r="O125" i="28"/>
  <c r="O119" i="28"/>
  <c r="T119" i="28" s="1"/>
  <c r="O128" i="28"/>
  <c r="O124" i="28"/>
  <c r="O130" i="28"/>
  <c r="O120" i="28"/>
  <c r="O121" i="28"/>
  <c r="O129" i="28"/>
  <c r="O132" i="28"/>
  <c r="O123" i="28"/>
  <c r="O122" i="28"/>
  <c r="O126" i="28"/>
  <c r="O127" i="28"/>
  <c r="H11" i="28"/>
  <c r="X118" i="28"/>
  <c r="AH114" i="27"/>
  <c r="X115" i="27"/>
  <c r="AC115" i="27" s="1"/>
  <c r="V112" i="27"/>
  <c r="AA112" i="27"/>
  <c r="R113" i="27"/>
  <c r="F11" i="27"/>
  <c r="O119" i="27"/>
  <c r="O117" i="27"/>
  <c r="O123" i="27"/>
  <c r="O116" i="27"/>
  <c r="T116" i="27" s="1"/>
  <c r="O122" i="27"/>
  <c r="O128" i="27"/>
  <c r="O120" i="27"/>
  <c r="O121" i="27"/>
  <c r="O124" i="27"/>
  <c r="O127" i="27"/>
  <c r="O125" i="27"/>
  <c r="O118" i="27"/>
  <c r="O126" i="27"/>
  <c r="O129" i="27"/>
  <c r="E121" i="27"/>
  <c r="I126" i="27" s="1"/>
  <c r="F121" i="27"/>
  <c r="J126" i="27" s="1"/>
  <c r="G121" i="27"/>
  <c r="K126" i="27" s="1"/>
  <c r="H121" i="27"/>
  <c r="L126" i="27" s="1"/>
  <c r="D123" i="27"/>
  <c r="Y112" i="27"/>
  <c r="AD112" i="27" s="1"/>
  <c r="S112" i="27"/>
  <c r="W112" i="27" s="1"/>
  <c r="AB112" i="27" s="1"/>
  <c r="U113" i="27"/>
  <c r="E122" i="27"/>
  <c r="I127" i="27" s="1"/>
  <c r="F122" i="27"/>
  <c r="J127" i="27" s="1"/>
  <c r="G122" i="27"/>
  <c r="K127" i="27" s="1"/>
  <c r="H122" i="27"/>
  <c r="L127" i="27" s="1"/>
  <c r="Z111" i="27"/>
  <c r="X116" i="26"/>
  <c r="AC116" i="26" s="1"/>
  <c r="T117" i="26"/>
  <c r="Y114" i="26"/>
  <c r="AD114" i="26" s="1"/>
  <c r="S114" i="26"/>
  <c r="W114" i="26" s="1"/>
  <c r="AB114" i="26" s="1"/>
  <c r="P115" i="26"/>
  <c r="U115" i="26" s="1"/>
  <c r="D125" i="26"/>
  <c r="C124" i="26"/>
  <c r="R114" i="26"/>
  <c r="V113" i="26"/>
  <c r="Z113" i="26" s="1"/>
  <c r="AA113" i="26"/>
  <c r="AE113" i="26" s="1"/>
  <c r="G124" i="24"/>
  <c r="K129" i="24" s="1"/>
  <c r="F124" i="24"/>
  <c r="J129" i="24" s="1"/>
  <c r="H124" i="24"/>
  <c r="L129" i="24" s="1"/>
  <c r="E124" i="24"/>
  <c r="I129" i="24" s="1"/>
  <c r="AB113" i="24"/>
  <c r="AE113" i="24" s="1"/>
  <c r="AF117" i="24" s="1"/>
  <c r="Z113" i="24"/>
  <c r="S114" i="24"/>
  <c r="W114" i="24" s="1"/>
  <c r="P115" i="24"/>
  <c r="U115" i="24" s="1"/>
  <c r="Y114" i="24"/>
  <c r="AD114" i="24" s="1"/>
  <c r="V115" i="24"/>
  <c r="R116" i="24"/>
  <c r="AA115" i="24"/>
  <c r="T116" i="24"/>
  <c r="X115" i="24"/>
  <c r="AC115" i="24" s="1"/>
  <c r="D125" i="24"/>
  <c r="C125" i="24" s="1"/>
  <c r="AI89" i="24"/>
  <c r="AI90" i="24"/>
  <c r="AI91" i="24"/>
  <c r="AH115" i="24"/>
  <c r="AG116" i="24"/>
  <c r="F126" i="28" l="1"/>
  <c r="J131" i="28" s="1"/>
  <c r="G126" i="28"/>
  <c r="K131" i="28" s="1"/>
  <c r="H126" i="28"/>
  <c r="L131" i="28" s="1"/>
  <c r="E126" i="28"/>
  <c r="I131" i="28" s="1"/>
  <c r="T120" i="28"/>
  <c r="T121" i="28" s="1"/>
  <c r="T122" i="28" s="1"/>
  <c r="T123" i="28" s="1"/>
  <c r="T124" i="28" s="1"/>
  <c r="T125" i="28" s="1"/>
  <c r="T126" i="28" s="1"/>
  <c r="T127" i="28" s="1"/>
  <c r="T128" i="28" s="1"/>
  <c r="T129" i="28" s="1"/>
  <c r="T130" i="28" s="1"/>
  <c r="AI90" i="28"/>
  <c r="AC118" i="28"/>
  <c r="AD117" i="28"/>
  <c r="Z116" i="28"/>
  <c r="AE116" i="28"/>
  <c r="AF120" i="28" s="1"/>
  <c r="AG120" i="28" s="1"/>
  <c r="AB117" i="28"/>
  <c r="AH119" i="28"/>
  <c r="P131" i="28"/>
  <c r="P125" i="28"/>
  <c r="P132" i="28"/>
  <c r="P126" i="28"/>
  <c r="P120" i="28"/>
  <c r="P127" i="28"/>
  <c r="P124" i="28"/>
  <c r="P130" i="28"/>
  <c r="P123" i="28"/>
  <c r="P121" i="28"/>
  <c r="P122" i="28"/>
  <c r="P128" i="28"/>
  <c r="P119" i="28"/>
  <c r="U119" i="28" s="1"/>
  <c r="P129" i="28"/>
  <c r="I11" i="28"/>
  <c r="X119" i="28"/>
  <c r="M118" i="28"/>
  <c r="R118" i="28" s="1"/>
  <c r="V117" i="28"/>
  <c r="AA117" i="28"/>
  <c r="D127" i="28"/>
  <c r="C127" i="28" s="1"/>
  <c r="AI89" i="27"/>
  <c r="AI90" i="27"/>
  <c r="AI91" i="27"/>
  <c r="T117" i="27"/>
  <c r="X116" i="27"/>
  <c r="AC116" i="27" s="1"/>
  <c r="Y113" i="27"/>
  <c r="AD113" i="27" s="1"/>
  <c r="S113" i="27"/>
  <c r="W113" i="27" s="1"/>
  <c r="AB113" i="27" s="1"/>
  <c r="U114" i="27"/>
  <c r="V113" i="27"/>
  <c r="AA113" i="27"/>
  <c r="R114" i="27"/>
  <c r="AE112" i="27"/>
  <c r="AF116" i="27" s="1"/>
  <c r="AG116" i="27" s="1"/>
  <c r="Z112" i="27"/>
  <c r="D124" i="27"/>
  <c r="C123" i="27"/>
  <c r="AH115" i="27"/>
  <c r="G124" i="26"/>
  <c r="K139" i="26" s="1"/>
  <c r="F124" i="26"/>
  <c r="J139" i="26" s="1"/>
  <c r="H124" i="26"/>
  <c r="L139" i="26" s="1"/>
  <c r="E124" i="26"/>
  <c r="I139" i="26" s="1"/>
  <c r="D126" i="26"/>
  <c r="C126" i="26" s="1"/>
  <c r="Y115" i="26"/>
  <c r="AD115" i="26" s="1"/>
  <c r="X117" i="26"/>
  <c r="AC117" i="26" s="1"/>
  <c r="T118" i="26"/>
  <c r="AA114" i="26"/>
  <c r="AE114" i="26" s="1"/>
  <c r="V114" i="26"/>
  <c r="Z114" i="26" s="1"/>
  <c r="I10" i="26" s="1"/>
  <c r="J10" i="26" s="1"/>
  <c r="M115" i="26"/>
  <c r="R115" i="26" s="1"/>
  <c r="C125" i="26"/>
  <c r="P128" i="26"/>
  <c r="P127" i="26"/>
  <c r="P116" i="26"/>
  <c r="U116" i="26" s="1"/>
  <c r="P125" i="26"/>
  <c r="P123" i="26"/>
  <c r="P119" i="26"/>
  <c r="P126" i="26"/>
  <c r="P120" i="26"/>
  <c r="P124" i="26"/>
  <c r="P118" i="26"/>
  <c r="P117" i="26"/>
  <c r="P122" i="26"/>
  <c r="P121" i="26"/>
  <c r="P129" i="26"/>
  <c r="G11" i="26"/>
  <c r="P129" i="24"/>
  <c r="P124" i="24"/>
  <c r="P126" i="24"/>
  <c r="P118" i="24"/>
  <c r="P125" i="24"/>
  <c r="P123" i="24"/>
  <c r="P116" i="24"/>
  <c r="U116" i="24" s="1"/>
  <c r="P121" i="24"/>
  <c r="P119" i="24"/>
  <c r="P122" i="24"/>
  <c r="P120" i="24"/>
  <c r="P128" i="24"/>
  <c r="P127" i="24"/>
  <c r="P117" i="24"/>
  <c r="G11" i="24"/>
  <c r="N115" i="24"/>
  <c r="S115" i="24" s="1"/>
  <c r="W115" i="24" s="1"/>
  <c r="AB115" i="24" s="1"/>
  <c r="AB114" i="24"/>
  <c r="AE114" i="24" s="1"/>
  <c r="AF118" i="24" s="1"/>
  <c r="Z114" i="24"/>
  <c r="AG117" i="24"/>
  <c r="AH116" i="24"/>
  <c r="AI92" i="24" s="1"/>
  <c r="Y115" i="24"/>
  <c r="AD115" i="24" s="1"/>
  <c r="AA116" i="24"/>
  <c r="R117" i="24"/>
  <c r="V116" i="24"/>
  <c r="H125" i="24"/>
  <c r="L130" i="24" s="1"/>
  <c r="G125" i="24"/>
  <c r="K130" i="24" s="1"/>
  <c r="F125" i="24"/>
  <c r="J130" i="24" s="1"/>
  <c r="E125" i="24"/>
  <c r="I130" i="24" s="1"/>
  <c r="X116" i="24"/>
  <c r="AC116" i="24" s="1"/>
  <c r="T117" i="24"/>
  <c r="D126" i="24"/>
  <c r="C126" i="24" s="1"/>
  <c r="T131" i="28" l="1"/>
  <c r="E127" i="28"/>
  <c r="I132" i="28" s="1"/>
  <c r="F127" i="28"/>
  <c r="J132" i="28" s="1"/>
  <c r="G127" i="28"/>
  <c r="K132" i="28" s="1"/>
  <c r="T132" i="28" s="1"/>
  <c r="H127" i="28"/>
  <c r="L132" i="28" s="1"/>
  <c r="U120" i="28"/>
  <c r="AE117" i="28"/>
  <c r="AF121" i="28" s="1"/>
  <c r="AG121" i="28" s="1"/>
  <c r="Z117" i="28"/>
  <c r="C10" i="28" s="1"/>
  <c r="AC119" i="28"/>
  <c r="AA118" i="28"/>
  <c r="V118" i="28"/>
  <c r="X120" i="28"/>
  <c r="D128" i="28"/>
  <c r="C128" i="28" s="1"/>
  <c r="Y118" i="28"/>
  <c r="M130" i="28"/>
  <c r="M124" i="28"/>
  <c r="M129" i="28"/>
  <c r="M120" i="28"/>
  <c r="M131" i="28"/>
  <c r="M128" i="28"/>
  <c r="M119" i="28"/>
  <c r="R119" i="28" s="1"/>
  <c r="M125" i="28"/>
  <c r="M122" i="28"/>
  <c r="M132" i="28"/>
  <c r="M123" i="28"/>
  <c r="M127" i="28"/>
  <c r="M126" i="28"/>
  <c r="F11" i="28"/>
  <c r="M121" i="28"/>
  <c r="N118" i="28"/>
  <c r="S118" i="28" s="1"/>
  <c r="AH120" i="28"/>
  <c r="AI92" i="27"/>
  <c r="Z113" i="27"/>
  <c r="AE113" i="27"/>
  <c r="AF117" i="27" s="1"/>
  <c r="D125" i="27"/>
  <c r="C124" i="27"/>
  <c r="AA114" i="27"/>
  <c r="V114" i="27"/>
  <c r="M115" i="27"/>
  <c r="R115" i="27" s="1"/>
  <c r="AH116" i="27"/>
  <c r="AG117" i="27"/>
  <c r="Y114" i="27"/>
  <c r="AD114" i="27" s="1"/>
  <c r="P115" i="27"/>
  <c r="U115" i="27" s="1"/>
  <c r="S114" i="27"/>
  <c r="W114" i="27" s="1"/>
  <c r="AB114" i="27" s="1"/>
  <c r="E123" i="27"/>
  <c r="I128" i="27" s="1"/>
  <c r="F123" i="27"/>
  <c r="J128" i="27" s="1"/>
  <c r="G123" i="27"/>
  <c r="K128" i="27" s="1"/>
  <c r="H123" i="27"/>
  <c r="L128" i="27" s="1"/>
  <c r="T118" i="27"/>
  <c r="X117" i="27"/>
  <c r="AC117" i="27" s="1"/>
  <c r="E126" i="26"/>
  <c r="I141" i="26" s="1"/>
  <c r="G126" i="26"/>
  <c r="K141" i="26" s="1"/>
  <c r="F126" i="26"/>
  <c r="J141" i="26" s="1"/>
  <c r="H126" i="26"/>
  <c r="L141" i="26" s="1"/>
  <c r="Y116" i="26"/>
  <c r="AD116" i="26" s="1"/>
  <c r="U117" i="26"/>
  <c r="AA115" i="26"/>
  <c r="V115" i="26"/>
  <c r="D127" i="26"/>
  <c r="X118" i="26"/>
  <c r="AC118" i="26" s="1"/>
  <c r="T119" i="26"/>
  <c r="G125" i="26"/>
  <c r="K140" i="26" s="1"/>
  <c r="F125" i="26"/>
  <c r="J140" i="26" s="1"/>
  <c r="E125" i="26"/>
  <c r="I140" i="26" s="1"/>
  <c r="H125" i="26"/>
  <c r="L140" i="26" s="1"/>
  <c r="M128" i="26"/>
  <c r="M126" i="26"/>
  <c r="M124" i="26"/>
  <c r="M122" i="26"/>
  <c r="M120" i="26"/>
  <c r="M118" i="26"/>
  <c r="M116" i="26"/>
  <c r="R116" i="26" s="1"/>
  <c r="M127" i="26"/>
  <c r="M119" i="26"/>
  <c r="M129" i="26"/>
  <c r="M125" i="26"/>
  <c r="M123" i="26"/>
  <c r="M117" i="26"/>
  <c r="M121" i="26"/>
  <c r="D11" i="26"/>
  <c r="N115" i="26"/>
  <c r="AE115" i="24"/>
  <c r="AF119" i="24" s="1"/>
  <c r="X117" i="24"/>
  <c r="AC117" i="24" s="1"/>
  <c r="T118" i="24"/>
  <c r="AH117" i="24"/>
  <c r="AG118" i="24"/>
  <c r="G126" i="24"/>
  <c r="K131" i="24" s="1"/>
  <c r="F126" i="24"/>
  <c r="J131" i="24" s="1"/>
  <c r="E126" i="24"/>
  <c r="I131" i="24" s="1"/>
  <c r="H126" i="24"/>
  <c r="L131" i="24" s="1"/>
  <c r="I10" i="24"/>
  <c r="N123" i="24"/>
  <c r="Q123" i="24" s="1"/>
  <c r="N117" i="24"/>
  <c r="Q117" i="24" s="1"/>
  <c r="N126" i="24"/>
  <c r="Q126" i="24" s="1"/>
  <c r="N118" i="24"/>
  <c r="Q118" i="24" s="1"/>
  <c r="N120" i="24"/>
  <c r="Q120" i="24" s="1"/>
  <c r="N124" i="24"/>
  <c r="Q124" i="24" s="1"/>
  <c r="N119" i="24"/>
  <c r="Q119" i="24" s="1"/>
  <c r="N127" i="24"/>
  <c r="Q127" i="24" s="1"/>
  <c r="N121" i="24"/>
  <c r="Q121" i="24" s="1"/>
  <c r="N125" i="24"/>
  <c r="Q125" i="24" s="1"/>
  <c r="N129" i="24"/>
  <c r="Q129" i="24" s="1"/>
  <c r="N122" i="24"/>
  <c r="Q122" i="24" s="1"/>
  <c r="N116" i="24"/>
  <c r="Q116" i="24" s="1"/>
  <c r="N128" i="24"/>
  <c r="Q128" i="24" s="1"/>
  <c r="E11" i="24"/>
  <c r="Q115" i="24"/>
  <c r="R118" i="24"/>
  <c r="V117" i="24"/>
  <c r="AA117" i="24"/>
  <c r="Y116" i="24"/>
  <c r="AD116" i="24" s="1"/>
  <c r="U117" i="24"/>
  <c r="Z115" i="24"/>
  <c r="D127" i="24"/>
  <c r="E128" i="28" l="1"/>
  <c r="I133" i="28" s="1"/>
  <c r="F128" i="28"/>
  <c r="J133" i="28" s="1"/>
  <c r="H128" i="28"/>
  <c r="L133" i="28" s="1"/>
  <c r="G128" i="28"/>
  <c r="K133" i="28" s="1"/>
  <c r="R120" i="28"/>
  <c r="R121" i="28" s="1"/>
  <c r="R122" i="28" s="1"/>
  <c r="R123" i="28" s="1"/>
  <c r="R124" i="28" s="1"/>
  <c r="R125" i="28" s="1"/>
  <c r="R126" i="28" s="1"/>
  <c r="R127" i="28" s="1"/>
  <c r="R128" i="28" s="1"/>
  <c r="R129" i="28" s="1"/>
  <c r="R130" i="28" s="1"/>
  <c r="R131" i="28" s="1"/>
  <c r="R132" i="28" s="1"/>
  <c r="U121" i="28"/>
  <c r="AI91" i="28"/>
  <c r="Q118" i="28"/>
  <c r="AD118" i="28"/>
  <c r="AM118" i="28"/>
  <c r="AC120" i="28"/>
  <c r="D129" i="28"/>
  <c r="C129" i="28" s="1"/>
  <c r="N130" i="28"/>
  <c r="Q130" i="28" s="1"/>
  <c r="N124" i="28"/>
  <c r="Q124" i="28" s="1"/>
  <c r="N131" i="28"/>
  <c r="Q131" i="28" s="1"/>
  <c r="N125" i="28"/>
  <c r="Q125" i="28" s="1"/>
  <c r="N119" i="28"/>
  <c r="Q119" i="28" s="1"/>
  <c r="N129" i="28"/>
  <c r="Q129" i="28" s="1"/>
  <c r="N120" i="28"/>
  <c r="Q120" i="28" s="1"/>
  <c r="N127" i="28"/>
  <c r="Q127" i="28" s="1"/>
  <c r="N122" i="28"/>
  <c r="Q122" i="28" s="1"/>
  <c r="N128" i="28"/>
  <c r="Q128" i="28" s="1"/>
  <c r="N121" i="28"/>
  <c r="Q121" i="28" s="1"/>
  <c r="N132" i="28"/>
  <c r="Q132" i="28" s="1"/>
  <c r="N123" i="28"/>
  <c r="Q123" i="28" s="1"/>
  <c r="N126" i="28"/>
  <c r="Q126" i="28" s="1"/>
  <c r="G11" i="28"/>
  <c r="AH121" i="28"/>
  <c r="X121" i="28"/>
  <c r="W118" i="28"/>
  <c r="Y119" i="28"/>
  <c r="AH117" i="27"/>
  <c r="AA115" i="27"/>
  <c r="V115" i="27"/>
  <c r="D11" i="27"/>
  <c r="N115" i="27"/>
  <c r="Q115" i="27" s="1"/>
  <c r="M118" i="27"/>
  <c r="M117" i="27"/>
  <c r="M116" i="27"/>
  <c r="M122" i="27"/>
  <c r="M128" i="27"/>
  <c r="M121" i="27"/>
  <c r="M127" i="27"/>
  <c r="M119" i="27"/>
  <c r="M125" i="27"/>
  <c r="M123" i="27"/>
  <c r="M126" i="27"/>
  <c r="M129" i="27"/>
  <c r="M120" i="27"/>
  <c r="M124" i="27"/>
  <c r="Z114" i="27"/>
  <c r="AE114" i="27"/>
  <c r="AF118" i="27" s="1"/>
  <c r="AG118" i="27" s="1"/>
  <c r="Y115" i="27"/>
  <c r="AD115" i="27" s="1"/>
  <c r="E124" i="27"/>
  <c r="I129" i="27" s="1"/>
  <c r="G124" i="27"/>
  <c r="K129" i="27" s="1"/>
  <c r="F124" i="27"/>
  <c r="J129" i="27" s="1"/>
  <c r="H124" i="27"/>
  <c r="L129" i="27" s="1"/>
  <c r="T119" i="27"/>
  <c r="X118" i="27"/>
  <c r="AC118" i="27" s="1"/>
  <c r="D126" i="27"/>
  <c r="C126" i="27" s="1"/>
  <c r="G11" i="27"/>
  <c r="P116" i="27"/>
  <c r="U116" i="27" s="1"/>
  <c r="P117" i="27"/>
  <c r="P129" i="27"/>
  <c r="P120" i="27"/>
  <c r="P121" i="27"/>
  <c r="P124" i="27"/>
  <c r="P127" i="27"/>
  <c r="P119" i="27"/>
  <c r="P122" i="27"/>
  <c r="P125" i="27"/>
  <c r="P128" i="27"/>
  <c r="P123" i="27"/>
  <c r="P118" i="27"/>
  <c r="P126" i="27"/>
  <c r="C125" i="27"/>
  <c r="D128" i="26"/>
  <c r="N129" i="26"/>
  <c r="Q129" i="26" s="1"/>
  <c r="N118" i="26"/>
  <c r="Q118" i="26" s="1"/>
  <c r="N117" i="26"/>
  <c r="Q117" i="26" s="1"/>
  <c r="N127" i="26"/>
  <c r="Q127" i="26" s="1"/>
  <c r="N125" i="26"/>
  <c r="Q125" i="26" s="1"/>
  <c r="N122" i="26"/>
  <c r="Q122" i="26" s="1"/>
  <c r="N116" i="26"/>
  <c r="Q116" i="26" s="1"/>
  <c r="N126" i="26"/>
  <c r="Q126" i="26" s="1"/>
  <c r="N119" i="26"/>
  <c r="Q119" i="26" s="1"/>
  <c r="N123" i="26"/>
  <c r="Q123" i="26" s="1"/>
  <c r="N124" i="26"/>
  <c r="Q124" i="26" s="1"/>
  <c r="N121" i="26"/>
  <c r="E11" i="26"/>
  <c r="N120" i="26"/>
  <c r="Q120" i="26" s="1"/>
  <c r="N128" i="26"/>
  <c r="Q128" i="26" s="1"/>
  <c r="S115" i="26"/>
  <c r="C127" i="26"/>
  <c r="Q121" i="26"/>
  <c r="R117" i="26"/>
  <c r="V116" i="26"/>
  <c r="AA116" i="26"/>
  <c r="U118" i="26"/>
  <c r="Y117" i="26"/>
  <c r="AD117" i="26" s="1"/>
  <c r="Q115" i="26"/>
  <c r="T120" i="26"/>
  <c r="X119" i="26"/>
  <c r="AC119" i="26" s="1"/>
  <c r="D128" i="24"/>
  <c r="C128" i="24" s="1"/>
  <c r="R119" i="24"/>
  <c r="AA118" i="24"/>
  <c r="V118" i="24"/>
  <c r="AG119" i="24"/>
  <c r="AH118" i="24"/>
  <c r="AI93" i="24" s="1"/>
  <c r="Y117" i="24"/>
  <c r="AD117" i="24" s="1"/>
  <c r="U118" i="24"/>
  <c r="S116" i="24"/>
  <c r="W116" i="24" s="1"/>
  <c r="T119" i="24"/>
  <c r="X118" i="24"/>
  <c r="AC118" i="24" s="1"/>
  <c r="C127" i="24"/>
  <c r="F129" i="28" l="1"/>
  <c r="J134" i="28" s="1"/>
  <c r="G129" i="28"/>
  <c r="K134" i="28" s="1"/>
  <c r="H129" i="28"/>
  <c r="L134" i="28" s="1"/>
  <c r="E129" i="28"/>
  <c r="I134" i="28" s="1"/>
  <c r="U122" i="28"/>
  <c r="S119" i="28"/>
  <c r="S120" i="28" s="1"/>
  <c r="S121" i="28" s="1"/>
  <c r="AB118" i="28"/>
  <c r="AE118" i="28" s="1"/>
  <c r="AF122" i="28" s="1"/>
  <c r="AG122" i="28" s="1"/>
  <c r="AH122" i="28" s="1"/>
  <c r="AD119" i="28"/>
  <c r="AM119" i="28"/>
  <c r="AC121" i="28"/>
  <c r="Y120" i="28"/>
  <c r="X122" i="28"/>
  <c r="AA119" i="28"/>
  <c r="V119" i="28"/>
  <c r="Z118" i="28"/>
  <c r="D130" i="28"/>
  <c r="C130" i="28" s="1"/>
  <c r="AI93" i="27"/>
  <c r="AH118" i="27"/>
  <c r="I10" i="27"/>
  <c r="D127" i="27"/>
  <c r="E126" i="27"/>
  <c r="I131" i="27" s="1"/>
  <c r="F126" i="27"/>
  <c r="J131" i="27" s="1"/>
  <c r="G126" i="27"/>
  <c r="K131" i="27" s="1"/>
  <c r="H126" i="27"/>
  <c r="L131" i="27" s="1"/>
  <c r="E11" i="27"/>
  <c r="N116" i="27"/>
  <c r="Q116" i="27" s="1"/>
  <c r="N124" i="27"/>
  <c r="Q124" i="27" s="1"/>
  <c r="N127" i="27"/>
  <c r="Q127" i="27" s="1"/>
  <c r="N119" i="27"/>
  <c r="Q119" i="27" s="1"/>
  <c r="N122" i="27"/>
  <c r="Q122" i="27" s="1"/>
  <c r="N125" i="27"/>
  <c r="Q125" i="27" s="1"/>
  <c r="N128" i="27"/>
  <c r="Q128" i="27" s="1"/>
  <c r="N117" i="27"/>
  <c r="Q117" i="27" s="1"/>
  <c r="N118" i="27"/>
  <c r="Q118" i="27" s="1"/>
  <c r="N123" i="27"/>
  <c r="Q123" i="27" s="1"/>
  <c r="N126" i="27"/>
  <c r="Q126" i="27" s="1"/>
  <c r="N129" i="27"/>
  <c r="Q129" i="27" s="1"/>
  <c r="N120" i="27"/>
  <c r="Q120" i="27" s="1"/>
  <c r="N121" i="27"/>
  <c r="Q121" i="27" s="1"/>
  <c r="R116" i="27"/>
  <c r="T120" i="27"/>
  <c r="X119" i="27"/>
  <c r="AC119" i="27" s="1"/>
  <c r="Y116" i="27"/>
  <c r="AD116" i="27" s="1"/>
  <c r="U117" i="27"/>
  <c r="G125" i="27"/>
  <c r="K130" i="27" s="1"/>
  <c r="E125" i="27"/>
  <c r="I130" i="27" s="1"/>
  <c r="F125" i="27"/>
  <c r="J130" i="27" s="1"/>
  <c r="H125" i="27"/>
  <c r="L130" i="27" s="1"/>
  <c r="S115" i="27"/>
  <c r="W115" i="27" s="1"/>
  <c r="AB115" i="27" s="1"/>
  <c r="AE115" i="27" s="1"/>
  <c r="AF119" i="27" s="1"/>
  <c r="AG119" i="27" s="1"/>
  <c r="Y118" i="26"/>
  <c r="AD118" i="26" s="1"/>
  <c r="U119" i="26"/>
  <c r="W115" i="26"/>
  <c r="S116" i="26"/>
  <c r="X120" i="26"/>
  <c r="AC120" i="26" s="1"/>
  <c r="T121" i="26"/>
  <c r="D129" i="26"/>
  <c r="C128" i="26"/>
  <c r="G127" i="26"/>
  <c r="K142" i="26" s="1"/>
  <c r="F127" i="26"/>
  <c r="J142" i="26" s="1"/>
  <c r="E127" i="26"/>
  <c r="I142" i="26" s="1"/>
  <c r="H127" i="26"/>
  <c r="L142" i="26" s="1"/>
  <c r="V117" i="26"/>
  <c r="AA117" i="26"/>
  <c r="R118" i="26"/>
  <c r="S117" i="24"/>
  <c r="W117" i="24" s="1"/>
  <c r="AB117" i="24" s="1"/>
  <c r="AE117" i="24" s="1"/>
  <c r="AF121" i="24" s="1"/>
  <c r="G128" i="24"/>
  <c r="K133" i="24" s="1"/>
  <c r="H128" i="24"/>
  <c r="L133" i="24" s="1"/>
  <c r="F128" i="24"/>
  <c r="J133" i="24" s="1"/>
  <c r="E128" i="24"/>
  <c r="I133" i="24" s="1"/>
  <c r="AH119" i="24"/>
  <c r="AA119" i="24"/>
  <c r="R120" i="24"/>
  <c r="V119" i="24"/>
  <c r="E127" i="24"/>
  <c r="I132" i="24" s="1"/>
  <c r="F127" i="24"/>
  <c r="J132" i="24" s="1"/>
  <c r="G127" i="24"/>
  <c r="K132" i="24" s="1"/>
  <c r="H127" i="24"/>
  <c r="L132" i="24" s="1"/>
  <c r="T120" i="24"/>
  <c r="X119" i="24"/>
  <c r="AC119" i="24" s="1"/>
  <c r="AB116" i="24"/>
  <c r="AE116" i="24" s="1"/>
  <c r="AF120" i="24" s="1"/>
  <c r="AG120" i="24" s="1"/>
  <c r="Z116" i="24"/>
  <c r="D129" i="24"/>
  <c r="U119" i="24"/>
  <c r="Y118" i="24"/>
  <c r="AD118" i="24" s="1"/>
  <c r="S118" i="24" l="1"/>
  <c r="W118" i="24" s="1"/>
  <c r="AB118" i="24" s="1"/>
  <c r="W119" i="28"/>
  <c r="E130" i="28"/>
  <c r="F130" i="28"/>
  <c r="G130" i="28"/>
  <c r="H130" i="28"/>
  <c r="S122" i="28"/>
  <c r="U123" i="28"/>
  <c r="AI92" i="28"/>
  <c r="AB119" i="28"/>
  <c r="AE119" i="28" s="1"/>
  <c r="AF123" i="28" s="1"/>
  <c r="AG123" i="28" s="1"/>
  <c r="AH123" i="28" s="1"/>
  <c r="AD120" i="28"/>
  <c r="AM120" i="28"/>
  <c r="Z119" i="28"/>
  <c r="AC122" i="28"/>
  <c r="W120" i="28"/>
  <c r="X123" i="28"/>
  <c r="Y121" i="28"/>
  <c r="L135" i="28"/>
  <c r="K135" i="28"/>
  <c r="J135" i="28"/>
  <c r="I135" i="28"/>
  <c r="D131" i="28"/>
  <c r="AA120" i="28"/>
  <c r="V120" i="28"/>
  <c r="Z117" i="24"/>
  <c r="S116" i="27"/>
  <c r="W116" i="27" s="1"/>
  <c r="AB116" i="27" s="1"/>
  <c r="Z115" i="27"/>
  <c r="AH119" i="27"/>
  <c r="U118" i="27"/>
  <c r="Y117" i="27"/>
  <c r="AD117" i="27" s="1"/>
  <c r="D128" i="27"/>
  <c r="C128" i="27" s="1"/>
  <c r="C127" i="27"/>
  <c r="X120" i="27"/>
  <c r="AC120" i="27" s="1"/>
  <c r="T121" i="27"/>
  <c r="R117" i="27"/>
  <c r="V116" i="27"/>
  <c r="AA116" i="27"/>
  <c r="F128" i="26"/>
  <c r="J143" i="26" s="1"/>
  <c r="H128" i="26"/>
  <c r="L143" i="26" s="1"/>
  <c r="G128" i="26"/>
  <c r="K143" i="26" s="1"/>
  <c r="E128" i="26"/>
  <c r="I143" i="26" s="1"/>
  <c r="W116" i="26"/>
  <c r="S117" i="26"/>
  <c r="X121" i="26"/>
  <c r="AC121" i="26" s="1"/>
  <c r="T122" i="26"/>
  <c r="AB115" i="26"/>
  <c r="AE115" i="26" s="1"/>
  <c r="Z115" i="26"/>
  <c r="D130" i="26"/>
  <c r="R119" i="26"/>
  <c r="V118" i="26"/>
  <c r="AA118" i="26"/>
  <c r="Y119" i="26"/>
  <c r="AD119" i="26" s="1"/>
  <c r="U120" i="26"/>
  <c r="C129" i="26"/>
  <c r="AE118" i="24"/>
  <c r="AF122" i="24" s="1"/>
  <c r="AH120" i="24"/>
  <c r="AI94" i="24" s="1"/>
  <c r="AG121" i="24"/>
  <c r="U120" i="24"/>
  <c r="Y119" i="24"/>
  <c r="AD119" i="24" s="1"/>
  <c r="S119" i="24"/>
  <c r="W119" i="24" s="1"/>
  <c r="AB119" i="24" s="1"/>
  <c r="D130" i="24"/>
  <c r="C129" i="24"/>
  <c r="X120" i="24"/>
  <c r="AC120" i="24" s="1"/>
  <c r="T121" i="24"/>
  <c r="R121" i="24"/>
  <c r="V120" i="24"/>
  <c r="AA120" i="24"/>
  <c r="Z118" i="24"/>
  <c r="S117" i="27" l="1"/>
  <c r="W117" i="27" s="1"/>
  <c r="AB117" i="27" s="1"/>
  <c r="S123" i="28"/>
  <c r="U124" i="28"/>
  <c r="AI93" i="28"/>
  <c r="AI94" i="28"/>
  <c r="AI95" i="28"/>
  <c r="AB120" i="28"/>
  <c r="AE120" i="28" s="1"/>
  <c r="AF124" i="28" s="1"/>
  <c r="AG124" i="28" s="1"/>
  <c r="AH124" i="28" s="1"/>
  <c r="AD121" i="28"/>
  <c r="AM121" i="28"/>
  <c r="AC123" i="28"/>
  <c r="Z120" i="28"/>
  <c r="W121" i="28"/>
  <c r="D132" i="28"/>
  <c r="C132" i="28" s="1"/>
  <c r="Y122" i="28"/>
  <c r="X124" i="28"/>
  <c r="V121" i="28"/>
  <c r="AA121" i="28"/>
  <c r="C131" i="28"/>
  <c r="AI94" i="27"/>
  <c r="AE116" i="27"/>
  <c r="AF120" i="27" s="1"/>
  <c r="AG120" i="27" s="1"/>
  <c r="AH120" i="27" s="1"/>
  <c r="Z116" i="27"/>
  <c r="AE119" i="24"/>
  <c r="AF123" i="24" s="1"/>
  <c r="H128" i="27"/>
  <c r="L133" i="27" s="1"/>
  <c r="E128" i="27"/>
  <c r="I133" i="27" s="1"/>
  <c r="F128" i="27"/>
  <c r="J133" i="27" s="1"/>
  <c r="G128" i="27"/>
  <c r="K133" i="27" s="1"/>
  <c r="X121" i="27"/>
  <c r="AC121" i="27" s="1"/>
  <c r="T122" i="27"/>
  <c r="E127" i="27"/>
  <c r="I132" i="27" s="1"/>
  <c r="F127" i="27"/>
  <c r="J132" i="27" s="1"/>
  <c r="G127" i="27"/>
  <c r="K132" i="27" s="1"/>
  <c r="H127" i="27"/>
  <c r="L132" i="27" s="1"/>
  <c r="AA117" i="27"/>
  <c r="AE117" i="27" s="1"/>
  <c r="AF121" i="27" s="1"/>
  <c r="R118" i="27"/>
  <c r="V117" i="27"/>
  <c r="Z117" i="27" s="1"/>
  <c r="Y118" i="27"/>
  <c r="AD118" i="27" s="1"/>
  <c r="S118" i="27"/>
  <c r="W118" i="27" s="1"/>
  <c r="AB118" i="27" s="1"/>
  <c r="U119" i="27"/>
  <c r="D129" i="27"/>
  <c r="D131" i="26"/>
  <c r="C131" i="26" s="1"/>
  <c r="Y120" i="26"/>
  <c r="AD120" i="26" s="1"/>
  <c r="U121" i="26"/>
  <c r="G129" i="26"/>
  <c r="K144" i="26" s="1"/>
  <c r="F129" i="26"/>
  <c r="J144" i="26" s="1"/>
  <c r="H129" i="26"/>
  <c r="L144" i="26" s="1"/>
  <c r="E129" i="26"/>
  <c r="I144" i="26" s="1"/>
  <c r="C130" i="26"/>
  <c r="X122" i="26"/>
  <c r="AC122" i="26" s="1"/>
  <c r="T123" i="26"/>
  <c r="W117" i="26"/>
  <c r="S118" i="26"/>
  <c r="AB116" i="26"/>
  <c r="AE116" i="26" s="1"/>
  <c r="Z116" i="26"/>
  <c r="AA119" i="26"/>
  <c r="V119" i="26"/>
  <c r="R120" i="26"/>
  <c r="Z119" i="24"/>
  <c r="F129" i="24"/>
  <c r="J134" i="24" s="1"/>
  <c r="E129" i="24"/>
  <c r="I134" i="24" s="1"/>
  <c r="H129" i="24"/>
  <c r="L134" i="24" s="1"/>
  <c r="G129" i="24"/>
  <c r="K134" i="24" s="1"/>
  <c r="D131" i="24"/>
  <c r="C131" i="24" s="1"/>
  <c r="C130" i="24"/>
  <c r="T122" i="24"/>
  <c r="X121" i="24"/>
  <c r="AC121" i="24" s="1"/>
  <c r="Y120" i="24"/>
  <c r="AD120" i="24" s="1"/>
  <c r="U121" i="24"/>
  <c r="S120" i="24"/>
  <c r="W120" i="24" s="1"/>
  <c r="AB120" i="24" s="1"/>
  <c r="V121" i="24"/>
  <c r="R122" i="24"/>
  <c r="AA121" i="24"/>
  <c r="AH121" i="24"/>
  <c r="AG122" i="24"/>
  <c r="E131" i="28" l="1"/>
  <c r="I136" i="28" s="1"/>
  <c r="F131" i="28"/>
  <c r="J136" i="28" s="1"/>
  <c r="H131" i="28"/>
  <c r="L136" i="28" s="1"/>
  <c r="G131" i="28"/>
  <c r="K136" i="28" s="1"/>
  <c r="F132" i="28"/>
  <c r="J137" i="28" s="1"/>
  <c r="G132" i="28"/>
  <c r="K137" i="28" s="1"/>
  <c r="H132" i="28"/>
  <c r="L137" i="28" s="1"/>
  <c r="E132" i="28"/>
  <c r="I137" i="28" s="1"/>
  <c r="AE120" i="24"/>
  <c r="AF124" i="24" s="1"/>
  <c r="U125" i="28"/>
  <c r="S124" i="28"/>
  <c r="AC124" i="28"/>
  <c r="AB121" i="28"/>
  <c r="AE121" i="28" s="1"/>
  <c r="AF125" i="28" s="1"/>
  <c r="AG125" i="28" s="1"/>
  <c r="AH125" i="28" s="1"/>
  <c r="AD122" i="28"/>
  <c r="AM122" i="28"/>
  <c r="Z121" i="28"/>
  <c r="W122" i="28"/>
  <c r="X125" i="28"/>
  <c r="Y123" i="28"/>
  <c r="D133" i="28"/>
  <c r="V122" i="28"/>
  <c r="AA122" i="28"/>
  <c r="AG121" i="27"/>
  <c r="AH121" i="27" s="1"/>
  <c r="AI95" i="27" s="1"/>
  <c r="X122" i="27"/>
  <c r="AC122" i="27" s="1"/>
  <c r="T123" i="27"/>
  <c r="D130" i="27"/>
  <c r="C129" i="27"/>
  <c r="AA118" i="27"/>
  <c r="AE118" i="27" s="1"/>
  <c r="AF122" i="27" s="1"/>
  <c r="R119" i="27"/>
  <c r="V118" i="27"/>
  <c r="Z118" i="27" s="1"/>
  <c r="S119" i="27"/>
  <c r="W119" i="27" s="1"/>
  <c r="AB119" i="27" s="1"/>
  <c r="U120" i="27"/>
  <c r="Y119" i="27"/>
  <c r="AD119" i="27" s="1"/>
  <c r="H130" i="26"/>
  <c r="L145" i="26" s="1"/>
  <c r="G130" i="26"/>
  <c r="K145" i="26" s="1"/>
  <c r="F130" i="26"/>
  <c r="J145" i="26" s="1"/>
  <c r="E130" i="26"/>
  <c r="I145" i="26" s="1"/>
  <c r="Y121" i="26"/>
  <c r="AD121" i="26" s="1"/>
  <c r="U122" i="26"/>
  <c r="G131" i="26"/>
  <c r="K146" i="26" s="1"/>
  <c r="F131" i="26"/>
  <c r="J146" i="26" s="1"/>
  <c r="H131" i="26"/>
  <c r="L146" i="26" s="1"/>
  <c r="E131" i="26"/>
  <c r="I146" i="26" s="1"/>
  <c r="D132" i="26"/>
  <c r="C132" i="26" s="1"/>
  <c r="R121" i="26"/>
  <c r="AA120" i="26"/>
  <c r="V120" i="26"/>
  <c r="W118" i="26"/>
  <c r="S119" i="26"/>
  <c r="AB117" i="26"/>
  <c r="AE117" i="26" s="1"/>
  <c r="Z117" i="26"/>
  <c r="T124" i="26"/>
  <c r="X123" i="26"/>
  <c r="AC123" i="26" s="1"/>
  <c r="G131" i="24"/>
  <c r="K136" i="24" s="1"/>
  <c r="F131" i="24"/>
  <c r="J136" i="24" s="1"/>
  <c r="E131" i="24"/>
  <c r="I136" i="24" s="1"/>
  <c r="H131" i="24"/>
  <c r="L136" i="24" s="1"/>
  <c r="X122" i="24"/>
  <c r="AC122" i="24" s="1"/>
  <c r="T123" i="24"/>
  <c r="D132" i="24"/>
  <c r="U122" i="24"/>
  <c r="Y121" i="24"/>
  <c r="AD121" i="24" s="1"/>
  <c r="S121" i="24"/>
  <c r="W121" i="24" s="1"/>
  <c r="AB121" i="24" s="1"/>
  <c r="AH122" i="24"/>
  <c r="AI95" i="24" s="1"/>
  <c r="AG123" i="24"/>
  <c r="V122" i="24"/>
  <c r="R123" i="24"/>
  <c r="AA122" i="24"/>
  <c r="H130" i="24"/>
  <c r="L135" i="24" s="1"/>
  <c r="G130" i="24"/>
  <c r="K135" i="24" s="1"/>
  <c r="F130" i="24"/>
  <c r="J135" i="24" s="1"/>
  <c r="E130" i="24"/>
  <c r="I135" i="24" s="1"/>
  <c r="Z120" i="24"/>
  <c r="AE121" i="24" l="1"/>
  <c r="AF125" i="24" s="1"/>
  <c r="AG122" i="27"/>
  <c r="AH122" i="27" s="1"/>
  <c r="S125" i="28"/>
  <c r="U126" i="28"/>
  <c r="AB122" i="28"/>
  <c r="AE122" i="28" s="1"/>
  <c r="AF126" i="28" s="1"/>
  <c r="AG126" i="28" s="1"/>
  <c r="AH126" i="28" s="1"/>
  <c r="Z122" i="28"/>
  <c r="AC125" i="28"/>
  <c r="AD123" i="28"/>
  <c r="AM123" i="28"/>
  <c r="W123" i="28"/>
  <c r="Y124" i="28"/>
  <c r="D134" i="28"/>
  <c r="C134" i="28" s="1"/>
  <c r="V123" i="28"/>
  <c r="AA123" i="28"/>
  <c r="X126" i="28"/>
  <c r="C133" i="28"/>
  <c r="V119" i="27"/>
  <c r="Z119" i="27" s="1"/>
  <c r="AA119" i="27"/>
  <c r="AE119" i="27" s="1"/>
  <c r="AF123" i="27" s="1"/>
  <c r="R120" i="27"/>
  <c r="E129" i="27"/>
  <c r="I134" i="27" s="1"/>
  <c r="F129" i="27"/>
  <c r="J134" i="27" s="1"/>
  <c r="G129" i="27"/>
  <c r="K134" i="27" s="1"/>
  <c r="H129" i="27"/>
  <c r="L134" i="27" s="1"/>
  <c r="D131" i="27"/>
  <c r="C131" i="27" s="1"/>
  <c r="C130" i="27"/>
  <c r="X123" i="27"/>
  <c r="AC123" i="27" s="1"/>
  <c r="T124" i="27"/>
  <c r="S120" i="27"/>
  <c r="W120" i="27" s="1"/>
  <c r="AB120" i="27" s="1"/>
  <c r="Y120" i="27"/>
  <c r="AD120" i="27" s="1"/>
  <c r="U121" i="27"/>
  <c r="X124" i="26"/>
  <c r="AC124" i="26" s="1"/>
  <c r="T125" i="26"/>
  <c r="W119" i="26"/>
  <c r="S120" i="26"/>
  <c r="Y122" i="26"/>
  <c r="AD122" i="26" s="1"/>
  <c r="U123" i="26"/>
  <c r="AB118" i="26"/>
  <c r="AE118" i="26" s="1"/>
  <c r="Z118" i="26"/>
  <c r="G132" i="26"/>
  <c r="K147" i="26" s="1"/>
  <c r="F132" i="26"/>
  <c r="J147" i="26" s="1"/>
  <c r="E132" i="26"/>
  <c r="I147" i="26" s="1"/>
  <c r="H132" i="26"/>
  <c r="L147" i="26" s="1"/>
  <c r="AA121" i="26"/>
  <c r="R122" i="26"/>
  <c r="V121" i="26"/>
  <c r="D133" i="26"/>
  <c r="C133" i="26" s="1"/>
  <c r="Z121" i="24"/>
  <c r="S122" i="24"/>
  <c r="W122" i="24" s="1"/>
  <c r="AB122" i="24" s="1"/>
  <c r="Y122" i="24"/>
  <c r="AD122" i="24" s="1"/>
  <c r="U123" i="24"/>
  <c r="D133" i="24"/>
  <c r="C133" i="24" s="1"/>
  <c r="C132" i="24"/>
  <c r="T124" i="24"/>
  <c r="X123" i="24"/>
  <c r="AC123" i="24" s="1"/>
  <c r="AA123" i="24"/>
  <c r="R124" i="24"/>
  <c r="V123" i="24"/>
  <c r="AG124" i="24"/>
  <c r="AH123" i="24"/>
  <c r="AI96" i="24"/>
  <c r="AI97" i="24"/>
  <c r="AG123" i="27" l="1"/>
  <c r="E134" i="28"/>
  <c r="F134" i="28"/>
  <c r="H134" i="28"/>
  <c r="L139" i="28" s="1"/>
  <c r="G134" i="28"/>
  <c r="K139" i="28" s="1"/>
  <c r="E133" i="28"/>
  <c r="I138" i="28" s="1"/>
  <c r="F133" i="28"/>
  <c r="J138" i="28" s="1"/>
  <c r="G133" i="28"/>
  <c r="K138" i="28" s="1"/>
  <c r="H133" i="28"/>
  <c r="L138" i="28" s="1"/>
  <c r="AE122" i="24"/>
  <c r="AF126" i="24" s="1"/>
  <c r="S126" i="28"/>
  <c r="U127" i="28"/>
  <c r="AI96" i="28"/>
  <c r="AD124" i="28"/>
  <c r="AM124" i="28"/>
  <c r="AC126" i="28"/>
  <c r="Z123" i="28"/>
  <c r="AB123" i="28"/>
  <c r="AE123" i="28" s="1"/>
  <c r="AF127" i="28" s="1"/>
  <c r="AG127" i="28" s="1"/>
  <c r="AH127" i="28" s="1"/>
  <c r="W124" i="28"/>
  <c r="J139" i="28"/>
  <c r="I139" i="28"/>
  <c r="Y125" i="28"/>
  <c r="AA124" i="28"/>
  <c r="V124" i="28"/>
  <c r="D135" i="28"/>
  <c r="C135" i="28" s="1"/>
  <c r="X127" i="28"/>
  <c r="AI96" i="27"/>
  <c r="AI97" i="27"/>
  <c r="AI98" i="27"/>
  <c r="Z122" i="24"/>
  <c r="AH123" i="27"/>
  <c r="H131" i="27"/>
  <c r="L136" i="27" s="1"/>
  <c r="E131" i="27"/>
  <c r="I136" i="27" s="1"/>
  <c r="F131" i="27"/>
  <c r="J136" i="27" s="1"/>
  <c r="G131" i="27"/>
  <c r="K136" i="27" s="1"/>
  <c r="Y121" i="27"/>
  <c r="AD121" i="27" s="1"/>
  <c r="S121" i="27"/>
  <c r="W121" i="27" s="1"/>
  <c r="AB121" i="27" s="1"/>
  <c r="U122" i="27"/>
  <c r="V120" i="27"/>
  <c r="Z120" i="27" s="1"/>
  <c r="R121" i="27"/>
  <c r="AA120" i="27"/>
  <c r="AE120" i="27" s="1"/>
  <c r="AF124" i="27" s="1"/>
  <c r="AG124" i="27" s="1"/>
  <c r="X124" i="27"/>
  <c r="AC124" i="27" s="1"/>
  <c r="T125" i="27"/>
  <c r="F130" i="27"/>
  <c r="J135" i="27" s="1"/>
  <c r="G130" i="27"/>
  <c r="K135" i="27" s="1"/>
  <c r="H130" i="27"/>
  <c r="L135" i="27" s="1"/>
  <c r="E130" i="27"/>
  <c r="I135" i="27" s="1"/>
  <c r="D132" i="27"/>
  <c r="G133" i="26"/>
  <c r="K148" i="26" s="1"/>
  <c r="F133" i="26"/>
  <c r="J148" i="26" s="1"/>
  <c r="E133" i="26"/>
  <c r="I148" i="26" s="1"/>
  <c r="H133" i="26"/>
  <c r="L148" i="26" s="1"/>
  <c r="U124" i="26"/>
  <c r="Y123" i="26"/>
  <c r="AD123" i="26" s="1"/>
  <c r="W120" i="26"/>
  <c r="S121" i="26"/>
  <c r="D134" i="26"/>
  <c r="AB119" i="26"/>
  <c r="AE119" i="26" s="1"/>
  <c r="Z119" i="26"/>
  <c r="X125" i="26"/>
  <c r="AC125" i="26" s="1"/>
  <c r="T126" i="26"/>
  <c r="R123" i="26"/>
  <c r="V122" i="26"/>
  <c r="AA122" i="26"/>
  <c r="E133" i="24"/>
  <c r="I138" i="24" s="1"/>
  <c r="F133" i="24"/>
  <c r="J138" i="24" s="1"/>
  <c r="H133" i="24"/>
  <c r="L138" i="24" s="1"/>
  <c r="G133" i="24"/>
  <c r="K138" i="24" s="1"/>
  <c r="T125" i="24"/>
  <c r="X124" i="24"/>
  <c r="AC124" i="24" s="1"/>
  <c r="D134" i="24"/>
  <c r="C134" i="24" s="1"/>
  <c r="S123" i="24"/>
  <c r="W123" i="24" s="1"/>
  <c r="AB123" i="24" s="1"/>
  <c r="U124" i="24"/>
  <c r="Y123" i="24"/>
  <c r="AD123" i="24" s="1"/>
  <c r="AI99" i="24"/>
  <c r="AI100" i="24"/>
  <c r="AG125" i="24"/>
  <c r="AH124" i="24"/>
  <c r="AI98" i="24" s="1"/>
  <c r="F132" i="24"/>
  <c r="J137" i="24" s="1"/>
  <c r="E132" i="24"/>
  <c r="I137" i="24" s="1"/>
  <c r="H132" i="24"/>
  <c r="L137" i="24" s="1"/>
  <c r="G132" i="24"/>
  <c r="K137" i="24" s="1"/>
  <c r="AA124" i="24"/>
  <c r="R125" i="24"/>
  <c r="V124" i="24"/>
  <c r="J9" i="24" l="1"/>
  <c r="F135" i="28"/>
  <c r="G135" i="28"/>
  <c r="K140" i="28" s="1"/>
  <c r="H135" i="28"/>
  <c r="L140" i="28" s="1"/>
  <c r="E135" i="28"/>
  <c r="I140" i="28" s="1"/>
  <c r="U128" i="28"/>
  <c r="S127" i="28"/>
  <c r="W125" i="28"/>
  <c r="AD125" i="28"/>
  <c r="AM125" i="28"/>
  <c r="AC127" i="28"/>
  <c r="AB124" i="28"/>
  <c r="AE124" i="28" s="1"/>
  <c r="AF128" i="28" s="1"/>
  <c r="AG128" i="28" s="1"/>
  <c r="AH128" i="28" s="1"/>
  <c r="AI97" i="28" s="1"/>
  <c r="Z124" i="28"/>
  <c r="X128" i="28"/>
  <c r="J140" i="28"/>
  <c r="D136" i="28"/>
  <c r="AA125" i="28"/>
  <c r="V125" i="28"/>
  <c r="Y126" i="28"/>
  <c r="W126" i="28"/>
  <c r="AI99" i="27"/>
  <c r="J9" i="27" s="1"/>
  <c r="AI100" i="27"/>
  <c r="AI101" i="27"/>
  <c r="AE123" i="24"/>
  <c r="AF127" i="24" s="1"/>
  <c r="AH124" i="27"/>
  <c r="R122" i="27"/>
  <c r="V121" i="27"/>
  <c r="Z121" i="27" s="1"/>
  <c r="AA121" i="27"/>
  <c r="AE121" i="27" s="1"/>
  <c r="AF125" i="27" s="1"/>
  <c r="AG125" i="27" s="1"/>
  <c r="Y122" i="27"/>
  <c r="AD122" i="27" s="1"/>
  <c r="U123" i="27"/>
  <c r="S122" i="27"/>
  <c r="W122" i="27" s="1"/>
  <c r="AB122" i="27" s="1"/>
  <c r="D133" i="27"/>
  <c r="C133" i="27" s="1"/>
  <c r="C132" i="27"/>
  <c r="X125" i="27"/>
  <c r="AC125" i="27" s="1"/>
  <c r="T126" i="27"/>
  <c r="D135" i="26"/>
  <c r="W121" i="26"/>
  <c r="S122" i="26"/>
  <c r="C134" i="26"/>
  <c r="AB120" i="26"/>
  <c r="AE120" i="26" s="1"/>
  <c r="Z120" i="26"/>
  <c r="X126" i="26"/>
  <c r="AC126" i="26" s="1"/>
  <c r="T127" i="26"/>
  <c r="Y124" i="26"/>
  <c r="AD124" i="26" s="1"/>
  <c r="U125" i="26"/>
  <c r="V123" i="26"/>
  <c r="R124" i="26"/>
  <c r="AA123" i="26"/>
  <c r="G134" i="24"/>
  <c r="K139" i="24" s="1"/>
  <c r="H134" i="24"/>
  <c r="L139" i="24" s="1"/>
  <c r="F134" i="24"/>
  <c r="J139" i="24" s="1"/>
  <c r="E134" i="24"/>
  <c r="I139" i="24" s="1"/>
  <c r="U125" i="24"/>
  <c r="S124" i="24"/>
  <c r="W124" i="24" s="1"/>
  <c r="AB124" i="24" s="1"/>
  <c r="Y124" i="24"/>
  <c r="AD124" i="24" s="1"/>
  <c r="Z123" i="24"/>
  <c r="T126" i="24"/>
  <c r="X125" i="24"/>
  <c r="AC125" i="24" s="1"/>
  <c r="D135" i="24"/>
  <c r="AI102" i="24"/>
  <c r="AI103" i="24"/>
  <c r="AH125" i="24"/>
  <c r="AI101" i="24" s="1"/>
  <c r="AG126" i="24"/>
  <c r="R126" i="24"/>
  <c r="AA125" i="24"/>
  <c r="V125" i="24"/>
  <c r="S128" i="28" l="1"/>
  <c r="U129" i="28"/>
  <c r="Z125" i="28"/>
  <c r="AB125" i="28"/>
  <c r="AE125" i="28" s="1"/>
  <c r="AF129" i="28" s="1"/>
  <c r="AG129" i="28" s="1"/>
  <c r="AH129" i="28" s="1"/>
  <c r="AC128" i="28"/>
  <c r="AL128" i="28"/>
  <c r="AB126" i="28"/>
  <c r="AD126" i="28"/>
  <c r="AM126" i="28"/>
  <c r="AA126" i="28"/>
  <c r="V126" i="28"/>
  <c r="D137" i="28"/>
  <c r="C137" i="28" s="1"/>
  <c r="C136" i="28"/>
  <c r="W127" i="28"/>
  <c r="Y127" i="28"/>
  <c r="X129" i="28"/>
  <c r="AI102" i="27"/>
  <c r="AI103" i="27"/>
  <c r="AE124" i="24"/>
  <c r="AF128" i="24" s="1"/>
  <c r="E133" i="27"/>
  <c r="I138" i="27" s="1"/>
  <c r="F133" i="27"/>
  <c r="J138" i="27" s="1"/>
  <c r="G133" i="27"/>
  <c r="K138" i="27" s="1"/>
  <c r="H133" i="27"/>
  <c r="L138" i="27" s="1"/>
  <c r="AH125" i="27"/>
  <c r="E132" i="27"/>
  <c r="I137" i="27" s="1"/>
  <c r="F132" i="27"/>
  <c r="J137" i="27" s="1"/>
  <c r="G132" i="27"/>
  <c r="K137" i="27" s="1"/>
  <c r="H132" i="27"/>
  <c r="L137" i="27" s="1"/>
  <c r="D134" i="27"/>
  <c r="C134" i="27" s="1"/>
  <c r="Y123" i="27"/>
  <c r="AD123" i="27" s="1"/>
  <c r="U124" i="27"/>
  <c r="S123" i="27"/>
  <c r="W123" i="27" s="1"/>
  <c r="AB123" i="27" s="1"/>
  <c r="AA122" i="27"/>
  <c r="AE122" i="27" s="1"/>
  <c r="AF126" i="27" s="1"/>
  <c r="AG126" i="27" s="1"/>
  <c r="V122" i="27"/>
  <c r="Z122" i="27" s="1"/>
  <c r="R123" i="27"/>
  <c r="X126" i="27"/>
  <c r="AC126" i="27" s="1"/>
  <c r="T127" i="27"/>
  <c r="T128" i="26"/>
  <c r="X127" i="26"/>
  <c r="AC127" i="26" s="1"/>
  <c r="E134" i="26"/>
  <c r="I149" i="26" s="1"/>
  <c r="H134" i="26"/>
  <c r="L149" i="26" s="1"/>
  <c r="G134" i="26"/>
  <c r="K149" i="26" s="1"/>
  <c r="F134" i="26"/>
  <c r="J149" i="26" s="1"/>
  <c r="W122" i="26"/>
  <c r="S123" i="26"/>
  <c r="R125" i="26"/>
  <c r="AA124" i="26"/>
  <c r="V124" i="26"/>
  <c r="AB121" i="26"/>
  <c r="AE121" i="26" s="1"/>
  <c r="Z121" i="26"/>
  <c r="D136" i="26"/>
  <c r="U126" i="26"/>
  <c r="Y125" i="26"/>
  <c r="AD125" i="26" s="1"/>
  <c r="C135" i="26"/>
  <c r="T127" i="24"/>
  <c r="X126" i="24"/>
  <c r="AC126" i="24" s="1"/>
  <c r="D136" i="24"/>
  <c r="Y125" i="24"/>
  <c r="AD125" i="24" s="1"/>
  <c r="U126" i="24"/>
  <c r="S125" i="24"/>
  <c r="W125" i="24" s="1"/>
  <c r="AB125" i="24" s="1"/>
  <c r="Z124" i="24"/>
  <c r="AA126" i="24"/>
  <c r="R127" i="24"/>
  <c r="V126" i="24"/>
  <c r="AH126" i="24"/>
  <c r="AG127" i="24"/>
  <c r="C135" i="24"/>
  <c r="AE125" i="24" l="1"/>
  <c r="AF129" i="24" s="1"/>
  <c r="E137" i="28"/>
  <c r="F137" i="28"/>
  <c r="J142" i="28" s="1"/>
  <c r="H137" i="28"/>
  <c r="L142" i="28" s="1"/>
  <c r="G137" i="28"/>
  <c r="K142" i="28" s="1"/>
  <c r="E136" i="28"/>
  <c r="I141" i="28" s="1"/>
  <c r="F136" i="28"/>
  <c r="J141" i="28" s="1"/>
  <c r="G136" i="28"/>
  <c r="K141" i="28" s="1"/>
  <c r="H136" i="28"/>
  <c r="L141" i="28" s="1"/>
  <c r="S129" i="28"/>
  <c r="U130" i="28"/>
  <c r="AI103" i="28"/>
  <c r="AC129" i="28"/>
  <c r="AD127" i="28"/>
  <c r="AM127" i="28"/>
  <c r="AB127" i="28"/>
  <c r="Z126" i="28"/>
  <c r="AE126" i="28"/>
  <c r="AF130" i="28" s="1"/>
  <c r="AG130" i="28" s="1"/>
  <c r="AH130" i="28" s="1"/>
  <c r="I142" i="28"/>
  <c r="W128" i="28"/>
  <c r="Y128" i="28"/>
  <c r="D138" i="28"/>
  <c r="C138" i="28" s="1"/>
  <c r="V127" i="28"/>
  <c r="AA127" i="28"/>
  <c r="X130" i="28"/>
  <c r="E134" i="27"/>
  <c r="I139" i="27" s="1"/>
  <c r="F134" i="27"/>
  <c r="J139" i="27" s="1"/>
  <c r="G134" i="27"/>
  <c r="K139" i="27" s="1"/>
  <c r="H134" i="27"/>
  <c r="L139" i="27" s="1"/>
  <c r="AH126" i="27"/>
  <c r="AI104" i="27" s="1"/>
  <c r="X127" i="27"/>
  <c r="AC127" i="27" s="1"/>
  <c r="T128" i="27"/>
  <c r="AA123" i="27"/>
  <c r="AE123" i="27" s="1"/>
  <c r="AF127" i="27" s="1"/>
  <c r="AG127" i="27" s="1"/>
  <c r="V123" i="27"/>
  <c r="Z123" i="27" s="1"/>
  <c r="R124" i="27"/>
  <c r="D135" i="27"/>
  <c r="C135" i="27" s="1"/>
  <c r="S124" i="27"/>
  <c r="W124" i="27" s="1"/>
  <c r="AB124" i="27" s="1"/>
  <c r="U125" i="27"/>
  <c r="Y124" i="27"/>
  <c r="AD124" i="27" s="1"/>
  <c r="R126" i="26"/>
  <c r="AA125" i="26"/>
  <c r="V125" i="26"/>
  <c r="G135" i="26"/>
  <c r="K150" i="26" s="1"/>
  <c r="F135" i="26"/>
  <c r="J150" i="26" s="1"/>
  <c r="H135" i="26"/>
  <c r="L150" i="26" s="1"/>
  <c r="E135" i="26"/>
  <c r="I150" i="26" s="1"/>
  <c r="W123" i="26"/>
  <c r="S124" i="26"/>
  <c r="AB122" i="26"/>
  <c r="AE122" i="26" s="1"/>
  <c r="Z122" i="26"/>
  <c r="Y126" i="26"/>
  <c r="AD126" i="26" s="1"/>
  <c r="U127" i="26"/>
  <c r="D137" i="26"/>
  <c r="C137" i="26" s="1"/>
  <c r="C136" i="26"/>
  <c r="X128" i="26"/>
  <c r="AC128" i="26" s="1"/>
  <c r="T129" i="26"/>
  <c r="Z125" i="24"/>
  <c r="Y126" i="24"/>
  <c r="AD126" i="24" s="1"/>
  <c r="U127" i="24"/>
  <c r="S126" i="24"/>
  <c r="W126" i="24" s="1"/>
  <c r="AB126" i="24" s="1"/>
  <c r="D137" i="24"/>
  <c r="C137" i="24" s="1"/>
  <c r="H135" i="24"/>
  <c r="L140" i="24" s="1"/>
  <c r="G135" i="24"/>
  <c r="K140" i="24" s="1"/>
  <c r="F135" i="24"/>
  <c r="J140" i="24" s="1"/>
  <c r="E135" i="24"/>
  <c r="I140" i="24" s="1"/>
  <c r="AH127" i="24"/>
  <c r="AI104" i="24" s="1"/>
  <c r="AG128" i="24"/>
  <c r="C136" i="24"/>
  <c r="AA127" i="24"/>
  <c r="R128" i="24"/>
  <c r="V127" i="24"/>
  <c r="X127" i="24"/>
  <c r="AC127" i="24" s="1"/>
  <c r="T128" i="24"/>
  <c r="F138" i="28" l="1"/>
  <c r="J143" i="28" s="1"/>
  <c r="G138" i="28"/>
  <c r="K143" i="28" s="1"/>
  <c r="H138" i="28"/>
  <c r="L143" i="28" s="1"/>
  <c r="E138" i="28"/>
  <c r="I143" i="28" s="1"/>
  <c r="U131" i="28"/>
  <c r="S130" i="28"/>
  <c r="AI98" i="28"/>
  <c r="AE127" i="28"/>
  <c r="AF131" i="28" s="1"/>
  <c r="AG131" i="28" s="1"/>
  <c r="AH131" i="28" s="1"/>
  <c r="Z127" i="28"/>
  <c r="AD128" i="28"/>
  <c r="AM128" i="28"/>
  <c r="AB128" i="28"/>
  <c r="AC130" i="28"/>
  <c r="X131" i="28"/>
  <c r="W129" i="28"/>
  <c r="Y129" i="28"/>
  <c r="V128" i="28"/>
  <c r="AA128" i="28"/>
  <c r="D139" i="28"/>
  <c r="AE126" i="24"/>
  <c r="AF130" i="24" s="1"/>
  <c r="AH127" i="27"/>
  <c r="V124" i="27"/>
  <c r="Z124" i="27" s="1"/>
  <c r="R125" i="27"/>
  <c r="AA124" i="27"/>
  <c r="AE124" i="27" s="1"/>
  <c r="AF128" i="27" s="1"/>
  <c r="AG128" i="27" s="1"/>
  <c r="X128" i="27"/>
  <c r="AC128" i="27" s="1"/>
  <c r="T129" i="27"/>
  <c r="S125" i="27"/>
  <c r="W125" i="27" s="1"/>
  <c r="AB125" i="27" s="1"/>
  <c r="U126" i="27"/>
  <c r="Y125" i="27"/>
  <c r="AD125" i="27" s="1"/>
  <c r="E135" i="27"/>
  <c r="I140" i="27" s="1"/>
  <c r="F135" i="27"/>
  <c r="J140" i="27" s="1"/>
  <c r="G135" i="27"/>
  <c r="K140" i="27" s="1"/>
  <c r="H135" i="27"/>
  <c r="L140" i="27" s="1"/>
  <c r="D136" i="27"/>
  <c r="W124" i="26"/>
  <c r="S125" i="26"/>
  <c r="G136" i="26"/>
  <c r="K151" i="26" s="1"/>
  <c r="F136" i="26"/>
  <c r="J151" i="26" s="1"/>
  <c r="H136" i="26"/>
  <c r="L151" i="26" s="1"/>
  <c r="E136" i="26"/>
  <c r="I151" i="26" s="1"/>
  <c r="O130" i="26"/>
  <c r="T130" i="26" s="1"/>
  <c r="X129" i="26"/>
  <c r="AC129" i="26" s="1"/>
  <c r="AB123" i="26"/>
  <c r="AE123" i="26" s="1"/>
  <c r="Z123" i="26"/>
  <c r="G137" i="26"/>
  <c r="K152" i="26" s="1"/>
  <c r="F137" i="26"/>
  <c r="J152" i="26" s="1"/>
  <c r="E137" i="26"/>
  <c r="I152" i="26" s="1"/>
  <c r="H137" i="26"/>
  <c r="L152" i="26" s="1"/>
  <c r="D138" i="26"/>
  <c r="C138" i="26" s="1"/>
  <c r="U128" i="26"/>
  <c r="Y127" i="26"/>
  <c r="AD127" i="26" s="1"/>
  <c r="R127" i="26"/>
  <c r="V126" i="26"/>
  <c r="AA126" i="26"/>
  <c r="F137" i="24"/>
  <c r="J142" i="24" s="1"/>
  <c r="E137" i="24"/>
  <c r="I142" i="24" s="1"/>
  <c r="H137" i="24"/>
  <c r="L142" i="24" s="1"/>
  <c r="G137" i="24"/>
  <c r="K142" i="24" s="1"/>
  <c r="X128" i="24"/>
  <c r="AC128" i="24" s="1"/>
  <c r="T129" i="24"/>
  <c r="D138" i="24"/>
  <c r="C138" i="24" s="1"/>
  <c r="Z126" i="24"/>
  <c r="S127" i="24"/>
  <c r="W127" i="24" s="1"/>
  <c r="AB127" i="24" s="1"/>
  <c r="U128" i="24"/>
  <c r="Y127" i="24"/>
  <c r="AD127" i="24" s="1"/>
  <c r="V128" i="24"/>
  <c r="R129" i="24"/>
  <c r="AA128" i="24"/>
  <c r="H136" i="24"/>
  <c r="L141" i="24" s="1"/>
  <c r="G136" i="24"/>
  <c r="K141" i="24" s="1"/>
  <c r="F136" i="24"/>
  <c r="J141" i="24" s="1"/>
  <c r="E136" i="24"/>
  <c r="I141" i="24" s="1"/>
  <c r="AG129" i="24"/>
  <c r="AH128" i="24"/>
  <c r="AE127" i="24" l="1"/>
  <c r="AF131" i="24" s="1"/>
  <c r="S131" i="28"/>
  <c r="U132" i="28"/>
  <c r="AE128" i="28"/>
  <c r="AF132" i="28" s="1"/>
  <c r="AG132" i="28" s="1"/>
  <c r="AH132" i="28" s="1"/>
  <c r="Z128" i="28"/>
  <c r="AD129" i="28"/>
  <c r="AM129" i="28"/>
  <c r="AC131" i="28"/>
  <c r="AB129" i="28"/>
  <c r="Y130" i="28"/>
  <c r="W130" i="28"/>
  <c r="X132" i="28"/>
  <c r="O133" i="28"/>
  <c r="T133" i="28" s="1"/>
  <c r="D140" i="28"/>
  <c r="C140" i="28" s="1"/>
  <c r="C139" i="28"/>
  <c r="V129" i="28"/>
  <c r="AA129" i="28"/>
  <c r="AH128" i="27"/>
  <c r="AI105" i="27" s="1"/>
  <c r="S126" i="27"/>
  <c r="W126" i="27" s="1"/>
  <c r="AB126" i="27" s="1"/>
  <c r="Y126" i="27"/>
  <c r="AD126" i="27" s="1"/>
  <c r="U127" i="27"/>
  <c r="X129" i="27"/>
  <c r="AC129" i="27" s="1"/>
  <c r="O130" i="27"/>
  <c r="D137" i="27"/>
  <c r="C137" i="27" s="1"/>
  <c r="C136" i="27"/>
  <c r="R126" i="27"/>
  <c r="AA125" i="27"/>
  <c r="AE125" i="27" s="1"/>
  <c r="AF129" i="27" s="1"/>
  <c r="AG129" i="27" s="1"/>
  <c r="V125" i="27"/>
  <c r="Z125" i="27" s="1"/>
  <c r="Y128" i="26"/>
  <c r="AD128" i="26" s="1"/>
  <c r="U129" i="26"/>
  <c r="O138" i="26"/>
  <c r="O137" i="26"/>
  <c r="O144" i="26"/>
  <c r="O141" i="26"/>
  <c r="O136" i="26"/>
  <c r="O134" i="26"/>
  <c r="O140" i="26"/>
  <c r="O132" i="26"/>
  <c r="O143" i="26"/>
  <c r="O135" i="26"/>
  <c r="O133" i="26"/>
  <c r="O142" i="26"/>
  <c r="O139" i="26"/>
  <c r="O131" i="26"/>
  <c r="T131" i="26" s="1"/>
  <c r="AA127" i="26"/>
  <c r="R128" i="26"/>
  <c r="V127" i="26"/>
  <c r="W125" i="26"/>
  <c r="S126" i="26"/>
  <c r="X130" i="26"/>
  <c r="AC130" i="26" s="1"/>
  <c r="E138" i="26"/>
  <c r="I153" i="26" s="1"/>
  <c r="G138" i="26"/>
  <c r="K153" i="26" s="1"/>
  <c r="F138" i="26"/>
  <c r="J153" i="26" s="1"/>
  <c r="H138" i="26"/>
  <c r="L153" i="26" s="1"/>
  <c r="D139" i="26"/>
  <c r="C139" i="26" s="1"/>
  <c r="AB124" i="26"/>
  <c r="AE124" i="26" s="1"/>
  <c r="Z124" i="26"/>
  <c r="H138" i="24"/>
  <c r="L143" i="24" s="1"/>
  <c r="G138" i="24"/>
  <c r="K143" i="24" s="1"/>
  <c r="F138" i="24"/>
  <c r="J143" i="24" s="1"/>
  <c r="E138" i="24"/>
  <c r="I143" i="24" s="1"/>
  <c r="Z127" i="24"/>
  <c r="O130" i="24"/>
  <c r="X129" i="24"/>
  <c r="AC129" i="24" s="1"/>
  <c r="V129" i="24"/>
  <c r="M130" i="24"/>
  <c r="R130" i="24" s="1"/>
  <c r="AA129" i="24"/>
  <c r="AG130" i="24"/>
  <c r="AH129" i="24"/>
  <c r="AI105" i="24" s="1"/>
  <c r="D139" i="24"/>
  <c r="C139" i="24" s="1"/>
  <c r="U129" i="24"/>
  <c r="S128" i="24"/>
  <c r="W128" i="24" s="1"/>
  <c r="AB128" i="24" s="1"/>
  <c r="Y128" i="24"/>
  <c r="AD128" i="24" s="1"/>
  <c r="E139" i="28" l="1"/>
  <c r="I144" i="28" s="1"/>
  <c r="F139" i="28"/>
  <c r="J144" i="28" s="1"/>
  <c r="G139" i="28"/>
  <c r="K144" i="28" s="1"/>
  <c r="H139" i="28"/>
  <c r="L144" i="28" s="1"/>
  <c r="E140" i="28"/>
  <c r="I145" i="28" s="1"/>
  <c r="F140" i="28"/>
  <c r="J145" i="28" s="1"/>
  <c r="H140" i="28"/>
  <c r="L145" i="28" s="1"/>
  <c r="G140" i="28"/>
  <c r="K145" i="28" s="1"/>
  <c r="S132" i="28"/>
  <c r="AI107" i="28"/>
  <c r="AI99" i="28"/>
  <c r="AI101" i="28"/>
  <c r="AI100" i="28"/>
  <c r="AB130" i="28"/>
  <c r="AD130" i="28"/>
  <c r="AM130" i="28"/>
  <c r="Z129" i="28"/>
  <c r="AE129" i="28"/>
  <c r="AF133" i="28" s="1"/>
  <c r="AG133" i="28" s="1"/>
  <c r="AH133" i="28" s="1"/>
  <c r="AI102" i="28" s="1"/>
  <c r="AC132" i="28"/>
  <c r="D141" i="28"/>
  <c r="O143" i="28"/>
  <c r="O137" i="28"/>
  <c r="O135" i="28"/>
  <c r="O141" i="28"/>
  <c r="O134" i="28"/>
  <c r="T134" i="28" s="1"/>
  <c r="O147" i="28"/>
  <c r="O145" i="28"/>
  <c r="O136" i="28"/>
  <c r="O140" i="28"/>
  <c r="O146" i="28"/>
  <c r="O144" i="28"/>
  <c r="O139" i="28"/>
  <c r="O138" i="28"/>
  <c r="O142" i="28"/>
  <c r="Y131" i="28"/>
  <c r="W131" i="28"/>
  <c r="AA130" i="28"/>
  <c r="V130" i="28"/>
  <c r="AH129" i="27"/>
  <c r="V126" i="27"/>
  <c r="Z126" i="27" s="1"/>
  <c r="R127" i="27"/>
  <c r="AA126" i="27"/>
  <c r="AE126" i="27" s="1"/>
  <c r="AF130" i="27" s="1"/>
  <c r="AG130" i="27" s="1"/>
  <c r="F136" i="27"/>
  <c r="J141" i="27" s="1"/>
  <c r="G136" i="27"/>
  <c r="K141" i="27" s="1"/>
  <c r="H136" i="27"/>
  <c r="L141" i="27" s="1"/>
  <c r="E136" i="27"/>
  <c r="I141" i="27" s="1"/>
  <c r="D138" i="27"/>
  <c r="H137" i="27"/>
  <c r="L142" i="27" s="1"/>
  <c r="E137" i="27"/>
  <c r="I142" i="27" s="1"/>
  <c r="F137" i="27"/>
  <c r="J142" i="27" s="1"/>
  <c r="G137" i="27"/>
  <c r="K142" i="27" s="1"/>
  <c r="O134" i="27"/>
  <c r="O140" i="27"/>
  <c r="O133" i="27"/>
  <c r="O139" i="27"/>
  <c r="O132" i="27"/>
  <c r="O138" i="27"/>
  <c r="O144" i="27"/>
  <c r="O131" i="27"/>
  <c r="O137" i="27"/>
  <c r="O143" i="27"/>
  <c r="O136" i="27"/>
  <c r="O142" i="27"/>
  <c r="O135" i="27"/>
  <c r="O141" i="27"/>
  <c r="T130" i="27"/>
  <c r="Y127" i="27"/>
  <c r="AD127" i="27" s="1"/>
  <c r="S127" i="27"/>
  <c r="W127" i="27" s="1"/>
  <c r="AB127" i="27" s="1"/>
  <c r="U128" i="27"/>
  <c r="X131" i="26"/>
  <c r="AC131" i="26" s="1"/>
  <c r="T132" i="26"/>
  <c r="G139" i="26"/>
  <c r="K154" i="26" s="1"/>
  <c r="F139" i="26"/>
  <c r="J154" i="26" s="1"/>
  <c r="H139" i="26"/>
  <c r="L154" i="26" s="1"/>
  <c r="E139" i="26"/>
  <c r="I154" i="26" s="1"/>
  <c r="Y129" i="26"/>
  <c r="AD129" i="26" s="1"/>
  <c r="P130" i="26"/>
  <c r="U130" i="26" s="1"/>
  <c r="AB125" i="26"/>
  <c r="AE125" i="26" s="1"/>
  <c r="Z125" i="26"/>
  <c r="D140" i="26"/>
  <c r="R129" i="26"/>
  <c r="AA128" i="26"/>
  <c r="V128" i="26"/>
  <c r="W126" i="26"/>
  <c r="S127" i="26"/>
  <c r="AE128" i="24"/>
  <c r="AF132" i="24" s="1"/>
  <c r="E139" i="24"/>
  <c r="I144" i="24" s="1"/>
  <c r="H139" i="24"/>
  <c r="L144" i="24" s="1"/>
  <c r="F139" i="24"/>
  <c r="J144" i="24" s="1"/>
  <c r="G139" i="24"/>
  <c r="K144" i="24" s="1"/>
  <c r="AA130" i="24"/>
  <c r="V130" i="24"/>
  <c r="Y129" i="24"/>
  <c r="AD129" i="24" s="1"/>
  <c r="P130" i="24"/>
  <c r="U130" i="24" s="1"/>
  <c r="S129" i="24"/>
  <c r="W129" i="24" s="1"/>
  <c r="AB129" i="24" s="1"/>
  <c r="O144" i="24"/>
  <c r="O138" i="24"/>
  <c r="O132" i="24"/>
  <c r="O139" i="24"/>
  <c r="O134" i="24"/>
  <c r="O143" i="24"/>
  <c r="O137" i="24"/>
  <c r="O142" i="24"/>
  <c r="O141" i="24"/>
  <c r="O136" i="24"/>
  <c r="O131" i="24"/>
  <c r="O140" i="24"/>
  <c r="O135" i="24"/>
  <c r="O133" i="24"/>
  <c r="AH130" i="24"/>
  <c r="AG131" i="24"/>
  <c r="T130" i="24"/>
  <c r="Z128" i="24"/>
  <c r="D140" i="24"/>
  <c r="C140" i="24" s="1"/>
  <c r="M143" i="24"/>
  <c r="M137" i="24"/>
  <c r="M131" i="24"/>
  <c r="R131" i="24" s="1"/>
  <c r="M141" i="24"/>
  <c r="M136" i="24"/>
  <c r="M138" i="24"/>
  <c r="M132" i="24"/>
  <c r="M144" i="24"/>
  <c r="M139" i="24"/>
  <c r="M135" i="24"/>
  <c r="M142" i="24"/>
  <c r="M140" i="24"/>
  <c r="M134" i="24"/>
  <c r="M133" i="24"/>
  <c r="T135" i="28" l="1"/>
  <c r="T136" i="28" s="1"/>
  <c r="T137" i="28" s="1"/>
  <c r="T138" i="28" s="1"/>
  <c r="T139" i="28" s="1"/>
  <c r="T140" i="28" s="1"/>
  <c r="T141" i="28" s="1"/>
  <c r="T142" i="28" s="1"/>
  <c r="T143" i="28" s="1"/>
  <c r="T144" i="28" s="1"/>
  <c r="T145" i="28" s="1"/>
  <c r="D9" i="28"/>
  <c r="AE130" i="28"/>
  <c r="AF134" i="28" s="1"/>
  <c r="AG134" i="28" s="1"/>
  <c r="AH134" i="28" s="1"/>
  <c r="AI108" i="28" s="1"/>
  <c r="AB131" i="28"/>
  <c r="AD131" i="28"/>
  <c r="AM131" i="28"/>
  <c r="Z130" i="28"/>
  <c r="AA131" i="28"/>
  <c r="V131" i="28"/>
  <c r="D142" i="28"/>
  <c r="C142" i="28" s="1"/>
  <c r="P133" i="28"/>
  <c r="U133" i="28" s="1"/>
  <c r="Y132" i="28"/>
  <c r="W132" i="28"/>
  <c r="X133" i="28"/>
  <c r="C141" i="28"/>
  <c r="AH130" i="27"/>
  <c r="AI106" i="27" s="1"/>
  <c r="D139" i="27"/>
  <c r="C138" i="27"/>
  <c r="Y128" i="27"/>
  <c r="AD128" i="27" s="1"/>
  <c r="U129" i="27"/>
  <c r="S128" i="27"/>
  <c r="W128" i="27" s="1"/>
  <c r="AB128" i="27" s="1"/>
  <c r="T131" i="27"/>
  <c r="X130" i="27"/>
  <c r="AC130" i="27" s="1"/>
  <c r="V127" i="27"/>
  <c r="Z127" i="27" s="1"/>
  <c r="R128" i="27"/>
  <c r="AA127" i="27"/>
  <c r="AE127" i="27" s="1"/>
  <c r="AF131" i="27" s="1"/>
  <c r="AG131" i="27" s="1"/>
  <c r="P144" i="26"/>
  <c r="P136" i="26"/>
  <c r="P141" i="26"/>
  <c r="P140" i="26"/>
  <c r="P139" i="26"/>
  <c r="P138" i="26"/>
  <c r="P132" i="26"/>
  <c r="P143" i="26"/>
  <c r="P135" i="26"/>
  <c r="P142" i="26"/>
  <c r="P131" i="26"/>
  <c r="U131" i="26" s="1"/>
  <c r="P134" i="26"/>
  <c r="P133" i="26"/>
  <c r="P137" i="26"/>
  <c r="AB126" i="26"/>
  <c r="AE126" i="26" s="1"/>
  <c r="Z126" i="26"/>
  <c r="M130" i="26"/>
  <c r="R130" i="26" s="1"/>
  <c r="AA129" i="26"/>
  <c r="V129" i="26"/>
  <c r="D141" i="26"/>
  <c r="C141" i="26" s="1"/>
  <c r="C140" i="26"/>
  <c r="X132" i="26"/>
  <c r="AC132" i="26" s="1"/>
  <c r="T133" i="26"/>
  <c r="Y130" i="26"/>
  <c r="AD130" i="26" s="1"/>
  <c r="W127" i="26"/>
  <c r="S128" i="26"/>
  <c r="AE129" i="24"/>
  <c r="AF133" i="24" s="1"/>
  <c r="G140" i="24"/>
  <c r="K145" i="24" s="1"/>
  <c r="H140" i="24"/>
  <c r="L145" i="24" s="1"/>
  <c r="E140" i="24"/>
  <c r="I145" i="24" s="1"/>
  <c r="F140" i="24"/>
  <c r="J145" i="24" s="1"/>
  <c r="P139" i="24"/>
  <c r="P134" i="24"/>
  <c r="P144" i="24"/>
  <c r="P142" i="24"/>
  <c r="P131" i="24"/>
  <c r="U131" i="24" s="1"/>
  <c r="P143" i="24"/>
  <c r="P132" i="24"/>
  <c r="P138" i="24"/>
  <c r="P140" i="24"/>
  <c r="P137" i="24"/>
  <c r="P135" i="24"/>
  <c r="P141" i="24"/>
  <c r="P136" i="24"/>
  <c r="P133" i="24"/>
  <c r="Y130" i="24"/>
  <c r="AD130" i="24" s="1"/>
  <c r="AA131" i="24"/>
  <c r="R132" i="24"/>
  <c r="V131" i="24"/>
  <c r="X130" i="24"/>
  <c r="AC130" i="24" s="1"/>
  <c r="T131" i="24"/>
  <c r="AH131" i="24"/>
  <c r="AI106" i="24" s="1"/>
  <c r="AG132" i="24"/>
  <c r="N130" i="24"/>
  <c r="S130" i="24" s="1"/>
  <c r="W130" i="24" s="1"/>
  <c r="D141" i="24"/>
  <c r="C141" i="24" s="1"/>
  <c r="Z129" i="24"/>
  <c r="AE131" i="28" l="1"/>
  <c r="AF135" i="28" s="1"/>
  <c r="E142" i="28"/>
  <c r="F142" i="28"/>
  <c r="G142" i="28"/>
  <c r="H142" i="28"/>
  <c r="L147" i="28" s="1"/>
  <c r="F141" i="28"/>
  <c r="J146" i="28" s="1"/>
  <c r="G141" i="28"/>
  <c r="K146" i="28" s="1"/>
  <c r="T146" i="28" s="1"/>
  <c r="H141" i="28"/>
  <c r="L146" i="28" s="1"/>
  <c r="E141" i="28"/>
  <c r="I146" i="28" s="1"/>
  <c r="AG135" i="28"/>
  <c r="AH135" i="28" s="1"/>
  <c r="AC133" i="28"/>
  <c r="Z131" i="28"/>
  <c r="AB132" i="28"/>
  <c r="AD132" i="28"/>
  <c r="AM132" i="28"/>
  <c r="P143" i="28"/>
  <c r="P137" i="28"/>
  <c r="P144" i="28"/>
  <c r="P138" i="28"/>
  <c r="P141" i="28"/>
  <c r="P134" i="28"/>
  <c r="U134" i="28" s="1"/>
  <c r="P147" i="28"/>
  <c r="P140" i="28"/>
  <c r="P146" i="28"/>
  <c r="P136" i="28"/>
  <c r="P139" i="28"/>
  <c r="P135" i="28"/>
  <c r="P145" i="28"/>
  <c r="P142" i="28"/>
  <c r="K147" i="28"/>
  <c r="J147" i="28"/>
  <c r="I147" i="28"/>
  <c r="D143" i="28"/>
  <c r="C143" i="28" s="1"/>
  <c r="AA132" i="28"/>
  <c r="V132" i="28"/>
  <c r="M133" i="28"/>
  <c r="R133" i="28" s="1"/>
  <c r="Y133" i="28"/>
  <c r="X134" i="28"/>
  <c r="AH131" i="27"/>
  <c r="AA128" i="27"/>
  <c r="AE128" i="27" s="1"/>
  <c r="AF132" i="27" s="1"/>
  <c r="AG132" i="27" s="1"/>
  <c r="V128" i="27"/>
  <c r="Z128" i="27" s="1"/>
  <c r="R129" i="27"/>
  <c r="S129" i="27"/>
  <c r="W129" i="27" s="1"/>
  <c r="AB129" i="27" s="1"/>
  <c r="Y129" i="27"/>
  <c r="AD129" i="27" s="1"/>
  <c r="P130" i="27"/>
  <c r="E138" i="27"/>
  <c r="I143" i="27" s="1"/>
  <c r="F138" i="27"/>
  <c r="J143" i="27" s="1"/>
  <c r="G138" i="27"/>
  <c r="K143" i="27" s="1"/>
  <c r="H138" i="27"/>
  <c r="L143" i="27" s="1"/>
  <c r="D140" i="27"/>
  <c r="X131" i="27"/>
  <c r="AC131" i="27" s="1"/>
  <c r="T132" i="27"/>
  <c r="C139" i="27"/>
  <c r="U132" i="26"/>
  <c r="Y131" i="26"/>
  <c r="AD131" i="26" s="1"/>
  <c r="H141" i="26"/>
  <c r="L156" i="26" s="1"/>
  <c r="G141" i="26"/>
  <c r="K156" i="26" s="1"/>
  <c r="F141" i="26"/>
  <c r="J156" i="26" s="1"/>
  <c r="E141" i="26"/>
  <c r="I156" i="26" s="1"/>
  <c r="D142" i="26"/>
  <c r="AA130" i="26"/>
  <c r="V130" i="26"/>
  <c r="AB127" i="26"/>
  <c r="AE127" i="26" s="1"/>
  <c r="Z127" i="26"/>
  <c r="M144" i="26"/>
  <c r="M142" i="26"/>
  <c r="M140" i="26"/>
  <c r="M138" i="26"/>
  <c r="M136" i="26"/>
  <c r="M134" i="26"/>
  <c r="M132" i="26"/>
  <c r="M139" i="26"/>
  <c r="M143" i="26"/>
  <c r="M131" i="26"/>
  <c r="R131" i="26" s="1"/>
  <c r="M137" i="26"/>
  <c r="M135" i="26"/>
  <c r="M133" i="26"/>
  <c r="M141" i="26"/>
  <c r="N130" i="26"/>
  <c r="X133" i="26"/>
  <c r="AC133" i="26" s="1"/>
  <c r="T134" i="26"/>
  <c r="W128" i="26"/>
  <c r="S129" i="26"/>
  <c r="G140" i="26"/>
  <c r="K155" i="26" s="1"/>
  <c r="F140" i="26"/>
  <c r="J155" i="26" s="1"/>
  <c r="E140" i="26"/>
  <c r="I155" i="26" s="1"/>
  <c r="H140" i="26"/>
  <c r="L155" i="26" s="1"/>
  <c r="G141" i="24"/>
  <c r="K146" i="24" s="1"/>
  <c r="F141" i="24"/>
  <c r="J146" i="24" s="1"/>
  <c r="E141" i="24"/>
  <c r="I146" i="24" s="1"/>
  <c r="H141" i="24"/>
  <c r="L146" i="24" s="1"/>
  <c r="AB130" i="24"/>
  <c r="AE130" i="24" s="1"/>
  <c r="AF134" i="24" s="1"/>
  <c r="Z130" i="24"/>
  <c r="I11" i="24"/>
  <c r="T132" i="24"/>
  <c r="X131" i="24"/>
  <c r="AC131" i="24" s="1"/>
  <c r="D142" i="24"/>
  <c r="C142" i="24" s="1"/>
  <c r="AA132" i="24"/>
  <c r="R133" i="24"/>
  <c r="V132" i="24"/>
  <c r="AH132" i="24"/>
  <c r="AG133" i="24"/>
  <c r="Y131" i="24"/>
  <c r="AD131" i="24" s="1"/>
  <c r="U132" i="24"/>
  <c r="N141" i="24"/>
  <c r="Q141" i="24" s="1"/>
  <c r="N136" i="24"/>
  <c r="Q136" i="24" s="1"/>
  <c r="N131" i="24"/>
  <c r="Q131" i="24" s="1"/>
  <c r="N143" i="24"/>
  <c r="Q143" i="24" s="1"/>
  <c r="N137" i="24"/>
  <c r="Q137" i="24" s="1"/>
  <c r="N144" i="24"/>
  <c r="Q144" i="24" s="1"/>
  <c r="N132" i="24"/>
  <c r="Q132" i="24" s="1"/>
  <c r="N139" i="24"/>
  <c r="Q139" i="24" s="1"/>
  <c r="N138" i="24"/>
  <c r="Q138" i="24" s="1"/>
  <c r="N142" i="24"/>
  <c r="Q142" i="24" s="1"/>
  <c r="N140" i="24"/>
  <c r="Q140" i="24" s="1"/>
  <c r="N134" i="24"/>
  <c r="Q134" i="24" s="1"/>
  <c r="N135" i="24"/>
  <c r="Q135" i="24" s="1"/>
  <c r="N133" i="24"/>
  <c r="Q133" i="24" s="1"/>
  <c r="Q130" i="24"/>
  <c r="T147" i="28" l="1"/>
  <c r="E143" i="28"/>
  <c r="I148" i="28" s="1"/>
  <c r="F143" i="28"/>
  <c r="J148" i="28" s="1"/>
  <c r="G143" i="28"/>
  <c r="H143" i="28"/>
  <c r="U135" i="28"/>
  <c r="Z132" i="28"/>
  <c r="AE132" i="28"/>
  <c r="AF136" i="28" s="1"/>
  <c r="AG136" i="28" s="1"/>
  <c r="AH136" i="28" s="1"/>
  <c r="AI109" i="28" s="1"/>
  <c r="AD133" i="28"/>
  <c r="AC134" i="28"/>
  <c r="X135" i="28"/>
  <c r="L148" i="28"/>
  <c r="K148" i="28"/>
  <c r="D144" i="28"/>
  <c r="C144" i="28" s="1"/>
  <c r="Y134" i="28"/>
  <c r="M142" i="28"/>
  <c r="M136" i="28"/>
  <c r="M144" i="28"/>
  <c r="M137" i="28"/>
  <c r="M143" i="28"/>
  <c r="M146" i="28"/>
  <c r="M138" i="28"/>
  <c r="M141" i="28"/>
  <c r="M134" i="28"/>
  <c r="R134" i="28" s="1"/>
  <c r="M147" i="28"/>
  <c r="M139" i="28"/>
  <c r="M140" i="28"/>
  <c r="M135" i="28"/>
  <c r="M145" i="28"/>
  <c r="N133" i="28"/>
  <c r="S133" i="28" s="1"/>
  <c r="C11" i="28"/>
  <c r="AH132" i="27"/>
  <c r="AI107" i="27" s="1"/>
  <c r="P135" i="27"/>
  <c r="P141" i="27"/>
  <c r="P134" i="27"/>
  <c r="P140" i="27"/>
  <c r="P133" i="27"/>
  <c r="P139" i="27"/>
  <c r="P132" i="27"/>
  <c r="P138" i="27"/>
  <c r="P144" i="27"/>
  <c r="P131" i="27"/>
  <c r="P137" i="27"/>
  <c r="P143" i="27"/>
  <c r="P136" i="27"/>
  <c r="P142" i="27"/>
  <c r="U130" i="27"/>
  <c r="V129" i="27"/>
  <c r="Z129" i="27" s="1"/>
  <c r="M130" i="27"/>
  <c r="R130" i="27" s="1"/>
  <c r="AA129" i="27"/>
  <c r="AE129" i="27" s="1"/>
  <c r="AF133" i="27" s="1"/>
  <c r="AG133" i="27" s="1"/>
  <c r="E139" i="27"/>
  <c r="I144" i="27" s="1"/>
  <c r="F139" i="27"/>
  <c r="J144" i="27" s="1"/>
  <c r="G139" i="27"/>
  <c r="K144" i="27" s="1"/>
  <c r="H139" i="27"/>
  <c r="L144" i="27" s="1"/>
  <c r="X132" i="27"/>
  <c r="AC132" i="27" s="1"/>
  <c r="T133" i="27"/>
  <c r="D141" i="27"/>
  <c r="C141" i="27" s="1"/>
  <c r="C140" i="27"/>
  <c r="X134" i="26"/>
  <c r="AC134" i="26" s="1"/>
  <c r="T135" i="26"/>
  <c r="D143" i="26"/>
  <c r="AB128" i="26"/>
  <c r="AE128" i="26" s="1"/>
  <c r="Z128" i="26"/>
  <c r="C142" i="26"/>
  <c r="N144" i="26"/>
  <c r="Q144" i="26" s="1"/>
  <c r="N142" i="26"/>
  <c r="Q142" i="26" s="1"/>
  <c r="N143" i="26"/>
  <c r="Q143" i="26" s="1"/>
  <c r="N138" i="26"/>
  <c r="Q138" i="26" s="1"/>
  <c r="N137" i="26"/>
  <c r="Q137" i="26" s="1"/>
  <c r="N141" i="26"/>
  <c r="Q141" i="26" s="1"/>
  <c r="N134" i="26"/>
  <c r="Q134" i="26" s="1"/>
  <c r="N140" i="26"/>
  <c r="Q140" i="26" s="1"/>
  <c r="N132" i="26"/>
  <c r="Q132" i="26" s="1"/>
  <c r="N133" i="26"/>
  <c r="Q133" i="26" s="1"/>
  <c r="N139" i="26"/>
  <c r="Q139" i="26" s="1"/>
  <c r="N136" i="26"/>
  <c r="Q136" i="26" s="1"/>
  <c r="N131" i="26"/>
  <c r="Q131" i="26" s="1"/>
  <c r="N135" i="26"/>
  <c r="Q135" i="26" s="1"/>
  <c r="W129" i="26"/>
  <c r="S130" i="26"/>
  <c r="AA131" i="26"/>
  <c r="V131" i="26"/>
  <c r="R132" i="26"/>
  <c r="Q130" i="26"/>
  <c r="Y132" i="26"/>
  <c r="AD132" i="26" s="1"/>
  <c r="U133" i="26"/>
  <c r="S131" i="24"/>
  <c r="W131" i="24" s="1"/>
  <c r="AB131" i="24" s="1"/>
  <c r="AE131" i="24" s="1"/>
  <c r="AF135" i="24" s="1"/>
  <c r="F142" i="24"/>
  <c r="J147" i="24" s="1"/>
  <c r="E142" i="24"/>
  <c r="I147" i="24" s="1"/>
  <c r="H142" i="24"/>
  <c r="L147" i="24" s="1"/>
  <c r="G142" i="24"/>
  <c r="K147" i="24" s="1"/>
  <c r="U133" i="24"/>
  <c r="Y132" i="24"/>
  <c r="AD132" i="24" s="1"/>
  <c r="T133" i="24"/>
  <c r="X132" i="24"/>
  <c r="AC132" i="24" s="1"/>
  <c r="AG134" i="24"/>
  <c r="AH133" i="24"/>
  <c r="AI107" i="24" s="1"/>
  <c r="AA133" i="24"/>
  <c r="V133" i="24"/>
  <c r="R134" i="24"/>
  <c r="D143" i="24"/>
  <c r="F144" i="28" l="1"/>
  <c r="J149" i="28" s="1"/>
  <c r="G144" i="28"/>
  <c r="K149" i="28" s="1"/>
  <c r="H144" i="28"/>
  <c r="L149" i="28" s="1"/>
  <c r="E144" i="28"/>
  <c r="I149" i="28" s="1"/>
  <c r="R135" i="28"/>
  <c r="R136" i="28" s="1"/>
  <c r="R137" i="28" s="1"/>
  <c r="R138" i="28" s="1"/>
  <c r="R139" i="28" s="1"/>
  <c r="R140" i="28" s="1"/>
  <c r="R141" i="28" s="1"/>
  <c r="R142" i="28" s="1"/>
  <c r="R143" i="28" s="1"/>
  <c r="R144" i="28" s="1"/>
  <c r="R145" i="28" s="1"/>
  <c r="R146" i="28" s="1"/>
  <c r="R147" i="28" s="1"/>
  <c r="U136" i="28"/>
  <c r="AD134" i="28"/>
  <c r="AC135" i="28"/>
  <c r="D145" i="28"/>
  <c r="C145" i="28" s="1"/>
  <c r="V133" i="28"/>
  <c r="AA133" i="28"/>
  <c r="N142" i="28"/>
  <c r="Q142" i="28" s="1"/>
  <c r="N136" i="28"/>
  <c r="Q136" i="28" s="1"/>
  <c r="N143" i="28"/>
  <c r="Q143" i="28" s="1"/>
  <c r="N137" i="28"/>
  <c r="Q137" i="28" s="1"/>
  <c r="N135" i="28"/>
  <c r="Q135" i="28" s="1"/>
  <c r="N141" i="28"/>
  <c r="Q141" i="28" s="1"/>
  <c r="N134" i="28"/>
  <c r="Q134" i="28" s="1"/>
  <c r="N147" i="28"/>
  <c r="Q147" i="28" s="1"/>
  <c r="N140" i="28"/>
  <c r="Q140" i="28" s="1"/>
  <c r="N146" i="28"/>
  <c r="Q146" i="28" s="1"/>
  <c r="N139" i="28"/>
  <c r="Q139" i="28" s="1"/>
  <c r="N138" i="28"/>
  <c r="Q138" i="28" s="1"/>
  <c r="N144" i="28"/>
  <c r="Q144" i="28" s="1"/>
  <c r="N145" i="28"/>
  <c r="Q145" i="28" s="1"/>
  <c r="Q133" i="28"/>
  <c r="X136" i="28"/>
  <c r="Y135" i="28"/>
  <c r="Z131" i="24"/>
  <c r="AI116" i="24"/>
  <c r="AI115" i="24"/>
  <c r="S132" i="24"/>
  <c r="W132" i="24" s="1"/>
  <c r="AB132" i="24" s="1"/>
  <c r="AE132" i="24" s="1"/>
  <c r="AF136" i="24" s="1"/>
  <c r="AH133" i="27"/>
  <c r="V130" i="27"/>
  <c r="AA130" i="27"/>
  <c r="I11" i="27"/>
  <c r="D142" i="27"/>
  <c r="U131" i="27"/>
  <c r="Y130" i="27"/>
  <c r="AD130" i="27" s="1"/>
  <c r="X133" i="27"/>
  <c r="AC133" i="27" s="1"/>
  <c r="T134" i="27"/>
  <c r="E140" i="27"/>
  <c r="I145" i="27" s="1"/>
  <c r="F140" i="27"/>
  <c r="J145" i="27" s="1"/>
  <c r="G140" i="27"/>
  <c r="K145" i="27" s="1"/>
  <c r="H140" i="27"/>
  <c r="L145" i="27" s="1"/>
  <c r="M133" i="27"/>
  <c r="M139" i="27"/>
  <c r="M132" i="27"/>
  <c r="M138" i="27"/>
  <c r="M144" i="27"/>
  <c r="M131" i="27"/>
  <c r="M137" i="27"/>
  <c r="M143" i="27"/>
  <c r="M136" i="27"/>
  <c r="M142" i="27"/>
  <c r="N130" i="27"/>
  <c r="S130" i="27" s="1"/>
  <c r="W130" i="27" s="1"/>
  <c r="AB130" i="27" s="1"/>
  <c r="M135" i="27"/>
  <c r="M141" i="27"/>
  <c r="M134" i="27"/>
  <c r="M140" i="27"/>
  <c r="E141" i="27"/>
  <c r="I146" i="27" s="1"/>
  <c r="F141" i="27"/>
  <c r="J146" i="27" s="1"/>
  <c r="G141" i="27"/>
  <c r="K146" i="27" s="1"/>
  <c r="H141" i="27"/>
  <c r="L146" i="27" s="1"/>
  <c r="G142" i="26"/>
  <c r="K157" i="26" s="1"/>
  <c r="F142" i="26"/>
  <c r="J157" i="26" s="1"/>
  <c r="E142" i="26"/>
  <c r="I157" i="26" s="1"/>
  <c r="H142" i="26"/>
  <c r="L157" i="26" s="1"/>
  <c r="Y133" i="26"/>
  <c r="AD133" i="26" s="1"/>
  <c r="U134" i="26"/>
  <c r="D144" i="26"/>
  <c r="C144" i="26" s="1"/>
  <c r="W130" i="26"/>
  <c r="S131" i="26"/>
  <c r="C143" i="26"/>
  <c r="AB129" i="26"/>
  <c r="AE129" i="26" s="1"/>
  <c r="Z129" i="26"/>
  <c r="I11" i="26" s="1"/>
  <c r="J11" i="26" s="1"/>
  <c r="T136" i="26"/>
  <c r="X135" i="26"/>
  <c r="AC135" i="26" s="1"/>
  <c r="R133" i="26"/>
  <c r="AA132" i="26"/>
  <c r="V132" i="26"/>
  <c r="X133" i="24"/>
  <c r="AC133" i="24" s="1"/>
  <c r="T134" i="24"/>
  <c r="D144" i="24"/>
  <c r="U134" i="24"/>
  <c r="Y133" i="24"/>
  <c r="AD133" i="24" s="1"/>
  <c r="AI118" i="24"/>
  <c r="AI119" i="24"/>
  <c r="AI120" i="24"/>
  <c r="R135" i="24"/>
  <c r="V134" i="24"/>
  <c r="AA134" i="24"/>
  <c r="AG135" i="24"/>
  <c r="AH134" i="24"/>
  <c r="C143" i="24"/>
  <c r="Q130" i="27" l="1"/>
  <c r="S133" i="24"/>
  <c r="W133" i="24" s="1"/>
  <c r="AB133" i="24" s="1"/>
  <c r="Z132" i="24"/>
  <c r="E145" i="28"/>
  <c r="I150" i="28" s="1"/>
  <c r="F145" i="28"/>
  <c r="J150" i="28" s="1"/>
  <c r="G145" i="28"/>
  <c r="K150" i="28" s="1"/>
  <c r="H145" i="28"/>
  <c r="L150" i="28" s="1"/>
  <c r="U137" i="28"/>
  <c r="S134" i="28"/>
  <c r="S135" i="28" s="1"/>
  <c r="S136" i="28" s="1"/>
  <c r="AD135" i="28"/>
  <c r="AC136" i="28"/>
  <c r="D146" i="28"/>
  <c r="Y136" i="28"/>
  <c r="W133" i="28"/>
  <c r="X137" i="28"/>
  <c r="V134" i="28"/>
  <c r="AA134" i="28"/>
  <c r="Z133" i="24"/>
  <c r="AI117" i="24"/>
  <c r="Y131" i="27"/>
  <c r="AD131" i="27" s="1"/>
  <c r="U132" i="27"/>
  <c r="D143" i="27"/>
  <c r="C142" i="27"/>
  <c r="N134" i="27"/>
  <c r="Q134" i="27" s="1"/>
  <c r="N140" i="27"/>
  <c r="Q140" i="27" s="1"/>
  <c r="N133" i="27"/>
  <c r="Q133" i="27" s="1"/>
  <c r="N139" i="27"/>
  <c r="Q139" i="27" s="1"/>
  <c r="N132" i="27"/>
  <c r="Q132" i="27" s="1"/>
  <c r="N138" i="27"/>
  <c r="Q138" i="27" s="1"/>
  <c r="N144" i="27"/>
  <c r="Q144" i="27" s="1"/>
  <c r="N131" i="27"/>
  <c r="Q131" i="27" s="1"/>
  <c r="N137" i="27"/>
  <c r="Q137" i="27" s="1"/>
  <c r="N143" i="27"/>
  <c r="Q143" i="27" s="1"/>
  <c r="N136" i="27"/>
  <c r="Q136" i="27" s="1"/>
  <c r="N142" i="27"/>
  <c r="Q142" i="27" s="1"/>
  <c r="N135" i="27"/>
  <c r="Q135" i="27" s="1"/>
  <c r="N141" i="27"/>
  <c r="Q141" i="27" s="1"/>
  <c r="R131" i="27"/>
  <c r="AE130" i="27"/>
  <c r="AF134" i="27" s="1"/>
  <c r="AG134" i="27" s="1"/>
  <c r="Z130" i="27"/>
  <c r="T135" i="27"/>
  <c r="X134" i="27"/>
  <c r="AC134" i="27" s="1"/>
  <c r="AB130" i="26"/>
  <c r="AE130" i="26" s="1"/>
  <c r="Z130" i="26"/>
  <c r="Y134" i="26"/>
  <c r="AD134" i="26" s="1"/>
  <c r="U135" i="26"/>
  <c r="D145" i="26"/>
  <c r="C145" i="26" s="1"/>
  <c r="E144" i="26"/>
  <c r="I159" i="26" s="1"/>
  <c r="H144" i="26"/>
  <c r="L159" i="26" s="1"/>
  <c r="G144" i="26"/>
  <c r="K159" i="26" s="1"/>
  <c r="F144" i="26"/>
  <c r="J159" i="26" s="1"/>
  <c r="V133" i="26"/>
  <c r="R134" i="26"/>
  <c r="AA133" i="26"/>
  <c r="W131" i="26"/>
  <c r="S132" i="26"/>
  <c r="X136" i="26"/>
  <c r="AC136" i="26" s="1"/>
  <c r="T137" i="26"/>
  <c r="H143" i="26"/>
  <c r="L158" i="26" s="1"/>
  <c r="G143" i="26"/>
  <c r="K158" i="26" s="1"/>
  <c r="F143" i="26"/>
  <c r="J158" i="26" s="1"/>
  <c r="E143" i="26"/>
  <c r="I158" i="26" s="1"/>
  <c r="AE133" i="24"/>
  <c r="AF137" i="24" s="1"/>
  <c r="U135" i="24"/>
  <c r="S134" i="24"/>
  <c r="W134" i="24" s="1"/>
  <c r="AB134" i="24" s="1"/>
  <c r="Y134" i="24"/>
  <c r="AD134" i="24" s="1"/>
  <c r="V135" i="24"/>
  <c r="R136" i="24"/>
  <c r="AA135" i="24"/>
  <c r="D145" i="24"/>
  <c r="C145" i="24" s="1"/>
  <c r="AH135" i="24"/>
  <c r="AG136" i="24"/>
  <c r="C144" i="24"/>
  <c r="H143" i="24"/>
  <c r="L148" i="24" s="1"/>
  <c r="G143" i="24"/>
  <c r="K148" i="24" s="1"/>
  <c r="F143" i="24"/>
  <c r="J148" i="24" s="1"/>
  <c r="E143" i="24"/>
  <c r="I148" i="24" s="1"/>
  <c r="T135" i="24"/>
  <c r="X134" i="24"/>
  <c r="AC134" i="24" s="1"/>
  <c r="S137" i="28" l="1"/>
  <c r="U138" i="28"/>
  <c r="AD136" i="28"/>
  <c r="AC137" i="28"/>
  <c r="AB133" i="28"/>
  <c r="AE133" i="28" s="1"/>
  <c r="AF137" i="28" s="1"/>
  <c r="AG137" i="28" s="1"/>
  <c r="AH137" i="28" s="1"/>
  <c r="Y137" i="28"/>
  <c r="W134" i="28"/>
  <c r="D147" i="28"/>
  <c r="C147" i="28" s="1"/>
  <c r="V135" i="28"/>
  <c r="AA135" i="28"/>
  <c r="C146" i="28"/>
  <c r="X138" i="28"/>
  <c r="Z133" i="28"/>
  <c r="AI121" i="24"/>
  <c r="AI122" i="24"/>
  <c r="AE134" i="24"/>
  <c r="AF138" i="24" s="1"/>
  <c r="AI108" i="24"/>
  <c r="F142" i="27"/>
  <c r="J147" i="27" s="1"/>
  <c r="G142" i="27"/>
  <c r="K147" i="27" s="1"/>
  <c r="H142" i="27"/>
  <c r="L147" i="27" s="1"/>
  <c r="E142" i="27"/>
  <c r="I147" i="27" s="1"/>
  <c r="D144" i="27"/>
  <c r="C143" i="27"/>
  <c r="Y132" i="27"/>
  <c r="AD132" i="27" s="1"/>
  <c r="U133" i="27"/>
  <c r="T136" i="27"/>
  <c r="X135" i="27"/>
  <c r="AC135" i="27" s="1"/>
  <c r="AH134" i="27"/>
  <c r="AI108" i="27" s="1"/>
  <c r="S131" i="27"/>
  <c r="W131" i="27" s="1"/>
  <c r="AB131" i="27" s="1"/>
  <c r="V131" i="27"/>
  <c r="AA131" i="27"/>
  <c r="R132" i="27"/>
  <c r="D146" i="26"/>
  <c r="W132" i="26"/>
  <c r="S133" i="26"/>
  <c r="U136" i="26"/>
  <c r="Y135" i="26"/>
  <c r="AD135" i="26" s="1"/>
  <c r="H145" i="26"/>
  <c r="L160" i="26" s="1"/>
  <c r="G145" i="26"/>
  <c r="K160" i="26" s="1"/>
  <c r="F145" i="26"/>
  <c r="J160" i="26" s="1"/>
  <c r="E145" i="26"/>
  <c r="I160" i="26" s="1"/>
  <c r="AB131" i="26"/>
  <c r="AE131" i="26" s="1"/>
  <c r="Z131" i="26"/>
  <c r="X137" i="26"/>
  <c r="AC137" i="26" s="1"/>
  <c r="T138" i="26"/>
  <c r="R135" i="26"/>
  <c r="V134" i="26"/>
  <c r="AA134" i="26"/>
  <c r="AA136" i="24"/>
  <c r="R137" i="24"/>
  <c r="V136" i="24"/>
  <c r="S135" i="24"/>
  <c r="W135" i="24" s="1"/>
  <c r="AB135" i="24" s="1"/>
  <c r="Y135" i="24"/>
  <c r="AD135" i="24" s="1"/>
  <c r="U136" i="24"/>
  <c r="E145" i="24"/>
  <c r="I150" i="24" s="1"/>
  <c r="H145" i="24"/>
  <c r="L150" i="24" s="1"/>
  <c r="G145" i="24"/>
  <c r="K150" i="24" s="1"/>
  <c r="F145" i="24"/>
  <c r="J150" i="24" s="1"/>
  <c r="F144" i="24"/>
  <c r="J149" i="24" s="1"/>
  <c r="E144" i="24"/>
  <c r="I149" i="24" s="1"/>
  <c r="H144" i="24"/>
  <c r="L149" i="24" s="1"/>
  <c r="G144" i="24"/>
  <c r="K149" i="24" s="1"/>
  <c r="AG137" i="24"/>
  <c r="AH136" i="24"/>
  <c r="AI123" i="24" s="1"/>
  <c r="Z134" i="24"/>
  <c r="D146" i="24"/>
  <c r="X135" i="24"/>
  <c r="AC135" i="24" s="1"/>
  <c r="T136" i="24"/>
  <c r="E146" i="28" l="1"/>
  <c r="I151" i="28" s="1"/>
  <c r="F146" i="28"/>
  <c r="J151" i="28" s="1"/>
  <c r="G146" i="28"/>
  <c r="K151" i="28" s="1"/>
  <c r="H146" i="28"/>
  <c r="L151" i="28" s="1"/>
  <c r="F147" i="28"/>
  <c r="J152" i="28" s="1"/>
  <c r="G147" i="28"/>
  <c r="K152" i="28" s="1"/>
  <c r="H147" i="28"/>
  <c r="L152" i="28" s="1"/>
  <c r="E147" i="28"/>
  <c r="I152" i="28" s="1"/>
  <c r="S138" i="28"/>
  <c r="U139" i="28"/>
  <c r="AD137" i="28"/>
  <c r="AB134" i="28"/>
  <c r="AE134" i="28" s="1"/>
  <c r="AF138" i="28" s="1"/>
  <c r="AG138" i="28" s="1"/>
  <c r="AH138" i="28" s="1"/>
  <c r="AI110" i="28" s="1"/>
  <c r="AC138" i="28"/>
  <c r="D148" i="28"/>
  <c r="C148" i="28" s="1"/>
  <c r="W135" i="28"/>
  <c r="AA136" i="28"/>
  <c r="V136" i="28"/>
  <c r="X139" i="28"/>
  <c r="Z134" i="28"/>
  <c r="Y138" i="28"/>
  <c r="S132" i="27"/>
  <c r="W132" i="27" s="1"/>
  <c r="AB132" i="27" s="1"/>
  <c r="AE131" i="27"/>
  <c r="AF135" i="27" s="1"/>
  <c r="AG135" i="27" s="1"/>
  <c r="AH135" i="27" s="1"/>
  <c r="Z131" i="27"/>
  <c r="T137" i="27"/>
  <c r="X136" i="27"/>
  <c r="AC136" i="27" s="1"/>
  <c r="Y133" i="27"/>
  <c r="AD133" i="27" s="1"/>
  <c r="U134" i="27"/>
  <c r="H143" i="27"/>
  <c r="L148" i="27" s="1"/>
  <c r="E143" i="27"/>
  <c r="I148" i="27" s="1"/>
  <c r="F143" i="27"/>
  <c r="J148" i="27" s="1"/>
  <c r="G143" i="27"/>
  <c r="K148" i="27" s="1"/>
  <c r="D145" i="27"/>
  <c r="C144" i="27"/>
  <c r="V132" i="27"/>
  <c r="AA132" i="27"/>
  <c r="R133" i="27"/>
  <c r="Y136" i="26"/>
  <c r="AD136" i="26" s="1"/>
  <c r="U137" i="26"/>
  <c r="W133" i="26"/>
  <c r="S134" i="26"/>
  <c r="X138" i="26"/>
  <c r="AC138" i="26" s="1"/>
  <c r="T139" i="26"/>
  <c r="AB132" i="26"/>
  <c r="AE132" i="26" s="1"/>
  <c r="Z132" i="26"/>
  <c r="D147" i="26"/>
  <c r="C147" i="26" s="1"/>
  <c r="V135" i="26"/>
  <c r="R136" i="26"/>
  <c r="AA135" i="26"/>
  <c r="C146" i="26"/>
  <c r="AE135" i="24"/>
  <c r="AF139" i="24" s="1"/>
  <c r="D147" i="24"/>
  <c r="C147" i="24" s="1"/>
  <c r="C146" i="24"/>
  <c r="Z135" i="24"/>
  <c r="X136" i="24"/>
  <c r="AC136" i="24" s="1"/>
  <c r="T137" i="24"/>
  <c r="Y136" i="24"/>
  <c r="AD136" i="24" s="1"/>
  <c r="S136" i="24"/>
  <c r="W136" i="24" s="1"/>
  <c r="AB136" i="24" s="1"/>
  <c r="U137" i="24"/>
  <c r="AI109" i="24"/>
  <c r="AI124" i="24"/>
  <c r="AI125" i="24"/>
  <c r="AG138" i="24"/>
  <c r="AH137" i="24"/>
  <c r="AA137" i="24"/>
  <c r="R138" i="24"/>
  <c r="V137" i="24"/>
  <c r="E148" i="28" l="1"/>
  <c r="I153" i="28" s="1"/>
  <c r="F148" i="28"/>
  <c r="J153" i="28" s="1"/>
  <c r="G148" i="28"/>
  <c r="K153" i="28" s="1"/>
  <c r="H148" i="28"/>
  <c r="L153" i="28" s="1"/>
  <c r="U140" i="28"/>
  <c r="S139" i="28"/>
  <c r="AD138" i="28"/>
  <c r="AM138" i="28"/>
  <c r="AC139" i="28"/>
  <c r="AB135" i="28"/>
  <c r="AE135" i="28" s="1"/>
  <c r="AF139" i="28" s="1"/>
  <c r="AG139" i="28" s="1"/>
  <c r="AH139" i="28" s="1"/>
  <c r="AI104" i="28" s="1"/>
  <c r="W136" i="28"/>
  <c r="Z136" i="28" s="1"/>
  <c r="D149" i="28"/>
  <c r="C149" i="28" s="1"/>
  <c r="Z135" i="28"/>
  <c r="X140" i="28"/>
  <c r="Y139" i="28"/>
  <c r="AA137" i="28"/>
  <c r="V137" i="28"/>
  <c r="S133" i="27"/>
  <c r="W133" i="27" s="1"/>
  <c r="AB133" i="27" s="1"/>
  <c r="AE132" i="27"/>
  <c r="AF136" i="27" s="1"/>
  <c r="AG136" i="27" s="1"/>
  <c r="AH136" i="27" s="1"/>
  <c r="Z132" i="27"/>
  <c r="AE136" i="24"/>
  <c r="AF140" i="24" s="1"/>
  <c r="U135" i="27"/>
  <c r="Y134" i="27"/>
  <c r="AD134" i="27" s="1"/>
  <c r="AA133" i="27"/>
  <c r="R134" i="27"/>
  <c r="V133" i="27"/>
  <c r="X137" i="27"/>
  <c r="AC137" i="27" s="1"/>
  <c r="T138" i="27"/>
  <c r="D146" i="27"/>
  <c r="C146" i="27" s="1"/>
  <c r="E144" i="27"/>
  <c r="I149" i="27" s="1"/>
  <c r="F144" i="27"/>
  <c r="J149" i="27" s="1"/>
  <c r="G144" i="27"/>
  <c r="K149" i="27" s="1"/>
  <c r="H144" i="27"/>
  <c r="L149" i="27" s="1"/>
  <c r="C145" i="27"/>
  <c r="H147" i="26"/>
  <c r="L162" i="26" s="1"/>
  <c r="G147" i="26"/>
  <c r="K162" i="26" s="1"/>
  <c r="F147" i="26"/>
  <c r="J162" i="26" s="1"/>
  <c r="E147" i="26"/>
  <c r="I162" i="26" s="1"/>
  <c r="X139" i="26"/>
  <c r="AC139" i="26" s="1"/>
  <c r="T140" i="26"/>
  <c r="G146" i="26"/>
  <c r="K161" i="26" s="1"/>
  <c r="F146" i="26"/>
  <c r="J161" i="26" s="1"/>
  <c r="H146" i="26"/>
  <c r="L161" i="26" s="1"/>
  <c r="E146" i="26"/>
  <c r="I161" i="26" s="1"/>
  <c r="W134" i="26"/>
  <c r="S135" i="26"/>
  <c r="AB133" i="26"/>
  <c r="AE133" i="26" s="1"/>
  <c r="Z133" i="26"/>
  <c r="D148" i="26"/>
  <c r="C148" i="26" s="1"/>
  <c r="R137" i="26"/>
  <c r="AA136" i="26"/>
  <c r="V136" i="26"/>
  <c r="U138" i="26"/>
  <c r="Y137" i="26"/>
  <c r="AD137" i="26" s="1"/>
  <c r="Y137" i="24"/>
  <c r="AD137" i="24" s="1"/>
  <c r="S137" i="24"/>
  <c r="W137" i="24" s="1"/>
  <c r="AB137" i="24" s="1"/>
  <c r="U138" i="24"/>
  <c r="T138" i="24"/>
  <c r="X137" i="24"/>
  <c r="AC137" i="24" s="1"/>
  <c r="G146" i="24"/>
  <c r="K151" i="24" s="1"/>
  <c r="F146" i="24"/>
  <c r="J151" i="24" s="1"/>
  <c r="E146" i="24"/>
  <c r="I151" i="24" s="1"/>
  <c r="H146" i="24"/>
  <c r="L151" i="24" s="1"/>
  <c r="AA138" i="24"/>
  <c r="R139" i="24"/>
  <c r="V138" i="24"/>
  <c r="AH138" i="24"/>
  <c r="AG139" i="24"/>
  <c r="H147" i="24"/>
  <c r="L152" i="24" s="1"/>
  <c r="E147" i="24"/>
  <c r="I152" i="24" s="1"/>
  <c r="G147" i="24"/>
  <c r="K152" i="24" s="1"/>
  <c r="F147" i="24"/>
  <c r="J152" i="24" s="1"/>
  <c r="Z136" i="24"/>
  <c r="D148" i="24"/>
  <c r="C148" i="24" s="1"/>
  <c r="AE137" i="24" l="1"/>
  <c r="AF141" i="24" s="1"/>
  <c r="Z133" i="27"/>
  <c r="Z137" i="24"/>
  <c r="E149" i="28"/>
  <c r="I154" i="28" s="1"/>
  <c r="H149" i="28"/>
  <c r="L154" i="28" s="1"/>
  <c r="F149" i="28"/>
  <c r="J154" i="28" s="1"/>
  <c r="G149" i="28"/>
  <c r="K154" i="28" s="1"/>
  <c r="S134" i="27"/>
  <c r="W134" i="27" s="1"/>
  <c r="AB134" i="27" s="1"/>
  <c r="S140" i="28"/>
  <c r="U141" i="28"/>
  <c r="AC140" i="28"/>
  <c r="AD139" i="28"/>
  <c r="AM139" i="28"/>
  <c r="AB136" i="28"/>
  <c r="AE136" i="28" s="1"/>
  <c r="AF140" i="28" s="1"/>
  <c r="AG140" i="28" s="1"/>
  <c r="AH140" i="28" s="1"/>
  <c r="D150" i="28"/>
  <c r="C150" i="28" s="1"/>
  <c r="Y140" i="28"/>
  <c r="V138" i="28"/>
  <c r="AA138" i="28"/>
  <c r="W137" i="28"/>
  <c r="X141" i="28"/>
  <c r="AE133" i="27"/>
  <c r="AF137" i="27" s="1"/>
  <c r="AG137" i="27" s="1"/>
  <c r="AH137" i="27" s="1"/>
  <c r="AI109" i="27"/>
  <c r="X138" i="27"/>
  <c r="AC138" i="27" s="1"/>
  <c r="T139" i="27"/>
  <c r="E146" i="27"/>
  <c r="I151" i="27" s="1"/>
  <c r="F146" i="27"/>
  <c r="J151" i="27" s="1"/>
  <c r="G146" i="27"/>
  <c r="K151" i="27" s="1"/>
  <c r="H146" i="27"/>
  <c r="L151" i="27" s="1"/>
  <c r="AA134" i="27"/>
  <c r="AE134" i="27" s="1"/>
  <c r="AF138" i="27" s="1"/>
  <c r="R135" i="27"/>
  <c r="V134" i="27"/>
  <c r="U136" i="27"/>
  <c r="Y135" i="27"/>
  <c r="AD135" i="27" s="1"/>
  <c r="E145" i="27"/>
  <c r="I150" i="27" s="1"/>
  <c r="F145" i="27"/>
  <c r="J150" i="27" s="1"/>
  <c r="G145" i="27"/>
  <c r="K150" i="27" s="1"/>
  <c r="H145" i="27"/>
  <c r="L150" i="27" s="1"/>
  <c r="D147" i="27"/>
  <c r="E148" i="26"/>
  <c r="I163" i="26" s="1"/>
  <c r="H148" i="26"/>
  <c r="L163" i="26" s="1"/>
  <c r="G148" i="26"/>
  <c r="K163" i="26" s="1"/>
  <c r="F148" i="26"/>
  <c r="J163" i="26" s="1"/>
  <c r="Y138" i="26"/>
  <c r="AD138" i="26" s="1"/>
  <c r="U139" i="26"/>
  <c r="AB134" i="26"/>
  <c r="AE134" i="26" s="1"/>
  <c r="Z134" i="26"/>
  <c r="R138" i="26"/>
  <c r="AA137" i="26"/>
  <c r="V137" i="26"/>
  <c r="T141" i="26"/>
  <c r="X140" i="26"/>
  <c r="AC140" i="26" s="1"/>
  <c r="D149" i="26"/>
  <c r="W135" i="26"/>
  <c r="S136" i="26"/>
  <c r="E148" i="24"/>
  <c r="I153" i="24" s="1"/>
  <c r="G148" i="24"/>
  <c r="K153" i="24" s="1"/>
  <c r="F148" i="24"/>
  <c r="J153" i="24" s="1"/>
  <c r="H148" i="24"/>
  <c r="L153" i="24" s="1"/>
  <c r="R140" i="24"/>
  <c r="V139" i="24"/>
  <c r="AA139" i="24"/>
  <c r="D149" i="24"/>
  <c r="C149" i="24" s="1"/>
  <c r="U139" i="24"/>
  <c r="S138" i="24"/>
  <c r="W138" i="24" s="1"/>
  <c r="AB138" i="24" s="1"/>
  <c r="Y138" i="24"/>
  <c r="AD138" i="24" s="1"/>
  <c r="X138" i="24"/>
  <c r="AC138" i="24" s="1"/>
  <c r="T139" i="24"/>
  <c r="AH139" i="24"/>
  <c r="AI126" i="24" s="1"/>
  <c r="AG140" i="24"/>
  <c r="AI110" i="24"/>
  <c r="AG138" i="27" l="1"/>
  <c r="S135" i="27"/>
  <c r="W135" i="27" s="1"/>
  <c r="AB135" i="27" s="1"/>
  <c r="Z134" i="27"/>
  <c r="F150" i="28"/>
  <c r="J155" i="28" s="1"/>
  <c r="G150" i="28"/>
  <c r="K155" i="28" s="1"/>
  <c r="H150" i="28"/>
  <c r="L155" i="28" s="1"/>
  <c r="E150" i="28"/>
  <c r="I155" i="28" s="1"/>
  <c r="S141" i="28"/>
  <c r="U142" i="28"/>
  <c r="AI111" i="28"/>
  <c r="AI105" i="28"/>
  <c r="AI106" i="28"/>
  <c r="AI118" i="28"/>
  <c r="AD140" i="28"/>
  <c r="AM140" i="28"/>
  <c r="AC141" i="28"/>
  <c r="AB137" i="28"/>
  <c r="AE137" i="28" s="1"/>
  <c r="AF141" i="28" s="1"/>
  <c r="AG141" i="28" s="1"/>
  <c r="AH141" i="28" s="1"/>
  <c r="W138" i="28"/>
  <c r="Y141" i="28"/>
  <c r="Z137" i="28"/>
  <c r="D151" i="28"/>
  <c r="C151" i="28" s="1"/>
  <c r="AA139" i="28"/>
  <c r="V139" i="28"/>
  <c r="X142" i="28"/>
  <c r="AE138" i="24"/>
  <c r="AF142" i="24" s="1"/>
  <c r="AH138" i="27"/>
  <c r="R136" i="27"/>
  <c r="V135" i="27"/>
  <c r="AA135" i="27"/>
  <c r="D148" i="27"/>
  <c r="C148" i="27" s="1"/>
  <c r="X139" i="27"/>
  <c r="AC139" i="27" s="1"/>
  <c r="T140" i="27"/>
  <c r="C147" i="27"/>
  <c r="U137" i="27"/>
  <c r="Y136" i="27"/>
  <c r="AD136" i="27" s="1"/>
  <c r="AB135" i="26"/>
  <c r="AE135" i="26" s="1"/>
  <c r="Z135" i="26"/>
  <c r="D150" i="26"/>
  <c r="C149" i="26"/>
  <c r="T142" i="26"/>
  <c r="X141" i="26"/>
  <c r="AC141" i="26" s="1"/>
  <c r="U140" i="26"/>
  <c r="Y139" i="26"/>
  <c r="AD139" i="26" s="1"/>
  <c r="W136" i="26"/>
  <c r="S137" i="26"/>
  <c r="R139" i="26"/>
  <c r="AA138" i="26"/>
  <c r="V138" i="26"/>
  <c r="G149" i="24"/>
  <c r="K154" i="24" s="1"/>
  <c r="F149" i="24"/>
  <c r="J154" i="24" s="1"/>
  <c r="H149" i="24"/>
  <c r="L154" i="24" s="1"/>
  <c r="E149" i="24"/>
  <c r="I154" i="24" s="1"/>
  <c r="X139" i="24"/>
  <c r="AC139" i="24" s="1"/>
  <c r="T140" i="24"/>
  <c r="D150" i="24"/>
  <c r="AG141" i="24"/>
  <c r="AH140" i="24"/>
  <c r="V140" i="24"/>
  <c r="R141" i="24"/>
  <c r="AA140" i="24"/>
  <c r="Z138" i="24"/>
  <c r="U140" i="24"/>
  <c r="S139" i="24"/>
  <c r="W139" i="24" s="1"/>
  <c r="AB139" i="24" s="1"/>
  <c r="Y139" i="24"/>
  <c r="AD139" i="24" s="1"/>
  <c r="S136" i="27" l="1"/>
  <c r="W136" i="27" s="1"/>
  <c r="AB136" i="27" s="1"/>
  <c r="AE135" i="27"/>
  <c r="AF139" i="27" s="1"/>
  <c r="AG139" i="27" s="1"/>
  <c r="Z135" i="27"/>
  <c r="E151" i="28"/>
  <c r="I156" i="28" s="1"/>
  <c r="F151" i="28"/>
  <c r="J156" i="28" s="1"/>
  <c r="G151" i="28"/>
  <c r="K156" i="28" s="1"/>
  <c r="H151" i="28"/>
  <c r="U143" i="28"/>
  <c r="S142" i="28"/>
  <c r="AI119" i="28"/>
  <c r="AI120" i="28"/>
  <c r="AI121" i="28"/>
  <c r="AC142" i="28"/>
  <c r="AD141" i="28"/>
  <c r="AM141" i="28"/>
  <c r="AB138" i="28"/>
  <c r="AE138" i="28" s="1"/>
  <c r="AF142" i="28" s="1"/>
  <c r="AG142" i="28" s="1"/>
  <c r="AH142" i="28" s="1"/>
  <c r="Y142" i="28"/>
  <c r="V140" i="28"/>
  <c r="AA140" i="28"/>
  <c r="W139" i="28"/>
  <c r="X143" i="28"/>
  <c r="D152" i="28"/>
  <c r="C152" i="28" s="1"/>
  <c r="L156" i="28"/>
  <c r="Z138" i="28"/>
  <c r="AI110" i="27"/>
  <c r="AI112" i="27"/>
  <c r="AI111" i="27"/>
  <c r="AI113" i="27"/>
  <c r="AI111" i="24"/>
  <c r="AI112" i="24"/>
  <c r="AI113" i="24"/>
  <c r="AI127" i="24"/>
  <c r="F148" i="27"/>
  <c r="J153" i="27" s="1"/>
  <c r="G148" i="27"/>
  <c r="K153" i="27" s="1"/>
  <c r="H148" i="27"/>
  <c r="L153" i="27" s="1"/>
  <c r="E148" i="27"/>
  <c r="I153" i="27" s="1"/>
  <c r="AH139" i="27"/>
  <c r="AI114" i="27" s="1"/>
  <c r="T141" i="27"/>
  <c r="X140" i="27"/>
  <c r="AC140" i="27" s="1"/>
  <c r="V136" i="27"/>
  <c r="Z136" i="27" s="1"/>
  <c r="AA136" i="27"/>
  <c r="AE136" i="27" s="1"/>
  <c r="AF140" i="27" s="1"/>
  <c r="AG140" i="27" s="1"/>
  <c r="R137" i="27"/>
  <c r="E147" i="27"/>
  <c r="I152" i="27" s="1"/>
  <c r="F147" i="27"/>
  <c r="J152" i="27" s="1"/>
  <c r="G147" i="27"/>
  <c r="K152" i="27" s="1"/>
  <c r="H147" i="27"/>
  <c r="L152" i="27" s="1"/>
  <c r="D149" i="27"/>
  <c r="Y137" i="27"/>
  <c r="AD137" i="27" s="1"/>
  <c r="S137" i="27"/>
  <c r="W137" i="27" s="1"/>
  <c r="AB137" i="27" s="1"/>
  <c r="U138" i="27"/>
  <c r="T143" i="26"/>
  <c r="X142" i="26"/>
  <c r="AC142" i="26" s="1"/>
  <c r="H149" i="26"/>
  <c r="L164" i="26" s="1"/>
  <c r="G149" i="26"/>
  <c r="K164" i="26" s="1"/>
  <c r="F149" i="26"/>
  <c r="J164" i="26" s="1"/>
  <c r="E149" i="26"/>
  <c r="I164" i="26" s="1"/>
  <c r="Y140" i="26"/>
  <c r="AD140" i="26" s="1"/>
  <c r="U141" i="26"/>
  <c r="D151" i="26"/>
  <c r="C151" i="26" s="1"/>
  <c r="AA139" i="26"/>
  <c r="R140" i="26"/>
  <c r="V139" i="26"/>
  <c r="C150" i="26"/>
  <c r="AB136" i="26"/>
  <c r="AE136" i="26" s="1"/>
  <c r="Z136" i="26"/>
  <c r="W137" i="26"/>
  <c r="S138" i="26"/>
  <c r="AE139" i="24"/>
  <c r="AF143" i="24" s="1"/>
  <c r="AG142" i="24"/>
  <c r="AH141" i="24"/>
  <c r="D151" i="24"/>
  <c r="C151" i="24" s="1"/>
  <c r="C150" i="24"/>
  <c r="Z139" i="24"/>
  <c r="U141" i="24"/>
  <c r="S140" i="24"/>
  <c r="W140" i="24" s="1"/>
  <c r="AB140" i="24" s="1"/>
  <c r="Y140" i="24"/>
  <c r="AD140" i="24" s="1"/>
  <c r="X140" i="24"/>
  <c r="AC140" i="24" s="1"/>
  <c r="T141" i="24"/>
  <c r="AA141" i="24"/>
  <c r="R142" i="24"/>
  <c r="V141" i="24"/>
  <c r="AE140" i="24" l="1"/>
  <c r="AF144" i="24" s="1"/>
  <c r="E152" i="28"/>
  <c r="I157" i="28" s="1"/>
  <c r="F152" i="28"/>
  <c r="J157" i="28" s="1"/>
  <c r="G152" i="28"/>
  <c r="K157" i="28" s="1"/>
  <c r="H152" i="28"/>
  <c r="L157" i="28" s="1"/>
  <c r="S143" i="28"/>
  <c r="U144" i="28"/>
  <c r="AI112" i="28"/>
  <c r="AI123" i="28"/>
  <c r="AI124" i="28"/>
  <c r="AI122" i="28"/>
  <c r="AD142" i="28"/>
  <c r="AM142" i="28"/>
  <c r="AB139" i="28"/>
  <c r="AE139" i="28" s="1"/>
  <c r="AF143" i="28" s="1"/>
  <c r="AG143" i="28" s="1"/>
  <c r="AH143" i="28" s="1"/>
  <c r="AI125" i="28" s="1"/>
  <c r="AC143" i="28"/>
  <c r="Y143" i="28"/>
  <c r="V141" i="28"/>
  <c r="AA141" i="28"/>
  <c r="Z139" i="28"/>
  <c r="D153" i="28"/>
  <c r="X144" i="28"/>
  <c r="W140" i="28"/>
  <c r="J10" i="27"/>
  <c r="AI114" i="24"/>
  <c r="J10" i="24" s="1"/>
  <c r="AH140" i="27"/>
  <c r="V137" i="27"/>
  <c r="Z137" i="27" s="1"/>
  <c r="AA137" i="27"/>
  <c r="AE137" i="27" s="1"/>
  <c r="AF141" i="27" s="1"/>
  <c r="AG141" i="27" s="1"/>
  <c r="R138" i="27"/>
  <c r="Y138" i="27"/>
  <c r="AD138" i="27" s="1"/>
  <c r="S138" i="27"/>
  <c r="W138" i="27" s="1"/>
  <c r="AB138" i="27" s="1"/>
  <c r="U139" i="27"/>
  <c r="D150" i="27"/>
  <c r="C150" i="27" s="1"/>
  <c r="T142" i="27"/>
  <c r="X141" i="27"/>
  <c r="AC141" i="27" s="1"/>
  <c r="C149" i="27"/>
  <c r="H151" i="26"/>
  <c r="L166" i="26" s="1"/>
  <c r="G151" i="26"/>
  <c r="K166" i="26" s="1"/>
  <c r="F151" i="26"/>
  <c r="J166" i="26" s="1"/>
  <c r="E151" i="26"/>
  <c r="I166" i="26" s="1"/>
  <c r="W138" i="26"/>
  <c r="S139" i="26"/>
  <c r="U142" i="26"/>
  <c r="Y141" i="26"/>
  <c r="AD141" i="26" s="1"/>
  <c r="G150" i="26"/>
  <c r="K165" i="26" s="1"/>
  <c r="F150" i="26"/>
  <c r="J165" i="26" s="1"/>
  <c r="H150" i="26"/>
  <c r="L165" i="26" s="1"/>
  <c r="E150" i="26"/>
  <c r="I165" i="26" s="1"/>
  <c r="AB137" i="26"/>
  <c r="AE137" i="26" s="1"/>
  <c r="Z137" i="26"/>
  <c r="D152" i="26"/>
  <c r="R141" i="26"/>
  <c r="AA140" i="26"/>
  <c r="V140" i="26"/>
  <c r="T144" i="26"/>
  <c r="X143" i="26"/>
  <c r="AC143" i="26" s="1"/>
  <c r="E151" i="24"/>
  <c r="I156" i="24" s="1"/>
  <c r="G151" i="24"/>
  <c r="K156" i="24" s="1"/>
  <c r="F151" i="24"/>
  <c r="J156" i="24" s="1"/>
  <c r="H151" i="24"/>
  <c r="L156" i="24" s="1"/>
  <c r="X141" i="24"/>
  <c r="AC141" i="24" s="1"/>
  <c r="T142" i="24"/>
  <c r="H150" i="24"/>
  <c r="L155" i="24" s="1"/>
  <c r="G150" i="24"/>
  <c r="K155" i="24" s="1"/>
  <c r="F150" i="24"/>
  <c r="J155" i="24" s="1"/>
  <c r="E150" i="24"/>
  <c r="I155" i="24" s="1"/>
  <c r="D152" i="24"/>
  <c r="C152" i="24" s="1"/>
  <c r="Z140" i="24"/>
  <c r="S141" i="24"/>
  <c r="W141" i="24" s="1"/>
  <c r="AB141" i="24" s="1"/>
  <c r="Y141" i="24"/>
  <c r="AD141" i="24" s="1"/>
  <c r="U142" i="24"/>
  <c r="AA142" i="24"/>
  <c r="R143" i="24"/>
  <c r="V142" i="24"/>
  <c r="AG143" i="24"/>
  <c r="AH142" i="24"/>
  <c r="AI128" i="24" s="1"/>
  <c r="AE141" i="24" l="1"/>
  <c r="AF145" i="24" s="1"/>
  <c r="S144" i="28"/>
  <c r="U145" i="28"/>
  <c r="AB140" i="28"/>
  <c r="AE140" i="28" s="1"/>
  <c r="AF144" i="28" s="1"/>
  <c r="AG144" i="28" s="1"/>
  <c r="AH144" i="28" s="1"/>
  <c r="AD143" i="28"/>
  <c r="AM143" i="28"/>
  <c r="AC144" i="28"/>
  <c r="AA142" i="28"/>
  <c r="V142" i="28"/>
  <c r="Z140" i="28"/>
  <c r="Y144" i="28"/>
  <c r="X145" i="28"/>
  <c r="D154" i="28"/>
  <c r="C154" i="28" s="1"/>
  <c r="C153" i="28"/>
  <c r="W141" i="28"/>
  <c r="AI115" i="27"/>
  <c r="AI116" i="27"/>
  <c r="AI117" i="27"/>
  <c r="AH141" i="27"/>
  <c r="D151" i="27"/>
  <c r="F150" i="27"/>
  <c r="J155" i="27" s="1"/>
  <c r="G150" i="27"/>
  <c r="K155" i="27" s="1"/>
  <c r="H150" i="27"/>
  <c r="L155" i="27" s="1"/>
  <c r="E150" i="27"/>
  <c r="I155" i="27" s="1"/>
  <c r="Y139" i="27"/>
  <c r="AD139" i="27" s="1"/>
  <c r="S139" i="27"/>
  <c r="W139" i="27" s="1"/>
  <c r="AB139" i="27" s="1"/>
  <c r="U140" i="27"/>
  <c r="V138" i="27"/>
  <c r="Z138" i="27" s="1"/>
  <c r="AA138" i="27"/>
  <c r="AE138" i="27" s="1"/>
  <c r="AF142" i="27" s="1"/>
  <c r="AG142" i="27" s="1"/>
  <c r="R139" i="27"/>
  <c r="H149" i="27"/>
  <c r="L154" i="27" s="1"/>
  <c r="E149" i="27"/>
  <c r="I154" i="27" s="1"/>
  <c r="F149" i="27"/>
  <c r="J154" i="27" s="1"/>
  <c r="G149" i="27"/>
  <c r="K154" i="27" s="1"/>
  <c r="T143" i="27"/>
  <c r="X142" i="27"/>
  <c r="AC142" i="27" s="1"/>
  <c r="X144" i="26"/>
  <c r="AC144" i="26" s="1"/>
  <c r="O145" i="26"/>
  <c r="Y142" i="26"/>
  <c r="AD142" i="26" s="1"/>
  <c r="U143" i="26"/>
  <c r="AA141" i="26"/>
  <c r="R142" i="26"/>
  <c r="V141" i="26"/>
  <c r="D153" i="26"/>
  <c r="C153" i="26" s="1"/>
  <c r="W139" i="26"/>
  <c r="S140" i="26"/>
  <c r="C152" i="26"/>
  <c r="AB138" i="26"/>
  <c r="AE138" i="26" s="1"/>
  <c r="Z138" i="26"/>
  <c r="AG144" i="24"/>
  <c r="AH143" i="24"/>
  <c r="Z141" i="24"/>
  <c r="T143" i="24"/>
  <c r="X142" i="24"/>
  <c r="AC142" i="24" s="1"/>
  <c r="R144" i="24"/>
  <c r="AA143" i="24"/>
  <c r="V143" i="24"/>
  <c r="G152" i="24"/>
  <c r="K157" i="24" s="1"/>
  <c r="F152" i="24"/>
  <c r="J157" i="24" s="1"/>
  <c r="E152" i="24"/>
  <c r="I157" i="24" s="1"/>
  <c r="H152" i="24"/>
  <c r="L157" i="24" s="1"/>
  <c r="D153" i="24"/>
  <c r="C153" i="24" s="1"/>
  <c r="S142" i="24"/>
  <c r="W142" i="24" s="1"/>
  <c r="AB142" i="24" s="1"/>
  <c r="Y142" i="24"/>
  <c r="AD142" i="24" s="1"/>
  <c r="U143" i="24"/>
  <c r="AE142" i="24" l="1"/>
  <c r="AF146" i="24" s="1"/>
  <c r="F153" i="28"/>
  <c r="J158" i="28" s="1"/>
  <c r="G153" i="28"/>
  <c r="K158" i="28" s="1"/>
  <c r="H153" i="28"/>
  <c r="L158" i="28" s="1"/>
  <c r="E153" i="28"/>
  <c r="I158" i="28" s="1"/>
  <c r="E154" i="28"/>
  <c r="I159" i="28" s="1"/>
  <c r="F154" i="28"/>
  <c r="J159" i="28" s="1"/>
  <c r="G154" i="28"/>
  <c r="K159" i="28" s="1"/>
  <c r="H154" i="28"/>
  <c r="L159" i="28" s="1"/>
  <c r="U146" i="28"/>
  <c r="S145" i="28"/>
  <c r="AI126" i="28"/>
  <c r="AI114" i="28"/>
  <c r="AI113" i="28"/>
  <c r="AB141" i="28"/>
  <c r="AE141" i="28" s="1"/>
  <c r="AF145" i="28" s="1"/>
  <c r="AG145" i="28" s="1"/>
  <c r="AH145" i="28" s="1"/>
  <c r="AI127" i="28" s="1"/>
  <c r="AC145" i="28"/>
  <c r="AD144" i="28"/>
  <c r="AM144" i="28"/>
  <c r="Y145" i="28"/>
  <c r="X146" i="28"/>
  <c r="W142" i="28"/>
  <c r="Z141" i="28"/>
  <c r="AA143" i="28"/>
  <c r="V143" i="28"/>
  <c r="D155" i="28"/>
  <c r="C155" i="28" s="1"/>
  <c r="AI118" i="27"/>
  <c r="AI119" i="27"/>
  <c r="AI120" i="27"/>
  <c r="AI121" i="27"/>
  <c r="AI122" i="27"/>
  <c r="AI129" i="24"/>
  <c r="J11" i="24" s="1"/>
  <c r="AH142" i="27"/>
  <c r="S140" i="27"/>
  <c r="W140" i="27" s="1"/>
  <c r="AB140" i="27" s="1"/>
  <c r="U141" i="27"/>
  <c r="Y140" i="27"/>
  <c r="AD140" i="27" s="1"/>
  <c r="D152" i="27"/>
  <c r="X143" i="27"/>
  <c r="AC143" i="27" s="1"/>
  <c r="T144" i="27"/>
  <c r="C151" i="27"/>
  <c r="AA139" i="27"/>
  <c r="AE139" i="27" s="1"/>
  <c r="AF143" i="27" s="1"/>
  <c r="AG143" i="27" s="1"/>
  <c r="R140" i="27"/>
  <c r="V139" i="27"/>
  <c r="Z139" i="27" s="1"/>
  <c r="H153" i="26"/>
  <c r="L168" i="26" s="1"/>
  <c r="G153" i="26"/>
  <c r="K168" i="26" s="1"/>
  <c r="F153" i="26"/>
  <c r="J168" i="26" s="1"/>
  <c r="E153" i="26"/>
  <c r="I168" i="26" s="1"/>
  <c r="R143" i="26"/>
  <c r="V142" i="26"/>
  <c r="AA142" i="26"/>
  <c r="Y143" i="26"/>
  <c r="AD143" i="26" s="1"/>
  <c r="U144" i="26"/>
  <c r="H152" i="26"/>
  <c r="L167" i="26" s="1"/>
  <c r="G152" i="26"/>
  <c r="K167" i="26" s="1"/>
  <c r="E152" i="26"/>
  <c r="I167" i="26" s="1"/>
  <c r="F152" i="26"/>
  <c r="J167" i="26" s="1"/>
  <c r="W140" i="26"/>
  <c r="S141" i="26"/>
  <c r="O157" i="26"/>
  <c r="O156" i="26"/>
  <c r="O159" i="26"/>
  <c r="O158" i="26"/>
  <c r="O153" i="26"/>
  <c r="O152" i="26"/>
  <c r="O151" i="26"/>
  <c r="O150" i="26"/>
  <c r="O149" i="26"/>
  <c r="O148" i="26"/>
  <c r="O154" i="26"/>
  <c r="O147" i="26"/>
  <c r="F13" i="26"/>
  <c r="O155" i="26"/>
  <c r="O146" i="26"/>
  <c r="AB139" i="26"/>
  <c r="AE139" i="26" s="1"/>
  <c r="Z139" i="26"/>
  <c r="D154" i="26"/>
  <c r="T145" i="26"/>
  <c r="H153" i="24"/>
  <c r="L158" i="24" s="1"/>
  <c r="F153" i="24"/>
  <c r="J158" i="24" s="1"/>
  <c r="E153" i="24"/>
  <c r="I158" i="24" s="1"/>
  <c r="G153" i="24"/>
  <c r="K158" i="24" s="1"/>
  <c r="Y143" i="24"/>
  <c r="AD143" i="24" s="1"/>
  <c r="U144" i="24"/>
  <c r="S143" i="24"/>
  <c r="W143" i="24" s="1"/>
  <c r="AB143" i="24" s="1"/>
  <c r="D154" i="24"/>
  <c r="C154" i="24"/>
  <c r="X143" i="24"/>
  <c r="AC143" i="24" s="1"/>
  <c r="T144" i="24"/>
  <c r="AA144" i="24"/>
  <c r="V144" i="24"/>
  <c r="M145" i="24"/>
  <c r="Z142" i="24"/>
  <c r="AH144" i="24"/>
  <c r="AG145" i="24"/>
  <c r="AE143" i="24" l="1"/>
  <c r="AF147" i="24" s="1"/>
  <c r="E155" i="28"/>
  <c r="I160" i="28" s="1"/>
  <c r="F155" i="28"/>
  <c r="J160" i="28" s="1"/>
  <c r="G155" i="28"/>
  <c r="K160" i="28" s="1"/>
  <c r="H155" i="28"/>
  <c r="S146" i="28"/>
  <c r="U147" i="28"/>
  <c r="AI115" i="28"/>
  <c r="AI116" i="28"/>
  <c r="AI117" i="28"/>
  <c r="AD145" i="28"/>
  <c r="AM145" i="28"/>
  <c r="AB142" i="28"/>
  <c r="AE142" i="28" s="1"/>
  <c r="AF146" i="28" s="1"/>
  <c r="AG146" i="28" s="1"/>
  <c r="AH146" i="28" s="1"/>
  <c r="AI128" i="28" s="1"/>
  <c r="AC146" i="28"/>
  <c r="Z142" i="28"/>
  <c r="Y146" i="28"/>
  <c r="X147" i="28"/>
  <c r="O148" i="28"/>
  <c r="T148" i="28" s="1"/>
  <c r="V144" i="28"/>
  <c r="AA144" i="28"/>
  <c r="L160" i="28"/>
  <c r="W143" i="28"/>
  <c r="D156" i="28"/>
  <c r="C156" i="28" s="1"/>
  <c r="AH143" i="27"/>
  <c r="AI130" i="27" s="1"/>
  <c r="AA140" i="27"/>
  <c r="AE140" i="27" s="1"/>
  <c r="AF144" i="27" s="1"/>
  <c r="AG144" i="27" s="1"/>
  <c r="R141" i="27"/>
  <c r="V140" i="27"/>
  <c r="Z140" i="27" s="1"/>
  <c r="H151" i="27"/>
  <c r="L156" i="27" s="1"/>
  <c r="E151" i="27"/>
  <c r="I156" i="27" s="1"/>
  <c r="F151" i="27"/>
  <c r="J156" i="27" s="1"/>
  <c r="G151" i="27"/>
  <c r="K156" i="27" s="1"/>
  <c r="X144" i="27"/>
  <c r="AC144" i="27" s="1"/>
  <c r="O145" i="27"/>
  <c r="T145" i="27" s="1"/>
  <c r="D153" i="27"/>
  <c r="C152" i="27"/>
  <c r="S141" i="27"/>
  <c r="W141" i="27" s="1"/>
  <c r="AB141" i="27" s="1"/>
  <c r="U142" i="27"/>
  <c r="Y141" i="27"/>
  <c r="AD141" i="27" s="1"/>
  <c r="Y144" i="26"/>
  <c r="AD144" i="26" s="1"/>
  <c r="P145" i="26"/>
  <c r="U145" i="26" s="1"/>
  <c r="W141" i="26"/>
  <c r="S142" i="26"/>
  <c r="AA143" i="26"/>
  <c r="R144" i="26"/>
  <c r="V143" i="26"/>
  <c r="AB140" i="26"/>
  <c r="AE140" i="26" s="1"/>
  <c r="Z140" i="26"/>
  <c r="D155" i="26"/>
  <c r="C155" i="26" s="1"/>
  <c r="X145" i="26"/>
  <c r="AC145" i="26" s="1"/>
  <c r="T146" i="26"/>
  <c r="C154" i="26"/>
  <c r="F154" i="24"/>
  <c r="J159" i="24" s="1"/>
  <c r="E154" i="24"/>
  <c r="I159" i="24" s="1"/>
  <c r="H154" i="24"/>
  <c r="L159" i="24" s="1"/>
  <c r="G154" i="24"/>
  <c r="K159" i="24" s="1"/>
  <c r="AH145" i="24"/>
  <c r="AI130" i="24" s="1"/>
  <c r="AG146" i="24"/>
  <c r="Z143" i="24"/>
  <c r="X144" i="24"/>
  <c r="AC144" i="24" s="1"/>
  <c r="O145" i="24"/>
  <c r="T145" i="24" s="1"/>
  <c r="M155" i="24"/>
  <c r="M149" i="24"/>
  <c r="M157" i="24"/>
  <c r="M159" i="24"/>
  <c r="M150" i="24"/>
  <c r="M153" i="24"/>
  <c r="M147" i="24"/>
  <c r="M151" i="24"/>
  <c r="M154" i="24"/>
  <c r="M148" i="24"/>
  <c r="M146" i="24"/>
  <c r="M158" i="24"/>
  <c r="M152" i="24"/>
  <c r="M156" i="24"/>
  <c r="D13" i="24"/>
  <c r="D155" i="24"/>
  <c r="C155" i="24" s="1"/>
  <c r="Y144" i="24"/>
  <c r="AD144" i="24" s="1"/>
  <c r="P145" i="24"/>
  <c r="S144" i="24"/>
  <c r="W144" i="24" s="1"/>
  <c r="AB144" i="24" s="1"/>
  <c r="R145" i="24"/>
  <c r="F156" i="28" l="1"/>
  <c r="J161" i="28" s="1"/>
  <c r="G156" i="28"/>
  <c r="K161" i="28" s="1"/>
  <c r="H156" i="28"/>
  <c r="L161" i="28" s="1"/>
  <c r="E156" i="28"/>
  <c r="I161" i="28" s="1"/>
  <c r="S147" i="28"/>
  <c r="D10" i="28"/>
  <c r="AB143" i="28"/>
  <c r="AE143" i="28" s="1"/>
  <c r="AF147" i="28" s="1"/>
  <c r="AG147" i="28" s="1"/>
  <c r="AH147" i="28" s="1"/>
  <c r="AI129" i="28" s="1"/>
  <c r="AC147" i="28"/>
  <c r="AD146" i="28"/>
  <c r="AM146" i="28"/>
  <c r="X148" i="28"/>
  <c r="V145" i="28"/>
  <c r="AA145" i="28"/>
  <c r="W144" i="28"/>
  <c r="Y147" i="28"/>
  <c r="P148" i="28"/>
  <c r="U148" i="28" s="1"/>
  <c r="Z143" i="28"/>
  <c r="O159" i="28"/>
  <c r="O155" i="28"/>
  <c r="O149" i="28"/>
  <c r="T149" i="28" s="1"/>
  <c r="O162" i="28"/>
  <c r="O158" i="28"/>
  <c r="O161" i="28"/>
  <c r="O154" i="28"/>
  <c r="O156" i="28"/>
  <c r="O160" i="28"/>
  <c r="O157" i="28"/>
  <c r="O153" i="28"/>
  <c r="O150" i="28"/>
  <c r="O151" i="28"/>
  <c r="O152" i="28"/>
  <c r="H13" i="28"/>
  <c r="D157" i="28"/>
  <c r="C157" i="28" s="1"/>
  <c r="AI123" i="27"/>
  <c r="X145" i="27"/>
  <c r="AC145" i="27" s="1"/>
  <c r="AH144" i="27"/>
  <c r="AI131" i="27" s="1"/>
  <c r="F13" i="27"/>
  <c r="O146" i="27"/>
  <c r="T146" i="27" s="1"/>
  <c r="O149" i="27"/>
  <c r="O148" i="27"/>
  <c r="O147" i="27"/>
  <c r="O154" i="27"/>
  <c r="O152" i="27"/>
  <c r="O158" i="27"/>
  <c r="O151" i="27"/>
  <c r="O157" i="27"/>
  <c r="O150" i="27"/>
  <c r="O156" i="27"/>
  <c r="O155" i="27"/>
  <c r="O153" i="27"/>
  <c r="O159" i="27"/>
  <c r="S142" i="27"/>
  <c r="W142" i="27" s="1"/>
  <c r="AB142" i="27" s="1"/>
  <c r="U143" i="27"/>
  <c r="Y142" i="27"/>
  <c r="AD142" i="27" s="1"/>
  <c r="R142" i="27"/>
  <c r="V141" i="27"/>
  <c r="Z141" i="27" s="1"/>
  <c r="AA141" i="27"/>
  <c r="AE141" i="27" s="1"/>
  <c r="AF145" i="27" s="1"/>
  <c r="AG145" i="27" s="1"/>
  <c r="E152" i="27"/>
  <c r="I157" i="27" s="1"/>
  <c r="F152" i="27"/>
  <c r="J157" i="27" s="1"/>
  <c r="G152" i="27"/>
  <c r="K157" i="27" s="1"/>
  <c r="H152" i="27"/>
  <c r="L157" i="27" s="1"/>
  <c r="D154" i="27"/>
  <c r="C153" i="27"/>
  <c r="H155" i="26"/>
  <c r="L170" i="26" s="1"/>
  <c r="G155" i="26"/>
  <c r="K170" i="26" s="1"/>
  <c r="F155" i="26"/>
  <c r="J170" i="26" s="1"/>
  <c r="E155" i="26"/>
  <c r="I170" i="26" s="1"/>
  <c r="Y145" i="26"/>
  <c r="AD145" i="26" s="1"/>
  <c r="AA144" i="26"/>
  <c r="M145" i="26"/>
  <c r="R145" i="26" s="1"/>
  <c r="V144" i="26"/>
  <c r="W142" i="26"/>
  <c r="S143" i="26"/>
  <c r="AB141" i="26"/>
  <c r="AE141" i="26" s="1"/>
  <c r="Z141" i="26"/>
  <c r="G154" i="26"/>
  <c r="K169" i="26" s="1"/>
  <c r="F154" i="26"/>
  <c r="J169" i="26" s="1"/>
  <c r="H154" i="26"/>
  <c r="L169" i="26" s="1"/>
  <c r="E154" i="26"/>
  <c r="I169" i="26" s="1"/>
  <c r="T147" i="26"/>
  <c r="X146" i="26"/>
  <c r="AC146" i="26" s="1"/>
  <c r="D156" i="26"/>
  <c r="P157" i="26"/>
  <c r="P156" i="26"/>
  <c r="P159" i="26"/>
  <c r="P158" i="26"/>
  <c r="P149" i="26"/>
  <c r="P148" i="26"/>
  <c r="P153" i="26"/>
  <c r="P152" i="26"/>
  <c r="P146" i="26"/>
  <c r="U146" i="26" s="1"/>
  <c r="P151" i="26"/>
  <c r="P150" i="26"/>
  <c r="P154" i="26"/>
  <c r="P147" i="26"/>
  <c r="P155" i="26"/>
  <c r="G13" i="26"/>
  <c r="AE144" i="24"/>
  <c r="AF148" i="24" s="1"/>
  <c r="X145" i="24"/>
  <c r="AC145" i="24" s="1"/>
  <c r="Z144" i="24"/>
  <c r="AG147" i="24"/>
  <c r="AH146" i="24"/>
  <c r="R146" i="24"/>
  <c r="V145" i="24"/>
  <c r="AA145" i="24"/>
  <c r="F155" i="24"/>
  <c r="J160" i="24" s="1"/>
  <c r="E155" i="24"/>
  <c r="I160" i="24" s="1"/>
  <c r="G155" i="24"/>
  <c r="K160" i="24" s="1"/>
  <c r="H155" i="24"/>
  <c r="L160" i="24" s="1"/>
  <c r="P157" i="24"/>
  <c r="P151" i="24"/>
  <c r="P154" i="24"/>
  <c r="P159" i="24"/>
  <c r="P148" i="24"/>
  <c r="P158" i="24"/>
  <c r="P152" i="24"/>
  <c r="P155" i="24"/>
  <c r="P149" i="24"/>
  <c r="P156" i="24"/>
  <c r="P153" i="24"/>
  <c r="P147" i="24"/>
  <c r="P146" i="24"/>
  <c r="G13" i="24"/>
  <c r="P150" i="24"/>
  <c r="D156" i="24"/>
  <c r="C156" i="24" s="1"/>
  <c r="O156" i="24"/>
  <c r="O150" i="24"/>
  <c r="O149" i="24"/>
  <c r="O146" i="24"/>
  <c r="T146" i="24" s="1"/>
  <c r="O154" i="24"/>
  <c r="O151" i="24"/>
  <c r="O157" i="24"/>
  <c r="O148" i="24"/>
  <c r="O158" i="24"/>
  <c r="O152" i="24"/>
  <c r="O155" i="24"/>
  <c r="O159" i="24"/>
  <c r="O153" i="24"/>
  <c r="F13" i="24"/>
  <c r="O147" i="24"/>
  <c r="U145" i="24"/>
  <c r="N145" i="24"/>
  <c r="T150" i="28" l="1"/>
  <c r="T151" i="28" s="1"/>
  <c r="T152" i="28" s="1"/>
  <c r="T153" i="28" s="1"/>
  <c r="T154" i="28" s="1"/>
  <c r="T155" i="28" s="1"/>
  <c r="T156" i="28" s="1"/>
  <c r="T157" i="28" s="1"/>
  <c r="T158" i="28" s="1"/>
  <c r="T159" i="28" s="1"/>
  <c r="T160" i="28" s="1"/>
  <c r="T161" i="28" s="1"/>
  <c r="E157" i="28"/>
  <c r="I162" i="28" s="1"/>
  <c r="F157" i="28"/>
  <c r="J162" i="28" s="1"/>
  <c r="G157" i="28"/>
  <c r="K162" i="28" s="1"/>
  <c r="H157" i="28"/>
  <c r="L162" i="28" s="1"/>
  <c r="AB144" i="28"/>
  <c r="AE144" i="28" s="1"/>
  <c r="AF148" i="28" s="1"/>
  <c r="AG148" i="28" s="1"/>
  <c r="AH148" i="28" s="1"/>
  <c r="AI130" i="28" s="1"/>
  <c r="AD147" i="28"/>
  <c r="AM147" i="28"/>
  <c r="AC148" i="28"/>
  <c r="Z144" i="28"/>
  <c r="X149" i="28"/>
  <c r="Y148" i="28"/>
  <c r="V146" i="28"/>
  <c r="AA146" i="28"/>
  <c r="P155" i="28"/>
  <c r="P149" i="28"/>
  <c r="U149" i="28" s="1"/>
  <c r="P162" i="28"/>
  <c r="P158" i="28"/>
  <c r="P150" i="28"/>
  <c r="P154" i="28"/>
  <c r="P153" i="28"/>
  <c r="P156" i="28"/>
  <c r="P159" i="28"/>
  <c r="P157" i="28"/>
  <c r="P160" i="28"/>
  <c r="P161" i="28"/>
  <c r="P151" i="28"/>
  <c r="P152" i="28"/>
  <c r="I13" i="28"/>
  <c r="W145" i="28"/>
  <c r="D158" i="28"/>
  <c r="C158" i="28" s="1"/>
  <c r="AI131" i="24"/>
  <c r="AH145" i="27"/>
  <c r="AI132" i="27" s="1"/>
  <c r="T147" i="27"/>
  <c r="X146" i="27"/>
  <c r="AC146" i="27" s="1"/>
  <c r="V142" i="27"/>
  <c r="Z142" i="27" s="1"/>
  <c r="AA142" i="27"/>
  <c r="AE142" i="27" s="1"/>
  <c r="AF146" i="27" s="1"/>
  <c r="AG146" i="27" s="1"/>
  <c r="R143" i="27"/>
  <c r="Y143" i="27"/>
  <c r="AD143" i="27" s="1"/>
  <c r="S143" i="27"/>
  <c r="W143" i="27" s="1"/>
  <c r="AB143" i="27" s="1"/>
  <c r="U144" i="27"/>
  <c r="E153" i="27"/>
  <c r="I158" i="27" s="1"/>
  <c r="G153" i="27"/>
  <c r="K158" i="27" s="1"/>
  <c r="H153" i="27"/>
  <c r="L158" i="27" s="1"/>
  <c r="F153" i="27"/>
  <c r="J158" i="27" s="1"/>
  <c r="D155" i="27"/>
  <c r="C155" i="27" s="1"/>
  <c r="C154" i="27"/>
  <c r="AA145" i="26"/>
  <c r="V145" i="26"/>
  <c r="Y146" i="26"/>
  <c r="AD146" i="26" s="1"/>
  <c r="U147" i="26"/>
  <c r="T148" i="26"/>
  <c r="X147" i="26"/>
  <c r="AC147" i="26" s="1"/>
  <c r="D157" i="26"/>
  <c r="C157" i="26" s="1"/>
  <c r="W143" i="26"/>
  <c r="S144" i="26"/>
  <c r="M158" i="26"/>
  <c r="M156" i="26"/>
  <c r="M154" i="26"/>
  <c r="M152" i="26"/>
  <c r="M150" i="26"/>
  <c r="M148" i="26"/>
  <c r="M146" i="26"/>
  <c r="M155" i="26"/>
  <c r="M157" i="26"/>
  <c r="M151" i="26"/>
  <c r="M159" i="26"/>
  <c r="M153" i="26"/>
  <c r="M149" i="26"/>
  <c r="M147" i="26"/>
  <c r="D13" i="26"/>
  <c r="N145" i="26"/>
  <c r="C156" i="26"/>
  <c r="AB142" i="26"/>
  <c r="AE142" i="26" s="1"/>
  <c r="Z142" i="26"/>
  <c r="E156" i="24"/>
  <c r="I161" i="24" s="1"/>
  <c r="G156" i="24"/>
  <c r="K161" i="24" s="1"/>
  <c r="F156" i="24"/>
  <c r="J161" i="24" s="1"/>
  <c r="H156" i="24"/>
  <c r="L161" i="24" s="1"/>
  <c r="T147" i="24"/>
  <c r="X146" i="24"/>
  <c r="AC146" i="24" s="1"/>
  <c r="AG148" i="24"/>
  <c r="AH147" i="24"/>
  <c r="I12" i="24"/>
  <c r="S145" i="24"/>
  <c r="W145" i="24" s="1"/>
  <c r="AB145" i="24" s="1"/>
  <c r="U146" i="24"/>
  <c r="Y145" i="24"/>
  <c r="AD145" i="24" s="1"/>
  <c r="D157" i="24"/>
  <c r="C157" i="24" s="1"/>
  <c r="N156" i="24"/>
  <c r="Q156" i="24" s="1"/>
  <c r="N150" i="24"/>
  <c r="Q150" i="24" s="1"/>
  <c r="N149" i="24"/>
  <c r="Q149" i="24" s="1"/>
  <c r="N146" i="24"/>
  <c r="Q146" i="24" s="1"/>
  <c r="N153" i="24"/>
  <c r="Q153" i="24" s="1"/>
  <c r="N147" i="24"/>
  <c r="Q147" i="24" s="1"/>
  <c r="N151" i="24"/>
  <c r="Q151" i="24" s="1"/>
  <c r="N154" i="24"/>
  <c r="Q154" i="24" s="1"/>
  <c r="N157" i="24"/>
  <c r="Q157" i="24" s="1"/>
  <c r="N148" i="24"/>
  <c r="Q148" i="24" s="1"/>
  <c r="N158" i="24"/>
  <c r="Q158" i="24" s="1"/>
  <c r="N152" i="24"/>
  <c r="Q152" i="24" s="1"/>
  <c r="N155" i="24"/>
  <c r="Q155" i="24" s="1"/>
  <c r="N159" i="24"/>
  <c r="Q159" i="24" s="1"/>
  <c r="E13" i="24"/>
  <c r="Q145" i="24"/>
  <c r="V146" i="24"/>
  <c r="R147" i="24"/>
  <c r="AA146" i="24"/>
  <c r="E158" i="28" l="1"/>
  <c r="I163" i="28" s="1"/>
  <c r="H158" i="28"/>
  <c r="L163" i="28" s="1"/>
  <c r="F158" i="28"/>
  <c r="J163" i="28" s="1"/>
  <c r="G158" i="28"/>
  <c r="K163" i="28" s="1"/>
  <c r="T162" i="28"/>
  <c r="U150" i="28"/>
  <c r="AD148" i="28"/>
  <c r="AC149" i="28"/>
  <c r="AB145" i="28"/>
  <c r="AE145" i="28" s="1"/>
  <c r="AF149" i="28" s="1"/>
  <c r="AG149" i="28" s="1"/>
  <c r="AH149" i="28" s="1"/>
  <c r="Y149" i="28"/>
  <c r="W146" i="28"/>
  <c r="M148" i="28"/>
  <c r="R148" i="28" s="1"/>
  <c r="V147" i="28"/>
  <c r="AA147" i="28"/>
  <c r="Z145" i="28"/>
  <c r="X150" i="28"/>
  <c r="D159" i="28"/>
  <c r="AI124" i="27"/>
  <c r="AI125" i="27"/>
  <c r="AH146" i="27"/>
  <c r="E155" i="27"/>
  <c r="I160" i="27" s="1"/>
  <c r="F155" i="27"/>
  <c r="J160" i="27" s="1"/>
  <c r="H155" i="27"/>
  <c r="L160" i="27" s="1"/>
  <c r="G155" i="27"/>
  <c r="K160" i="27" s="1"/>
  <c r="Y144" i="27"/>
  <c r="AD144" i="27" s="1"/>
  <c r="P145" i="27"/>
  <c r="U145" i="27" s="1"/>
  <c r="S144" i="27"/>
  <c r="W144" i="27" s="1"/>
  <c r="AB144" i="27" s="1"/>
  <c r="V143" i="27"/>
  <c r="Z143" i="27" s="1"/>
  <c r="AA143" i="27"/>
  <c r="AE143" i="27" s="1"/>
  <c r="AF147" i="27" s="1"/>
  <c r="AG147" i="27" s="1"/>
  <c r="R144" i="27"/>
  <c r="D156" i="27"/>
  <c r="T148" i="27"/>
  <c r="X147" i="27"/>
  <c r="AC147" i="27" s="1"/>
  <c r="F154" i="27"/>
  <c r="J159" i="27" s="1"/>
  <c r="G154" i="27"/>
  <c r="K159" i="27" s="1"/>
  <c r="E154" i="27"/>
  <c r="I159" i="27" s="1"/>
  <c r="H154" i="27"/>
  <c r="L159" i="27" s="1"/>
  <c r="D158" i="26"/>
  <c r="T149" i="26"/>
  <c r="X148" i="26"/>
  <c r="AC148" i="26" s="1"/>
  <c r="N158" i="26"/>
  <c r="Q158" i="26" s="1"/>
  <c r="N156" i="26"/>
  <c r="Q156" i="26" s="1"/>
  <c r="N154" i="26"/>
  <c r="Q154" i="26" s="1"/>
  <c r="N152" i="26"/>
  <c r="Q152" i="26" s="1"/>
  <c r="N150" i="26"/>
  <c r="Q150" i="26" s="1"/>
  <c r="N148" i="26"/>
  <c r="Q148" i="26" s="1"/>
  <c r="N146" i="26"/>
  <c r="Q146" i="26" s="1"/>
  <c r="N155" i="26"/>
  <c r="Q155" i="26" s="1"/>
  <c r="N157" i="26"/>
  <c r="Q157" i="26" s="1"/>
  <c r="N159" i="26"/>
  <c r="Q159" i="26" s="1"/>
  <c r="N147" i="26"/>
  <c r="Q147" i="26" s="1"/>
  <c r="N151" i="26"/>
  <c r="Q151" i="26" s="1"/>
  <c r="N153" i="26"/>
  <c r="Q153" i="26" s="1"/>
  <c r="N149" i="26"/>
  <c r="Q149" i="26" s="1"/>
  <c r="E13" i="26"/>
  <c r="Y147" i="26"/>
  <c r="AD147" i="26" s="1"/>
  <c r="U148" i="26"/>
  <c r="F156" i="26"/>
  <c r="J171" i="26" s="1"/>
  <c r="E156" i="26"/>
  <c r="I171" i="26" s="1"/>
  <c r="H156" i="26"/>
  <c r="L171" i="26" s="1"/>
  <c r="G156" i="26"/>
  <c r="K171" i="26" s="1"/>
  <c r="H157" i="26"/>
  <c r="L172" i="26" s="1"/>
  <c r="G157" i="26"/>
  <c r="K172" i="26" s="1"/>
  <c r="F157" i="26"/>
  <c r="J172" i="26" s="1"/>
  <c r="E157" i="26"/>
  <c r="I172" i="26" s="1"/>
  <c r="Q145" i="26"/>
  <c r="W144" i="26"/>
  <c r="S145" i="26"/>
  <c r="AB143" i="26"/>
  <c r="AE143" i="26" s="1"/>
  <c r="Z143" i="26"/>
  <c r="R146" i="26"/>
  <c r="AE145" i="24"/>
  <c r="AF149" i="24" s="1"/>
  <c r="AG149" i="24" s="1"/>
  <c r="Z145" i="24"/>
  <c r="R148" i="24"/>
  <c r="V147" i="24"/>
  <c r="AA147" i="24"/>
  <c r="D158" i="24"/>
  <c r="C158" i="24" s="1"/>
  <c r="X147" i="24"/>
  <c r="AC147" i="24" s="1"/>
  <c r="T148" i="24"/>
  <c r="U147" i="24"/>
  <c r="S146" i="24"/>
  <c r="W146" i="24" s="1"/>
  <c r="AB146" i="24" s="1"/>
  <c r="Y146" i="24"/>
  <c r="AD146" i="24" s="1"/>
  <c r="AH148" i="24"/>
  <c r="AI132" i="24" s="1"/>
  <c r="E157" i="24"/>
  <c r="I162" i="24" s="1"/>
  <c r="G157" i="24"/>
  <c r="K162" i="24" s="1"/>
  <c r="F157" i="24"/>
  <c r="J162" i="24" s="1"/>
  <c r="H157" i="24"/>
  <c r="L162" i="24" s="1"/>
  <c r="U151" i="28" l="1"/>
  <c r="AC150" i="28"/>
  <c r="AB146" i="28"/>
  <c r="AE146" i="28" s="1"/>
  <c r="AF150" i="28" s="1"/>
  <c r="AG150" i="28" s="1"/>
  <c r="AH150" i="28" s="1"/>
  <c r="AI131" i="28" s="1"/>
  <c r="AD149" i="28"/>
  <c r="AA148" i="28"/>
  <c r="V148" i="28"/>
  <c r="D160" i="28"/>
  <c r="C160" i="28" s="1"/>
  <c r="C159" i="28"/>
  <c r="M158" i="28"/>
  <c r="M160" i="28"/>
  <c r="M154" i="28"/>
  <c r="M157" i="28"/>
  <c r="M161" i="28"/>
  <c r="M162" i="28"/>
  <c r="M152" i="28"/>
  <c r="M151" i="28"/>
  <c r="M150" i="28"/>
  <c r="M149" i="28"/>
  <c r="R149" i="28" s="1"/>
  <c r="R150" i="28" s="1"/>
  <c r="R151" i="28" s="1"/>
  <c r="M156" i="28"/>
  <c r="M155" i="28"/>
  <c r="M153" i="28"/>
  <c r="M159" i="28"/>
  <c r="F13" i="28"/>
  <c r="N148" i="28"/>
  <c r="S148" i="28" s="1"/>
  <c r="W147" i="28"/>
  <c r="X151" i="28"/>
  <c r="Y150" i="28"/>
  <c r="Z146" i="28"/>
  <c r="AI133" i="27"/>
  <c r="AI134" i="27"/>
  <c r="AI135" i="27"/>
  <c r="AH147" i="27"/>
  <c r="G13" i="27"/>
  <c r="P147" i="27"/>
  <c r="P146" i="27"/>
  <c r="U146" i="27" s="1"/>
  <c r="P149" i="27"/>
  <c r="P148" i="27"/>
  <c r="P155" i="27"/>
  <c r="P154" i="27"/>
  <c r="P153" i="27"/>
  <c r="P159" i="27"/>
  <c r="P151" i="27"/>
  <c r="P157" i="27"/>
  <c r="P150" i="27"/>
  <c r="P156" i="27"/>
  <c r="P152" i="27"/>
  <c r="P158" i="27"/>
  <c r="Y145" i="27"/>
  <c r="AD145" i="27" s="1"/>
  <c r="T149" i="27"/>
  <c r="X148" i="27"/>
  <c r="AC148" i="27" s="1"/>
  <c r="D157" i="27"/>
  <c r="C157" i="27" s="1"/>
  <c r="C156" i="27"/>
  <c r="V144" i="27"/>
  <c r="Z144" i="27" s="1"/>
  <c r="M145" i="27"/>
  <c r="R145" i="27" s="1"/>
  <c r="AA144" i="27"/>
  <c r="AE144" i="27" s="1"/>
  <c r="AF148" i="27" s="1"/>
  <c r="AG148" i="27" s="1"/>
  <c r="Y148" i="26"/>
  <c r="AD148" i="26" s="1"/>
  <c r="U149" i="26"/>
  <c r="T150" i="26"/>
  <c r="X149" i="26"/>
  <c r="AC149" i="26" s="1"/>
  <c r="W145" i="26"/>
  <c r="S146" i="26"/>
  <c r="AB144" i="26"/>
  <c r="AE144" i="26" s="1"/>
  <c r="Z144" i="26"/>
  <c r="I12" i="26" s="1"/>
  <c r="J12" i="26" s="1"/>
  <c r="R147" i="26"/>
  <c r="V146" i="26"/>
  <c r="AA146" i="26"/>
  <c r="D159" i="26"/>
  <c r="C158" i="26"/>
  <c r="AE146" i="24"/>
  <c r="AF150" i="24" s="1"/>
  <c r="AG150" i="24" s="1"/>
  <c r="G158" i="24"/>
  <c r="K163" i="24" s="1"/>
  <c r="F158" i="24"/>
  <c r="J163" i="24" s="1"/>
  <c r="H158" i="24"/>
  <c r="L163" i="24" s="1"/>
  <c r="E158" i="24"/>
  <c r="I163" i="24" s="1"/>
  <c r="X148" i="24"/>
  <c r="AC148" i="24" s="1"/>
  <c r="T149" i="24"/>
  <c r="D159" i="24"/>
  <c r="Z146" i="24"/>
  <c r="Y147" i="24"/>
  <c r="AD147" i="24" s="1"/>
  <c r="S147" i="24"/>
  <c r="W147" i="24" s="1"/>
  <c r="AB147" i="24" s="1"/>
  <c r="AE147" i="24" s="1"/>
  <c r="AF151" i="24" s="1"/>
  <c r="U148" i="24"/>
  <c r="AH149" i="24"/>
  <c r="AI133" i="24" s="1"/>
  <c r="V148" i="24"/>
  <c r="AA148" i="24"/>
  <c r="R149" i="24"/>
  <c r="R152" i="28" l="1"/>
  <c r="F159" i="28"/>
  <c r="J164" i="28" s="1"/>
  <c r="G159" i="28"/>
  <c r="K164" i="28" s="1"/>
  <c r="H159" i="28"/>
  <c r="L164" i="28" s="1"/>
  <c r="E159" i="28"/>
  <c r="I164" i="28" s="1"/>
  <c r="E160" i="28"/>
  <c r="I165" i="28" s="1"/>
  <c r="F160" i="28"/>
  <c r="J165" i="28" s="1"/>
  <c r="G160" i="28"/>
  <c r="K165" i="28" s="1"/>
  <c r="H160" i="28"/>
  <c r="L165" i="28" s="1"/>
  <c r="R153" i="28"/>
  <c r="R154" i="28" s="1"/>
  <c r="R155" i="28" s="1"/>
  <c r="R156" i="28" s="1"/>
  <c r="R157" i="28" s="1"/>
  <c r="R158" i="28" s="1"/>
  <c r="R159" i="28" s="1"/>
  <c r="R160" i="28" s="1"/>
  <c r="R161" i="28" s="1"/>
  <c r="R162" i="28" s="1"/>
  <c r="U152" i="28"/>
  <c r="AD150" i="28"/>
  <c r="AC151" i="28"/>
  <c r="AB147" i="28"/>
  <c r="AE147" i="28" s="1"/>
  <c r="AF151" i="28" s="1"/>
  <c r="AG151" i="28" s="1"/>
  <c r="AH151" i="28" s="1"/>
  <c r="Z147" i="28"/>
  <c r="C12" i="28" s="1"/>
  <c r="W148" i="28"/>
  <c r="Y151" i="28"/>
  <c r="Q148" i="28"/>
  <c r="X152" i="28"/>
  <c r="D161" i="28"/>
  <c r="C161" i="28" s="1"/>
  <c r="N160" i="28"/>
  <c r="Q160" i="28" s="1"/>
  <c r="N154" i="28"/>
  <c r="Q154" i="28" s="1"/>
  <c r="N155" i="28"/>
  <c r="Q155" i="28" s="1"/>
  <c r="N149" i="28"/>
  <c r="S149" i="28" s="1"/>
  <c r="N161" i="28"/>
  <c r="Q161" i="28" s="1"/>
  <c r="N162" i="28"/>
  <c r="Q162" i="28" s="1"/>
  <c r="N150" i="28"/>
  <c r="Q150" i="28" s="1"/>
  <c r="N158" i="28"/>
  <c r="Q158" i="28" s="1"/>
  <c r="N156" i="28"/>
  <c r="Q156" i="28" s="1"/>
  <c r="N152" i="28"/>
  <c r="Q152" i="28" s="1"/>
  <c r="N157" i="28"/>
  <c r="Q157" i="28" s="1"/>
  <c r="N153" i="28"/>
  <c r="Q153" i="28" s="1"/>
  <c r="N159" i="28"/>
  <c r="Q159" i="28" s="1"/>
  <c r="N151" i="28"/>
  <c r="Q151" i="28" s="1"/>
  <c r="G13" i="28"/>
  <c r="AI126" i="27"/>
  <c r="AI136" i="27"/>
  <c r="AI137" i="27"/>
  <c r="AH148" i="27"/>
  <c r="H157" i="27"/>
  <c r="L162" i="27" s="1"/>
  <c r="E157" i="27"/>
  <c r="I162" i="27" s="1"/>
  <c r="F157" i="27"/>
  <c r="J162" i="27" s="1"/>
  <c r="G157" i="27"/>
  <c r="K162" i="27" s="1"/>
  <c r="X149" i="27"/>
  <c r="AC149" i="27" s="1"/>
  <c r="T150" i="27"/>
  <c r="U147" i="27"/>
  <c r="Y146" i="27"/>
  <c r="AD146" i="27" s="1"/>
  <c r="AA145" i="27"/>
  <c r="V145" i="27"/>
  <c r="D13" i="27"/>
  <c r="N145" i="27"/>
  <c r="Q145" i="27" s="1"/>
  <c r="M149" i="27"/>
  <c r="M148" i="27"/>
  <c r="M147" i="27"/>
  <c r="M146" i="27"/>
  <c r="M153" i="27"/>
  <c r="M159" i="27"/>
  <c r="M152" i="27"/>
  <c r="M151" i="27"/>
  <c r="M157" i="27"/>
  <c r="M150" i="27"/>
  <c r="M156" i="27"/>
  <c r="M155" i="27"/>
  <c r="M154" i="27"/>
  <c r="M158" i="27"/>
  <c r="F156" i="27"/>
  <c r="J161" i="27" s="1"/>
  <c r="G156" i="27"/>
  <c r="K161" i="27" s="1"/>
  <c r="H156" i="27"/>
  <c r="L161" i="27" s="1"/>
  <c r="E156" i="27"/>
  <c r="I161" i="27" s="1"/>
  <c r="I12" i="27"/>
  <c r="D158" i="27"/>
  <c r="AA147" i="26"/>
  <c r="R148" i="26"/>
  <c r="V147" i="26"/>
  <c r="W146" i="26"/>
  <c r="AB146" i="26" s="1"/>
  <c r="AE146" i="26" s="1"/>
  <c r="S147" i="26"/>
  <c r="AB145" i="26"/>
  <c r="AE145" i="26" s="1"/>
  <c r="Z145" i="26"/>
  <c r="T151" i="26"/>
  <c r="X150" i="26"/>
  <c r="AC150" i="26" s="1"/>
  <c r="H158" i="26"/>
  <c r="L173" i="26" s="1"/>
  <c r="G158" i="26"/>
  <c r="K173" i="26" s="1"/>
  <c r="F158" i="26"/>
  <c r="J173" i="26" s="1"/>
  <c r="E158" i="26"/>
  <c r="I173" i="26" s="1"/>
  <c r="U150" i="26"/>
  <c r="Y149" i="26"/>
  <c r="AD149" i="26" s="1"/>
  <c r="D160" i="26"/>
  <c r="C160" i="26" s="1"/>
  <c r="C159" i="26"/>
  <c r="D160" i="24"/>
  <c r="C160" i="24" s="1"/>
  <c r="V149" i="24"/>
  <c r="AA149" i="24"/>
  <c r="R150" i="24"/>
  <c r="C159" i="24"/>
  <c r="X149" i="24"/>
  <c r="AC149" i="24" s="1"/>
  <c r="T150" i="24"/>
  <c r="AG151" i="24"/>
  <c r="AH150" i="24"/>
  <c r="Z147" i="24"/>
  <c r="S148" i="24"/>
  <c r="W148" i="24" s="1"/>
  <c r="AB148" i="24" s="1"/>
  <c r="Y148" i="24"/>
  <c r="AD148" i="24" s="1"/>
  <c r="U149" i="24"/>
  <c r="S150" i="28" l="1"/>
  <c r="S151" i="28" s="1"/>
  <c r="Z146" i="26"/>
  <c r="E161" i="28"/>
  <c r="F161" i="28"/>
  <c r="G161" i="28"/>
  <c r="K166" i="28" s="1"/>
  <c r="H161" i="28"/>
  <c r="L166" i="28" s="1"/>
  <c r="S152" i="28"/>
  <c r="U153" i="28"/>
  <c r="AI132" i="28"/>
  <c r="D11" i="28" s="1"/>
  <c r="AB148" i="28"/>
  <c r="AE148" i="28" s="1"/>
  <c r="AF152" i="28" s="1"/>
  <c r="AG152" i="28" s="1"/>
  <c r="AH152" i="28" s="1"/>
  <c r="Z148" i="28"/>
  <c r="AC152" i="28"/>
  <c r="AD151" i="28"/>
  <c r="W149" i="28"/>
  <c r="X153" i="28"/>
  <c r="J166" i="28"/>
  <c r="I166" i="28"/>
  <c r="D162" i="28"/>
  <c r="Q149" i="28"/>
  <c r="AA149" i="28"/>
  <c r="V149" i="28"/>
  <c r="Y152" i="28"/>
  <c r="AI138" i="27"/>
  <c r="AE148" i="24"/>
  <c r="AF152" i="24" s="1"/>
  <c r="AG152" i="24" s="1"/>
  <c r="AI136" i="24"/>
  <c r="AI137" i="24"/>
  <c r="AI134" i="24"/>
  <c r="AI135" i="24"/>
  <c r="U148" i="27"/>
  <c r="Y147" i="27"/>
  <c r="AD147" i="27" s="1"/>
  <c r="T151" i="27"/>
  <c r="X150" i="27"/>
  <c r="AC150" i="27" s="1"/>
  <c r="E13" i="27"/>
  <c r="N146" i="27"/>
  <c r="Q146" i="27" s="1"/>
  <c r="N148" i="27"/>
  <c r="Q148" i="27" s="1"/>
  <c r="N147" i="27"/>
  <c r="Q147" i="27" s="1"/>
  <c r="N154" i="27"/>
  <c r="Q154" i="27" s="1"/>
  <c r="N153" i="27"/>
  <c r="Q153" i="27" s="1"/>
  <c r="N159" i="27"/>
  <c r="Q159" i="27" s="1"/>
  <c r="N152" i="27"/>
  <c r="Q152" i="27" s="1"/>
  <c r="N158" i="27"/>
  <c r="Q158" i="27" s="1"/>
  <c r="N150" i="27"/>
  <c r="Q150" i="27" s="1"/>
  <c r="N156" i="27"/>
  <c r="Q156" i="27" s="1"/>
  <c r="N149" i="27"/>
  <c r="Q149" i="27" s="1"/>
  <c r="N155" i="27"/>
  <c r="Q155" i="27" s="1"/>
  <c r="N151" i="27"/>
  <c r="Q151" i="27" s="1"/>
  <c r="N157" i="27"/>
  <c r="Q157" i="27" s="1"/>
  <c r="S145" i="27"/>
  <c r="D159" i="27"/>
  <c r="C159" i="27" s="1"/>
  <c r="C158" i="27"/>
  <c r="R146" i="27"/>
  <c r="D161" i="26"/>
  <c r="C161" i="26" s="1"/>
  <c r="W147" i="26"/>
  <c r="AB147" i="26" s="1"/>
  <c r="AE147" i="26" s="1"/>
  <c r="S148" i="26"/>
  <c r="Y150" i="26"/>
  <c r="AD150" i="26" s="1"/>
  <c r="U151" i="26"/>
  <c r="H159" i="26"/>
  <c r="L174" i="26" s="1"/>
  <c r="G159" i="26"/>
  <c r="K174" i="26" s="1"/>
  <c r="F159" i="26"/>
  <c r="J174" i="26" s="1"/>
  <c r="E159" i="26"/>
  <c r="I174" i="26" s="1"/>
  <c r="R149" i="26"/>
  <c r="AA148" i="26"/>
  <c r="V148" i="26"/>
  <c r="X151" i="26"/>
  <c r="AC151" i="26" s="1"/>
  <c r="T152" i="26"/>
  <c r="E160" i="26"/>
  <c r="I175" i="26" s="1"/>
  <c r="H160" i="26"/>
  <c r="L175" i="26" s="1"/>
  <c r="G160" i="26"/>
  <c r="K175" i="26" s="1"/>
  <c r="F160" i="26"/>
  <c r="J175" i="26" s="1"/>
  <c r="H159" i="24"/>
  <c r="L164" i="24" s="1"/>
  <c r="F159" i="24"/>
  <c r="J164" i="24" s="1"/>
  <c r="E159" i="24"/>
  <c r="I164" i="24" s="1"/>
  <c r="G159" i="24"/>
  <c r="K164" i="24" s="1"/>
  <c r="AH151" i="24"/>
  <c r="AA150" i="24"/>
  <c r="R151" i="24"/>
  <c r="V150" i="24"/>
  <c r="F160" i="24"/>
  <c r="J165" i="24" s="1"/>
  <c r="E160" i="24"/>
  <c r="I165" i="24" s="1"/>
  <c r="H160" i="24"/>
  <c r="L165" i="24" s="1"/>
  <c r="G160" i="24"/>
  <c r="K165" i="24" s="1"/>
  <c r="X150" i="24"/>
  <c r="AC150" i="24" s="1"/>
  <c r="T151" i="24"/>
  <c r="Y149" i="24"/>
  <c r="AD149" i="24" s="1"/>
  <c r="U150" i="24"/>
  <c r="S149" i="24"/>
  <c r="W149" i="24" s="1"/>
  <c r="AB149" i="24" s="1"/>
  <c r="Z148" i="24"/>
  <c r="D161" i="24"/>
  <c r="AE149" i="24" l="1"/>
  <c r="AF153" i="24" s="1"/>
  <c r="Z147" i="26"/>
  <c r="S153" i="28"/>
  <c r="U154" i="28"/>
  <c r="AI133" i="28"/>
  <c r="AI134" i="28"/>
  <c r="AB149" i="28"/>
  <c r="AE149" i="28" s="1"/>
  <c r="AF153" i="28" s="1"/>
  <c r="AG153" i="28" s="1"/>
  <c r="AH153" i="28" s="1"/>
  <c r="AD152" i="28"/>
  <c r="AC153" i="28"/>
  <c r="Z149" i="28"/>
  <c r="V150" i="28"/>
  <c r="AA150" i="28"/>
  <c r="X154" i="28"/>
  <c r="Y153" i="28"/>
  <c r="D163" i="28"/>
  <c r="C163" i="28" s="1"/>
  <c r="W150" i="28"/>
  <c r="C162" i="28"/>
  <c r="X151" i="27"/>
  <c r="AC151" i="27" s="1"/>
  <c r="T152" i="27"/>
  <c r="U149" i="27"/>
  <c r="Y148" i="27"/>
  <c r="AD148" i="27" s="1"/>
  <c r="D160" i="27"/>
  <c r="AA146" i="27"/>
  <c r="R147" i="27"/>
  <c r="V146" i="27"/>
  <c r="E159" i="27"/>
  <c r="I164" i="27" s="1"/>
  <c r="G159" i="27"/>
  <c r="K164" i="27" s="1"/>
  <c r="H159" i="27"/>
  <c r="L164" i="27" s="1"/>
  <c r="F159" i="27"/>
  <c r="J164" i="27" s="1"/>
  <c r="W145" i="27"/>
  <c r="S146" i="27"/>
  <c r="E158" i="27"/>
  <c r="I163" i="27" s="1"/>
  <c r="F158" i="27"/>
  <c r="J163" i="27" s="1"/>
  <c r="G158" i="27"/>
  <c r="K163" i="27" s="1"/>
  <c r="H158" i="27"/>
  <c r="L163" i="27" s="1"/>
  <c r="Y151" i="26"/>
  <c r="AD151" i="26" s="1"/>
  <c r="U152" i="26"/>
  <c r="W148" i="26"/>
  <c r="AB148" i="26" s="1"/>
  <c r="AE148" i="26" s="1"/>
  <c r="S149" i="26"/>
  <c r="T153" i="26"/>
  <c r="X152" i="26"/>
  <c r="AC152" i="26" s="1"/>
  <c r="V149" i="26"/>
  <c r="R150" i="26"/>
  <c r="AA149" i="26"/>
  <c r="H161" i="26"/>
  <c r="L176" i="26" s="1"/>
  <c r="G161" i="26"/>
  <c r="K176" i="26" s="1"/>
  <c r="F161" i="26"/>
  <c r="J176" i="26" s="1"/>
  <c r="E161" i="26"/>
  <c r="I176" i="26" s="1"/>
  <c r="D162" i="26"/>
  <c r="C162" i="26" s="1"/>
  <c r="Z149" i="24"/>
  <c r="R152" i="24"/>
  <c r="V151" i="24"/>
  <c r="AA151" i="24"/>
  <c r="D162" i="24"/>
  <c r="C161" i="24"/>
  <c r="T152" i="24"/>
  <c r="X151" i="24"/>
  <c r="AC151" i="24" s="1"/>
  <c r="AG153" i="24"/>
  <c r="AH152" i="24"/>
  <c r="Y150" i="24"/>
  <c r="AD150" i="24" s="1"/>
  <c r="S150" i="24"/>
  <c r="W150" i="24" s="1"/>
  <c r="AB150" i="24" s="1"/>
  <c r="U151" i="24"/>
  <c r="AE150" i="24" l="1"/>
  <c r="AF154" i="24" s="1"/>
  <c r="F162" i="28"/>
  <c r="J167" i="28" s="1"/>
  <c r="G162" i="28"/>
  <c r="K167" i="28" s="1"/>
  <c r="H162" i="28"/>
  <c r="L167" i="28" s="1"/>
  <c r="E162" i="28"/>
  <c r="I167" i="28" s="1"/>
  <c r="E163" i="28"/>
  <c r="I168" i="28" s="1"/>
  <c r="F163" i="28"/>
  <c r="J168" i="28" s="1"/>
  <c r="G163" i="28"/>
  <c r="K168" i="28" s="1"/>
  <c r="H163" i="28"/>
  <c r="L168" i="28" s="1"/>
  <c r="U155" i="28"/>
  <c r="S154" i="28"/>
  <c r="AC154" i="28"/>
  <c r="AB150" i="28"/>
  <c r="AE150" i="28" s="1"/>
  <c r="AF154" i="28" s="1"/>
  <c r="AG154" i="28" s="1"/>
  <c r="AH154" i="28" s="1"/>
  <c r="AD153" i="28"/>
  <c r="Z150" i="28"/>
  <c r="V151" i="28"/>
  <c r="AA151" i="28"/>
  <c r="Y154" i="28"/>
  <c r="X155" i="28"/>
  <c r="W151" i="28"/>
  <c r="D164" i="28"/>
  <c r="C164" i="28" s="1"/>
  <c r="AI138" i="24"/>
  <c r="R148" i="27"/>
  <c r="V147" i="27"/>
  <c r="AA147" i="27"/>
  <c r="D161" i="27"/>
  <c r="C160" i="27"/>
  <c r="W146" i="27"/>
  <c r="AB146" i="27" s="1"/>
  <c r="AE146" i="27" s="1"/>
  <c r="AF150" i="27" s="1"/>
  <c r="S147" i="27"/>
  <c r="Y149" i="27"/>
  <c r="AD149" i="27" s="1"/>
  <c r="U150" i="27"/>
  <c r="AB145" i="27"/>
  <c r="AE145" i="27" s="1"/>
  <c r="AF149" i="27" s="1"/>
  <c r="AG149" i="27" s="1"/>
  <c r="Z145" i="27"/>
  <c r="X152" i="27"/>
  <c r="AC152" i="27" s="1"/>
  <c r="T153" i="27"/>
  <c r="G162" i="26"/>
  <c r="K177" i="26" s="1"/>
  <c r="F162" i="26"/>
  <c r="J177" i="26" s="1"/>
  <c r="E162" i="26"/>
  <c r="I177" i="26" s="1"/>
  <c r="H162" i="26"/>
  <c r="L177" i="26" s="1"/>
  <c r="R151" i="26"/>
  <c r="V150" i="26"/>
  <c r="AA150" i="26"/>
  <c r="X153" i="26"/>
  <c r="AC153" i="26" s="1"/>
  <c r="T154" i="26"/>
  <c r="W149" i="26"/>
  <c r="AB149" i="26" s="1"/>
  <c r="AE149" i="26" s="1"/>
  <c r="S150" i="26"/>
  <c r="Z148" i="26"/>
  <c r="Y152" i="26"/>
  <c r="AD152" i="26" s="1"/>
  <c r="U153" i="26"/>
  <c r="D163" i="26"/>
  <c r="C163" i="26" s="1"/>
  <c r="Z150" i="24"/>
  <c r="G161" i="24"/>
  <c r="K166" i="24" s="1"/>
  <c r="F161" i="24"/>
  <c r="J166" i="24" s="1"/>
  <c r="H161" i="24"/>
  <c r="L166" i="24" s="1"/>
  <c r="E161" i="24"/>
  <c r="I166" i="24" s="1"/>
  <c r="D163" i="24"/>
  <c r="C163" i="24" s="1"/>
  <c r="T153" i="24"/>
  <c r="X152" i="24"/>
  <c r="AC152" i="24" s="1"/>
  <c r="C162" i="24"/>
  <c r="S151" i="24"/>
  <c r="W151" i="24" s="1"/>
  <c r="AB151" i="24" s="1"/>
  <c r="U152" i="24"/>
  <c r="Y151" i="24"/>
  <c r="AD151" i="24" s="1"/>
  <c r="AH153" i="24"/>
  <c r="AI139" i="24" s="1"/>
  <c r="AG154" i="24"/>
  <c r="V152" i="24"/>
  <c r="AA152" i="24"/>
  <c r="R153" i="24"/>
  <c r="AE151" i="24" l="1"/>
  <c r="AF155" i="24" s="1"/>
  <c r="E164" i="28"/>
  <c r="I169" i="28" s="1"/>
  <c r="F164" i="28"/>
  <c r="J169" i="28" s="1"/>
  <c r="G164" i="28"/>
  <c r="K169" i="28" s="1"/>
  <c r="H164" i="28"/>
  <c r="L169" i="28" s="1"/>
  <c r="S155" i="28"/>
  <c r="U156" i="28"/>
  <c r="AC155" i="28"/>
  <c r="AB151" i="28"/>
  <c r="AE151" i="28" s="1"/>
  <c r="AF155" i="28" s="1"/>
  <c r="AG155" i="28" s="1"/>
  <c r="AD154" i="28"/>
  <c r="Y155" i="28"/>
  <c r="D165" i="28"/>
  <c r="W152" i="28"/>
  <c r="Z151" i="28"/>
  <c r="V152" i="28"/>
  <c r="AA152" i="28"/>
  <c r="X156" i="28"/>
  <c r="W147" i="27"/>
  <c r="AB147" i="27" s="1"/>
  <c r="AE147" i="27" s="1"/>
  <c r="AF151" i="27" s="1"/>
  <c r="S148" i="27"/>
  <c r="F160" i="27"/>
  <c r="J165" i="27" s="1"/>
  <c r="G160" i="27"/>
  <c r="K165" i="27" s="1"/>
  <c r="E160" i="27"/>
  <c r="I165" i="27" s="1"/>
  <c r="H160" i="27"/>
  <c r="L165" i="27" s="1"/>
  <c r="D162" i="27"/>
  <c r="C161" i="27"/>
  <c r="X153" i="27"/>
  <c r="AC153" i="27" s="1"/>
  <c r="T154" i="27"/>
  <c r="AG150" i="27"/>
  <c r="AH149" i="27"/>
  <c r="V148" i="27"/>
  <c r="AA148" i="27"/>
  <c r="R149" i="27"/>
  <c r="U151" i="27"/>
  <c r="Y150" i="27"/>
  <c r="AD150" i="27" s="1"/>
  <c r="Z146" i="27"/>
  <c r="W150" i="26"/>
  <c r="AB150" i="26" s="1"/>
  <c r="AE150" i="26" s="1"/>
  <c r="S151" i="26"/>
  <c r="H163" i="26"/>
  <c r="L178" i="26" s="1"/>
  <c r="G163" i="26"/>
  <c r="K178" i="26" s="1"/>
  <c r="F163" i="26"/>
  <c r="J178" i="26" s="1"/>
  <c r="E163" i="26"/>
  <c r="I178" i="26" s="1"/>
  <c r="AA151" i="26"/>
  <c r="V151" i="26"/>
  <c r="R152" i="26"/>
  <c r="D164" i="26"/>
  <c r="Y153" i="26"/>
  <c r="AD153" i="26" s="1"/>
  <c r="U154" i="26"/>
  <c r="T155" i="26"/>
  <c r="X154" i="26"/>
  <c r="AC154" i="26" s="1"/>
  <c r="Z149" i="26"/>
  <c r="Z151" i="24"/>
  <c r="E163" i="24"/>
  <c r="I168" i="24" s="1"/>
  <c r="G163" i="24"/>
  <c r="K168" i="24" s="1"/>
  <c r="F163" i="24"/>
  <c r="J168" i="24" s="1"/>
  <c r="H163" i="24"/>
  <c r="L168" i="24" s="1"/>
  <c r="X153" i="24"/>
  <c r="AC153" i="24" s="1"/>
  <c r="T154" i="24"/>
  <c r="D164" i="24"/>
  <c r="C164" i="24" s="1"/>
  <c r="AH154" i="24"/>
  <c r="AG155" i="24"/>
  <c r="U153" i="24"/>
  <c r="S152" i="24"/>
  <c r="W152" i="24" s="1"/>
  <c r="AB152" i="24" s="1"/>
  <c r="Y152" i="24"/>
  <c r="AD152" i="24" s="1"/>
  <c r="V153" i="24"/>
  <c r="R154" i="24"/>
  <c r="AA153" i="24"/>
  <c r="G162" i="24"/>
  <c r="K167" i="24" s="1"/>
  <c r="F162" i="24"/>
  <c r="J167" i="24" s="1"/>
  <c r="H162" i="24"/>
  <c r="L167" i="24" s="1"/>
  <c r="E162" i="24"/>
  <c r="I167" i="24" s="1"/>
  <c r="AE152" i="24" l="1"/>
  <c r="AF156" i="24" s="1"/>
  <c r="Z152" i="24"/>
  <c r="Z147" i="27"/>
  <c r="Z150" i="26"/>
  <c r="S156" i="28"/>
  <c r="U157" i="28"/>
  <c r="AC156" i="28"/>
  <c r="AD155" i="28"/>
  <c r="AB152" i="28"/>
  <c r="AE152" i="28" s="1"/>
  <c r="AF156" i="28" s="1"/>
  <c r="AG156" i="28" s="1"/>
  <c r="AH155" i="28"/>
  <c r="D166" i="28"/>
  <c r="C166" i="28" s="1"/>
  <c r="X157" i="28"/>
  <c r="Y156" i="28"/>
  <c r="W153" i="28"/>
  <c r="C165" i="28"/>
  <c r="V153" i="28"/>
  <c r="AA153" i="28"/>
  <c r="Z152" i="28"/>
  <c r="AI127" i="27"/>
  <c r="AI139" i="27"/>
  <c r="T155" i="27"/>
  <c r="X154" i="27"/>
  <c r="AC154" i="27" s="1"/>
  <c r="E161" i="27"/>
  <c r="I166" i="27" s="1"/>
  <c r="F161" i="27"/>
  <c r="J166" i="27" s="1"/>
  <c r="H161" i="27"/>
  <c r="L166" i="27" s="1"/>
  <c r="G161" i="27"/>
  <c r="K166" i="27" s="1"/>
  <c r="D163" i="27"/>
  <c r="C163" i="27" s="1"/>
  <c r="C162" i="27"/>
  <c r="Y151" i="27"/>
  <c r="AD151" i="27" s="1"/>
  <c r="U152" i="27"/>
  <c r="AG151" i="27"/>
  <c r="AH150" i="27"/>
  <c r="V149" i="27"/>
  <c r="AA149" i="27"/>
  <c r="R150" i="27"/>
  <c r="W148" i="27"/>
  <c r="AB148" i="27" s="1"/>
  <c r="AE148" i="27" s="1"/>
  <c r="AF152" i="27" s="1"/>
  <c r="S149" i="27"/>
  <c r="D165" i="26"/>
  <c r="C165" i="26" s="1"/>
  <c r="R153" i="26"/>
  <c r="AA152" i="26"/>
  <c r="V152" i="26"/>
  <c r="Y154" i="26"/>
  <c r="AD154" i="26" s="1"/>
  <c r="U155" i="26"/>
  <c r="W151" i="26"/>
  <c r="AB151" i="26" s="1"/>
  <c r="AE151" i="26" s="1"/>
  <c r="S152" i="26"/>
  <c r="T156" i="26"/>
  <c r="X155" i="26"/>
  <c r="AC155" i="26" s="1"/>
  <c r="C164" i="26"/>
  <c r="G164" i="24"/>
  <c r="K169" i="24" s="1"/>
  <c r="F164" i="24"/>
  <c r="J169" i="24" s="1"/>
  <c r="H164" i="24"/>
  <c r="L169" i="24" s="1"/>
  <c r="E164" i="24"/>
  <c r="I169" i="24" s="1"/>
  <c r="D165" i="24"/>
  <c r="C165" i="24" s="1"/>
  <c r="X154" i="24"/>
  <c r="AC154" i="24" s="1"/>
  <c r="T155" i="24"/>
  <c r="V154" i="24"/>
  <c r="R155" i="24"/>
  <c r="AA154" i="24"/>
  <c r="S153" i="24"/>
  <c r="W153" i="24" s="1"/>
  <c r="AB153" i="24" s="1"/>
  <c r="Y153" i="24"/>
  <c r="AD153" i="24" s="1"/>
  <c r="U154" i="24"/>
  <c r="AG156" i="24"/>
  <c r="AH155" i="24"/>
  <c r="F165" i="28" l="1"/>
  <c r="J170" i="28" s="1"/>
  <c r="G165" i="28"/>
  <c r="K170" i="28" s="1"/>
  <c r="H165" i="28"/>
  <c r="L170" i="28" s="1"/>
  <c r="E165" i="28"/>
  <c r="I170" i="28" s="1"/>
  <c r="E166" i="28"/>
  <c r="I171" i="28" s="1"/>
  <c r="F166" i="28"/>
  <c r="J171" i="28" s="1"/>
  <c r="G166" i="28"/>
  <c r="K171" i="28" s="1"/>
  <c r="H166" i="28"/>
  <c r="L171" i="28" s="1"/>
  <c r="U158" i="28"/>
  <c r="S157" i="28"/>
  <c r="AI135" i="28"/>
  <c r="AD156" i="28"/>
  <c r="AC157" i="28"/>
  <c r="AB153" i="28"/>
  <c r="AE153" i="28" s="1"/>
  <c r="AF157" i="28" s="1"/>
  <c r="AG157" i="28" s="1"/>
  <c r="AH156" i="28"/>
  <c r="W154" i="28"/>
  <c r="X158" i="28"/>
  <c r="V154" i="28"/>
  <c r="AA154" i="28"/>
  <c r="D167" i="28"/>
  <c r="C167" i="28" s="1"/>
  <c r="Y157" i="28"/>
  <c r="Z153" i="28"/>
  <c r="AI140" i="27"/>
  <c r="AI140" i="24"/>
  <c r="Z148" i="27"/>
  <c r="E163" i="27"/>
  <c r="I168" i="27" s="1"/>
  <c r="G163" i="27"/>
  <c r="K168" i="27" s="1"/>
  <c r="F163" i="27"/>
  <c r="J168" i="27" s="1"/>
  <c r="H163" i="27"/>
  <c r="L168" i="27" s="1"/>
  <c r="G162" i="27"/>
  <c r="K167" i="27" s="1"/>
  <c r="H162" i="27"/>
  <c r="L167" i="27" s="1"/>
  <c r="E162" i="27"/>
  <c r="I167" i="27" s="1"/>
  <c r="F162" i="27"/>
  <c r="J167" i="27" s="1"/>
  <c r="W149" i="27"/>
  <c r="AB149" i="27" s="1"/>
  <c r="AE149" i="27" s="1"/>
  <c r="AF153" i="27" s="1"/>
  <c r="S150" i="27"/>
  <c r="V150" i="27"/>
  <c r="AA150" i="27"/>
  <c r="R151" i="27"/>
  <c r="T156" i="27"/>
  <c r="X155" i="27"/>
  <c r="AC155" i="27" s="1"/>
  <c r="D164" i="27"/>
  <c r="AH151" i="27"/>
  <c r="AG152" i="27"/>
  <c r="Y152" i="27"/>
  <c r="AD152" i="27" s="1"/>
  <c r="U153" i="27"/>
  <c r="H165" i="26"/>
  <c r="L180" i="26" s="1"/>
  <c r="G165" i="26"/>
  <c r="K180" i="26" s="1"/>
  <c r="F165" i="26"/>
  <c r="J180" i="26" s="1"/>
  <c r="E165" i="26"/>
  <c r="I180" i="26" s="1"/>
  <c r="W152" i="26"/>
  <c r="AB152" i="26" s="1"/>
  <c r="AE152" i="26" s="1"/>
  <c r="S153" i="26"/>
  <c r="Y155" i="26"/>
  <c r="AD155" i="26" s="1"/>
  <c r="U156" i="26"/>
  <c r="AA153" i="26"/>
  <c r="R154" i="26"/>
  <c r="V153" i="26"/>
  <c r="H164" i="26"/>
  <c r="L179" i="26" s="1"/>
  <c r="G164" i="26"/>
  <c r="K179" i="26" s="1"/>
  <c r="F164" i="26"/>
  <c r="J179" i="26" s="1"/>
  <c r="E164" i="26"/>
  <c r="I179" i="26" s="1"/>
  <c r="Z151" i="26"/>
  <c r="T157" i="26"/>
  <c r="X156" i="26"/>
  <c r="AC156" i="26" s="1"/>
  <c r="D166" i="26"/>
  <c r="AE153" i="24"/>
  <c r="AF157" i="24" s="1"/>
  <c r="AG157" i="24" s="1"/>
  <c r="Z153" i="24"/>
  <c r="H165" i="24"/>
  <c r="L170" i="24" s="1"/>
  <c r="G165" i="24"/>
  <c r="K170" i="24" s="1"/>
  <c r="F165" i="24"/>
  <c r="J170" i="24" s="1"/>
  <c r="E165" i="24"/>
  <c r="I170" i="24" s="1"/>
  <c r="R156" i="24"/>
  <c r="V155" i="24"/>
  <c r="AA155" i="24"/>
  <c r="X155" i="24"/>
  <c r="AC155" i="24" s="1"/>
  <c r="T156" i="24"/>
  <c r="AH156" i="24"/>
  <c r="D166" i="24"/>
  <c r="C166" i="24" s="1"/>
  <c r="U155" i="24"/>
  <c r="S154" i="24"/>
  <c r="W154" i="24" s="1"/>
  <c r="AB154" i="24" s="1"/>
  <c r="Y154" i="24"/>
  <c r="AD154" i="24" s="1"/>
  <c r="Z152" i="26" l="1"/>
  <c r="E167" i="28"/>
  <c r="H167" i="28"/>
  <c r="F167" i="28"/>
  <c r="G167" i="28"/>
  <c r="K172" i="28" s="1"/>
  <c r="S158" i="28"/>
  <c r="U159" i="28"/>
  <c r="AD157" i="28"/>
  <c r="AB154" i="28"/>
  <c r="AE154" i="28" s="1"/>
  <c r="AF158" i="28" s="1"/>
  <c r="AG158" i="28" s="1"/>
  <c r="Z154" i="28"/>
  <c r="AC158" i="28"/>
  <c r="AI136" i="28"/>
  <c r="AI138" i="28"/>
  <c r="AI137" i="28"/>
  <c r="AH157" i="28"/>
  <c r="J172" i="28"/>
  <c r="I172" i="28"/>
  <c r="L172" i="28"/>
  <c r="X159" i="28"/>
  <c r="Y158" i="28"/>
  <c r="D168" i="28"/>
  <c r="W155" i="28"/>
  <c r="AA155" i="28"/>
  <c r="V155" i="28"/>
  <c r="AI128" i="27"/>
  <c r="AI141" i="27"/>
  <c r="Z154" i="24"/>
  <c r="AI141" i="24"/>
  <c r="Z149" i="27"/>
  <c r="AH152" i="27"/>
  <c r="AG153" i="27"/>
  <c r="D165" i="27"/>
  <c r="C165" i="27" s="1"/>
  <c r="C164" i="27"/>
  <c r="T157" i="27"/>
  <c r="X156" i="27"/>
  <c r="AC156" i="27" s="1"/>
  <c r="V151" i="27"/>
  <c r="AA151" i="27"/>
  <c r="R152" i="27"/>
  <c r="Y153" i="27"/>
  <c r="AD153" i="27" s="1"/>
  <c r="U154" i="27"/>
  <c r="W150" i="27"/>
  <c r="AB150" i="27" s="1"/>
  <c r="AE150" i="27" s="1"/>
  <c r="AF154" i="27" s="1"/>
  <c r="S151" i="27"/>
  <c r="Y156" i="26"/>
  <c r="AD156" i="26" s="1"/>
  <c r="U157" i="26"/>
  <c r="X157" i="26"/>
  <c r="AC157" i="26" s="1"/>
  <c r="T158" i="26"/>
  <c r="W153" i="26"/>
  <c r="AB153" i="26" s="1"/>
  <c r="AE153" i="26" s="1"/>
  <c r="S154" i="26"/>
  <c r="D167" i="26"/>
  <c r="C167" i="26" s="1"/>
  <c r="C166" i="26"/>
  <c r="R155" i="26"/>
  <c r="AA154" i="26"/>
  <c r="V154" i="26"/>
  <c r="AE154" i="24"/>
  <c r="AF158" i="24" s="1"/>
  <c r="AG158" i="24" s="1"/>
  <c r="H166" i="24"/>
  <c r="L171" i="24" s="1"/>
  <c r="G166" i="24"/>
  <c r="K171" i="24" s="1"/>
  <c r="F166" i="24"/>
  <c r="J171" i="24" s="1"/>
  <c r="E166" i="24"/>
  <c r="I171" i="24" s="1"/>
  <c r="AA156" i="24"/>
  <c r="V156" i="24"/>
  <c r="R157" i="24"/>
  <c r="T157" i="24"/>
  <c r="X156" i="24"/>
  <c r="AC156" i="24" s="1"/>
  <c r="Y155" i="24"/>
  <c r="AD155" i="24" s="1"/>
  <c r="S155" i="24"/>
  <c r="W155" i="24" s="1"/>
  <c r="AB155" i="24" s="1"/>
  <c r="U156" i="24"/>
  <c r="D167" i="24"/>
  <c r="C167" i="24" s="1"/>
  <c r="AH157" i="24"/>
  <c r="AI142" i="24" s="1"/>
  <c r="AE155" i="24" l="1"/>
  <c r="AF159" i="24" s="1"/>
  <c r="Z153" i="26"/>
  <c r="S159" i="28"/>
  <c r="U160" i="28"/>
  <c r="AB155" i="28"/>
  <c r="AE155" i="28" s="1"/>
  <c r="AF159" i="28" s="1"/>
  <c r="AG159" i="28" s="1"/>
  <c r="AC159" i="28"/>
  <c r="AD158" i="28"/>
  <c r="AI140" i="28"/>
  <c r="Z155" i="28"/>
  <c r="AA156" i="28"/>
  <c r="V156" i="28"/>
  <c r="D169" i="28"/>
  <c r="X160" i="28"/>
  <c r="W156" i="28"/>
  <c r="AH158" i="28"/>
  <c r="Y159" i="28"/>
  <c r="C168" i="28"/>
  <c r="AI142" i="27"/>
  <c r="AI143" i="27"/>
  <c r="Z155" i="24"/>
  <c r="E165" i="27"/>
  <c r="I170" i="27" s="1"/>
  <c r="G165" i="27"/>
  <c r="K170" i="27" s="1"/>
  <c r="H165" i="27"/>
  <c r="L170" i="27" s="1"/>
  <c r="F165" i="27"/>
  <c r="J170" i="27" s="1"/>
  <c r="V152" i="27"/>
  <c r="AA152" i="27"/>
  <c r="R153" i="27"/>
  <c r="X157" i="27"/>
  <c r="AC157" i="27" s="1"/>
  <c r="T158" i="27"/>
  <c r="E164" i="27"/>
  <c r="I169" i="27" s="1"/>
  <c r="F164" i="27"/>
  <c r="J169" i="27" s="1"/>
  <c r="G164" i="27"/>
  <c r="K169" i="27" s="1"/>
  <c r="H164" i="27"/>
  <c r="L169" i="27" s="1"/>
  <c r="Z150" i="27"/>
  <c r="U155" i="27"/>
  <c r="Y154" i="27"/>
  <c r="AD154" i="27" s="1"/>
  <c r="D166" i="27"/>
  <c r="W151" i="27"/>
  <c r="AB151" i="27" s="1"/>
  <c r="AE151" i="27" s="1"/>
  <c r="AF155" i="27" s="1"/>
  <c r="S152" i="27"/>
  <c r="AG154" i="27"/>
  <c r="AH153" i="27"/>
  <c r="H166" i="26"/>
  <c r="L181" i="26" s="1"/>
  <c r="G166" i="26"/>
  <c r="K181" i="26" s="1"/>
  <c r="F166" i="26"/>
  <c r="J181" i="26" s="1"/>
  <c r="E166" i="26"/>
  <c r="I181" i="26" s="1"/>
  <c r="W154" i="26"/>
  <c r="AB154" i="26" s="1"/>
  <c r="AE154" i="26" s="1"/>
  <c r="S155" i="26"/>
  <c r="T159" i="26"/>
  <c r="X158" i="26"/>
  <c r="AC158" i="26" s="1"/>
  <c r="D168" i="26"/>
  <c r="C168" i="26" s="1"/>
  <c r="U158" i="26"/>
  <c r="Y157" i="26"/>
  <c r="AD157" i="26" s="1"/>
  <c r="G167" i="26"/>
  <c r="K182" i="26" s="1"/>
  <c r="E167" i="26"/>
  <c r="I182" i="26" s="1"/>
  <c r="H167" i="26"/>
  <c r="L182" i="26" s="1"/>
  <c r="F167" i="26"/>
  <c r="J182" i="26" s="1"/>
  <c r="AA155" i="26"/>
  <c r="V155" i="26"/>
  <c r="R156" i="26"/>
  <c r="T158" i="24"/>
  <c r="X157" i="24"/>
  <c r="AC157" i="24" s="1"/>
  <c r="H167" i="24"/>
  <c r="L172" i="24" s="1"/>
  <c r="G167" i="24"/>
  <c r="K172" i="24" s="1"/>
  <c r="F167" i="24"/>
  <c r="J172" i="24" s="1"/>
  <c r="E167" i="24"/>
  <c r="I172" i="24" s="1"/>
  <c r="D168" i="24"/>
  <c r="C168" i="24" s="1"/>
  <c r="AG159" i="24"/>
  <c r="AH158" i="24"/>
  <c r="S156" i="24"/>
  <c r="W156" i="24" s="1"/>
  <c r="AB156" i="24" s="1"/>
  <c r="Y156" i="24"/>
  <c r="AD156" i="24" s="1"/>
  <c r="U157" i="24"/>
  <c r="R158" i="24"/>
  <c r="AA157" i="24"/>
  <c r="V157" i="24"/>
  <c r="AE156" i="24" l="1"/>
  <c r="AF160" i="24" s="1"/>
  <c r="AG160" i="24" s="1"/>
  <c r="F168" i="28"/>
  <c r="J173" i="28" s="1"/>
  <c r="G168" i="28"/>
  <c r="K173" i="28" s="1"/>
  <c r="H168" i="28"/>
  <c r="L173" i="28" s="1"/>
  <c r="E168" i="28"/>
  <c r="U161" i="28"/>
  <c r="S160" i="28"/>
  <c r="AI139" i="28"/>
  <c r="AD159" i="28"/>
  <c r="AB156" i="28"/>
  <c r="AE156" i="28" s="1"/>
  <c r="AF160" i="28" s="1"/>
  <c r="AG160" i="28" s="1"/>
  <c r="AC160" i="28"/>
  <c r="W157" i="28"/>
  <c r="X161" i="28"/>
  <c r="D170" i="28"/>
  <c r="C170" i="28" s="1"/>
  <c r="AH159" i="28"/>
  <c r="C169" i="28"/>
  <c r="I173" i="28"/>
  <c r="V157" i="28"/>
  <c r="AA157" i="28"/>
  <c r="Z156" i="28"/>
  <c r="Y160" i="28"/>
  <c r="AI129" i="27"/>
  <c r="J11" i="27" s="1"/>
  <c r="AI144" i="27"/>
  <c r="J12" i="27" s="1"/>
  <c r="W152" i="27"/>
  <c r="AB152" i="27" s="1"/>
  <c r="AE152" i="27" s="1"/>
  <c r="AF156" i="27" s="1"/>
  <c r="S153" i="27"/>
  <c r="X158" i="27"/>
  <c r="AC158" i="27" s="1"/>
  <c r="T159" i="27"/>
  <c r="D167" i="27"/>
  <c r="Z151" i="27"/>
  <c r="R154" i="27"/>
  <c r="V153" i="27"/>
  <c r="AA153" i="27"/>
  <c r="C166" i="27"/>
  <c r="Y155" i="27"/>
  <c r="AD155" i="27" s="1"/>
  <c r="U156" i="27"/>
  <c r="AG155" i="27"/>
  <c r="AH154" i="27"/>
  <c r="Z154" i="26"/>
  <c r="F168" i="26"/>
  <c r="J183" i="26" s="1"/>
  <c r="E168" i="26"/>
  <c r="I183" i="26" s="1"/>
  <c r="H168" i="26"/>
  <c r="L183" i="26" s="1"/>
  <c r="G168" i="26"/>
  <c r="K183" i="26" s="1"/>
  <c r="O160" i="26"/>
  <c r="X159" i="26"/>
  <c r="AC159" i="26" s="1"/>
  <c r="R157" i="26"/>
  <c r="AA156" i="26"/>
  <c r="V156" i="26"/>
  <c r="W155" i="26"/>
  <c r="AB155" i="26" s="1"/>
  <c r="AE155" i="26" s="1"/>
  <c r="S156" i="26"/>
  <c r="Y158" i="26"/>
  <c r="AD158" i="26" s="1"/>
  <c r="U159" i="26"/>
  <c r="D169" i="26"/>
  <c r="C169" i="26" s="1"/>
  <c r="H168" i="24"/>
  <c r="L173" i="24" s="1"/>
  <c r="G168" i="24"/>
  <c r="K173" i="24" s="1"/>
  <c r="F168" i="24"/>
  <c r="J173" i="24" s="1"/>
  <c r="E168" i="24"/>
  <c r="I173" i="24" s="1"/>
  <c r="AH159" i="24"/>
  <c r="D169" i="24"/>
  <c r="C169" i="24" s="1"/>
  <c r="V158" i="24"/>
  <c r="AA158" i="24"/>
  <c r="R159" i="24"/>
  <c r="S157" i="24"/>
  <c r="W157" i="24" s="1"/>
  <c r="AB157" i="24" s="1"/>
  <c r="U158" i="24"/>
  <c r="Y157" i="24"/>
  <c r="AD157" i="24" s="1"/>
  <c r="Z156" i="24"/>
  <c r="T159" i="24"/>
  <c r="X158" i="24"/>
  <c r="AC158" i="24" s="1"/>
  <c r="AE157" i="24" l="1"/>
  <c r="AF161" i="24" s="1"/>
  <c r="E169" i="28"/>
  <c r="I174" i="28" s="1"/>
  <c r="F169" i="28"/>
  <c r="J174" i="28" s="1"/>
  <c r="G169" i="28"/>
  <c r="K174" i="28" s="1"/>
  <c r="H169" i="28"/>
  <c r="L174" i="28" s="1"/>
  <c r="E170" i="28"/>
  <c r="I175" i="28" s="1"/>
  <c r="F170" i="28"/>
  <c r="G170" i="28"/>
  <c r="K175" i="28" s="1"/>
  <c r="H170" i="28"/>
  <c r="L175" i="28" s="1"/>
  <c r="S161" i="28"/>
  <c r="U162" i="28"/>
  <c r="AC161" i="28"/>
  <c r="AB157" i="28"/>
  <c r="AE157" i="28" s="1"/>
  <c r="AF161" i="28" s="1"/>
  <c r="AG161" i="28" s="1"/>
  <c r="Z157" i="28"/>
  <c r="AI141" i="28"/>
  <c r="AD160" i="28"/>
  <c r="AH160" i="28"/>
  <c r="Y161" i="28"/>
  <c r="J175" i="28"/>
  <c r="D171" i="28"/>
  <c r="AA158" i="28"/>
  <c r="V158" i="28"/>
  <c r="O163" i="28"/>
  <c r="T163" i="28" s="1"/>
  <c r="X162" i="28"/>
  <c r="W158" i="28"/>
  <c r="Z152" i="27"/>
  <c r="AI143" i="24"/>
  <c r="AA154" i="27"/>
  <c r="R155" i="27"/>
  <c r="V154" i="27"/>
  <c r="D168" i="27"/>
  <c r="C167" i="27"/>
  <c r="X159" i="27"/>
  <c r="AC159" i="27" s="1"/>
  <c r="O160" i="27"/>
  <c r="T160" i="27" s="1"/>
  <c r="AH155" i="27"/>
  <c r="AG156" i="27"/>
  <c r="W153" i="27"/>
  <c r="AB153" i="27" s="1"/>
  <c r="AE153" i="27" s="1"/>
  <c r="AF157" i="27" s="1"/>
  <c r="S154" i="27"/>
  <c r="U157" i="27"/>
  <c r="Y156" i="27"/>
  <c r="AD156" i="27" s="1"/>
  <c r="F166" i="27"/>
  <c r="J171" i="27" s="1"/>
  <c r="G166" i="27"/>
  <c r="K171" i="27" s="1"/>
  <c r="E166" i="27"/>
  <c r="I171" i="27" s="1"/>
  <c r="H166" i="27"/>
  <c r="L171" i="27" s="1"/>
  <c r="G169" i="26"/>
  <c r="K184" i="26" s="1"/>
  <c r="F169" i="26"/>
  <c r="J184" i="26" s="1"/>
  <c r="E169" i="26"/>
  <c r="I184" i="26" s="1"/>
  <c r="H169" i="26"/>
  <c r="L184" i="26" s="1"/>
  <c r="O168" i="26"/>
  <c r="O169" i="26"/>
  <c r="O172" i="26"/>
  <c r="O165" i="26"/>
  <c r="O170" i="26"/>
  <c r="O173" i="26"/>
  <c r="O171" i="26"/>
  <c r="O166" i="26"/>
  <c r="O161" i="26"/>
  <c r="O163" i="26"/>
  <c r="O162" i="26"/>
  <c r="O167" i="26"/>
  <c r="O174" i="26"/>
  <c r="O164" i="26"/>
  <c r="F14" i="26"/>
  <c r="W156" i="26"/>
  <c r="AB156" i="26" s="1"/>
  <c r="AE156" i="26" s="1"/>
  <c r="S157" i="26"/>
  <c r="D170" i="26"/>
  <c r="T160" i="26"/>
  <c r="P160" i="26"/>
  <c r="U160" i="26" s="1"/>
  <c r="Y159" i="26"/>
  <c r="AD159" i="26" s="1"/>
  <c r="R158" i="26"/>
  <c r="AA157" i="26"/>
  <c r="V157" i="26"/>
  <c r="Z155" i="26"/>
  <c r="Z157" i="24"/>
  <c r="E169" i="24"/>
  <c r="I174" i="24" s="1"/>
  <c r="G169" i="24"/>
  <c r="K174" i="24" s="1"/>
  <c r="F169" i="24"/>
  <c r="J174" i="24" s="1"/>
  <c r="H169" i="24"/>
  <c r="L174" i="24" s="1"/>
  <c r="D170" i="24"/>
  <c r="X159" i="24"/>
  <c r="AC159" i="24" s="1"/>
  <c r="O160" i="24"/>
  <c r="AH160" i="24"/>
  <c r="AG161" i="24"/>
  <c r="U159" i="24"/>
  <c r="S158" i="24"/>
  <c r="W158" i="24" s="1"/>
  <c r="AB158" i="24" s="1"/>
  <c r="Y158" i="24"/>
  <c r="AD158" i="24" s="1"/>
  <c r="M160" i="24"/>
  <c r="R160" i="24" s="1"/>
  <c r="AA159" i="24"/>
  <c r="V159" i="24"/>
  <c r="S162" i="28" l="1"/>
  <c r="AD161" i="28"/>
  <c r="AC162" i="28"/>
  <c r="AB158" i="28"/>
  <c r="AE158" i="28" s="1"/>
  <c r="AF162" i="28" s="1"/>
  <c r="AG162" i="28" s="1"/>
  <c r="AI142" i="28"/>
  <c r="X163" i="28"/>
  <c r="O177" i="28"/>
  <c r="O171" i="28"/>
  <c r="O165" i="28"/>
  <c r="O172" i="28"/>
  <c r="O166" i="28"/>
  <c r="O175" i="28"/>
  <c r="O164" i="28"/>
  <c r="T164" i="28" s="1"/>
  <c r="O170" i="28"/>
  <c r="O167" i="28"/>
  <c r="O173" i="28"/>
  <c r="O168" i="28"/>
  <c r="O174" i="28"/>
  <c r="O169" i="28"/>
  <c r="O176" i="28"/>
  <c r="H14" i="28"/>
  <c r="Z158" i="28"/>
  <c r="P163" i="28"/>
  <c r="U163" i="28" s="1"/>
  <c r="Y162" i="28"/>
  <c r="AA159" i="28"/>
  <c r="V159" i="28"/>
  <c r="D172" i="28"/>
  <c r="C172" i="28" s="1"/>
  <c r="C171" i="28"/>
  <c r="W159" i="28"/>
  <c r="AH161" i="28"/>
  <c r="Z153" i="27"/>
  <c r="AI144" i="24"/>
  <c r="J12" i="24" s="1"/>
  <c r="AE158" i="24"/>
  <c r="AF162" i="24" s="1"/>
  <c r="X160" i="27"/>
  <c r="AC160" i="27" s="1"/>
  <c r="F14" i="27"/>
  <c r="O166" i="27"/>
  <c r="O172" i="27"/>
  <c r="O164" i="27"/>
  <c r="O170" i="27"/>
  <c r="O163" i="27"/>
  <c r="O169" i="27"/>
  <c r="O162" i="27"/>
  <c r="O168" i="27"/>
  <c r="O174" i="27"/>
  <c r="O161" i="27"/>
  <c r="T161" i="27" s="1"/>
  <c r="O167" i="27"/>
  <c r="O173" i="27"/>
  <c r="O171" i="27"/>
  <c r="O165" i="27"/>
  <c r="E167" i="27"/>
  <c r="I172" i="27" s="1"/>
  <c r="F167" i="27"/>
  <c r="J172" i="27" s="1"/>
  <c r="H167" i="27"/>
  <c r="L172" i="27" s="1"/>
  <c r="G167" i="27"/>
  <c r="K172" i="27" s="1"/>
  <c r="D169" i="27"/>
  <c r="Y157" i="27"/>
  <c r="AD157" i="27" s="1"/>
  <c r="U158" i="27"/>
  <c r="C168" i="27"/>
  <c r="W154" i="27"/>
  <c r="AB154" i="27" s="1"/>
  <c r="AE154" i="27" s="1"/>
  <c r="AF158" i="27" s="1"/>
  <c r="S155" i="27"/>
  <c r="R156" i="27"/>
  <c r="AA155" i="27"/>
  <c r="V155" i="27"/>
  <c r="AG157" i="27"/>
  <c r="AH156" i="27"/>
  <c r="W157" i="26"/>
  <c r="AB157" i="26" s="1"/>
  <c r="AE157" i="26" s="1"/>
  <c r="S158" i="26"/>
  <c r="R159" i="26"/>
  <c r="V158" i="26"/>
  <c r="AA158" i="26"/>
  <c r="D171" i="26"/>
  <c r="Y160" i="26"/>
  <c r="AD160" i="26" s="1"/>
  <c r="U161" i="26"/>
  <c r="P171" i="26"/>
  <c r="P165" i="26"/>
  <c r="P172" i="26"/>
  <c r="P170" i="26"/>
  <c r="P168" i="26"/>
  <c r="P173" i="26"/>
  <c r="P166" i="26"/>
  <c r="P161" i="26"/>
  <c r="P169" i="26"/>
  <c r="P167" i="26"/>
  <c r="P174" i="26"/>
  <c r="P164" i="26"/>
  <c r="P162" i="26"/>
  <c r="P163" i="26"/>
  <c r="G14" i="26"/>
  <c r="C170" i="26"/>
  <c r="T161" i="26"/>
  <c r="X160" i="26"/>
  <c r="AC160" i="26" s="1"/>
  <c r="Z156" i="26"/>
  <c r="V160" i="24"/>
  <c r="AA160" i="24"/>
  <c r="O174" i="24"/>
  <c r="O168" i="24"/>
  <c r="O162" i="24"/>
  <c r="O173" i="24"/>
  <c r="O170" i="24"/>
  <c r="O167" i="24"/>
  <c r="O166" i="24"/>
  <c r="O165" i="24"/>
  <c r="O171" i="24"/>
  <c r="O164" i="24"/>
  <c r="O172" i="24"/>
  <c r="O163" i="24"/>
  <c r="O169" i="24"/>
  <c r="O161" i="24"/>
  <c r="F14" i="24"/>
  <c r="T160" i="24"/>
  <c r="D171" i="24"/>
  <c r="C171" i="24" s="1"/>
  <c r="M173" i="24"/>
  <c r="M167" i="24"/>
  <c r="M161" i="24"/>
  <c r="R161" i="24" s="1"/>
  <c r="M165" i="24"/>
  <c r="M162" i="24"/>
  <c r="M164" i="24"/>
  <c r="M163" i="24"/>
  <c r="M169" i="24"/>
  <c r="M171" i="24"/>
  <c r="M174" i="24"/>
  <c r="M170" i="24"/>
  <c r="M168" i="24"/>
  <c r="M166" i="24"/>
  <c r="M172" i="24"/>
  <c r="D14" i="24"/>
  <c r="C170" i="24"/>
  <c r="P160" i="24"/>
  <c r="Y159" i="24"/>
  <c r="AD159" i="24" s="1"/>
  <c r="S159" i="24"/>
  <c r="W159" i="24" s="1"/>
  <c r="AB159" i="24" s="1"/>
  <c r="AE159" i="24" s="1"/>
  <c r="AF163" i="24" s="1"/>
  <c r="AH161" i="24"/>
  <c r="AI145" i="24" s="1"/>
  <c r="AG162" i="24"/>
  <c r="Z158" i="24"/>
  <c r="Z157" i="26" l="1"/>
  <c r="F171" i="28"/>
  <c r="J176" i="28" s="1"/>
  <c r="G171" i="28"/>
  <c r="K176" i="28" s="1"/>
  <c r="H171" i="28"/>
  <c r="L176" i="28" s="1"/>
  <c r="E171" i="28"/>
  <c r="I176" i="28" s="1"/>
  <c r="E172" i="28"/>
  <c r="I177" i="28" s="1"/>
  <c r="F172" i="28"/>
  <c r="J177" i="28" s="1"/>
  <c r="G172" i="28"/>
  <c r="K177" i="28" s="1"/>
  <c r="H172" i="28"/>
  <c r="T165" i="28"/>
  <c r="T166" i="28" s="1"/>
  <c r="T167" i="28" s="1"/>
  <c r="T168" i="28" s="1"/>
  <c r="T169" i="28" s="1"/>
  <c r="T170" i="28" s="1"/>
  <c r="T171" i="28" s="1"/>
  <c r="T172" i="28" s="1"/>
  <c r="T173" i="28" s="1"/>
  <c r="T174" i="28" s="1"/>
  <c r="T175" i="28" s="1"/>
  <c r="AD162" i="28"/>
  <c r="AB159" i="28"/>
  <c r="AE159" i="28" s="1"/>
  <c r="AF163" i="28" s="1"/>
  <c r="AG163" i="28" s="1"/>
  <c r="AC163" i="28"/>
  <c r="Z159" i="28"/>
  <c r="X164" i="28"/>
  <c r="L177" i="28"/>
  <c r="P172" i="28"/>
  <c r="P166" i="28"/>
  <c r="P177" i="28"/>
  <c r="P170" i="28"/>
  <c r="P169" i="28"/>
  <c r="P167" i="28"/>
  <c r="P175" i="28"/>
  <c r="P164" i="28"/>
  <c r="U164" i="28" s="1"/>
  <c r="P173" i="28"/>
  <c r="P168" i="28"/>
  <c r="P165" i="28"/>
  <c r="P174" i="28"/>
  <c r="P171" i="28"/>
  <c r="P176" i="28"/>
  <c r="I14" i="28"/>
  <c r="AH162" i="28"/>
  <c r="W160" i="28"/>
  <c r="Y163" i="28"/>
  <c r="D173" i="28"/>
  <c r="C173" i="28" s="1"/>
  <c r="AA160" i="28"/>
  <c r="V160" i="28"/>
  <c r="T162" i="27"/>
  <c r="X161" i="27"/>
  <c r="AC161" i="27" s="1"/>
  <c r="AH157" i="27"/>
  <c r="AG158" i="27"/>
  <c r="D170" i="27"/>
  <c r="C169" i="27"/>
  <c r="V156" i="27"/>
  <c r="AA156" i="27"/>
  <c r="R157" i="27"/>
  <c r="W155" i="27"/>
  <c r="AB155" i="27" s="1"/>
  <c r="AE155" i="27" s="1"/>
  <c r="AF159" i="27" s="1"/>
  <c r="S156" i="27"/>
  <c r="Z154" i="27"/>
  <c r="G168" i="27"/>
  <c r="K173" i="27" s="1"/>
  <c r="H168" i="27"/>
  <c r="L173" i="27" s="1"/>
  <c r="E168" i="27"/>
  <c r="I173" i="27" s="1"/>
  <c r="F168" i="27"/>
  <c r="J173" i="27" s="1"/>
  <c r="U159" i="27"/>
  <c r="Y158" i="27"/>
  <c r="AD158" i="27" s="1"/>
  <c r="U162" i="26"/>
  <c r="Y161" i="26"/>
  <c r="AD161" i="26" s="1"/>
  <c r="D172" i="26"/>
  <c r="C172" i="26" s="1"/>
  <c r="C171" i="26"/>
  <c r="T162" i="26"/>
  <c r="X161" i="26"/>
  <c r="AC161" i="26" s="1"/>
  <c r="M160" i="26"/>
  <c r="R160" i="26" s="1"/>
  <c r="AA159" i="26"/>
  <c r="V159" i="26"/>
  <c r="G170" i="26"/>
  <c r="K185" i="26" s="1"/>
  <c r="H170" i="26"/>
  <c r="L185" i="26" s="1"/>
  <c r="F170" i="26"/>
  <c r="J185" i="26" s="1"/>
  <c r="E170" i="26"/>
  <c r="I185" i="26" s="1"/>
  <c r="W158" i="26"/>
  <c r="AB158" i="26" s="1"/>
  <c r="AE158" i="26" s="1"/>
  <c r="S159" i="26"/>
  <c r="H171" i="24"/>
  <c r="L176" i="24" s="1"/>
  <c r="G171" i="24"/>
  <c r="K176" i="24" s="1"/>
  <c r="F171" i="24"/>
  <c r="J176" i="24" s="1"/>
  <c r="E171" i="24"/>
  <c r="I176" i="24" s="1"/>
  <c r="R162" i="24"/>
  <c r="AA161" i="24"/>
  <c r="V161" i="24"/>
  <c r="T161" i="24"/>
  <c r="X160" i="24"/>
  <c r="AC160" i="24" s="1"/>
  <c r="Z159" i="24"/>
  <c r="P169" i="24"/>
  <c r="P163" i="24"/>
  <c r="P162" i="24"/>
  <c r="P172" i="24"/>
  <c r="P171" i="24"/>
  <c r="P170" i="24"/>
  <c r="P168" i="24"/>
  <c r="P173" i="24"/>
  <c r="P164" i="24"/>
  <c r="P174" i="24"/>
  <c r="P166" i="24"/>
  <c r="P161" i="24"/>
  <c r="P167" i="24"/>
  <c r="P165" i="24"/>
  <c r="G14" i="24"/>
  <c r="U160" i="24"/>
  <c r="G170" i="24"/>
  <c r="K175" i="24" s="1"/>
  <c r="F170" i="24"/>
  <c r="J175" i="24" s="1"/>
  <c r="H170" i="24"/>
  <c r="L175" i="24" s="1"/>
  <c r="E170" i="24"/>
  <c r="I175" i="24" s="1"/>
  <c r="D172" i="24"/>
  <c r="C172" i="24" s="1"/>
  <c r="N160" i="24"/>
  <c r="AG163" i="24"/>
  <c r="AH162" i="24"/>
  <c r="T176" i="28" l="1"/>
  <c r="T177" i="28" s="1"/>
  <c r="Z158" i="26"/>
  <c r="E173" i="28"/>
  <c r="I178" i="28" s="1"/>
  <c r="F173" i="28"/>
  <c r="G173" i="28"/>
  <c r="H173" i="28"/>
  <c r="L178" i="28" s="1"/>
  <c r="U165" i="28"/>
  <c r="AD163" i="28"/>
  <c r="AC164" i="28"/>
  <c r="AB160" i="28"/>
  <c r="AE160" i="28" s="1"/>
  <c r="AF164" i="28" s="1"/>
  <c r="AG164" i="28" s="1"/>
  <c r="AI143" i="28"/>
  <c r="K178" i="28"/>
  <c r="J178" i="28"/>
  <c r="AH163" i="28"/>
  <c r="D174" i="28"/>
  <c r="C174" i="28" s="1"/>
  <c r="Y164" i="28"/>
  <c r="Z160" i="28"/>
  <c r="X165" i="28"/>
  <c r="V161" i="28"/>
  <c r="AA161" i="28"/>
  <c r="W161" i="28"/>
  <c r="Z155" i="27"/>
  <c r="V157" i="27"/>
  <c r="AA157" i="27"/>
  <c r="R158" i="27"/>
  <c r="Y159" i="27"/>
  <c r="AD159" i="27" s="1"/>
  <c r="P160" i="27"/>
  <c r="U160" i="27" s="1"/>
  <c r="E169" i="27"/>
  <c r="I174" i="27" s="1"/>
  <c r="G169" i="27"/>
  <c r="K174" i="27" s="1"/>
  <c r="F169" i="27"/>
  <c r="J174" i="27" s="1"/>
  <c r="H169" i="27"/>
  <c r="L174" i="27" s="1"/>
  <c r="D171" i="27"/>
  <c r="C171" i="27" s="1"/>
  <c r="C170" i="27"/>
  <c r="AH158" i="27"/>
  <c r="AG159" i="27"/>
  <c r="W156" i="27"/>
  <c r="AB156" i="27" s="1"/>
  <c r="AE156" i="27" s="1"/>
  <c r="AF160" i="27" s="1"/>
  <c r="S157" i="27"/>
  <c r="T163" i="27"/>
  <c r="X162" i="27"/>
  <c r="AC162" i="27" s="1"/>
  <c r="M174" i="26"/>
  <c r="M172" i="26"/>
  <c r="M170" i="26"/>
  <c r="M168" i="26"/>
  <c r="M173" i="26"/>
  <c r="M166" i="26"/>
  <c r="M164" i="26"/>
  <c r="M162" i="26"/>
  <c r="M169" i="26"/>
  <c r="M165" i="26"/>
  <c r="M171" i="26"/>
  <c r="M161" i="26"/>
  <c r="R161" i="26" s="1"/>
  <c r="M163" i="26"/>
  <c r="D14" i="26"/>
  <c r="M167" i="26"/>
  <c r="N160" i="26"/>
  <c r="Q160" i="26" s="1"/>
  <c r="T163" i="26"/>
  <c r="X162" i="26"/>
  <c r="AC162" i="26" s="1"/>
  <c r="G171" i="26"/>
  <c r="K186" i="26" s="1"/>
  <c r="H171" i="26"/>
  <c r="L186" i="26" s="1"/>
  <c r="F171" i="26"/>
  <c r="J186" i="26" s="1"/>
  <c r="E171" i="26"/>
  <c r="I186" i="26" s="1"/>
  <c r="AA160" i="26"/>
  <c r="V160" i="26"/>
  <c r="H172" i="26"/>
  <c r="L187" i="26" s="1"/>
  <c r="G172" i="26"/>
  <c r="K187" i="26" s="1"/>
  <c r="F172" i="26"/>
  <c r="J187" i="26" s="1"/>
  <c r="E172" i="26"/>
  <c r="I187" i="26" s="1"/>
  <c r="D173" i="26"/>
  <c r="W159" i="26"/>
  <c r="AB159" i="26" s="1"/>
  <c r="AE159" i="26" s="1"/>
  <c r="Y162" i="26"/>
  <c r="AD162" i="26" s="1"/>
  <c r="U163" i="26"/>
  <c r="E172" i="24"/>
  <c r="I177" i="24" s="1"/>
  <c r="H172" i="24"/>
  <c r="L177" i="24" s="1"/>
  <c r="G172" i="24"/>
  <c r="K177" i="24" s="1"/>
  <c r="F172" i="24"/>
  <c r="J177" i="24" s="1"/>
  <c r="X161" i="24"/>
  <c r="AC161" i="24" s="1"/>
  <c r="T162" i="24"/>
  <c r="U161" i="24"/>
  <c r="S160" i="24"/>
  <c r="W160" i="24" s="1"/>
  <c r="Y160" i="24"/>
  <c r="AD160" i="24" s="1"/>
  <c r="I13" i="24"/>
  <c r="AA162" i="24"/>
  <c r="V162" i="24"/>
  <c r="R163" i="24"/>
  <c r="N174" i="24"/>
  <c r="Q174" i="24" s="1"/>
  <c r="N168" i="24"/>
  <c r="Q168" i="24" s="1"/>
  <c r="N162" i="24"/>
  <c r="Q162" i="24" s="1"/>
  <c r="N165" i="24"/>
  <c r="Q165" i="24" s="1"/>
  <c r="N173" i="24"/>
  <c r="Q173" i="24" s="1"/>
  <c r="N170" i="24"/>
  <c r="Q170" i="24" s="1"/>
  <c r="N169" i="24"/>
  <c r="Q169" i="24" s="1"/>
  <c r="N161" i="24"/>
  <c r="Q161" i="24" s="1"/>
  <c r="N167" i="24"/>
  <c r="Q167" i="24" s="1"/>
  <c r="N171" i="24"/>
  <c r="Q171" i="24" s="1"/>
  <c r="N164" i="24"/>
  <c r="Q164" i="24" s="1"/>
  <c r="N166" i="24"/>
  <c r="Q166" i="24" s="1"/>
  <c r="N172" i="24"/>
  <c r="Q172" i="24" s="1"/>
  <c r="N163" i="24"/>
  <c r="Q163" i="24" s="1"/>
  <c r="E14" i="24"/>
  <c r="Q160" i="24"/>
  <c r="D173" i="24"/>
  <c r="C173" i="24" s="1"/>
  <c r="AH163" i="24"/>
  <c r="Z159" i="26" l="1"/>
  <c r="I13" i="26" s="1"/>
  <c r="J13" i="26" s="1"/>
  <c r="S160" i="26"/>
  <c r="F174" i="28"/>
  <c r="J179" i="28" s="1"/>
  <c r="G174" i="28"/>
  <c r="K179" i="28" s="1"/>
  <c r="H174" i="28"/>
  <c r="L179" i="28" s="1"/>
  <c r="E174" i="28"/>
  <c r="I179" i="28" s="1"/>
  <c r="U166" i="28"/>
  <c r="AI144" i="28"/>
  <c r="AC165" i="28"/>
  <c r="AB161" i="28"/>
  <c r="AE161" i="28" s="1"/>
  <c r="AF165" i="28" s="1"/>
  <c r="AG165" i="28" s="1"/>
  <c r="AD164" i="28"/>
  <c r="Y165" i="28"/>
  <c r="AH164" i="28"/>
  <c r="W162" i="28"/>
  <c r="V162" i="28"/>
  <c r="AA162" i="28"/>
  <c r="M163" i="28"/>
  <c r="R163" i="28" s="1"/>
  <c r="Z161" i="28"/>
  <c r="X166" i="28"/>
  <c r="D175" i="28"/>
  <c r="C175" i="28" s="1"/>
  <c r="AI145" i="27"/>
  <c r="AI146" i="24"/>
  <c r="E171" i="27"/>
  <c r="I176" i="27" s="1"/>
  <c r="G171" i="27"/>
  <c r="K176" i="27" s="1"/>
  <c r="H171" i="27"/>
  <c r="L176" i="27" s="1"/>
  <c r="F171" i="27"/>
  <c r="J176" i="27" s="1"/>
  <c r="X163" i="27"/>
  <c r="AC163" i="27" s="1"/>
  <c r="T164" i="27"/>
  <c r="W157" i="27"/>
  <c r="AB157" i="27" s="1"/>
  <c r="AE157" i="27" s="1"/>
  <c r="AF161" i="27" s="1"/>
  <c r="S158" i="27"/>
  <c r="Y160" i="27"/>
  <c r="AD160" i="27" s="1"/>
  <c r="G14" i="27"/>
  <c r="P166" i="27"/>
  <c r="P172" i="27"/>
  <c r="P165" i="27"/>
  <c r="P171" i="27"/>
  <c r="P163" i="27"/>
  <c r="P169" i="27"/>
  <c r="P173" i="27"/>
  <c r="P174" i="27"/>
  <c r="P167" i="27"/>
  <c r="P168" i="27"/>
  <c r="P170" i="27"/>
  <c r="P161" i="27"/>
  <c r="U161" i="27" s="1"/>
  <c r="P162" i="27"/>
  <c r="P164" i="27"/>
  <c r="AG160" i="27"/>
  <c r="AH159" i="27"/>
  <c r="E170" i="27"/>
  <c r="I175" i="27" s="1"/>
  <c r="F170" i="27"/>
  <c r="J175" i="27" s="1"/>
  <c r="G170" i="27"/>
  <c r="K175" i="27" s="1"/>
  <c r="H170" i="27"/>
  <c r="L175" i="27" s="1"/>
  <c r="Z156" i="27"/>
  <c r="D172" i="27"/>
  <c r="V158" i="27"/>
  <c r="AA158" i="27"/>
  <c r="R159" i="27"/>
  <c r="V161" i="26"/>
  <c r="R162" i="26"/>
  <c r="AA161" i="26"/>
  <c r="D174" i="26"/>
  <c r="C174" i="26" s="1"/>
  <c r="W160" i="26"/>
  <c r="AB160" i="26" s="1"/>
  <c r="AE160" i="26" s="1"/>
  <c r="C173" i="26"/>
  <c r="X163" i="26"/>
  <c r="AC163" i="26" s="1"/>
  <c r="T164" i="26"/>
  <c r="N166" i="26"/>
  <c r="Q166" i="26" s="1"/>
  <c r="N164" i="26"/>
  <c r="Q164" i="26" s="1"/>
  <c r="N162" i="26"/>
  <c r="Q162" i="26" s="1"/>
  <c r="N169" i="26"/>
  <c r="Q169" i="26" s="1"/>
  <c r="N165" i="26"/>
  <c r="Q165" i="26" s="1"/>
  <c r="N170" i="26"/>
  <c r="Q170" i="26" s="1"/>
  <c r="N168" i="26"/>
  <c r="Q168" i="26" s="1"/>
  <c r="N173" i="26"/>
  <c r="Q173" i="26" s="1"/>
  <c r="N171" i="26"/>
  <c r="Q171" i="26" s="1"/>
  <c r="N163" i="26"/>
  <c r="Q163" i="26" s="1"/>
  <c r="N161" i="26"/>
  <c r="Q161" i="26" s="1"/>
  <c r="N172" i="26"/>
  <c r="Q172" i="26" s="1"/>
  <c r="N167" i="26"/>
  <c r="Q167" i="26" s="1"/>
  <c r="E14" i="26"/>
  <c r="N174" i="26"/>
  <c r="Y163" i="26"/>
  <c r="AD163" i="26" s="1"/>
  <c r="U164" i="26"/>
  <c r="Q174" i="26"/>
  <c r="H173" i="24"/>
  <c r="L178" i="24" s="1"/>
  <c r="G173" i="24"/>
  <c r="K178" i="24" s="1"/>
  <c r="F173" i="24"/>
  <c r="J178" i="24" s="1"/>
  <c r="E173" i="24"/>
  <c r="I178" i="24" s="1"/>
  <c r="AB160" i="24"/>
  <c r="AE160" i="24" s="1"/>
  <c r="AF164" i="24" s="1"/>
  <c r="AG164" i="24" s="1"/>
  <c r="Z160" i="24"/>
  <c r="Y161" i="24"/>
  <c r="AD161" i="24" s="1"/>
  <c r="U162" i="24"/>
  <c r="S161" i="24"/>
  <c r="W161" i="24" s="1"/>
  <c r="D174" i="24"/>
  <c r="C174" i="24" s="1"/>
  <c r="T163" i="24"/>
  <c r="X162" i="24"/>
  <c r="AC162" i="24" s="1"/>
  <c r="R164" i="24"/>
  <c r="V163" i="24"/>
  <c r="AA163" i="24"/>
  <c r="E175" i="28" l="1"/>
  <c r="I180" i="28" s="1"/>
  <c r="F175" i="28"/>
  <c r="J180" i="28" s="1"/>
  <c r="G175" i="28"/>
  <c r="K180" i="28" s="1"/>
  <c r="H175" i="28"/>
  <c r="L180" i="28" s="1"/>
  <c r="U167" i="28"/>
  <c r="AC166" i="28"/>
  <c r="AB162" i="28"/>
  <c r="AE162" i="28" s="1"/>
  <c r="AF166" i="28" s="1"/>
  <c r="AG166" i="28" s="1"/>
  <c r="AD165" i="28"/>
  <c r="Z162" i="28"/>
  <c r="C13" i="28" s="1"/>
  <c r="D176" i="28"/>
  <c r="C176" i="28" s="1"/>
  <c r="AH165" i="28"/>
  <c r="X167" i="28"/>
  <c r="Y166" i="28"/>
  <c r="V163" i="28"/>
  <c r="AA163" i="28"/>
  <c r="M176" i="28"/>
  <c r="M170" i="28"/>
  <c r="M164" i="28"/>
  <c r="R164" i="28" s="1"/>
  <c r="M177" i="28"/>
  <c r="M171" i="28"/>
  <c r="M165" i="28"/>
  <c r="M172" i="28"/>
  <c r="M175" i="28"/>
  <c r="M167" i="28"/>
  <c r="M173" i="28"/>
  <c r="M168" i="28"/>
  <c r="M169" i="28"/>
  <c r="M166" i="28"/>
  <c r="M174" i="28"/>
  <c r="F14" i="28"/>
  <c r="N163" i="28"/>
  <c r="S163" i="28" s="1"/>
  <c r="AI146" i="27"/>
  <c r="Z157" i="27"/>
  <c r="Y161" i="27"/>
  <c r="AD161" i="27" s="1"/>
  <c r="U162" i="27"/>
  <c r="D173" i="27"/>
  <c r="C172" i="27"/>
  <c r="W158" i="27"/>
  <c r="AB158" i="27" s="1"/>
  <c r="AE158" i="27" s="1"/>
  <c r="AF162" i="27" s="1"/>
  <c r="S159" i="27"/>
  <c r="X164" i="27"/>
  <c r="AC164" i="27" s="1"/>
  <c r="T165" i="27"/>
  <c r="AG161" i="27"/>
  <c r="AH160" i="27"/>
  <c r="V159" i="27"/>
  <c r="M160" i="27"/>
  <c r="AA159" i="27"/>
  <c r="S161" i="26"/>
  <c r="W161" i="26" s="1"/>
  <c r="G173" i="26"/>
  <c r="K188" i="26" s="1"/>
  <c r="H173" i="26"/>
  <c r="L188" i="26" s="1"/>
  <c r="F173" i="26"/>
  <c r="J188" i="26" s="1"/>
  <c r="E173" i="26"/>
  <c r="I188" i="26" s="1"/>
  <c r="E174" i="26"/>
  <c r="I189" i="26" s="1"/>
  <c r="H174" i="26"/>
  <c r="L189" i="26" s="1"/>
  <c r="G174" i="26"/>
  <c r="K189" i="26" s="1"/>
  <c r="F174" i="26"/>
  <c r="J189" i="26" s="1"/>
  <c r="D175" i="26"/>
  <c r="C175" i="26" s="1"/>
  <c r="Z160" i="26"/>
  <c r="Y164" i="26"/>
  <c r="AD164" i="26" s="1"/>
  <c r="U165" i="26"/>
  <c r="T165" i="26"/>
  <c r="X164" i="26"/>
  <c r="AC164" i="26" s="1"/>
  <c r="R163" i="26"/>
  <c r="V162" i="26"/>
  <c r="AA162" i="26"/>
  <c r="D175" i="24"/>
  <c r="AB161" i="24"/>
  <c r="AE161" i="24" s="1"/>
  <c r="AF165" i="24" s="1"/>
  <c r="AG165" i="24" s="1"/>
  <c r="Z161" i="24"/>
  <c r="S162" i="24"/>
  <c r="W162" i="24" s="1"/>
  <c r="U163" i="24"/>
  <c r="Y162" i="24"/>
  <c r="AD162" i="24" s="1"/>
  <c r="AH164" i="24"/>
  <c r="T164" i="24"/>
  <c r="X163" i="24"/>
  <c r="AC163" i="24" s="1"/>
  <c r="V164" i="24"/>
  <c r="R165" i="24"/>
  <c r="AA164" i="24"/>
  <c r="H174" i="24"/>
  <c r="L179" i="24" s="1"/>
  <c r="G174" i="24"/>
  <c r="K179" i="24" s="1"/>
  <c r="F174" i="24"/>
  <c r="J179" i="24" s="1"/>
  <c r="E174" i="24"/>
  <c r="I179" i="24" s="1"/>
  <c r="AB161" i="26" l="1"/>
  <c r="AE161" i="26" s="1"/>
  <c r="Z161" i="26"/>
  <c r="S162" i="26"/>
  <c r="W162" i="26" s="1"/>
  <c r="E176" i="28"/>
  <c r="I181" i="28" s="1"/>
  <c r="H176" i="28"/>
  <c r="L181" i="28" s="1"/>
  <c r="F176" i="28"/>
  <c r="J181" i="28" s="1"/>
  <c r="G176" i="28"/>
  <c r="K181" i="28" s="1"/>
  <c r="R165" i="28"/>
  <c r="R166" i="28" s="1"/>
  <c r="R167" i="28" s="1"/>
  <c r="R168" i="28" s="1"/>
  <c r="R169" i="28" s="1"/>
  <c r="R170" i="28" s="1"/>
  <c r="R171" i="28" s="1"/>
  <c r="R172" i="28" s="1"/>
  <c r="R173" i="28" s="1"/>
  <c r="R174" i="28" s="1"/>
  <c r="R175" i="28" s="1"/>
  <c r="R176" i="28" s="1"/>
  <c r="R177" i="28" s="1"/>
  <c r="U168" i="28"/>
  <c r="AI145" i="28"/>
  <c r="AD166" i="28"/>
  <c r="AC167" i="28"/>
  <c r="Q163" i="28"/>
  <c r="G14" i="28"/>
  <c r="X168" i="28"/>
  <c r="AH166" i="28"/>
  <c r="N177" i="28"/>
  <c r="Q177" i="28" s="1"/>
  <c r="N171" i="28"/>
  <c r="Q171" i="28" s="1"/>
  <c r="N165" i="28"/>
  <c r="Q165" i="28" s="1"/>
  <c r="N176" i="28"/>
  <c r="Q176" i="28" s="1"/>
  <c r="N164" i="28"/>
  <c r="Q164" i="28" s="1"/>
  <c r="N175" i="28"/>
  <c r="Q175" i="28" s="1"/>
  <c r="N170" i="28"/>
  <c r="Q170" i="28" s="1"/>
  <c r="N167" i="28"/>
  <c r="Q167" i="28" s="1"/>
  <c r="N173" i="28"/>
  <c r="Q173" i="28" s="1"/>
  <c r="N168" i="28"/>
  <c r="Q168" i="28" s="1"/>
  <c r="N174" i="28"/>
  <c r="Q174" i="28" s="1"/>
  <c r="N166" i="28"/>
  <c r="Q166" i="28" s="1"/>
  <c r="N172" i="28"/>
  <c r="Q172" i="28" s="1"/>
  <c r="N169" i="28"/>
  <c r="Q169" i="28" s="1"/>
  <c r="Y167" i="28"/>
  <c r="D177" i="28"/>
  <c r="C177" i="28" s="1"/>
  <c r="AI147" i="27"/>
  <c r="AI147" i="24"/>
  <c r="T166" i="27"/>
  <c r="X165" i="27"/>
  <c r="AC165" i="27" s="1"/>
  <c r="W159" i="27"/>
  <c r="AB159" i="27" s="1"/>
  <c r="AE159" i="27" s="1"/>
  <c r="AF163" i="27" s="1"/>
  <c r="F172" i="27"/>
  <c r="J177" i="27" s="1"/>
  <c r="G172" i="27"/>
  <c r="K177" i="27" s="1"/>
  <c r="E172" i="27"/>
  <c r="I177" i="27" s="1"/>
  <c r="H172" i="27"/>
  <c r="L177" i="27" s="1"/>
  <c r="D174" i="27"/>
  <c r="D14" i="27"/>
  <c r="M165" i="27"/>
  <c r="M171" i="27"/>
  <c r="M163" i="27"/>
  <c r="M169" i="27"/>
  <c r="M162" i="27"/>
  <c r="M168" i="27"/>
  <c r="M174" i="27"/>
  <c r="M161" i="27"/>
  <c r="M167" i="27"/>
  <c r="M173" i="27"/>
  <c r="M166" i="27"/>
  <c r="M172" i="27"/>
  <c r="M170" i="27"/>
  <c r="M164" i="27"/>
  <c r="N160" i="27"/>
  <c r="S160" i="27" s="1"/>
  <c r="C173" i="27"/>
  <c r="Z158" i="27"/>
  <c r="U163" i="27"/>
  <c r="Y162" i="27"/>
  <c r="AD162" i="27" s="1"/>
  <c r="R160" i="27"/>
  <c r="AH161" i="27"/>
  <c r="AG162" i="27"/>
  <c r="G175" i="26"/>
  <c r="K190" i="26" s="1"/>
  <c r="E175" i="26"/>
  <c r="I190" i="26" s="1"/>
  <c r="H175" i="26"/>
  <c r="L190" i="26" s="1"/>
  <c r="F175" i="26"/>
  <c r="J190" i="26" s="1"/>
  <c r="D176" i="26"/>
  <c r="C176" i="26" s="1"/>
  <c r="V163" i="26"/>
  <c r="R164" i="26"/>
  <c r="AA163" i="26"/>
  <c r="T166" i="26"/>
  <c r="X165" i="26"/>
  <c r="AC165" i="26" s="1"/>
  <c r="S163" i="26"/>
  <c r="U166" i="26"/>
  <c r="Y165" i="26"/>
  <c r="AD165" i="26" s="1"/>
  <c r="T165" i="24"/>
  <c r="X164" i="24"/>
  <c r="AC164" i="24" s="1"/>
  <c r="AH165" i="24"/>
  <c r="Y163" i="24"/>
  <c r="AD163" i="24" s="1"/>
  <c r="U164" i="24"/>
  <c r="S163" i="24"/>
  <c r="W163" i="24" s="1"/>
  <c r="AB162" i="24"/>
  <c r="AE162" i="24" s="1"/>
  <c r="AF166" i="24" s="1"/>
  <c r="AG166" i="24" s="1"/>
  <c r="Z162" i="24"/>
  <c r="AA165" i="24"/>
  <c r="R166" i="24"/>
  <c r="V165" i="24"/>
  <c r="D176" i="24"/>
  <c r="C175" i="24"/>
  <c r="AB162" i="26" l="1"/>
  <c r="AE162" i="26" s="1"/>
  <c r="Z162" i="26"/>
  <c r="F177" i="28"/>
  <c r="J182" i="28" s="1"/>
  <c r="G177" i="28"/>
  <c r="K182" i="28" s="1"/>
  <c r="H177" i="28"/>
  <c r="L182" i="28" s="1"/>
  <c r="E177" i="28"/>
  <c r="I182" i="28" s="1"/>
  <c r="U169" i="28"/>
  <c r="S164" i="28"/>
  <c r="S165" i="28" s="1"/>
  <c r="S166" i="28" s="1"/>
  <c r="S167" i="28" s="1"/>
  <c r="S168" i="28" s="1"/>
  <c r="AD167" i="28"/>
  <c r="AC168" i="28"/>
  <c r="X169" i="28"/>
  <c r="D178" i="28"/>
  <c r="Y168" i="28"/>
  <c r="AA164" i="28"/>
  <c r="V164" i="28"/>
  <c r="W163" i="28"/>
  <c r="AI148" i="27"/>
  <c r="AI149" i="27"/>
  <c r="Z159" i="27"/>
  <c r="I13" i="27" s="1"/>
  <c r="Q160" i="27"/>
  <c r="W160" i="27"/>
  <c r="AB160" i="27" s="1"/>
  <c r="D175" i="27"/>
  <c r="C175" i="27" s="1"/>
  <c r="C174" i="27"/>
  <c r="AA160" i="27"/>
  <c r="R161" i="27"/>
  <c r="V160" i="27"/>
  <c r="Y163" i="27"/>
  <c r="AD163" i="27" s="1"/>
  <c r="U164" i="27"/>
  <c r="E173" i="27"/>
  <c r="I178" i="27" s="1"/>
  <c r="F173" i="27"/>
  <c r="J178" i="27" s="1"/>
  <c r="H173" i="27"/>
  <c r="L178" i="27" s="1"/>
  <c r="G173" i="27"/>
  <c r="K178" i="27" s="1"/>
  <c r="E14" i="27"/>
  <c r="N165" i="27"/>
  <c r="Q165" i="27" s="1"/>
  <c r="N171" i="27"/>
  <c r="Q171" i="27" s="1"/>
  <c r="N164" i="27"/>
  <c r="Q164" i="27" s="1"/>
  <c r="N170" i="27"/>
  <c r="Q170" i="27" s="1"/>
  <c r="N162" i="27"/>
  <c r="Q162" i="27" s="1"/>
  <c r="N168" i="27"/>
  <c r="Q168" i="27" s="1"/>
  <c r="N174" i="27"/>
  <c r="Q174" i="27" s="1"/>
  <c r="N173" i="27"/>
  <c r="Q173" i="27" s="1"/>
  <c r="N167" i="27"/>
  <c r="Q167" i="27" s="1"/>
  <c r="N169" i="27"/>
  <c r="Q169" i="27" s="1"/>
  <c r="N172" i="27"/>
  <c r="Q172" i="27" s="1"/>
  <c r="N161" i="27"/>
  <c r="S161" i="27" s="1"/>
  <c r="N163" i="27"/>
  <c r="Q163" i="27" s="1"/>
  <c r="N166" i="27"/>
  <c r="Q166" i="27" s="1"/>
  <c r="AG163" i="27"/>
  <c r="AH162" i="27"/>
  <c r="T167" i="27"/>
  <c r="X166" i="27"/>
  <c r="AC166" i="27" s="1"/>
  <c r="X166" i="26"/>
  <c r="AC166" i="26" s="1"/>
  <c r="T167" i="26"/>
  <c r="H176" i="26"/>
  <c r="L191" i="26" s="1"/>
  <c r="G176" i="26"/>
  <c r="K191" i="26" s="1"/>
  <c r="F176" i="26"/>
  <c r="J191" i="26" s="1"/>
  <c r="E176" i="26"/>
  <c r="I191" i="26" s="1"/>
  <c r="Y166" i="26"/>
  <c r="AD166" i="26" s="1"/>
  <c r="U167" i="26"/>
  <c r="D177" i="26"/>
  <c r="C177" i="26" s="1"/>
  <c r="W163" i="26"/>
  <c r="AB163" i="26" s="1"/>
  <c r="AE163" i="26" s="1"/>
  <c r="S164" i="26"/>
  <c r="V164" i="26"/>
  <c r="R165" i="26"/>
  <c r="AA164" i="26"/>
  <c r="AH166" i="24"/>
  <c r="V166" i="24"/>
  <c r="R167" i="24"/>
  <c r="AA166" i="24"/>
  <c r="D177" i="24"/>
  <c r="C177" i="24" s="1"/>
  <c r="G175" i="24"/>
  <c r="K180" i="24" s="1"/>
  <c r="F175" i="24"/>
  <c r="J180" i="24" s="1"/>
  <c r="E175" i="24"/>
  <c r="I180" i="24" s="1"/>
  <c r="H175" i="24"/>
  <c r="L180" i="24" s="1"/>
  <c r="C176" i="24"/>
  <c r="AB163" i="24"/>
  <c r="AE163" i="24" s="1"/>
  <c r="AF167" i="24" s="1"/>
  <c r="AG167" i="24" s="1"/>
  <c r="Z163" i="24"/>
  <c r="U165" i="24"/>
  <c r="S164" i="24"/>
  <c r="W164" i="24" s="1"/>
  <c r="Y164" i="24"/>
  <c r="AD164" i="24" s="1"/>
  <c r="X165" i="24"/>
  <c r="AC165" i="24" s="1"/>
  <c r="T166" i="24"/>
  <c r="U170" i="28" l="1"/>
  <c r="S169" i="28"/>
  <c r="AC169" i="28"/>
  <c r="AD168" i="28"/>
  <c r="Y169" i="28"/>
  <c r="AA165" i="28"/>
  <c r="V165" i="28"/>
  <c r="D179" i="28"/>
  <c r="C179" i="28" s="1"/>
  <c r="X170" i="28"/>
  <c r="W164" i="28"/>
  <c r="AB163" i="28"/>
  <c r="AE163" i="28" s="1"/>
  <c r="AF167" i="28" s="1"/>
  <c r="AG167" i="28" s="1"/>
  <c r="Z163" i="28"/>
  <c r="C178" i="28"/>
  <c r="AE160" i="27"/>
  <c r="AF164" i="27" s="1"/>
  <c r="Z160" i="27"/>
  <c r="AI150" i="27"/>
  <c r="AI148" i="24"/>
  <c r="W161" i="27"/>
  <c r="AB161" i="27" s="1"/>
  <c r="S162" i="27"/>
  <c r="Q161" i="27"/>
  <c r="AH163" i="27"/>
  <c r="AG164" i="27"/>
  <c r="G174" i="27"/>
  <c r="K179" i="27" s="1"/>
  <c r="H174" i="27"/>
  <c r="L179" i="27" s="1"/>
  <c r="E174" i="27"/>
  <c r="I179" i="27" s="1"/>
  <c r="F174" i="27"/>
  <c r="J179" i="27" s="1"/>
  <c r="U165" i="27"/>
  <c r="Y164" i="27"/>
  <c r="AD164" i="27" s="1"/>
  <c r="D176" i="27"/>
  <c r="AA161" i="27"/>
  <c r="R162" i="27"/>
  <c r="V161" i="27"/>
  <c r="E175" i="27"/>
  <c r="I180" i="27" s="1"/>
  <c r="G175" i="27"/>
  <c r="K180" i="27" s="1"/>
  <c r="H175" i="27"/>
  <c r="L180" i="27" s="1"/>
  <c r="F175" i="27"/>
  <c r="J180" i="27" s="1"/>
  <c r="T168" i="27"/>
  <c r="X167" i="27"/>
  <c r="AC167" i="27" s="1"/>
  <c r="Y167" i="26"/>
  <c r="AD167" i="26" s="1"/>
  <c r="U168" i="26"/>
  <c r="R166" i="26"/>
  <c r="AA165" i="26"/>
  <c r="V165" i="26"/>
  <c r="Z163" i="26"/>
  <c r="W164" i="26"/>
  <c r="AB164" i="26" s="1"/>
  <c r="AE164" i="26" s="1"/>
  <c r="S165" i="26"/>
  <c r="T168" i="26"/>
  <c r="X167" i="26"/>
  <c r="AC167" i="26" s="1"/>
  <c r="G177" i="26"/>
  <c r="K192" i="26" s="1"/>
  <c r="F177" i="26"/>
  <c r="J192" i="26" s="1"/>
  <c r="E177" i="26"/>
  <c r="I192" i="26" s="1"/>
  <c r="H177" i="26"/>
  <c r="L192" i="26" s="1"/>
  <c r="D178" i="26"/>
  <c r="C178" i="26" s="1"/>
  <c r="AH167" i="24"/>
  <c r="X166" i="24"/>
  <c r="AC166" i="24" s="1"/>
  <c r="T167" i="24"/>
  <c r="D178" i="24"/>
  <c r="C178" i="24" s="1"/>
  <c r="AA167" i="24"/>
  <c r="R168" i="24"/>
  <c r="V167" i="24"/>
  <c r="U166" i="24"/>
  <c r="Y165" i="24"/>
  <c r="AD165" i="24" s="1"/>
  <c r="S165" i="24"/>
  <c r="W165" i="24" s="1"/>
  <c r="F177" i="24"/>
  <c r="J182" i="24" s="1"/>
  <c r="E177" i="24"/>
  <c r="I182" i="24" s="1"/>
  <c r="H177" i="24"/>
  <c r="L182" i="24" s="1"/>
  <c r="G177" i="24"/>
  <c r="K182" i="24" s="1"/>
  <c r="G176" i="24"/>
  <c r="K181" i="24" s="1"/>
  <c r="F176" i="24"/>
  <c r="J181" i="24" s="1"/>
  <c r="E176" i="24"/>
  <c r="I181" i="24" s="1"/>
  <c r="H176" i="24"/>
  <c r="L181" i="24" s="1"/>
  <c r="AB164" i="24"/>
  <c r="AE164" i="24" s="1"/>
  <c r="AF168" i="24" s="1"/>
  <c r="AG168" i="24" s="1"/>
  <c r="Z164" i="24"/>
  <c r="E179" i="28" l="1"/>
  <c r="I184" i="28" s="1"/>
  <c r="F179" i="28"/>
  <c r="J184" i="28" s="1"/>
  <c r="G179" i="28"/>
  <c r="K184" i="28" s="1"/>
  <c r="H179" i="28"/>
  <c r="E178" i="28"/>
  <c r="F178" i="28"/>
  <c r="J183" i="28" s="1"/>
  <c r="G178" i="28"/>
  <c r="K183" i="28" s="1"/>
  <c r="H178" i="28"/>
  <c r="L183" i="28" s="1"/>
  <c r="S170" i="28"/>
  <c r="U171" i="28"/>
  <c r="AD169" i="28"/>
  <c r="AB164" i="28"/>
  <c r="AE164" i="28" s="1"/>
  <c r="AF168" i="28" s="1"/>
  <c r="AG168" i="28" s="1"/>
  <c r="AC170" i="28"/>
  <c r="L184" i="28"/>
  <c r="X171" i="28"/>
  <c r="D180" i="28"/>
  <c r="W165" i="28"/>
  <c r="AA166" i="28"/>
  <c r="V166" i="28"/>
  <c r="Z164" i="28"/>
  <c r="I183" i="28"/>
  <c r="Y170" i="28"/>
  <c r="AH167" i="28"/>
  <c r="AI151" i="27"/>
  <c r="AE161" i="27"/>
  <c r="AF165" i="27" s="1"/>
  <c r="AG165" i="27" s="1"/>
  <c r="AI149" i="24"/>
  <c r="Z161" i="27"/>
  <c r="AH164" i="27"/>
  <c r="Y165" i="27"/>
  <c r="AD165" i="27" s="1"/>
  <c r="U166" i="27"/>
  <c r="T169" i="27"/>
  <c r="X168" i="27"/>
  <c r="AC168" i="27" s="1"/>
  <c r="V162" i="27"/>
  <c r="AA162" i="27"/>
  <c r="R163" i="27"/>
  <c r="D177" i="27"/>
  <c r="W162" i="27"/>
  <c r="AB162" i="27" s="1"/>
  <c r="S163" i="27"/>
  <c r="C176" i="27"/>
  <c r="T169" i="26"/>
  <c r="X168" i="26"/>
  <c r="AC168" i="26" s="1"/>
  <c r="W165" i="26"/>
  <c r="AB165" i="26" s="1"/>
  <c r="AE165" i="26" s="1"/>
  <c r="S166" i="26"/>
  <c r="Z164" i="26"/>
  <c r="D179" i="26"/>
  <c r="Z165" i="26"/>
  <c r="G178" i="26"/>
  <c r="K193" i="26" s="1"/>
  <c r="F178" i="26"/>
  <c r="J193" i="26" s="1"/>
  <c r="E178" i="26"/>
  <c r="I193" i="26" s="1"/>
  <c r="H178" i="26"/>
  <c r="L193" i="26" s="1"/>
  <c r="R167" i="26"/>
  <c r="V166" i="26"/>
  <c r="AA166" i="26"/>
  <c r="Y168" i="26"/>
  <c r="AD168" i="26" s="1"/>
  <c r="U169" i="26"/>
  <c r="AH168" i="24"/>
  <c r="Y166" i="24"/>
  <c r="AD166" i="24" s="1"/>
  <c r="S166" i="24"/>
  <c r="W166" i="24" s="1"/>
  <c r="U167" i="24"/>
  <c r="AA168" i="24"/>
  <c r="V168" i="24"/>
  <c r="R169" i="24"/>
  <c r="H178" i="24"/>
  <c r="L183" i="24" s="1"/>
  <c r="G178" i="24"/>
  <c r="K183" i="24" s="1"/>
  <c r="F178" i="24"/>
  <c r="J183" i="24" s="1"/>
  <c r="E178" i="24"/>
  <c r="I183" i="24" s="1"/>
  <c r="D179" i="24"/>
  <c r="X167" i="24"/>
  <c r="AC167" i="24" s="1"/>
  <c r="T168" i="24"/>
  <c r="AB165" i="24"/>
  <c r="AE165" i="24" s="1"/>
  <c r="AF169" i="24" s="1"/>
  <c r="AG169" i="24" s="1"/>
  <c r="Z165" i="24"/>
  <c r="S171" i="28" l="1"/>
  <c r="U172" i="28"/>
  <c r="AI146" i="28"/>
  <c r="AB165" i="28"/>
  <c r="AE165" i="28" s="1"/>
  <c r="AF169" i="28" s="1"/>
  <c r="AG169" i="28" s="1"/>
  <c r="AD170" i="28"/>
  <c r="AC171" i="28"/>
  <c r="Z165" i="28"/>
  <c r="W166" i="28"/>
  <c r="Z166" i="28" s="1"/>
  <c r="D181" i="28"/>
  <c r="C181" i="28" s="1"/>
  <c r="Y171" i="28"/>
  <c r="C180" i="28"/>
  <c r="V167" i="28"/>
  <c r="AA167" i="28"/>
  <c r="X172" i="28"/>
  <c r="AH168" i="28"/>
  <c r="AI152" i="27"/>
  <c r="AI150" i="24"/>
  <c r="Z162" i="27"/>
  <c r="AE162" i="27"/>
  <c r="AF166" i="27" s="1"/>
  <c r="AG166" i="27" s="1"/>
  <c r="V163" i="27"/>
  <c r="AA163" i="27"/>
  <c r="R164" i="27"/>
  <c r="U167" i="27"/>
  <c r="Y166" i="27"/>
  <c r="AD166" i="27" s="1"/>
  <c r="X169" i="27"/>
  <c r="AC169" i="27" s="1"/>
  <c r="T170" i="27"/>
  <c r="D178" i="27"/>
  <c r="E176" i="27"/>
  <c r="I181" i="27" s="1"/>
  <c r="F176" i="27"/>
  <c r="J181" i="27" s="1"/>
  <c r="G176" i="27"/>
  <c r="K181" i="27" s="1"/>
  <c r="H176" i="27"/>
  <c r="L181" i="27" s="1"/>
  <c r="AH165" i="27"/>
  <c r="AI153" i="27" s="1"/>
  <c r="W163" i="27"/>
  <c r="AB163" i="27" s="1"/>
  <c r="S164" i="27"/>
  <c r="C177" i="27"/>
  <c r="Y169" i="26"/>
  <c r="AD169" i="26" s="1"/>
  <c r="U170" i="26"/>
  <c r="D180" i="26"/>
  <c r="C180" i="26" s="1"/>
  <c r="C179" i="26"/>
  <c r="W166" i="26"/>
  <c r="AB166" i="26" s="1"/>
  <c r="AE166" i="26" s="1"/>
  <c r="S167" i="26"/>
  <c r="R168" i="26"/>
  <c r="V167" i="26"/>
  <c r="AA167" i="26"/>
  <c r="T170" i="26"/>
  <c r="X169" i="26"/>
  <c r="AC169" i="26" s="1"/>
  <c r="AH169" i="24"/>
  <c r="R170" i="24"/>
  <c r="AA169" i="24"/>
  <c r="V169" i="24"/>
  <c r="T169" i="24"/>
  <c r="X168" i="24"/>
  <c r="AC168" i="24" s="1"/>
  <c r="Y167" i="24"/>
  <c r="AD167" i="24" s="1"/>
  <c r="U168" i="24"/>
  <c r="S167" i="24"/>
  <c r="W167" i="24" s="1"/>
  <c r="AB166" i="24"/>
  <c r="AE166" i="24" s="1"/>
  <c r="AF170" i="24" s="1"/>
  <c r="AG170" i="24" s="1"/>
  <c r="Z166" i="24"/>
  <c r="D180" i="24"/>
  <c r="C179" i="24"/>
  <c r="F180" i="28" l="1"/>
  <c r="J185" i="28" s="1"/>
  <c r="G180" i="28"/>
  <c r="K185" i="28" s="1"/>
  <c r="H180" i="28"/>
  <c r="L185" i="28" s="1"/>
  <c r="E180" i="28"/>
  <c r="I185" i="28" s="1"/>
  <c r="E181" i="28"/>
  <c r="I186" i="28" s="1"/>
  <c r="F181" i="28"/>
  <c r="J186" i="28" s="1"/>
  <c r="G181" i="28"/>
  <c r="K186" i="28" s="1"/>
  <c r="H181" i="28"/>
  <c r="L186" i="28" s="1"/>
  <c r="U173" i="28"/>
  <c r="S172" i="28"/>
  <c r="AB166" i="28"/>
  <c r="AE166" i="28" s="1"/>
  <c r="AF170" i="28" s="1"/>
  <c r="AG170" i="28" s="1"/>
  <c r="AC172" i="28"/>
  <c r="AD171" i="28"/>
  <c r="AI147" i="28"/>
  <c r="D12" i="28" s="1"/>
  <c r="V168" i="28"/>
  <c r="AA168" i="28"/>
  <c r="Y172" i="28"/>
  <c r="AH169" i="28"/>
  <c r="D182" i="28"/>
  <c r="C182" i="28" s="1"/>
  <c r="W167" i="28"/>
  <c r="X173" i="28"/>
  <c r="D179" i="27"/>
  <c r="C178" i="27"/>
  <c r="E177" i="27"/>
  <c r="I182" i="27" s="1"/>
  <c r="G177" i="27"/>
  <c r="K182" i="27" s="1"/>
  <c r="H177" i="27"/>
  <c r="L182" i="27" s="1"/>
  <c r="F177" i="27"/>
  <c r="J182" i="27" s="1"/>
  <c r="X170" i="27"/>
  <c r="AC170" i="27" s="1"/>
  <c r="T171" i="27"/>
  <c r="Y167" i="27"/>
  <c r="AD167" i="27" s="1"/>
  <c r="U168" i="27"/>
  <c r="W164" i="27"/>
  <c r="AB164" i="27" s="1"/>
  <c r="S165" i="27"/>
  <c r="AH166" i="27"/>
  <c r="AI154" i="27" s="1"/>
  <c r="AA164" i="27"/>
  <c r="R165" i="27"/>
  <c r="V164" i="27"/>
  <c r="AE163" i="27"/>
  <c r="AF167" i="27" s="1"/>
  <c r="AG167" i="27" s="1"/>
  <c r="Z163" i="27"/>
  <c r="H180" i="26"/>
  <c r="L195" i="26" s="1"/>
  <c r="G180" i="26"/>
  <c r="K195" i="26" s="1"/>
  <c r="F180" i="26"/>
  <c r="J195" i="26" s="1"/>
  <c r="E180" i="26"/>
  <c r="I195" i="26" s="1"/>
  <c r="Z166" i="26"/>
  <c r="D181" i="26"/>
  <c r="C181" i="26" s="1"/>
  <c r="W167" i="26"/>
  <c r="AB167" i="26" s="1"/>
  <c r="AE167" i="26" s="1"/>
  <c r="S168" i="26"/>
  <c r="Y170" i="26"/>
  <c r="AD170" i="26" s="1"/>
  <c r="U171" i="26"/>
  <c r="R169" i="26"/>
  <c r="AA168" i="26"/>
  <c r="V168" i="26"/>
  <c r="X170" i="26"/>
  <c r="AC170" i="26" s="1"/>
  <c r="T171" i="26"/>
  <c r="G179" i="26"/>
  <c r="K194" i="26" s="1"/>
  <c r="H179" i="26"/>
  <c r="L194" i="26" s="1"/>
  <c r="F179" i="26"/>
  <c r="J194" i="26" s="1"/>
  <c r="E179" i="26"/>
  <c r="I194" i="26" s="1"/>
  <c r="AH170" i="24"/>
  <c r="T170" i="24"/>
  <c r="X169" i="24"/>
  <c r="AC169" i="24" s="1"/>
  <c r="D181" i="24"/>
  <c r="C181" i="24" s="1"/>
  <c r="V170" i="24"/>
  <c r="R171" i="24"/>
  <c r="AA170" i="24"/>
  <c r="H179" i="24"/>
  <c r="L184" i="24" s="1"/>
  <c r="G179" i="24"/>
  <c r="K184" i="24" s="1"/>
  <c r="F179" i="24"/>
  <c r="J184" i="24" s="1"/>
  <c r="E179" i="24"/>
  <c r="I184" i="24" s="1"/>
  <c r="C180" i="24"/>
  <c r="AB167" i="24"/>
  <c r="AE167" i="24" s="1"/>
  <c r="AF171" i="24" s="1"/>
  <c r="AG171" i="24" s="1"/>
  <c r="Z167" i="24"/>
  <c r="U169" i="24"/>
  <c r="Y168" i="24"/>
  <c r="AD168" i="24" s="1"/>
  <c r="S168" i="24"/>
  <c r="W168" i="24" s="1"/>
  <c r="E182" i="28" l="1"/>
  <c r="I187" i="28" s="1"/>
  <c r="F182" i="28"/>
  <c r="J187" i="28" s="1"/>
  <c r="G182" i="28"/>
  <c r="K187" i="28" s="1"/>
  <c r="H182" i="28"/>
  <c r="L187" i="28" s="1"/>
  <c r="S173" i="28"/>
  <c r="U174" i="28"/>
  <c r="AC173" i="28"/>
  <c r="AB167" i="28"/>
  <c r="AE167" i="28" s="1"/>
  <c r="AF171" i="28" s="1"/>
  <c r="AG171" i="28" s="1"/>
  <c r="AD172" i="28"/>
  <c r="X174" i="28"/>
  <c r="W168" i="28"/>
  <c r="V169" i="28"/>
  <c r="AA169" i="28"/>
  <c r="AH170" i="28"/>
  <c r="Z167" i="28"/>
  <c r="Y173" i="28"/>
  <c r="D183" i="28"/>
  <c r="AI151" i="24"/>
  <c r="Z164" i="27"/>
  <c r="AE164" i="27"/>
  <c r="AF168" i="27" s="1"/>
  <c r="AG168" i="27" s="1"/>
  <c r="AH167" i="27"/>
  <c r="AI155" i="27" s="1"/>
  <c r="T172" i="27"/>
  <c r="X171" i="27"/>
  <c r="AC171" i="27" s="1"/>
  <c r="U169" i="27"/>
  <c r="Y168" i="27"/>
  <c r="AD168" i="27" s="1"/>
  <c r="F178" i="27"/>
  <c r="J183" i="27" s="1"/>
  <c r="G178" i="27"/>
  <c r="K183" i="27" s="1"/>
  <c r="H178" i="27"/>
  <c r="L183" i="27" s="1"/>
  <c r="E178" i="27"/>
  <c r="I183" i="27" s="1"/>
  <c r="D180" i="27"/>
  <c r="C180" i="27" s="1"/>
  <c r="R166" i="27"/>
  <c r="V165" i="27"/>
  <c r="AA165" i="27"/>
  <c r="W165" i="27"/>
  <c r="AB165" i="27" s="1"/>
  <c r="S166" i="27"/>
  <c r="C179" i="27"/>
  <c r="G181" i="26"/>
  <c r="K196" i="26" s="1"/>
  <c r="H181" i="26"/>
  <c r="L196" i="26" s="1"/>
  <c r="F181" i="26"/>
  <c r="J196" i="26" s="1"/>
  <c r="E181" i="26"/>
  <c r="I196" i="26" s="1"/>
  <c r="D182" i="26"/>
  <c r="C182" i="26"/>
  <c r="Y171" i="26"/>
  <c r="AD171" i="26" s="1"/>
  <c r="U172" i="26"/>
  <c r="X171" i="26"/>
  <c r="AC171" i="26" s="1"/>
  <c r="T172" i="26"/>
  <c r="AA169" i="26"/>
  <c r="V169" i="26"/>
  <c r="R170" i="26"/>
  <c r="W168" i="26"/>
  <c r="AB168" i="26" s="1"/>
  <c r="AE168" i="26" s="1"/>
  <c r="S169" i="26"/>
  <c r="Z167" i="26"/>
  <c r="AH171" i="24"/>
  <c r="Y169" i="24"/>
  <c r="AD169" i="24" s="1"/>
  <c r="U170" i="24"/>
  <c r="S169" i="24"/>
  <c r="W169" i="24" s="1"/>
  <c r="D182" i="24"/>
  <c r="AB168" i="24"/>
  <c r="AE168" i="24" s="1"/>
  <c r="AF172" i="24" s="1"/>
  <c r="AG172" i="24" s="1"/>
  <c r="Z168" i="24"/>
  <c r="R172" i="24"/>
  <c r="AA171" i="24"/>
  <c r="V171" i="24"/>
  <c r="E180" i="24"/>
  <c r="I185" i="24" s="1"/>
  <c r="H180" i="24"/>
  <c r="L185" i="24" s="1"/>
  <c r="G180" i="24"/>
  <c r="K185" i="24" s="1"/>
  <c r="F180" i="24"/>
  <c r="J185" i="24" s="1"/>
  <c r="T171" i="24"/>
  <c r="X170" i="24"/>
  <c r="AC170" i="24" s="1"/>
  <c r="G181" i="24"/>
  <c r="K186" i="24" s="1"/>
  <c r="F181" i="24"/>
  <c r="J186" i="24" s="1"/>
  <c r="H181" i="24"/>
  <c r="L186" i="24" s="1"/>
  <c r="E181" i="24"/>
  <c r="I186" i="24" s="1"/>
  <c r="Z168" i="26" l="1"/>
  <c r="S174" i="28"/>
  <c r="U175" i="28"/>
  <c r="AC174" i="28"/>
  <c r="AB168" i="28"/>
  <c r="AE168" i="28" s="1"/>
  <c r="AF172" i="28" s="1"/>
  <c r="AG172" i="28" s="1"/>
  <c r="AD173" i="28"/>
  <c r="Z168" i="28"/>
  <c r="D184" i="28"/>
  <c r="C184" i="28" s="1"/>
  <c r="W169" i="28"/>
  <c r="Z169" i="28" s="1"/>
  <c r="C183" i="28"/>
  <c r="Y174" i="28"/>
  <c r="X175" i="28"/>
  <c r="AH171" i="28"/>
  <c r="AI148" i="28" s="1"/>
  <c r="AA170" i="28"/>
  <c r="V170" i="28"/>
  <c r="AI152" i="24"/>
  <c r="H180" i="27"/>
  <c r="L185" i="27" s="1"/>
  <c r="E180" i="27"/>
  <c r="I185" i="27" s="1"/>
  <c r="F180" i="27"/>
  <c r="J185" i="27" s="1"/>
  <c r="G180" i="27"/>
  <c r="K185" i="27" s="1"/>
  <c r="Y169" i="27"/>
  <c r="AD169" i="27" s="1"/>
  <c r="U170" i="27"/>
  <c r="W166" i="27"/>
  <c r="AB166" i="27" s="1"/>
  <c r="S167" i="27"/>
  <c r="AE165" i="27"/>
  <c r="AF169" i="27" s="1"/>
  <c r="AG169" i="27" s="1"/>
  <c r="T173" i="27"/>
  <c r="X172" i="27"/>
  <c r="AC172" i="27" s="1"/>
  <c r="E179" i="27"/>
  <c r="I184" i="27" s="1"/>
  <c r="F179" i="27"/>
  <c r="J184" i="27" s="1"/>
  <c r="H179" i="27"/>
  <c r="L184" i="27" s="1"/>
  <c r="G179" i="27"/>
  <c r="K184" i="27" s="1"/>
  <c r="AA166" i="27"/>
  <c r="R167" i="27"/>
  <c r="V166" i="27"/>
  <c r="AH168" i="27"/>
  <c r="Z165" i="27"/>
  <c r="D181" i="27"/>
  <c r="C181" i="27" s="1"/>
  <c r="Y172" i="26"/>
  <c r="AD172" i="26" s="1"/>
  <c r="U173" i="26"/>
  <c r="E182" i="26"/>
  <c r="I197" i="26" s="1"/>
  <c r="H182" i="26"/>
  <c r="L197" i="26" s="1"/>
  <c r="G182" i="26"/>
  <c r="K197" i="26" s="1"/>
  <c r="F182" i="26"/>
  <c r="J197" i="26" s="1"/>
  <c r="T173" i="26"/>
  <c r="X172" i="26"/>
  <c r="AC172" i="26" s="1"/>
  <c r="D183" i="26"/>
  <c r="C183" i="26" s="1"/>
  <c r="W169" i="26"/>
  <c r="AB169" i="26" s="1"/>
  <c r="AE169" i="26" s="1"/>
  <c r="S170" i="26"/>
  <c r="R171" i="26"/>
  <c r="V170" i="26"/>
  <c r="AA170" i="26"/>
  <c r="AH172" i="24"/>
  <c r="D183" i="24"/>
  <c r="C183" i="24" s="1"/>
  <c r="U171" i="24"/>
  <c r="S170" i="24"/>
  <c r="W170" i="24" s="1"/>
  <c r="Y170" i="24"/>
  <c r="AD170" i="24" s="1"/>
  <c r="V172" i="24"/>
  <c r="R173" i="24"/>
  <c r="AA172" i="24"/>
  <c r="X171" i="24"/>
  <c r="AC171" i="24" s="1"/>
  <c r="T172" i="24"/>
  <c r="C182" i="24"/>
  <c r="AB169" i="24"/>
  <c r="AE169" i="24" s="1"/>
  <c r="AF173" i="24" s="1"/>
  <c r="AG173" i="24" s="1"/>
  <c r="Z169" i="24"/>
  <c r="F183" i="28" l="1"/>
  <c r="J188" i="28" s="1"/>
  <c r="G183" i="28"/>
  <c r="K188" i="28" s="1"/>
  <c r="H183" i="28"/>
  <c r="L188" i="28" s="1"/>
  <c r="E183" i="28"/>
  <c r="I188" i="28" s="1"/>
  <c r="E184" i="28"/>
  <c r="I189" i="28" s="1"/>
  <c r="F184" i="28"/>
  <c r="J189" i="28" s="1"/>
  <c r="G184" i="28"/>
  <c r="K189" i="28" s="1"/>
  <c r="H184" i="28"/>
  <c r="L189" i="28" s="1"/>
  <c r="U176" i="28"/>
  <c r="S175" i="28"/>
  <c r="AB169" i="28"/>
  <c r="AE169" i="28" s="1"/>
  <c r="AF173" i="28" s="1"/>
  <c r="AG173" i="28" s="1"/>
  <c r="AD174" i="28"/>
  <c r="AC175" i="28"/>
  <c r="X176" i="28"/>
  <c r="Y175" i="28"/>
  <c r="AA171" i="28"/>
  <c r="V171" i="28"/>
  <c r="W170" i="28"/>
  <c r="Z170" i="28" s="1"/>
  <c r="AH172" i="28"/>
  <c r="D185" i="28"/>
  <c r="C185" i="28" s="1"/>
  <c r="AI156" i="27"/>
  <c r="AI153" i="24"/>
  <c r="Z166" i="27"/>
  <c r="E181" i="27"/>
  <c r="I186" i="27" s="1"/>
  <c r="F181" i="27"/>
  <c r="J186" i="27" s="1"/>
  <c r="G181" i="27"/>
  <c r="K186" i="27" s="1"/>
  <c r="H181" i="27"/>
  <c r="L186" i="27" s="1"/>
  <c r="AH169" i="27"/>
  <c r="AI157" i="27" s="1"/>
  <c r="W167" i="27"/>
  <c r="AB167" i="27" s="1"/>
  <c r="S168" i="27"/>
  <c r="U171" i="27"/>
  <c r="Y170" i="27"/>
  <c r="AD170" i="27" s="1"/>
  <c r="T174" i="27"/>
  <c r="X173" i="27"/>
  <c r="AC173" i="27" s="1"/>
  <c r="AA167" i="27"/>
  <c r="R168" i="27"/>
  <c r="V167" i="27"/>
  <c r="D182" i="27"/>
  <c r="AE166" i="27"/>
  <c r="AF170" i="27" s="1"/>
  <c r="AG170" i="27" s="1"/>
  <c r="Z169" i="26"/>
  <c r="H183" i="26"/>
  <c r="L198" i="26" s="1"/>
  <c r="G183" i="26"/>
  <c r="K198" i="26" s="1"/>
  <c r="F183" i="26"/>
  <c r="J198" i="26" s="1"/>
  <c r="E183" i="26"/>
  <c r="I198" i="26" s="1"/>
  <c r="T174" i="26"/>
  <c r="X173" i="26"/>
  <c r="AC173" i="26" s="1"/>
  <c r="D184" i="26"/>
  <c r="C184" i="26" s="1"/>
  <c r="V171" i="26"/>
  <c r="R172" i="26"/>
  <c r="AA171" i="26"/>
  <c r="W170" i="26"/>
  <c r="AB170" i="26" s="1"/>
  <c r="AE170" i="26" s="1"/>
  <c r="S171" i="26"/>
  <c r="U174" i="26"/>
  <c r="Y173" i="26"/>
  <c r="AD173" i="26" s="1"/>
  <c r="AH173" i="24"/>
  <c r="H183" i="24"/>
  <c r="L188" i="24" s="1"/>
  <c r="G183" i="24"/>
  <c r="K188" i="24" s="1"/>
  <c r="E183" i="24"/>
  <c r="I188" i="24" s="1"/>
  <c r="F183" i="24"/>
  <c r="J188" i="24" s="1"/>
  <c r="AA173" i="24"/>
  <c r="R174" i="24"/>
  <c r="V173" i="24"/>
  <c r="AB170" i="24"/>
  <c r="AE170" i="24" s="1"/>
  <c r="AF174" i="24" s="1"/>
  <c r="AG174" i="24" s="1"/>
  <c r="Z170" i="24"/>
  <c r="Y171" i="24"/>
  <c r="AD171" i="24" s="1"/>
  <c r="U172" i="24"/>
  <c r="S171" i="24"/>
  <c r="W171" i="24" s="1"/>
  <c r="D184" i="24"/>
  <c r="C184" i="24" s="1"/>
  <c r="H182" i="24"/>
  <c r="L187" i="24" s="1"/>
  <c r="G182" i="24"/>
  <c r="K187" i="24" s="1"/>
  <c r="F182" i="24"/>
  <c r="J187" i="24" s="1"/>
  <c r="E182" i="24"/>
  <c r="I187" i="24" s="1"/>
  <c r="X172" i="24"/>
  <c r="AC172" i="24" s="1"/>
  <c r="T173" i="24"/>
  <c r="Z170" i="26" l="1"/>
  <c r="E185" i="28"/>
  <c r="I190" i="28" s="1"/>
  <c r="H185" i="28"/>
  <c r="L190" i="28" s="1"/>
  <c r="F185" i="28"/>
  <c r="J190" i="28" s="1"/>
  <c r="G185" i="28"/>
  <c r="K190" i="28" s="1"/>
  <c r="S176" i="28"/>
  <c r="U177" i="28"/>
  <c r="AC176" i="28"/>
  <c r="AB170" i="28"/>
  <c r="AE170" i="28" s="1"/>
  <c r="AF174" i="28" s="1"/>
  <c r="AG174" i="28" s="1"/>
  <c r="AD175" i="28"/>
  <c r="Y176" i="28"/>
  <c r="O178" i="28"/>
  <c r="T178" i="28" s="1"/>
  <c r="X177" i="28"/>
  <c r="AA172" i="28"/>
  <c r="V172" i="28"/>
  <c r="AH173" i="28"/>
  <c r="AI149" i="28" s="1"/>
  <c r="W171" i="28"/>
  <c r="D186" i="28"/>
  <c r="C186" i="28" s="1"/>
  <c r="Z167" i="27"/>
  <c r="AH170" i="27"/>
  <c r="AI158" i="27" s="1"/>
  <c r="Y171" i="27"/>
  <c r="AD171" i="27" s="1"/>
  <c r="U172" i="27"/>
  <c r="W168" i="27"/>
  <c r="AB168" i="27" s="1"/>
  <c r="S169" i="27"/>
  <c r="AE167" i="27"/>
  <c r="AF171" i="27" s="1"/>
  <c r="AG171" i="27" s="1"/>
  <c r="D183" i="27"/>
  <c r="O175" i="27"/>
  <c r="X174" i="27"/>
  <c r="AC174" i="27" s="1"/>
  <c r="C182" i="27"/>
  <c r="V168" i="27"/>
  <c r="AA168" i="27"/>
  <c r="R169" i="27"/>
  <c r="F184" i="26"/>
  <c r="J199" i="26" s="1"/>
  <c r="E184" i="26"/>
  <c r="I199" i="26" s="1"/>
  <c r="H184" i="26"/>
  <c r="L199" i="26" s="1"/>
  <c r="G184" i="26"/>
  <c r="K199" i="26" s="1"/>
  <c r="R173" i="26"/>
  <c r="AA172" i="26"/>
  <c r="V172" i="26"/>
  <c r="O175" i="26"/>
  <c r="T175" i="26" s="1"/>
  <c r="X174" i="26"/>
  <c r="AC174" i="26" s="1"/>
  <c r="D185" i="26"/>
  <c r="C185" i="26" s="1"/>
  <c r="Y174" i="26"/>
  <c r="AD174" i="26" s="1"/>
  <c r="P175" i="26"/>
  <c r="U175" i="26" s="1"/>
  <c r="W171" i="26"/>
  <c r="AB171" i="26" s="1"/>
  <c r="AE171" i="26" s="1"/>
  <c r="S172" i="26"/>
  <c r="AH174" i="24"/>
  <c r="G184" i="24"/>
  <c r="K189" i="24" s="1"/>
  <c r="F184" i="24"/>
  <c r="J189" i="24" s="1"/>
  <c r="H184" i="24"/>
  <c r="L189" i="24" s="1"/>
  <c r="E184" i="24"/>
  <c r="I189" i="24" s="1"/>
  <c r="AA174" i="24"/>
  <c r="V174" i="24"/>
  <c r="M175" i="24"/>
  <c r="D185" i="24"/>
  <c r="C185" i="24" s="1"/>
  <c r="AB171" i="24"/>
  <c r="AE171" i="24" s="1"/>
  <c r="AF175" i="24" s="1"/>
  <c r="AG175" i="24" s="1"/>
  <c r="Z171" i="24"/>
  <c r="S172" i="24"/>
  <c r="W172" i="24" s="1"/>
  <c r="Y172" i="24"/>
  <c r="AD172" i="24" s="1"/>
  <c r="U173" i="24"/>
  <c r="X173" i="24"/>
  <c r="AC173" i="24" s="1"/>
  <c r="T174" i="24"/>
  <c r="F186" i="28" l="1"/>
  <c r="J191" i="28" s="1"/>
  <c r="G186" i="28"/>
  <c r="K191" i="28" s="1"/>
  <c r="H186" i="28"/>
  <c r="L191" i="28" s="1"/>
  <c r="E186" i="28"/>
  <c r="I191" i="28" s="1"/>
  <c r="S177" i="28"/>
  <c r="AD176" i="28"/>
  <c r="AC177" i="28"/>
  <c r="AB171" i="28"/>
  <c r="AE171" i="28" s="1"/>
  <c r="AF175" i="28" s="1"/>
  <c r="AG175" i="28" s="1"/>
  <c r="X178" i="28"/>
  <c r="O189" i="28"/>
  <c r="O183" i="28"/>
  <c r="O184" i="28"/>
  <c r="O190" i="28"/>
  <c r="O191" i="28"/>
  <c r="O182" i="28"/>
  <c r="O181" i="28"/>
  <c r="O186" i="28"/>
  <c r="O192" i="28"/>
  <c r="O188" i="28"/>
  <c r="O187" i="28"/>
  <c r="O179" i="28"/>
  <c r="T179" i="28" s="1"/>
  <c r="O185" i="28"/>
  <c r="H15" i="28"/>
  <c r="O180" i="28"/>
  <c r="P178" i="28"/>
  <c r="U178" i="28" s="1"/>
  <c r="Y177" i="28"/>
  <c r="W172" i="28"/>
  <c r="Z171" i="28"/>
  <c r="D187" i="28"/>
  <c r="C187" i="28" s="1"/>
  <c r="AH174" i="28"/>
  <c r="AI150" i="28" s="1"/>
  <c r="AA173" i="28"/>
  <c r="V173" i="28"/>
  <c r="Z168" i="27"/>
  <c r="AI154" i="24"/>
  <c r="AH171" i="27"/>
  <c r="AI159" i="27" s="1"/>
  <c r="J13" i="27" s="1"/>
  <c r="D184" i="27"/>
  <c r="C184" i="27" s="1"/>
  <c r="F15" i="27"/>
  <c r="O178" i="27"/>
  <c r="O176" i="27"/>
  <c r="O179" i="27"/>
  <c r="O183" i="27"/>
  <c r="O189" i="27"/>
  <c r="O177" i="27"/>
  <c r="O182" i="27"/>
  <c r="O188" i="27"/>
  <c r="O181" i="27"/>
  <c r="O187" i="27"/>
  <c r="O180" i="27"/>
  <c r="O186" i="27"/>
  <c r="O185" i="27"/>
  <c r="O184" i="27"/>
  <c r="W169" i="27"/>
  <c r="AB169" i="27" s="1"/>
  <c r="S170" i="27"/>
  <c r="U173" i="27"/>
  <c r="Y172" i="27"/>
  <c r="AD172" i="27" s="1"/>
  <c r="V169" i="27"/>
  <c r="AA169" i="27"/>
  <c r="R170" i="27"/>
  <c r="E182" i="27"/>
  <c r="I187" i="27" s="1"/>
  <c r="F182" i="27"/>
  <c r="J187" i="27" s="1"/>
  <c r="G182" i="27"/>
  <c r="K187" i="27" s="1"/>
  <c r="H182" i="27"/>
  <c r="L187" i="27" s="1"/>
  <c r="C183" i="27"/>
  <c r="AE168" i="27"/>
  <c r="AF172" i="27" s="1"/>
  <c r="AG172" i="27" s="1"/>
  <c r="T175" i="27"/>
  <c r="X175" i="26"/>
  <c r="AC175" i="26" s="1"/>
  <c r="H185" i="26"/>
  <c r="L200" i="26" s="1"/>
  <c r="G185" i="26"/>
  <c r="K200" i="26" s="1"/>
  <c r="E185" i="26"/>
  <c r="I200" i="26" s="1"/>
  <c r="F185" i="26"/>
  <c r="J200" i="26" s="1"/>
  <c r="O185" i="26"/>
  <c r="O178" i="26"/>
  <c r="O184" i="26"/>
  <c r="O176" i="26"/>
  <c r="T176" i="26" s="1"/>
  <c r="O179" i="26"/>
  <c r="O183" i="26"/>
  <c r="O187" i="26"/>
  <c r="O180" i="26"/>
  <c r="O177" i="26"/>
  <c r="O186" i="26"/>
  <c r="O182" i="26"/>
  <c r="O189" i="26"/>
  <c r="O181" i="26"/>
  <c r="O188" i="26"/>
  <c r="F15" i="26"/>
  <c r="R174" i="26"/>
  <c r="V173" i="26"/>
  <c r="AA173" i="26"/>
  <c r="Z171" i="26"/>
  <c r="W172" i="26"/>
  <c r="AB172" i="26" s="1"/>
  <c r="AE172" i="26" s="1"/>
  <c r="S173" i="26"/>
  <c r="P188" i="26"/>
  <c r="P178" i="26"/>
  <c r="P189" i="26"/>
  <c r="P181" i="26"/>
  <c r="P179" i="26"/>
  <c r="P183" i="26"/>
  <c r="P182" i="26"/>
  <c r="P187" i="26"/>
  <c r="P180" i="26"/>
  <c r="P177" i="26"/>
  <c r="P186" i="26"/>
  <c r="P185" i="26"/>
  <c r="P176" i="26"/>
  <c r="G15" i="26"/>
  <c r="P184" i="26"/>
  <c r="U176" i="26"/>
  <c r="Y175" i="26"/>
  <c r="AD175" i="26" s="1"/>
  <c r="D186" i="26"/>
  <c r="AH175" i="24"/>
  <c r="M184" i="24"/>
  <c r="M178" i="24"/>
  <c r="M182" i="24"/>
  <c r="M179" i="24"/>
  <c r="M183" i="24"/>
  <c r="M189" i="24"/>
  <c r="M188" i="24"/>
  <c r="M177" i="24"/>
  <c r="M180" i="24"/>
  <c r="M176" i="24"/>
  <c r="M181" i="24"/>
  <c r="M185" i="24"/>
  <c r="M186" i="24"/>
  <c r="M187" i="24"/>
  <c r="D15" i="24"/>
  <c r="R175" i="24"/>
  <c r="AB172" i="24"/>
  <c r="AE172" i="24" s="1"/>
  <c r="AF176" i="24" s="1"/>
  <c r="AG176" i="24" s="1"/>
  <c r="Z172" i="24"/>
  <c r="Y173" i="24"/>
  <c r="AD173" i="24" s="1"/>
  <c r="U174" i="24"/>
  <c r="S173" i="24"/>
  <c r="W173" i="24" s="1"/>
  <c r="D186" i="24"/>
  <c r="C186" i="24" s="1"/>
  <c r="O175" i="24"/>
  <c r="X174" i="24"/>
  <c r="AC174" i="24" s="1"/>
  <c r="F185" i="24"/>
  <c r="J190" i="24" s="1"/>
  <c r="E185" i="24"/>
  <c r="I190" i="24" s="1"/>
  <c r="H185" i="24"/>
  <c r="L190" i="24" s="1"/>
  <c r="G185" i="24"/>
  <c r="K190" i="24" s="1"/>
  <c r="Z172" i="26" l="1"/>
  <c r="E187" i="28"/>
  <c r="F187" i="28"/>
  <c r="G187" i="28"/>
  <c r="K192" i="28" s="1"/>
  <c r="H187" i="28"/>
  <c r="L192" i="28" s="1"/>
  <c r="T180" i="28"/>
  <c r="T181" i="28" s="1"/>
  <c r="T182" i="28" s="1"/>
  <c r="T183" i="28" s="1"/>
  <c r="T184" i="28" s="1"/>
  <c r="T185" i="28" s="1"/>
  <c r="T186" i="28" s="1"/>
  <c r="T187" i="28" s="1"/>
  <c r="T188" i="28" s="1"/>
  <c r="T189" i="28" s="1"/>
  <c r="T190" i="28" s="1"/>
  <c r="T191" i="28" s="1"/>
  <c r="AC178" i="28"/>
  <c r="AD177" i="28"/>
  <c r="AB172" i="28"/>
  <c r="AE172" i="28" s="1"/>
  <c r="AF176" i="28" s="1"/>
  <c r="AG176" i="28" s="1"/>
  <c r="Z172" i="28"/>
  <c r="X179" i="28"/>
  <c r="V174" i="28"/>
  <c r="AA174" i="28"/>
  <c r="P189" i="28"/>
  <c r="P184" i="28"/>
  <c r="P191" i="28"/>
  <c r="P182" i="28"/>
  <c r="P181" i="28"/>
  <c r="P180" i="28"/>
  <c r="P186" i="28"/>
  <c r="P192" i="28"/>
  <c r="P185" i="28"/>
  <c r="P187" i="28"/>
  <c r="P188" i="28"/>
  <c r="P179" i="28"/>
  <c r="U179" i="28" s="1"/>
  <c r="P183" i="28"/>
  <c r="P190" i="28"/>
  <c r="I15" i="28"/>
  <c r="AH175" i="28"/>
  <c r="J192" i="28"/>
  <c r="I192" i="28"/>
  <c r="D188" i="28"/>
  <c r="C188" i="28" s="1"/>
  <c r="W173" i="28"/>
  <c r="Y178" i="28"/>
  <c r="AI155" i="24"/>
  <c r="AH172" i="27"/>
  <c r="E184" i="27"/>
  <c r="I189" i="27" s="1"/>
  <c r="F184" i="27"/>
  <c r="J189" i="27" s="1"/>
  <c r="G184" i="27"/>
  <c r="K189" i="27" s="1"/>
  <c r="H184" i="27"/>
  <c r="L189" i="27" s="1"/>
  <c r="X175" i="27"/>
  <c r="AC175" i="27" s="1"/>
  <c r="T176" i="27"/>
  <c r="Y173" i="27"/>
  <c r="AD173" i="27" s="1"/>
  <c r="U174" i="27"/>
  <c r="E183" i="27"/>
  <c r="I188" i="27" s="1"/>
  <c r="F183" i="27"/>
  <c r="J188" i="27" s="1"/>
  <c r="G183" i="27"/>
  <c r="K188" i="27" s="1"/>
  <c r="H183" i="27"/>
  <c r="L188" i="27" s="1"/>
  <c r="W170" i="27"/>
  <c r="AB170" i="27" s="1"/>
  <c r="S171" i="27"/>
  <c r="AA170" i="27"/>
  <c r="R171" i="27"/>
  <c r="V170" i="27"/>
  <c r="AE169" i="27"/>
  <c r="AF173" i="27" s="1"/>
  <c r="AG173" i="27" s="1"/>
  <c r="D185" i="27"/>
  <c r="C185" i="27" s="1"/>
  <c r="Z169" i="27"/>
  <c r="T177" i="26"/>
  <c r="X176" i="26"/>
  <c r="AC176" i="26" s="1"/>
  <c r="Y176" i="26"/>
  <c r="AD176" i="26" s="1"/>
  <c r="U177" i="26"/>
  <c r="V174" i="26"/>
  <c r="AA174" i="26"/>
  <c r="M175" i="26"/>
  <c r="W173" i="26"/>
  <c r="AB173" i="26" s="1"/>
  <c r="AE173" i="26" s="1"/>
  <c r="S174" i="26"/>
  <c r="D187" i="26"/>
  <c r="C186" i="26"/>
  <c r="AH176" i="24"/>
  <c r="AA175" i="24"/>
  <c r="R176" i="24"/>
  <c r="V175" i="24"/>
  <c r="O185" i="24"/>
  <c r="O179" i="24"/>
  <c r="O187" i="24"/>
  <c r="O189" i="24"/>
  <c r="O188" i="24"/>
  <c r="O180" i="24"/>
  <c r="O176" i="24"/>
  <c r="O184" i="24"/>
  <c r="O183" i="24"/>
  <c r="O178" i="24"/>
  <c r="O186" i="24"/>
  <c r="O177" i="24"/>
  <c r="O181" i="24"/>
  <c r="O182" i="24"/>
  <c r="F15" i="24"/>
  <c r="T175" i="24"/>
  <c r="E186" i="24"/>
  <c r="I191" i="24" s="1"/>
  <c r="G186" i="24"/>
  <c r="K191" i="24" s="1"/>
  <c r="F186" i="24"/>
  <c r="J191" i="24" s="1"/>
  <c r="H186" i="24"/>
  <c r="L191" i="24" s="1"/>
  <c r="D187" i="24"/>
  <c r="AB173" i="24"/>
  <c r="AE173" i="24" s="1"/>
  <c r="AF177" i="24" s="1"/>
  <c r="AG177" i="24" s="1"/>
  <c r="Z173" i="24"/>
  <c r="P175" i="24"/>
  <c r="U175" i="24" s="1"/>
  <c r="S174" i="24"/>
  <c r="W174" i="24" s="1"/>
  <c r="Y174" i="24"/>
  <c r="AD174" i="24" s="1"/>
  <c r="N175" i="24" l="1"/>
  <c r="T192" i="28"/>
  <c r="E188" i="28"/>
  <c r="I193" i="28" s="1"/>
  <c r="F188" i="28"/>
  <c r="J193" i="28" s="1"/>
  <c r="G188" i="28"/>
  <c r="K193" i="28" s="1"/>
  <c r="H188" i="28"/>
  <c r="U180" i="28"/>
  <c r="AC179" i="28"/>
  <c r="AD178" i="28"/>
  <c r="AB173" i="28"/>
  <c r="AE173" i="28" s="1"/>
  <c r="AF177" i="28" s="1"/>
  <c r="AG177" i="28" s="1"/>
  <c r="L193" i="28"/>
  <c r="Y179" i="28"/>
  <c r="AH176" i="28"/>
  <c r="AI151" i="28" s="1"/>
  <c r="D189" i="28"/>
  <c r="V175" i="28"/>
  <c r="AA175" i="28"/>
  <c r="W174" i="28"/>
  <c r="Z173" i="28"/>
  <c r="X180" i="28"/>
  <c r="Z170" i="27"/>
  <c r="AE170" i="27"/>
  <c r="AF174" i="27" s="1"/>
  <c r="AG174" i="27" s="1"/>
  <c r="AH173" i="27"/>
  <c r="F185" i="27"/>
  <c r="J190" i="27" s="1"/>
  <c r="G185" i="27"/>
  <c r="K190" i="27" s="1"/>
  <c r="H185" i="27"/>
  <c r="L190" i="27" s="1"/>
  <c r="E185" i="27"/>
  <c r="I190" i="27" s="1"/>
  <c r="Y174" i="27"/>
  <c r="AD174" i="27" s="1"/>
  <c r="P175" i="27"/>
  <c r="X176" i="27"/>
  <c r="AC176" i="27" s="1"/>
  <c r="T177" i="27"/>
  <c r="R172" i="27"/>
  <c r="V171" i="27"/>
  <c r="AA171" i="27"/>
  <c r="D186" i="27"/>
  <c r="C186" i="27" s="1"/>
  <c r="W171" i="27"/>
  <c r="AB171" i="27" s="1"/>
  <c r="S172" i="27"/>
  <c r="W174" i="26"/>
  <c r="AB174" i="26" s="1"/>
  <c r="AE174" i="26" s="1"/>
  <c r="M189" i="26"/>
  <c r="M182" i="26"/>
  <c r="M180" i="26"/>
  <c r="M178" i="26"/>
  <c r="M176" i="26"/>
  <c r="M183" i="26"/>
  <c r="M185" i="26"/>
  <c r="M184" i="26"/>
  <c r="M187" i="26"/>
  <c r="M177" i="26"/>
  <c r="M179" i="26"/>
  <c r="M186" i="26"/>
  <c r="M188" i="26"/>
  <c r="M181" i="26"/>
  <c r="D15" i="26"/>
  <c r="N175" i="26"/>
  <c r="Q175" i="26" s="1"/>
  <c r="D188" i="26"/>
  <c r="C188" i="26" s="1"/>
  <c r="R175" i="26"/>
  <c r="Z173" i="26"/>
  <c r="U178" i="26"/>
  <c r="Y177" i="26"/>
  <c r="AD177" i="26" s="1"/>
  <c r="F186" i="26"/>
  <c r="J201" i="26" s="1"/>
  <c r="G186" i="26"/>
  <c r="K201" i="26" s="1"/>
  <c r="E186" i="26"/>
  <c r="I201" i="26" s="1"/>
  <c r="H186" i="26"/>
  <c r="L201" i="26" s="1"/>
  <c r="C187" i="26"/>
  <c r="T178" i="26"/>
  <c r="X177" i="26"/>
  <c r="AC177" i="26" s="1"/>
  <c r="AH177" i="24"/>
  <c r="AI156" i="24" s="1"/>
  <c r="P186" i="24"/>
  <c r="P180" i="24"/>
  <c r="P179" i="24"/>
  <c r="P177" i="24"/>
  <c r="P176" i="24"/>
  <c r="U176" i="24" s="1"/>
  <c r="P182" i="24"/>
  <c r="P184" i="24"/>
  <c r="P187" i="24"/>
  <c r="P188" i="24"/>
  <c r="P185" i="24"/>
  <c r="P178" i="24"/>
  <c r="P189" i="24"/>
  <c r="P181" i="24"/>
  <c r="P183" i="24"/>
  <c r="G15" i="24"/>
  <c r="S175" i="24"/>
  <c r="W175" i="24" s="1"/>
  <c r="AB175" i="24" s="1"/>
  <c r="Y175" i="24"/>
  <c r="AD175" i="24" s="1"/>
  <c r="D188" i="24"/>
  <c r="C188" i="24" s="1"/>
  <c r="R177" i="24"/>
  <c r="AA176" i="24"/>
  <c r="V176" i="24"/>
  <c r="N185" i="24"/>
  <c r="N179" i="24"/>
  <c r="N182" i="24"/>
  <c r="N187" i="24"/>
  <c r="N189" i="24"/>
  <c r="N188" i="24"/>
  <c r="N177" i="24"/>
  <c r="Q177" i="24" s="1"/>
  <c r="N186" i="24"/>
  <c r="N180" i="24"/>
  <c r="N176" i="24"/>
  <c r="N184" i="24"/>
  <c r="N183" i="24"/>
  <c r="N178" i="24"/>
  <c r="N181" i="24"/>
  <c r="E15" i="24"/>
  <c r="Q175" i="24"/>
  <c r="T176" i="24"/>
  <c r="X175" i="24"/>
  <c r="AC175" i="24" s="1"/>
  <c r="AB174" i="24"/>
  <c r="AE174" i="24" s="1"/>
  <c r="AF178" i="24" s="1"/>
  <c r="AG178" i="24" s="1"/>
  <c r="Z174" i="24"/>
  <c r="C187" i="24"/>
  <c r="Z174" i="26" l="1"/>
  <c r="I14" i="26" s="1"/>
  <c r="J14" i="26" s="1"/>
  <c r="Q180" i="24"/>
  <c r="Q186" i="24"/>
  <c r="Q181" i="24"/>
  <c r="Q183" i="24"/>
  <c r="U181" i="28"/>
  <c r="AB174" i="28"/>
  <c r="AE174" i="28" s="1"/>
  <c r="AF178" i="28" s="1"/>
  <c r="AG178" i="28" s="1"/>
  <c r="Z174" i="28"/>
  <c r="AC180" i="28"/>
  <c r="AD179" i="28"/>
  <c r="AH177" i="28"/>
  <c r="AI152" i="28" s="1"/>
  <c r="X181" i="28"/>
  <c r="W175" i="28"/>
  <c r="D190" i="28"/>
  <c r="C190" i="28" s="1"/>
  <c r="Y180" i="28"/>
  <c r="AA176" i="28"/>
  <c r="V176" i="28"/>
  <c r="C189" i="28"/>
  <c r="H186" i="27"/>
  <c r="L191" i="27" s="1"/>
  <c r="E186" i="27"/>
  <c r="I191" i="27" s="1"/>
  <c r="F186" i="27"/>
  <c r="J191" i="27" s="1"/>
  <c r="G186" i="27"/>
  <c r="K191" i="27" s="1"/>
  <c r="G15" i="27"/>
  <c r="P178" i="27"/>
  <c r="P177" i="27"/>
  <c r="P184" i="27"/>
  <c r="P183" i="27"/>
  <c r="P189" i="27"/>
  <c r="P176" i="27"/>
  <c r="P179" i="27"/>
  <c r="P182" i="27"/>
  <c r="P181" i="27"/>
  <c r="P180" i="27"/>
  <c r="P186" i="27"/>
  <c r="P185" i="27"/>
  <c r="P188" i="27"/>
  <c r="P187" i="27"/>
  <c r="U175" i="27"/>
  <c r="AE171" i="27"/>
  <c r="AF175" i="27" s="1"/>
  <c r="AG175" i="27" s="1"/>
  <c r="Z171" i="27"/>
  <c r="AA172" i="27"/>
  <c r="R173" i="27"/>
  <c r="V172" i="27"/>
  <c r="W172" i="27"/>
  <c r="AB172" i="27" s="1"/>
  <c r="S173" i="27"/>
  <c r="AH174" i="27"/>
  <c r="D187" i="27"/>
  <c r="T178" i="27"/>
  <c r="X177" i="27"/>
  <c r="AC177" i="27" s="1"/>
  <c r="F188" i="26"/>
  <c r="J203" i="26" s="1"/>
  <c r="H188" i="26"/>
  <c r="L203" i="26" s="1"/>
  <c r="G188" i="26"/>
  <c r="K203" i="26" s="1"/>
  <c r="E188" i="26"/>
  <c r="I203" i="26" s="1"/>
  <c r="G187" i="26"/>
  <c r="K202" i="26" s="1"/>
  <c r="E187" i="26"/>
  <c r="I202" i="26" s="1"/>
  <c r="H187" i="26"/>
  <c r="L202" i="26" s="1"/>
  <c r="F187" i="26"/>
  <c r="J202" i="26" s="1"/>
  <c r="AA175" i="26"/>
  <c r="V175" i="26"/>
  <c r="R176" i="26"/>
  <c r="N182" i="26"/>
  <c r="Q182" i="26" s="1"/>
  <c r="N184" i="26"/>
  <c r="Q184" i="26" s="1"/>
  <c r="N176" i="26"/>
  <c r="Q176" i="26" s="1"/>
  <c r="N179" i="26"/>
  <c r="Q179" i="26" s="1"/>
  <c r="N183" i="26"/>
  <c r="Q183" i="26" s="1"/>
  <c r="N187" i="26"/>
  <c r="Q187" i="26" s="1"/>
  <c r="N180" i="26"/>
  <c r="Q180" i="26" s="1"/>
  <c r="N177" i="26"/>
  <c r="Q177" i="26" s="1"/>
  <c r="N186" i="26"/>
  <c r="Q186" i="26" s="1"/>
  <c r="N189" i="26"/>
  <c r="Q189" i="26" s="1"/>
  <c r="N185" i="26"/>
  <c r="Q185" i="26" s="1"/>
  <c r="N181" i="26"/>
  <c r="Q181" i="26" s="1"/>
  <c r="N178" i="26"/>
  <c r="Q178" i="26" s="1"/>
  <c r="N188" i="26"/>
  <c r="Q188" i="26" s="1"/>
  <c r="E15" i="26"/>
  <c r="Y178" i="26"/>
  <c r="AD178" i="26" s="1"/>
  <c r="U179" i="26"/>
  <c r="D189" i="26"/>
  <c r="S175" i="26"/>
  <c r="T179" i="26"/>
  <c r="X178" i="26"/>
  <c r="AC178" i="26" s="1"/>
  <c r="AE175" i="24"/>
  <c r="AF179" i="24" s="1"/>
  <c r="AG179" i="24" s="1"/>
  <c r="Q188" i="24"/>
  <c r="Q189" i="24"/>
  <c r="Q182" i="24"/>
  <c r="Q179" i="24"/>
  <c r="Q178" i="24"/>
  <c r="AH178" i="24"/>
  <c r="I14" i="24"/>
  <c r="Z175" i="24"/>
  <c r="X176" i="24"/>
  <c r="AC176" i="24" s="1"/>
  <c r="T177" i="24"/>
  <c r="D189" i="24"/>
  <c r="C189" i="24" s="1"/>
  <c r="Q187" i="24"/>
  <c r="R178" i="24"/>
  <c r="AA177" i="24"/>
  <c r="V177" i="24"/>
  <c r="Y176" i="24"/>
  <c r="AD176" i="24" s="1"/>
  <c r="U177" i="24"/>
  <c r="S176" i="24"/>
  <c r="W176" i="24" s="1"/>
  <c r="AB176" i="24" s="1"/>
  <c r="H188" i="24"/>
  <c r="L193" i="24" s="1"/>
  <c r="F188" i="24"/>
  <c r="J193" i="24" s="1"/>
  <c r="E188" i="24"/>
  <c r="I193" i="24" s="1"/>
  <c r="G188" i="24"/>
  <c r="K193" i="24" s="1"/>
  <c r="Q185" i="24"/>
  <c r="Q184" i="24"/>
  <c r="Q176" i="24"/>
  <c r="G187" i="24"/>
  <c r="K192" i="24" s="1"/>
  <c r="F187" i="24"/>
  <c r="J192" i="24" s="1"/>
  <c r="H187" i="24"/>
  <c r="L192" i="24" s="1"/>
  <c r="E187" i="24"/>
  <c r="I192" i="24" s="1"/>
  <c r="E190" i="28" l="1"/>
  <c r="F190" i="28"/>
  <c r="G190" i="28"/>
  <c r="K195" i="28" s="1"/>
  <c r="H190" i="28"/>
  <c r="L195" i="28" s="1"/>
  <c r="AE172" i="27"/>
  <c r="AF176" i="27" s="1"/>
  <c r="AG176" i="27" s="1"/>
  <c r="F189" i="28"/>
  <c r="J194" i="28" s="1"/>
  <c r="G189" i="28"/>
  <c r="K194" i="28" s="1"/>
  <c r="H189" i="28"/>
  <c r="L194" i="28" s="1"/>
  <c r="E189" i="28"/>
  <c r="I194" i="28" s="1"/>
  <c r="U182" i="28"/>
  <c r="AD180" i="28"/>
  <c r="AB175" i="28"/>
  <c r="AE175" i="28" s="1"/>
  <c r="AF179" i="28" s="1"/>
  <c r="AG179" i="28" s="1"/>
  <c r="AC181" i="28"/>
  <c r="Z175" i="28"/>
  <c r="J195" i="28"/>
  <c r="I195" i="28"/>
  <c r="Y181" i="28"/>
  <c r="D191" i="28"/>
  <c r="C191" i="28" s="1"/>
  <c r="W176" i="28"/>
  <c r="X182" i="28"/>
  <c r="AA177" i="28"/>
  <c r="M178" i="28"/>
  <c r="R178" i="28" s="1"/>
  <c r="V177" i="28"/>
  <c r="AH178" i="28"/>
  <c r="AI157" i="24"/>
  <c r="AH175" i="27"/>
  <c r="AA173" i="27"/>
  <c r="R174" i="27"/>
  <c r="V173" i="27"/>
  <c r="Y175" i="27"/>
  <c r="AD175" i="27" s="1"/>
  <c r="U176" i="27"/>
  <c r="D188" i="27"/>
  <c r="C188" i="27" s="1"/>
  <c r="C187" i="27"/>
  <c r="T179" i="27"/>
  <c r="X178" i="27"/>
  <c r="AC178" i="27" s="1"/>
  <c r="W173" i="27"/>
  <c r="AB173" i="27" s="1"/>
  <c r="S174" i="27"/>
  <c r="W174" i="27" s="1"/>
  <c r="AB174" i="27" s="1"/>
  <c r="Z172" i="27"/>
  <c r="W175" i="26"/>
  <c r="AB175" i="26" s="1"/>
  <c r="AE175" i="26" s="1"/>
  <c r="S176" i="26"/>
  <c r="D190" i="26"/>
  <c r="C190" i="26" s="1"/>
  <c r="T180" i="26"/>
  <c r="X179" i="26"/>
  <c r="AC179" i="26" s="1"/>
  <c r="C189" i="26"/>
  <c r="U180" i="26"/>
  <c r="Y179" i="26"/>
  <c r="AD179" i="26" s="1"/>
  <c r="R177" i="26"/>
  <c r="AA176" i="26"/>
  <c r="V176" i="26"/>
  <c r="AE176" i="24"/>
  <c r="AF180" i="24" s="1"/>
  <c r="AG180" i="24" s="1"/>
  <c r="E189" i="24"/>
  <c r="I194" i="24" s="1"/>
  <c r="H189" i="24"/>
  <c r="L194" i="24" s="1"/>
  <c r="G189" i="24"/>
  <c r="K194" i="24" s="1"/>
  <c r="F189" i="24"/>
  <c r="J194" i="24" s="1"/>
  <c r="V178" i="24"/>
  <c r="AA178" i="24"/>
  <c r="R179" i="24"/>
  <c r="D190" i="24"/>
  <c r="C190" i="24" s="1"/>
  <c r="X177" i="24"/>
  <c r="AC177" i="24" s="1"/>
  <c r="T178" i="24"/>
  <c r="Z176" i="24"/>
  <c r="U178" i="24"/>
  <c r="S177" i="24"/>
  <c r="W177" i="24" s="1"/>
  <c r="AB177" i="24" s="1"/>
  <c r="Y177" i="24"/>
  <c r="AD177" i="24" s="1"/>
  <c r="AH179" i="24"/>
  <c r="AI158" i="24" s="1"/>
  <c r="Z175" i="26" l="1"/>
  <c r="E191" i="28"/>
  <c r="I196" i="28" s="1"/>
  <c r="F191" i="28"/>
  <c r="J196" i="28" s="1"/>
  <c r="G191" i="28"/>
  <c r="K196" i="28" s="1"/>
  <c r="H191" i="28"/>
  <c r="L196" i="28" s="1"/>
  <c r="U183" i="28"/>
  <c r="AC182" i="28"/>
  <c r="AB176" i="28"/>
  <c r="AE176" i="28" s="1"/>
  <c r="AF180" i="28" s="1"/>
  <c r="AG180" i="28" s="1"/>
  <c r="AD181" i="28"/>
  <c r="Z176" i="28"/>
  <c r="AA178" i="28"/>
  <c r="V178" i="28"/>
  <c r="M188" i="28"/>
  <c r="M182" i="28"/>
  <c r="M192" i="28"/>
  <c r="M189" i="28"/>
  <c r="M187" i="28"/>
  <c r="M183" i="28"/>
  <c r="M190" i="28"/>
  <c r="M191" i="28"/>
  <c r="M186" i="28"/>
  <c r="M185" i="28"/>
  <c r="M184" i="28"/>
  <c r="M180" i="28"/>
  <c r="M179" i="28"/>
  <c r="R179" i="28" s="1"/>
  <c r="M181" i="28"/>
  <c r="F15" i="28"/>
  <c r="N178" i="28"/>
  <c r="S178" i="28" s="1"/>
  <c r="D192" i="28"/>
  <c r="C192" i="28" s="1"/>
  <c r="X183" i="28"/>
  <c r="Y182" i="28"/>
  <c r="W177" i="28"/>
  <c r="AH179" i="28"/>
  <c r="AI153" i="28" s="1"/>
  <c r="E188" i="27"/>
  <c r="I193" i="27" s="1"/>
  <c r="G188" i="27"/>
  <c r="K193" i="27" s="1"/>
  <c r="H188" i="27"/>
  <c r="L193" i="27" s="1"/>
  <c r="F188" i="27"/>
  <c r="J193" i="27" s="1"/>
  <c r="E187" i="27"/>
  <c r="I192" i="27" s="1"/>
  <c r="F187" i="27"/>
  <c r="J192" i="27" s="1"/>
  <c r="G187" i="27"/>
  <c r="K192" i="27" s="1"/>
  <c r="H187" i="27"/>
  <c r="L192" i="27" s="1"/>
  <c r="Z173" i="27"/>
  <c r="D189" i="27"/>
  <c r="C189" i="27" s="1"/>
  <c r="V174" i="27"/>
  <c r="Z174" i="27" s="1"/>
  <c r="M175" i="27"/>
  <c r="R175" i="27" s="1"/>
  <c r="AA174" i="27"/>
  <c r="AE174" i="27" s="1"/>
  <c r="AF178" i="27" s="1"/>
  <c r="AE173" i="27"/>
  <c r="AF177" i="27" s="1"/>
  <c r="AG177" i="27" s="1"/>
  <c r="U177" i="27"/>
  <c r="Y176" i="27"/>
  <c r="AD176" i="27" s="1"/>
  <c r="T180" i="27"/>
  <c r="X179" i="27"/>
  <c r="AC179" i="27" s="1"/>
  <c r="AH176" i="27"/>
  <c r="Y180" i="26"/>
  <c r="AD180" i="26" s="1"/>
  <c r="U181" i="26"/>
  <c r="G189" i="26"/>
  <c r="K204" i="26" s="1"/>
  <c r="F189" i="26"/>
  <c r="J204" i="26" s="1"/>
  <c r="E189" i="26"/>
  <c r="I204" i="26" s="1"/>
  <c r="H189" i="26"/>
  <c r="L204" i="26" s="1"/>
  <c r="X180" i="26"/>
  <c r="AC180" i="26" s="1"/>
  <c r="T181" i="26"/>
  <c r="F190" i="26"/>
  <c r="J205" i="26" s="1"/>
  <c r="E190" i="26"/>
  <c r="I205" i="26" s="1"/>
  <c r="H190" i="26"/>
  <c r="L205" i="26" s="1"/>
  <c r="G190" i="26"/>
  <c r="K205" i="26" s="1"/>
  <c r="D191" i="26"/>
  <c r="C191" i="26" s="1"/>
  <c r="W176" i="26"/>
  <c r="AB176" i="26" s="1"/>
  <c r="AE176" i="26" s="1"/>
  <c r="S177" i="26"/>
  <c r="R178" i="26"/>
  <c r="V177" i="26"/>
  <c r="AA177" i="26"/>
  <c r="AE177" i="24"/>
  <c r="AF181" i="24" s="1"/>
  <c r="AG181" i="24" s="1"/>
  <c r="X178" i="24"/>
  <c r="AC178" i="24" s="1"/>
  <c r="T179" i="24"/>
  <c r="H190" i="24"/>
  <c r="L195" i="24" s="1"/>
  <c r="G190" i="24"/>
  <c r="K195" i="24" s="1"/>
  <c r="F190" i="24"/>
  <c r="J195" i="24" s="1"/>
  <c r="E190" i="24"/>
  <c r="I195" i="24" s="1"/>
  <c r="Z177" i="24"/>
  <c r="D191" i="24"/>
  <c r="C191" i="24" s="1"/>
  <c r="AH180" i="24"/>
  <c r="AA179" i="24"/>
  <c r="R180" i="24"/>
  <c r="V179" i="24"/>
  <c r="Y178" i="24"/>
  <c r="AD178" i="24" s="1"/>
  <c r="S178" i="24"/>
  <c r="W178" i="24" s="1"/>
  <c r="AB178" i="24" s="1"/>
  <c r="U179" i="24"/>
  <c r="R180" i="28" l="1"/>
  <c r="R181" i="28" s="1"/>
  <c r="R182" i="28" s="1"/>
  <c r="R183" i="28" s="1"/>
  <c r="R184" i="28" s="1"/>
  <c r="R185" i="28" s="1"/>
  <c r="R186" i="28" s="1"/>
  <c r="R187" i="28" s="1"/>
  <c r="R188" i="28" s="1"/>
  <c r="R189" i="28" s="1"/>
  <c r="R190" i="28" s="1"/>
  <c r="R191" i="28" s="1"/>
  <c r="R192" i="28" s="1"/>
  <c r="AE178" i="24"/>
  <c r="AF182" i="24" s="1"/>
  <c r="AG182" i="24" s="1"/>
  <c r="F192" i="28"/>
  <c r="J197" i="28" s="1"/>
  <c r="G192" i="28"/>
  <c r="K197" i="28" s="1"/>
  <c r="H192" i="28"/>
  <c r="L197" i="28" s="1"/>
  <c r="E192" i="28"/>
  <c r="I197" i="28" s="1"/>
  <c r="U184" i="28"/>
  <c r="Q178" i="28"/>
  <c r="AB177" i="28"/>
  <c r="AE177" i="28" s="1"/>
  <c r="AF181" i="28" s="1"/>
  <c r="AG181" i="28" s="1"/>
  <c r="AD182" i="28"/>
  <c r="AC183" i="28"/>
  <c r="W178" i="28"/>
  <c r="Z177" i="28"/>
  <c r="Y183" i="28"/>
  <c r="D193" i="28"/>
  <c r="C193" i="28" s="1"/>
  <c r="X184" i="28"/>
  <c r="AH180" i="28"/>
  <c r="N188" i="28"/>
  <c r="Q188" i="28" s="1"/>
  <c r="N192" i="28"/>
  <c r="Q192" i="28" s="1"/>
  <c r="N189" i="28"/>
  <c r="Q189" i="28" s="1"/>
  <c r="N187" i="28"/>
  <c r="Q187" i="28" s="1"/>
  <c r="N183" i="28"/>
  <c r="Q183" i="28" s="1"/>
  <c r="N190" i="28"/>
  <c r="Q190" i="28" s="1"/>
  <c r="N191" i="28"/>
  <c r="Q191" i="28" s="1"/>
  <c r="N182" i="28"/>
  <c r="Q182" i="28" s="1"/>
  <c r="N181" i="28"/>
  <c r="Q181" i="28" s="1"/>
  <c r="N185" i="28"/>
  <c r="Q185" i="28" s="1"/>
  <c r="N184" i="28"/>
  <c r="Q184" i="28" s="1"/>
  <c r="N179" i="28"/>
  <c r="S179" i="28" s="1"/>
  <c r="N186" i="28"/>
  <c r="Q186" i="28" s="1"/>
  <c r="N180" i="28"/>
  <c r="Q180" i="28" s="1"/>
  <c r="G15" i="28"/>
  <c r="D190" i="27"/>
  <c r="C190" i="27" s="1"/>
  <c r="E189" i="27"/>
  <c r="I194" i="27" s="1"/>
  <c r="G189" i="27"/>
  <c r="K194" i="27" s="1"/>
  <c r="F189" i="27"/>
  <c r="J194" i="27" s="1"/>
  <c r="H189" i="27"/>
  <c r="L194" i="27" s="1"/>
  <c r="Y177" i="27"/>
  <c r="AD177" i="27" s="1"/>
  <c r="U178" i="27"/>
  <c r="AG178" i="27"/>
  <c r="AH177" i="27"/>
  <c r="X180" i="27"/>
  <c r="AC180" i="27" s="1"/>
  <c r="T181" i="27"/>
  <c r="V175" i="27"/>
  <c r="AA175" i="27"/>
  <c r="D15" i="27"/>
  <c r="M177" i="27"/>
  <c r="M179" i="27"/>
  <c r="M178" i="27"/>
  <c r="M182" i="27"/>
  <c r="M188" i="27"/>
  <c r="N175" i="27"/>
  <c r="Q175" i="27" s="1"/>
  <c r="M176" i="27"/>
  <c r="R176" i="27" s="1"/>
  <c r="M181" i="27"/>
  <c r="M187" i="27"/>
  <c r="M180" i="27"/>
  <c r="M186" i="27"/>
  <c r="M185" i="27"/>
  <c r="M184" i="27"/>
  <c r="M183" i="27"/>
  <c r="M189" i="27"/>
  <c r="I14" i="27"/>
  <c r="T182" i="26"/>
  <c r="X181" i="26"/>
  <c r="AC181" i="26" s="1"/>
  <c r="E191" i="26"/>
  <c r="I206" i="26" s="1"/>
  <c r="H191" i="26"/>
  <c r="L206" i="26" s="1"/>
  <c r="G191" i="26"/>
  <c r="K206" i="26" s="1"/>
  <c r="F191" i="26"/>
  <c r="J206" i="26" s="1"/>
  <c r="AA178" i="26"/>
  <c r="R179" i="26"/>
  <c r="V178" i="26"/>
  <c r="D192" i="26"/>
  <c r="W177" i="26"/>
  <c r="AB177" i="26" s="1"/>
  <c r="AE177" i="26" s="1"/>
  <c r="S178" i="26"/>
  <c r="Z176" i="26"/>
  <c r="U182" i="26"/>
  <c r="Y181" i="26"/>
  <c r="AD181" i="26" s="1"/>
  <c r="H191" i="24"/>
  <c r="L196" i="24" s="1"/>
  <c r="G191" i="24"/>
  <c r="K196" i="24" s="1"/>
  <c r="F191" i="24"/>
  <c r="J196" i="24" s="1"/>
  <c r="E191" i="24"/>
  <c r="I196" i="24" s="1"/>
  <c r="AH181" i="24"/>
  <c r="D192" i="24"/>
  <c r="C192" i="24" s="1"/>
  <c r="Z178" i="24"/>
  <c r="X179" i="24"/>
  <c r="AC179" i="24" s="1"/>
  <c r="T180" i="24"/>
  <c r="R181" i="24"/>
  <c r="AA180" i="24"/>
  <c r="V180" i="24"/>
  <c r="Y179" i="24"/>
  <c r="AD179" i="24" s="1"/>
  <c r="S179" i="24"/>
  <c r="W179" i="24" s="1"/>
  <c r="AB179" i="24" s="1"/>
  <c r="U180" i="24"/>
  <c r="S180" i="28" l="1"/>
  <c r="S181" i="28" s="1"/>
  <c r="S182" i="28" s="1"/>
  <c r="S183" i="28" s="1"/>
  <c r="S184" i="28" s="1"/>
  <c r="E193" i="28"/>
  <c r="I198" i="28" s="1"/>
  <c r="F193" i="28"/>
  <c r="J198" i="28" s="1"/>
  <c r="G193" i="28"/>
  <c r="K198" i="28" s="1"/>
  <c r="H193" i="28"/>
  <c r="L198" i="28" s="1"/>
  <c r="U185" i="28"/>
  <c r="AC184" i="28"/>
  <c r="AB178" i="28"/>
  <c r="AE178" i="28" s="1"/>
  <c r="AF182" i="28" s="1"/>
  <c r="AG182" i="28" s="1"/>
  <c r="AD183" i="28"/>
  <c r="W179" i="28"/>
  <c r="D194" i="28"/>
  <c r="C194" i="28" s="1"/>
  <c r="C14" i="28"/>
  <c r="V179" i="28"/>
  <c r="AA179" i="28"/>
  <c r="AH181" i="28"/>
  <c r="Y184" i="28"/>
  <c r="Q179" i="28"/>
  <c r="X185" i="28"/>
  <c r="Z178" i="28"/>
  <c r="AI159" i="24"/>
  <c r="J13" i="24" s="1"/>
  <c r="E190" i="27"/>
  <c r="I195" i="27" s="1"/>
  <c r="F190" i="27"/>
  <c r="J195" i="27" s="1"/>
  <c r="G190" i="27"/>
  <c r="K195" i="27" s="1"/>
  <c r="H190" i="27"/>
  <c r="L195" i="27" s="1"/>
  <c r="AH178" i="27"/>
  <c r="U179" i="27"/>
  <c r="Y178" i="27"/>
  <c r="AD178" i="27" s="1"/>
  <c r="AA176" i="27"/>
  <c r="R177" i="27"/>
  <c r="V176" i="27"/>
  <c r="X181" i="27"/>
  <c r="AC181" i="27" s="1"/>
  <c r="T182" i="27"/>
  <c r="E15" i="27"/>
  <c r="N177" i="27"/>
  <c r="Q177" i="27" s="1"/>
  <c r="N176" i="27"/>
  <c r="Q176" i="27" s="1"/>
  <c r="N183" i="27"/>
  <c r="Q183" i="27" s="1"/>
  <c r="N189" i="27"/>
  <c r="Q189" i="27" s="1"/>
  <c r="N178" i="27"/>
  <c r="Q178" i="27" s="1"/>
  <c r="N182" i="27"/>
  <c r="Q182" i="27" s="1"/>
  <c r="N188" i="27"/>
  <c r="Q188" i="27" s="1"/>
  <c r="N179" i="27"/>
  <c r="Q179" i="27" s="1"/>
  <c r="N181" i="27"/>
  <c r="Q181" i="27" s="1"/>
  <c r="N180" i="27"/>
  <c r="Q180" i="27" s="1"/>
  <c r="N186" i="27"/>
  <c r="Q186" i="27" s="1"/>
  <c r="N185" i="27"/>
  <c r="Q185" i="27" s="1"/>
  <c r="N184" i="27"/>
  <c r="Q184" i="27" s="1"/>
  <c r="N187" i="27"/>
  <c r="Q187" i="27" s="1"/>
  <c r="S175" i="27"/>
  <c r="D191" i="27"/>
  <c r="D193" i="26"/>
  <c r="C192" i="26"/>
  <c r="AA179" i="26"/>
  <c r="V179" i="26"/>
  <c r="R180" i="26"/>
  <c r="U183" i="26"/>
  <c r="Y182" i="26"/>
  <c r="AD182" i="26" s="1"/>
  <c r="W178" i="26"/>
  <c r="AB178" i="26" s="1"/>
  <c r="AE178" i="26" s="1"/>
  <c r="S179" i="26"/>
  <c r="X182" i="26"/>
  <c r="AC182" i="26" s="1"/>
  <c r="T183" i="26"/>
  <c r="Z177" i="26"/>
  <c r="AE179" i="24"/>
  <c r="AF183" i="24" s="1"/>
  <c r="AG183" i="24" s="1"/>
  <c r="E192" i="24"/>
  <c r="I197" i="24" s="1"/>
  <c r="H192" i="24"/>
  <c r="L197" i="24" s="1"/>
  <c r="G192" i="24"/>
  <c r="K197" i="24" s="1"/>
  <c r="F192" i="24"/>
  <c r="J197" i="24" s="1"/>
  <c r="Z179" i="24"/>
  <c r="D193" i="24"/>
  <c r="AH182" i="24"/>
  <c r="U181" i="24"/>
  <c r="Y180" i="24"/>
  <c r="AD180" i="24" s="1"/>
  <c r="S180" i="24"/>
  <c r="W180" i="24" s="1"/>
  <c r="AB180" i="24" s="1"/>
  <c r="AA181" i="24"/>
  <c r="V181" i="24"/>
  <c r="R182" i="24"/>
  <c r="T181" i="24"/>
  <c r="X180" i="24"/>
  <c r="AC180" i="24" s="1"/>
  <c r="E194" i="28" l="1"/>
  <c r="I199" i="28" s="1"/>
  <c r="H194" i="28"/>
  <c r="L199" i="28" s="1"/>
  <c r="F194" i="28"/>
  <c r="J199" i="28" s="1"/>
  <c r="G194" i="28"/>
  <c r="K199" i="28" s="1"/>
  <c r="S185" i="28"/>
  <c r="U186" i="28"/>
  <c r="AI154" i="28"/>
  <c r="AD184" i="28"/>
  <c r="AB179" i="28"/>
  <c r="AE179" i="28" s="1"/>
  <c r="AF183" i="28" s="1"/>
  <c r="AG183" i="28" s="1"/>
  <c r="AC185" i="28"/>
  <c r="W180" i="28"/>
  <c r="Z179" i="28"/>
  <c r="AH182" i="28"/>
  <c r="AA180" i="28"/>
  <c r="V180" i="28"/>
  <c r="X186" i="28"/>
  <c r="D195" i="28"/>
  <c r="Y185" i="28"/>
  <c r="D192" i="27"/>
  <c r="Y179" i="27"/>
  <c r="AD179" i="27" s="1"/>
  <c r="U180" i="27"/>
  <c r="C191" i="27"/>
  <c r="W175" i="27"/>
  <c r="S176" i="27"/>
  <c r="X182" i="27"/>
  <c r="AC182" i="27" s="1"/>
  <c r="T183" i="27"/>
  <c r="R178" i="27"/>
  <c r="V177" i="27"/>
  <c r="AA177" i="27"/>
  <c r="Z178" i="26"/>
  <c r="U184" i="26"/>
  <c r="Y183" i="26"/>
  <c r="AD183" i="26" s="1"/>
  <c r="R181" i="26"/>
  <c r="AA180" i="26"/>
  <c r="V180" i="26"/>
  <c r="X183" i="26"/>
  <c r="AC183" i="26" s="1"/>
  <c r="T184" i="26"/>
  <c r="F192" i="26"/>
  <c r="J207" i="26" s="1"/>
  <c r="H192" i="26"/>
  <c r="L207" i="26" s="1"/>
  <c r="G192" i="26"/>
  <c r="K207" i="26" s="1"/>
  <c r="E192" i="26"/>
  <c r="I207" i="26" s="1"/>
  <c r="W179" i="26"/>
  <c r="AB179" i="26" s="1"/>
  <c r="AE179" i="26" s="1"/>
  <c r="S180" i="26"/>
  <c r="D194" i="26"/>
  <c r="C193" i="26"/>
  <c r="AE180" i="24"/>
  <c r="AF184" i="24" s="1"/>
  <c r="AG184" i="24" s="1"/>
  <c r="U182" i="24"/>
  <c r="S181" i="24"/>
  <c r="W181" i="24" s="1"/>
  <c r="AB181" i="24" s="1"/>
  <c r="Y181" i="24"/>
  <c r="AD181" i="24" s="1"/>
  <c r="AH183" i="24"/>
  <c r="AI160" i="24" s="1"/>
  <c r="T182" i="24"/>
  <c r="X181" i="24"/>
  <c r="AC181" i="24" s="1"/>
  <c r="D194" i="24"/>
  <c r="C194" i="24" s="1"/>
  <c r="Z180" i="24"/>
  <c r="C193" i="24"/>
  <c r="AA182" i="24"/>
  <c r="V182" i="24"/>
  <c r="R183" i="24"/>
  <c r="Z179" i="26" l="1"/>
  <c r="S186" i="28"/>
  <c r="U187" i="28"/>
  <c r="AI155" i="28"/>
  <c r="AD185" i="28"/>
  <c r="AB180" i="28"/>
  <c r="AE180" i="28" s="1"/>
  <c r="AF184" i="28" s="1"/>
  <c r="AG184" i="28" s="1"/>
  <c r="AC186" i="28"/>
  <c r="W181" i="28"/>
  <c r="Z180" i="28"/>
  <c r="X187" i="28"/>
  <c r="V181" i="28"/>
  <c r="AA181" i="28"/>
  <c r="D196" i="28"/>
  <c r="C196" i="28" s="1"/>
  <c r="Y186" i="28"/>
  <c r="C195" i="28"/>
  <c r="AH183" i="28"/>
  <c r="AE181" i="24"/>
  <c r="AF185" i="24" s="1"/>
  <c r="AA178" i="27"/>
  <c r="V178" i="27"/>
  <c r="R179" i="27"/>
  <c r="T184" i="27"/>
  <c r="X183" i="27"/>
  <c r="AC183" i="27" s="1"/>
  <c r="Y180" i="27"/>
  <c r="AD180" i="27" s="1"/>
  <c r="U181" i="27"/>
  <c r="AB175" i="27"/>
  <c r="AE175" i="27" s="1"/>
  <c r="AF179" i="27" s="1"/>
  <c r="AG179" i="27" s="1"/>
  <c r="Z175" i="27"/>
  <c r="D193" i="27"/>
  <c r="W176" i="27"/>
  <c r="S177" i="27"/>
  <c r="F191" i="27"/>
  <c r="J196" i="27" s="1"/>
  <c r="G191" i="27"/>
  <c r="K196" i="27" s="1"/>
  <c r="H191" i="27"/>
  <c r="L196" i="27" s="1"/>
  <c r="E191" i="27"/>
  <c r="I196" i="27" s="1"/>
  <c r="C192" i="27"/>
  <c r="X184" i="26"/>
  <c r="AC184" i="26" s="1"/>
  <c r="T185" i="26"/>
  <c r="D195" i="26"/>
  <c r="R182" i="26"/>
  <c r="V181" i="26"/>
  <c r="AA181" i="26"/>
  <c r="C194" i="26"/>
  <c r="Y184" i="26"/>
  <c r="AD184" i="26" s="1"/>
  <c r="U185" i="26"/>
  <c r="W180" i="26"/>
  <c r="AB180" i="26" s="1"/>
  <c r="AE180" i="26" s="1"/>
  <c r="S181" i="26"/>
  <c r="H193" i="26"/>
  <c r="L208" i="26" s="1"/>
  <c r="G193" i="26"/>
  <c r="K208" i="26" s="1"/>
  <c r="F193" i="26"/>
  <c r="J208" i="26" s="1"/>
  <c r="E193" i="26"/>
  <c r="I208" i="26" s="1"/>
  <c r="G193" i="24"/>
  <c r="K198" i="24" s="1"/>
  <c r="F193" i="24"/>
  <c r="J198" i="24" s="1"/>
  <c r="H193" i="24"/>
  <c r="L198" i="24" s="1"/>
  <c r="E193" i="24"/>
  <c r="I198" i="24" s="1"/>
  <c r="D195" i="24"/>
  <c r="C195" i="24" s="1"/>
  <c r="T183" i="24"/>
  <c r="X182" i="24"/>
  <c r="AC182" i="24" s="1"/>
  <c r="AG185" i="24"/>
  <c r="AH184" i="24"/>
  <c r="H194" i="24"/>
  <c r="L199" i="24" s="1"/>
  <c r="F194" i="24"/>
  <c r="J199" i="24" s="1"/>
  <c r="E194" i="24"/>
  <c r="I199" i="24" s="1"/>
  <c r="G194" i="24"/>
  <c r="K199" i="24" s="1"/>
  <c r="Z181" i="24"/>
  <c r="V183" i="24"/>
  <c r="R184" i="24"/>
  <c r="AA183" i="24"/>
  <c r="U183" i="24"/>
  <c r="Y182" i="24"/>
  <c r="AD182" i="24" s="1"/>
  <c r="S182" i="24"/>
  <c r="W182" i="24" s="1"/>
  <c r="AB182" i="24" s="1"/>
  <c r="AE182" i="24" s="1"/>
  <c r="AF186" i="24" s="1"/>
  <c r="F195" i="28" l="1"/>
  <c r="J200" i="28" s="1"/>
  <c r="G195" i="28"/>
  <c r="K200" i="28" s="1"/>
  <c r="H195" i="28"/>
  <c r="L200" i="28" s="1"/>
  <c r="E195" i="28"/>
  <c r="I200" i="28" s="1"/>
  <c r="E196" i="28"/>
  <c r="I201" i="28" s="1"/>
  <c r="F196" i="28"/>
  <c r="J201" i="28" s="1"/>
  <c r="G196" i="28"/>
  <c r="K201" i="28" s="1"/>
  <c r="H196" i="28"/>
  <c r="L201" i="28" s="1"/>
  <c r="U188" i="28"/>
  <c r="S187" i="28"/>
  <c r="AB181" i="28"/>
  <c r="AE181" i="28" s="1"/>
  <c r="AF185" i="28" s="1"/>
  <c r="AG185" i="28" s="1"/>
  <c r="AD186" i="28"/>
  <c r="AC187" i="28"/>
  <c r="W182" i="28"/>
  <c r="AH184" i="28"/>
  <c r="D197" i="28"/>
  <c r="C197" i="28" s="1"/>
  <c r="AA182" i="28"/>
  <c r="V182" i="28"/>
  <c r="Z181" i="28"/>
  <c r="Y187" i="28"/>
  <c r="X188" i="28"/>
  <c r="AI161" i="24"/>
  <c r="D194" i="27"/>
  <c r="Y181" i="27"/>
  <c r="AD181" i="27" s="1"/>
  <c r="U182" i="27"/>
  <c r="H192" i="27"/>
  <c r="L197" i="27" s="1"/>
  <c r="E192" i="27"/>
  <c r="I197" i="27" s="1"/>
  <c r="F192" i="27"/>
  <c r="J197" i="27" s="1"/>
  <c r="G192" i="27"/>
  <c r="K197" i="27" s="1"/>
  <c r="T185" i="27"/>
  <c r="X184" i="27"/>
  <c r="AC184" i="27" s="1"/>
  <c r="AH179" i="27"/>
  <c r="C193" i="27"/>
  <c r="AA179" i="27"/>
  <c r="V179" i="27"/>
  <c r="R180" i="27"/>
  <c r="W177" i="27"/>
  <c r="S178" i="27"/>
  <c r="AB176" i="27"/>
  <c r="AE176" i="27" s="1"/>
  <c r="AF180" i="27" s="1"/>
  <c r="AG180" i="27" s="1"/>
  <c r="Z176" i="27"/>
  <c r="AA182" i="26"/>
  <c r="R183" i="26"/>
  <c r="V182" i="26"/>
  <c r="D196" i="26"/>
  <c r="F194" i="26"/>
  <c r="J209" i="26" s="1"/>
  <c r="G194" i="26"/>
  <c r="K209" i="26" s="1"/>
  <c r="H194" i="26"/>
  <c r="L209" i="26" s="1"/>
  <c r="E194" i="26"/>
  <c r="I209" i="26" s="1"/>
  <c r="C195" i="26"/>
  <c r="W181" i="26"/>
  <c r="AB181" i="26" s="1"/>
  <c r="AE181" i="26" s="1"/>
  <c r="S182" i="26"/>
  <c r="Z180" i="26"/>
  <c r="X185" i="26"/>
  <c r="AC185" i="26" s="1"/>
  <c r="T186" i="26"/>
  <c r="U186" i="26"/>
  <c r="Y185" i="26"/>
  <c r="AD185" i="26" s="1"/>
  <c r="H195" i="24"/>
  <c r="L200" i="24" s="1"/>
  <c r="G195" i="24"/>
  <c r="K200" i="24" s="1"/>
  <c r="F195" i="24"/>
  <c r="J200" i="24" s="1"/>
  <c r="E195" i="24"/>
  <c r="I200" i="24" s="1"/>
  <c r="X183" i="24"/>
  <c r="AC183" i="24" s="1"/>
  <c r="T184" i="24"/>
  <c r="AG186" i="24"/>
  <c r="AH185" i="24"/>
  <c r="D196" i="24"/>
  <c r="C196" i="24" s="1"/>
  <c r="Z182" i="24"/>
  <c r="V184" i="24"/>
  <c r="R185" i="24"/>
  <c r="AA184" i="24"/>
  <c r="Y183" i="24"/>
  <c r="AD183" i="24" s="1"/>
  <c r="S183" i="24"/>
  <c r="W183" i="24" s="1"/>
  <c r="AB183" i="24" s="1"/>
  <c r="U184" i="24"/>
  <c r="AE183" i="24" l="1"/>
  <c r="AF187" i="24" s="1"/>
  <c r="AG187" i="24" s="1"/>
  <c r="E197" i="28"/>
  <c r="I202" i="28" s="1"/>
  <c r="F197" i="28"/>
  <c r="J202" i="28" s="1"/>
  <c r="G197" i="28"/>
  <c r="K202" i="28" s="1"/>
  <c r="H197" i="28"/>
  <c r="L202" i="28" s="1"/>
  <c r="S188" i="28"/>
  <c r="U189" i="28"/>
  <c r="AI156" i="28"/>
  <c r="AB182" i="28"/>
  <c r="AE182" i="28" s="1"/>
  <c r="AF186" i="28" s="1"/>
  <c r="AG186" i="28" s="1"/>
  <c r="AD187" i="28"/>
  <c r="Z182" i="28"/>
  <c r="AC188" i="28"/>
  <c r="AH185" i="28"/>
  <c r="AA183" i="28"/>
  <c r="V183" i="28"/>
  <c r="W183" i="28"/>
  <c r="D198" i="28"/>
  <c r="C198" i="28" s="1"/>
  <c r="Y188" i="28"/>
  <c r="X189" i="28"/>
  <c r="AH180" i="27"/>
  <c r="Y182" i="27"/>
  <c r="AD182" i="27" s="1"/>
  <c r="U183" i="27"/>
  <c r="V180" i="27"/>
  <c r="AA180" i="27"/>
  <c r="R181" i="27"/>
  <c r="W178" i="27"/>
  <c r="S179" i="27"/>
  <c r="T186" i="27"/>
  <c r="X185" i="27"/>
  <c r="AC185" i="27" s="1"/>
  <c r="E193" i="27"/>
  <c r="I198" i="27" s="1"/>
  <c r="F193" i="27"/>
  <c r="J198" i="27" s="1"/>
  <c r="G193" i="27"/>
  <c r="K198" i="27" s="1"/>
  <c r="H193" i="27"/>
  <c r="L198" i="27" s="1"/>
  <c r="D195" i="27"/>
  <c r="AB177" i="27"/>
  <c r="AE177" i="27" s="1"/>
  <c r="AF181" i="27" s="1"/>
  <c r="AG181" i="27" s="1"/>
  <c r="Z177" i="27"/>
  <c r="C194" i="27"/>
  <c r="W182" i="26"/>
  <c r="AB182" i="26" s="1"/>
  <c r="AE182" i="26" s="1"/>
  <c r="S183" i="26"/>
  <c r="H195" i="26"/>
  <c r="L210" i="26" s="1"/>
  <c r="G195" i="26"/>
  <c r="K210" i="26" s="1"/>
  <c r="E195" i="26"/>
  <c r="I210" i="26" s="1"/>
  <c r="F195" i="26"/>
  <c r="J210" i="26" s="1"/>
  <c r="Y186" i="26"/>
  <c r="AD186" i="26" s="1"/>
  <c r="U187" i="26"/>
  <c r="D197" i="26"/>
  <c r="C197" i="26" s="1"/>
  <c r="T187" i="26"/>
  <c r="X186" i="26"/>
  <c r="AC186" i="26" s="1"/>
  <c r="C196" i="26"/>
  <c r="Z181" i="26"/>
  <c r="R184" i="26"/>
  <c r="V183" i="26"/>
  <c r="AA183" i="26"/>
  <c r="D197" i="24"/>
  <c r="AH186" i="24"/>
  <c r="AI162" i="24" s="1"/>
  <c r="H196" i="24"/>
  <c r="L201" i="24" s="1"/>
  <c r="G196" i="24"/>
  <c r="K201" i="24" s="1"/>
  <c r="F196" i="24"/>
  <c r="J201" i="24" s="1"/>
  <c r="E196" i="24"/>
  <c r="I201" i="24" s="1"/>
  <c r="X184" i="24"/>
  <c r="AC184" i="24" s="1"/>
  <c r="T185" i="24"/>
  <c r="Z183" i="24"/>
  <c r="Y184" i="24"/>
  <c r="AD184" i="24" s="1"/>
  <c r="U185" i="24"/>
  <c r="S184" i="24"/>
  <c r="W184" i="24" s="1"/>
  <c r="AB184" i="24" s="1"/>
  <c r="AA185" i="24"/>
  <c r="V185" i="24"/>
  <c r="R186" i="24"/>
  <c r="Z182" i="26" l="1"/>
  <c r="F198" i="28"/>
  <c r="J203" i="28" s="1"/>
  <c r="G198" i="28"/>
  <c r="K203" i="28" s="1"/>
  <c r="H198" i="28"/>
  <c r="L203" i="28" s="1"/>
  <c r="E198" i="28"/>
  <c r="I203" i="28" s="1"/>
  <c r="S189" i="28"/>
  <c r="U190" i="28"/>
  <c r="AI157" i="28"/>
  <c r="AC189" i="28"/>
  <c r="AD188" i="28"/>
  <c r="AB183" i="28"/>
  <c r="AE183" i="28" s="1"/>
  <c r="AF187" i="28" s="1"/>
  <c r="AG187" i="28" s="1"/>
  <c r="Z183" i="28"/>
  <c r="W184" i="28"/>
  <c r="AA184" i="28"/>
  <c r="V184" i="28"/>
  <c r="Y189" i="28"/>
  <c r="D199" i="28"/>
  <c r="C199" i="28" s="1"/>
  <c r="X190" i="28"/>
  <c r="AH186" i="28"/>
  <c r="AE184" i="24"/>
  <c r="AF188" i="24" s="1"/>
  <c r="AG188" i="24" s="1"/>
  <c r="AH181" i="27"/>
  <c r="AB178" i="27"/>
  <c r="AE178" i="27" s="1"/>
  <c r="AF182" i="27" s="1"/>
  <c r="AG182" i="27" s="1"/>
  <c r="Z178" i="27"/>
  <c r="U184" i="27"/>
  <c r="Y183" i="27"/>
  <c r="AD183" i="27" s="1"/>
  <c r="D196" i="27"/>
  <c r="C195" i="27"/>
  <c r="V181" i="27"/>
  <c r="AA181" i="27"/>
  <c r="R182" i="27"/>
  <c r="X186" i="27"/>
  <c r="AC186" i="27" s="1"/>
  <c r="T187" i="27"/>
  <c r="E194" i="27"/>
  <c r="I199" i="27" s="1"/>
  <c r="G194" i="27"/>
  <c r="K199" i="27" s="1"/>
  <c r="H194" i="27"/>
  <c r="L199" i="27" s="1"/>
  <c r="F194" i="27"/>
  <c r="J199" i="27" s="1"/>
  <c r="W179" i="27"/>
  <c r="S180" i="27"/>
  <c r="H197" i="26"/>
  <c r="L212" i="26" s="1"/>
  <c r="E197" i="26"/>
  <c r="I212" i="26" s="1"/>
  <c r="G197" i="26"/>
  <c r="K212" i="26" s="1"/>
  <c r="F197" i="26"/>
  <c r="J212" i="26" s="1"/>
  <c r="X187" i="26"/>
  <c r="AC187" i="26" s="1"/>
  <c r="T188" i="26"/>
  <c r="AA184" i="26"/>
  <c r="R185" i="26"/>
  <c r="V184" i="26"/>
  <c r="Y187" i="26"/>
  <c r="AD187" i="26" s="1"/>
  <c r="U188" i="26"/>
  <c r="F196" i="26"/>
  <c r="J211" i="26" s="1"/>
  <c r="G196" i="26"/>
  <c r="K211" i="26" s="1"/>
  <c r="E196" i="26"/>
  <c r="I211" i="26" s="1"/>
  <c r="H196" i="26"/>
  <c r="L211" i="26" s="1"/>
  <c r="W183" i="26"/>
  <c r="AB183" i="26" s="1"/>
  <c r="AE183" i="26" s="1"/>
  <c r="S184" i="26"/>
  <c r="D198" i="26"/>
  <c r="C198" i="26" s="1"/>
  <c r="Z184" i="24"/>
  <c r="R187" i="24"/>
  <c r="AA186" i="24"/>
  <c r="V186" i="24"/>
  <c r="T186" i="24"/>
  <c r="X185" i="24"/>
  <c r="AC185" i="24" s="1"/>
  <c r="AH187" i="24"/>
  <c r="D198" i="24"/>
  <c r="U186" i="24"/>
  <c r="Y185" i="24"/>
  <c r="AD185" i="24" s="1"/>
  <c r="S185" i="24"/>
  <c r="W185" i="24" s="1"/>
  <c r="AB185" i="24" s="1"/>
  <c r="C197" i="24"/>
  <c r="E199" i="28" l="1"/>
  <c r="I204" i="28" s="1"/>
  <c r="F199" i="28"/>
  <c r="J204" i="28" s="1"/>
  <c r="G199" i="28"/>
  <c r="K204" i="28" s="1"/>
  <c r="H199" i="28"/>
  <c r="L204" i="28" s="1"/>
  <c r="U191" i="28"/>
  <c r="S190" i="28"/>
  <c r="AC190" i="28"/>
  <c r="AB184" i="28"/>
  <c r="AE184" i="28" s="1"/>
  <c r="AF188" i="28" s="1"/>
  <c r="AG188" i="28" s="1"/>
  <c r="AD189" i="28"/>
  <c r="Z184" i="28"/>
  <c r="AH187" i="28"/>
  <c r="V185" i="28"/>
  <c r="AA185" i="28"/>
  <c r="W185" i="28"/>
  <c r="D200" i="28"/>
  <c r="X191" i="28"/>
  <c r="Y190" i="28"/>
  <c r="AI163" i="24"/>
  <c r="AE185" i="24"/>
  <c r="AF189" i="24" s="1"/>
  <c r="AG189" i="24" s="1"/>
  <c r="AH182" i="27"/>
  <c r="D197" i="27"/>
  <c r="C197" i="27" s="1"/>
  <c r="C196" i="27"/>
  <c r="U185" i="27"/>
  <c r="Y184" i="27"/>
  <c r="AD184" i="27" s="1"/>
  <c r="X187" i="27"/>
  <c r="AC187" i="27" s="1"/>
  <c r="T188" i="27"/>
  <c r="AA182" i="27"/>
  <c r="R183" i="27"/>
  <c r="V182" i="27"/>
  <c r="AB179" i="27"/>
  <c r="AE179" i="27" s="1"/>
  <c r="AF183" i="27" s="1"/>
  <c r="AG183" i="27" s="1"/>
  <c r="Z179" i="27"/>
  <c r="W180" i="27"/>
  <c r="S181" i="27"/>
  <c r="E195" i="27"/>
  <c r="I200" i="27" s="1"/>
  <c r="G195" i="27"/>
  <c r="K200" i="27" s="1"/>
  <c r="F195" i="27"/>
  <c r="J200" i="27" s="1"/>
  <c r="H195" i="27"/>
  <c r="L200" i="27" s="1"/>
  <c r="F198" i="26"/>
  <c r="J213" i="26" s="1"/>
  <c r="H198" i="26"/>
  <c r="L213" i="26" s="1"/>
  <c r="G198" i="26"/>
  <c r="K213" i="26" s="1"/>
  <c r="E198" i="26"/>
  <c r="I213" i="26" s="1"/>
  <c r="R186" i="26"/>
  <c r="V185" i="26"/>
  <c r="AA185" i="26"/>
  <c r="T189" i="26"/>
  <c r="X188" i="26"/>
  <c r="AC188" i="26" s="1"/>
  <c r="U189" i="26"/>
  <c r="Y188" i="26"/>
  <c r="AD188" i="26" s="1"/>
  <c r="D199" i="26"/>
  <c r="W184" i="26"/>
  <c r="AB184" i="26" s="1"/>
  <c r="AE184" i="26" s="1"/>
  <c r="S185" i="26"/>
  <c r="Z183" i="26"/>
  <c r="AH188" i="24"/>
  <c r="X186" i="24"/>
  <c r="AC186" i="24" s="1"/>
  <c r="T187" i="24"/>
  <c r="Z185" i="24"/>
  <c r="E197" i="24"/>
  <c r="I202" i="24" s="1"/>
  <c r="H197" i="24"/>
  <c r="L202" i="24" s="1"/>
  <c r="G197" i="24"/>
  <c r="K202" i="24" s="1"/>
  <c r="F197" i="24"/>
  <c r="J202" i="24" s="1"/>
  <c r="D199" i="24"/>
  <c r="AA187" i="24"/>
  <c r="R188" i="24"/>
  <c r="V187" i="24"/>
  <c r="U187" i="24"/>
  <c r="Y186" i="24"/>
  <c r="AD186" i="24" s="1"/>
  <c r="S186" i="24"/>
  <c r="W186" i="24" s="1"/>
  <c r="AB186" i="24" s="1"/>
  <c r="C198" i="24"/>
  <c r="S191" i="28" l="1"/>
  <c r="U192" i="28"/>
  <c r="AI158" i="28"/>
  <c r="AB185" i="28"/>
  <c r="AE185" i="28" s="1"/>
  <c r="AF189" i="28" s="1"/>
  <c r="AG189" i="28" s="1"/>
  <c r="AC191" i="28"/>
  <c r="AD190" i="28"/>
  <c r="W186" i="28"/>
  <c r="Z185" i="28"/>
  <c r="V186" i="28"/>
  <c r="AA186" i="28"/>
  <c r="Y191" i="28"/>
  <c r="O193" i="28"/>
  <c r="T193" i="28" s="1"/>
  <c r="X192" i="28"/>
  <c r="D201" i="28"/>
  <c r="C201" i="28" s="1"/>
  <c r="C200" i="28"/>
  <c r="AH188" i="28"/>
  <c r="AI160" i="27"/>
  <c r="AH183" i="27"/>
  <c r="AI161" i="27" s="1"/>
  <c r="G197" i="27"/>
  <c r="K202" i="27" s="1"/>
  <c r="E197" i="27"/>
  <c r="I202" i="27" s="1"/>
  <c r="H197" i="27"/>
  <c r="L202" i="27" s="1"/>
  <c r="F197" i="27"/>
  <c r="J202" i="27" s="1"/>
  <c r="X188" i="27"/>
  <c r="AC188" i="27" s="1"/>
  <c r="T189" i="27"/>
  <c r="U186" i="27"/>
  <c r="Y185" i="27"/>
  <c r="AD185" i="27" s="1"/>
  <c r="W181" i="27"/>
  <c r="S182" i="27"/>
  <c r="AB180" i="27"/>
  <c r="AE180" i="27" s="1"/>
  <c r="AF184" i="27" s="1"/>
  <c r="AG184" i="27" s="1"/>
  <c r="Z180" i="27"/>
  <c r="E196" i="27"/>
  <c r="I201" i="27" s="1"/>
  <c r="F196" i="27"/>
  <c r="J201" i="27" s="1"/>
  <c r="G196" i="27"/>
  <c r="K201" i="27" s="1"/>
  <c r="H196" i="27"/>
  <c r="L201" i="27" s="1"/>
  <c r="D198" i="27"/>
  <c r="AA183" i="27"/>
  <c r="R184" i="27"/>
  <c r="V183" i="27"/>
  <c r="R187" i="26"/>
  <c r="AA186" i="26"/>
  <c r="V186" i="26"/>
  <c r="Z184" i="26"/>
  <c r="X189" i="26"/>
  <c r="AC189" i="26" s="1"/>
  <c r="O190" i="26"/>
  <c r="T190" i="26" s="1"/>
  <c r="D200" i="26"/>
  <c r="C200" i="26" s="1"/>
  <c r="C199" i="26"/>
  <c r="W185" i="26"/>
  <c r="AB185" i="26" s="1"/>
  <c r="AE185" i="26" s="1"/>
  <c r="S186" i="26"/>
  <c r="Y189" i="26"/>
  <c r="AD189" i="26" s="1"/>
  <c r="P190" i="26"/>
  <c r="U190" i="26" s="1"/>
  <c r="Z186" i="24"/>
  <c r="AE186" i="24"/>
  <c r="AF190" i="24" s="1"/>
  <c r="AG190" i="24" s="1"/>
  <c r="D200" i="24"/>
  <c r="C199" i="24"/>
  <c r="E198" i="24"/>
  <c r="I203" i="24" s="1"/>
  <c r="H198" i="24"/>
  <c r="L203" i="24" s="1"/>
  <c r="G198" i="24"/>
  <c r="K203" i="24" s="1"/>
  <c r="F198" i="24"/>
  <c r="J203" i="24" s="1"/>
  <c r="U188" i="24"/>
  <c r="S187" i="24"/>
  <c r="W187" i="24" s="1"/>
  <c r="AB187" i="24" s="1"/>
  <c r="Y187" i="24"/>
  <c r="AD187" i="24" s="1"/>
  <c r="T188" i="24"/>
  <c r="X187" i="24"/>
  <c r="AC187" i="24" s="1"/>
  <c r="R189" i="24"/>
  <c r="AA188" i="24"/>
  <c r="V188" i="24"/>
  <c r="AH189" i="24"/>
  <c r="E200" i="28" l="1"/>
  <c r="I205" i="28" s="1"/>
  <c r="F200" i="28"/>
  <c r="J205" i="28" s="1"/>
  <c r="G200" i="28"/>
  <c r="K205" i="28" s="1"/>
  <c r="H200" i="28"/>
  <c r="F201" i="28"/>
  <c r="J206" i="28" s="1"/>
  <c r="G201" i="28"/>
  <c r="K206" i="28" s="1"/>
  <c r="H201" i="28"/>
  <c r="L206" i="28" s="1"/>
  <c r="E201" i="28"/>
  <c r="I206" i="28" s="1"/>
  <c r="AE187" i="24"/>
  <c r="AF191" i="24" s="1"/>
  <c r="S192" i="28"/>
  <c r="AI159" i="28"/>
  <c r="AB186" i="28"/>
  <c r="AE186" i="28" s="1"/>
  <c r="AF190" i="28" s="1"/>
  <c r="AG190" i="28" s="1"/>
  <c r="AD191" i="28"/>
  <c r="AC192" i="28"/>
  <c r="Z186" i="28"/>
  <c r="P193" i="28"/>
  <c r="U193" i="28" s="1"/>
  <c r="Y192" i="28"/>
  <c r="AH189" i="28"/>
  <c r="AA187" i="28"/>
  <c r="V187" i="28"/>
  <c r="W187" i="28"/>
  <c r="X193" i="28"/>
  <c r="L205" i="28"/>
  <c r="D202" i="28"/>
  <c r="O206" i="28"/>
  <c r="O200" i="28"/>
  <c r="O204" i="28"/>
  <c r="O198" i="28"/>
  <c r="O205" i="28"/>
  <c r="O199" i="28"/>
  <c r="O207" i="28"/>
  <c r="O201" i="28"/>
  <c r="O194" i="28"/>
  <c r="T194" i="28" s="1"/>
  <c r="O196" i="28"/>
  <c r="O203" i="28"/>
  <c r="O195" i="28"/>
  <c r="O197" i="28"/>
  <c r="O202" i="28"/>
  <c r="H16" i="28"/>
  <c r="AI164" i="24"/>
  <c r="AH184" i="27"/>
  <c r="Y186" i="27"/>
  <c r="AD186" i="27" s="1"/>
  <c r="U187" i="27"/>
  <c r="D199" i="27"/>
  <c r="X189" i="27"/>
  <c r="AC189" i="27" s="1"/>
  <c r="O190" i="27"/>
  <c r="T190" i="27" s="1"/>
  <c r="C198" i="27"/>
  <c r="W182" i="27"/>
  <c r="S183" i="27"/>
  <c r="R185" i="27"/>
  <c r="V184" i="27"/>
  <c r="AA184" i="27"/>
  <c r="AB181" i="27"/>
  <c r="AE181" i="27" s="1"/>
  <c r="AF185" i="27" s="1"/>
  <c r="AG185" i="27" s="1"/>
  <c r="Z181" i="27"/>
  <c r="Z185" i="26"/>
  <c r="X190" i="26"/>
  <c r="AC190" i="26" s="1"/>
  <c r="Y190" i="26"/>
  <c r="AD190" i="26" s="1"/>
  <c r="D201" i="26"/>
  <c r="C201" i="26" s="1"/>
  <c r="F200" i="26"/>
  <c r="J215" i="26" s="1"/>
  <c r="H200" i="26"/>
  <c r="L215" i="26" s="1"/>
  <c r="E200" i="26"/>
  <c r="I215" i="26" s="1"/>
  <c r="G200" i="26"/>
  <c r="K215" i="26" s="1"/>
  <c r="O204" i="26"/>
  <c r="O200" i="26"/>
  <c r="O203" i="26"/>
  <c r="O193" i="26"/>
  <c r="O192" i="26"/>
  <c r="O202" i="26"/>
  <c r="O199" i="26"/>
  <c r="O196" i="26"/>
  <c r="O191" i="26"/>
  <c r="T191" i="26" s="1"/>
  <c r="O195" i="26"/>
  <c r="O194" i="26"/>
  <c r="O201" i="26"/>
  <c r="O198" i="26"/>
  <c r="O197" i="26"/>
  <c r="F16" i="26"/>
  <c r="G199" i="26"/>
  <c r="K214" i="26" s="1"/>
  <c r="F199" i="26"/>
  <c r="J214" i="26" s="1"/>
  <c r="E199" i="26"/>
  <c r="I214" i="26" s="1"/>
  <c r="H199" i="26"/>
  <c r="L214" i="26" s="1"/>
  <c r="R188" i="26"/>
  <c r="V187" i="26"/>
  <c r="AA187" i="26"/>
  <c r="W186" i="26"/>
  <c r="AB186" i="26" s="1"/>
  <c r="AE186" i="26" s="1"/>
  <c r="S187" i="26"/>
  <c r="P204" i="26"/>
  <c r="P195" i="26"/>
  <c r="P203" i="26"/>
  <c r="P199" i="26"/>
  <c r="P198" i="26"/>
  <c r="P197" i="26"/>
  <c r="P193" i="26"/>
  <c r="P192" i="26"/>
  <c r="P202" i="26"/>
  <c r="P201" i="26"/>
  <c r="P191" i="26"/>
  <c r="U191" i="26" s="1"/>
  <c r="P200" i="26"/>
  <c r="P194" i="26"/>
  <c r="P196" i="26"/>
  <c r="G16" i="26"/>
  <c r="Y188" i="24"/>
  <c r="AD188" i="24" s="1"/>
  <c r="S188" i="24"/>
  <c r="W188" i="24" s="1"/>
  <c r="AB188" i="24" s="1"/>
  <c r="U189" i="24"/>
  <c r="AG191" i="24"/>
  <c r="AH190" i="24"/>
  <c r="AI165" i="24" s="1"/>
  <c r="G199" i="24"/>
  <c r="K204" i="24" s="1"/>
  <c r="F199" i="24"/>
  <c r="J204" i="24" s="1"/>
  <c r="H199" i="24"/>
  <c r="L204" i="24" s="1"/>
  <c r="E199" i="24"/>
  <c r="I204" i="24" s="1"/>
  <c r="X188" i="24"/>
  <c r="AC188" i="24" s="1"/>
  <c r="T189" i="24"/>
  <c r="D201" i="24"/>
  <c r="C201" i="24" s="1"/>
  <c r="M190" i="24"/>
  <c r="R190" i="24" s="1"/>
  <c r="V189" i="24"/>
  <c r="AA189" i="24"/>
  <c r="Z187" i="24"/>
  <c r="C200" i="24"/>
  <c r="T195" i="28" l="1"/>
  <c r="T196" i="28" s="1"/>
  <c r="T197" i="28" s="1"/>
  <c r="T198" i="28" s="1"/>
  <c r="T199" i="28" s="1"/>
  <c r="T200" i="28" s="1"/>
  <c r="T201" i="28" s="1"/>
  <c r="T202" i="28" s="1"/>
  <c r="T203" i="28" s="1"/>
  <c r="T204" i="28" s="1"/>
  <c r="T205" i="28" s="1"/>
  <c r="T206" i="28" s="1"/>
  <c r="AB187" i="28"/>
  <c r="AE187" i="28" s="1"/>
  <c r="AF191" i="28" s="1"/>
  <c r="AG191" i="28" s="1"/>
  <c r="AD192" i="28"/>
  <c r="AC193" i="28"/>
  <c r="X194" i="28"/>
  <c r="AH190" i="28"/>
  <c r="P204" i="28"/>
  <c r="P198" i="28"/>
  <c r="P205" i="28"/>
  <c r="P195" i="28"/>
  <c r="P200" i="28"/>
  <c r="P207" i="28"/>
  <c r="P199" i="28"/>
  <c r="P201" i="28"/>
  <c r="P194" i="28"/>
  <c r="U194" i="28" s="1"/>
  <c r="P196" i="28"/>
  <c r="P206" i="28"/>
  <c r="P203" i="28"/>
  <c r="P197" i="28"/>
  <c r="P202" i="28"/>
  <c r="I16" i="28"/>
  <c r="W188" i="28"/>
  <c r="D203" i="28"/>
  <c r="AA188" i="28"/>
  <c r="V188" i="28"/>
  <c r="C202" i="28"/>
  <c r="Z187" i="28"/>
  <c r="AI162" i="27"/>
  <c r="AH185" i="27"/>
  <c r="AI163" i="27" s="1"/>
  <c r="X190" i="27"/>
  <c r="AC190" i="27" s="1"/>
  <c r="D200" i="27"/>
  <c r="C199" i="27"/>
  <c r="Y187" i="27"/>
  <c r="AD187" i="27" s="1"/>
  <c r="U188" i="27"/>
  <c r="V185" i="27"/>
  <c r="AA185" i="27"/>
  <c r="R186" i="27"/>
  <c r="AB182" i="27"/>
  <c r="AE182" i="27" s="1"/>
  <c r="AF186" i="27" s="1"/>
  <c r="AG186" i="27" s="1"/>
  <c r="Z182" i="27"/>
  <c r="F16" i="27"/>
  <c r="O195" i="27"/>
  <c r="O201" i="27"/>
  <c r="O194" i="27"/>
  <c r="O200" i="27"/>
  <c r="O193" i="27"/>
  <c r="O199" i="27"/>
  <c r="O192" i="27"/>
  <c r="O198" i="27"/>
  <c r="O191" i="27"/>
  <c r="T191" i="27" s="1"/>
  <c r="O197" i="27"/>
  <c r="O203" i="27"/>
  <c r="O196" i="27"/>
  <c r="O202" i="27"/>
  <c r="O204" i="27"/>
  <c r="W183" i="27"/>
  <c r="S184" i="27"/>
  <c r="E198" i="27"/>
  <c r="I203" i="27" s="1"/>
  <c r="G198" i="27"/>
  <c r="K203" i="27" s="1"/>
  <c r="F198" i="27"/>
  <c r="J203" i="27" s="1"/>
  <c r="H198" i="27"/>
  <c r="L203" i="27" s="1"/>
  <c r="X191" i="26"/>
  <c r="AC191" i="26" s="1"/>
  <c r="T192" i="26"/>
  <c r="U192" i="26"/>
  <c r="Y191" i="26"/>
  <c r="AD191" i="26" s="1"/>
  <c r="V188" i="26"/>
  <c r="AA188" i="26"/>
  <c r="R189" i="26"/>
  <c r="Z186" i="26"/>
  <c r="F201" i="26"/>
  <c r="J216" i="26" s="1"/>
  <c r="G201" i="26"/>
  <c r="K216" i="26" s="1"/>
  <c r="E201" i="26"/>
  <c r="I216" i="26" s="1"/>
  <c r="H201" i="26"/>
  <c r="L216" i="26" s="1"/>
  <c r="D202" i="26"/>
  <c r="W187" i="26"/>
  <c r="AB187" i="26" s="1"/>
  <c r="AE187" i="26" s="1"/>
  <c r="S188" i="26"/>
  <c r="AE188" i="24"/>
  <c r="AF192" i="24" s="1"/>
  <c r="AG192" i="24" s="1"/>
  <c r="H201" i="24"/>
  <c r="L206" i="24" s="1"/>
  <c r="G201" i="24"/>
  <c r="K206" i="24" s="1"/>
  <c r="F201" i="24"/>
  <c r="J206" i="24" s="1"/>
  <c r="E201" i="24"/>
  <c r="I206" i="24" s="1"/>
  <c r="H200" i="24"/>
  <c r="L205" i="24" s="1"/>
  <c r="G200" i="24"/>
  <c r="K205" i="24" s="1"/>
  <c r="F200" i="24"/>
  <c r="J205" i="24" s="1"/>
  <c r="E200" i="24"/>
  <c r="I205" i="24" s="1"/>
  <c r="AA190" i="24"/>
  <c r="V190" i="24"/>
  <c r="R191" i="24"/>
  <c r="AH191" i="24"/>
  <c r="M202" i="24"/>
  <c r="M196" i="24"/>
  <c r="M201" i="24"/>
  <c r="M198" i="24"/>
  <c r="M203" i="24"/>
  <c r="M200" i="24"/>
  <c r="M195" i="24"/>
  <c r="M191" i="24"/>
  <c r="M199" i="24"/>
  <c r="M194" i="24"/>
  <c r="M193" i="24"/>
  <c r="M204" i="24"/>
  <c r="M197" i="24"/>
  <c r="M192" i="24"/>
  <c r="D16" i="24"/>
  <c r="Z188" i="24"/>
  <c r="S189" i="24"/>
  <c r="W189" i="24" s="1"/>
  <c r="AB189" i="24" s="1"/>
  <c r="Y189" i="24"/>
  <c r="AD189" i="24" s="1"/>
  <c r="P190" i="24"/>
  <c r="U190" i="24" s="1"/>
  <c r="D202" i="24"/>
  <c r="C202" i="24" s="1"/>
  <c r="O190" i="24"/>
  <c r="T190" i="24" s="1"/>
  <c r="X189" i="24"/>
  <c r="AC189" i="24" s="1"/>
  <c r="E202" i="28" l="1"/>
  <c r="I207" i="28" s="1"/>
  <c r="F202" i="28"/>
  <c r="J207" i="28" s="1"/>
  <c r="G202" i="28"/>
  <c r="K207" i="28" s="1"/>
  <c r="T207" i="28" s="1"/>
  <c r="H202" i="28"/>
  <c r="L207" i="28" s="1"/>
  <c r="U195" i="28"/>
  <c r="AI160" i="28"/>
  <c r="AB188" i="28"/>
  <c r="AE188" i="28" s="1"/>
  <c r="AF192" i="28" s="1"/>
  <c r="AG192" i="28" s="1"/>
  <c r="AC194" i="28"/>
  <c r="W189" i="28"/>
  <c r="Y193" i="28"/>
  <c r="AA189" i="28"/>
  <c r="V189" i="28"/>
  <c r="AH191" i="28"/>
  <c r="D204" i="28"/>
  <c r="C204" i="28" s="1"/>
  <c r="Z188" i="28"/>
  <c r="C203" i="28"/>
  <c r="X195" i="28"/>
  <c r="AI166" i="24"/>
  <c r="AH186" i="27"/>
  <c r="T192" i="27"/>
  <c r="X191" i="27"/>
  <c r="AC191" i="27" s="1"/>
  <c r="W184" i="27"/>
  <c r="S185" i="27"/>
  <c r="AB183" i="27"/>
  <c r="AE183" i="27" s="1"/>
  <c r="AF187" i="27" s="1"/>
  <c r="AG187" i="27" s="1"/>
  <c r="Z183" i="27"/>
  <c r="Y188" i="27"/>
  <c r="AD188" i="27" s="1"/>
  <c r="U189" i="27"/>
  <c r="D201" i="27"/>
  <c r="C201" i="27" s="1"/>
  <c r="E199" i="27"/>
  <c r="I204" i="27" s="1"/>
  <c r="G199" i="27"/>
  <c r="K204" i="27" s="1"/>
  <c r="F199" i="27"/>
  <c r="J204" i="27" s="1"/>
  <c r="H199" i="27"/>
  <c r="L204" i="27" s="1"/>
  <c r="C200" i="27"/>
  <c r="V186" i="27"/>
  <c r="AA186" i="27"/>
  <c r="R187" i="27"/>
  <c r="AA189" i="26"/>
  <c r="M190" i="26"/>
  <c r="V189" i="26"/>
  <c r="W188" i="26"/>
  <c r="AB188" i="26" s="1"/>
  <c r="AE188" i="26" s="1"/>
  <c r="S189" i="26"/>
  <c r="Z187" i="26"/>
  <c r="D203" i="26"/>
  <c r="Y192" i="26"/>
  <c r="AD192" i="26" s="1"/>
  <c r="U193" i="26"/>
  <c r="C202" i="26"/>
  <c r="T193" i="26"/>
  <c r="X192" i="26"/>
  <c r="AC192" i="26" s="1"/>
  <c r="AE189" i="24"/>
  <c r="AF193" i="24" s="1"/>
  <c r="AG193" i="24" s="1"/>
  <c r="N190" i="24"/>
  <c r="N198" i="24" s="1"/>
  <c r="G202" i="24"/>
  <c r="K207" i="24" s="1"/>
  <c r="F202" i="24"/>
  <c r="J207" i="24" s="1"/>
  <c r="H202" i="24"/>
  <c r="L207" i="24" s="1"/>
  <c r="E202" i="24"/>
  <c r="I207" i="24" s="1"/>
  <c r="X190" i="24"/>
  <c r="AC190" i="24" s="1"/>
  <c r="AA191" i="24"/>
  <c r="R192" i="24"/>
  <c r="V191" i="24"/>
  <c r="O203" i="24"/>
  <c r="O197" i="24"/>
  <c r="O191" i="24"/>
  <c r="O195" i="24"/>
  <c r="O192" i="24"/>
  <c r="O202" i="24"/>
  <c r="O196" i="24"/>
  <c r="O201" i="24"/>
  <c r="O194" i="24"/>
  <c r="O199" i="24"/>
  <c r="O193" i="24"/>
  <c r="O204" i="24"/>
  <c r="O198" i="24"/>
  <c r="O200" i="24"/>
  <c r="F16" i="24"/>
  <c r="Z189" i="24"/>
  <c r="D203" i="24"/>
  <c r="AH192" i="24"/>
  <c r="Y190" i="24"/>
  <c r="AD190" i="24" s="1"/>
  <c r="P204" i="24"/>
  <c r="P198" i="24"/>
  <c r="P192" i="24"/>
  <c r="P203" i="24"/>
  <c r="P195" i="24"/>
  <c r="P200" i="24"/>
  <c r="P201" i="24"/>
  <c r="P197" i="24"/>
  <c r="P199" i="24"/>
  <c r="P193" i="24"/>
  <c r="P194" i="24"/>
  <c r="P191" i="24"/>
  <c r="U191" i="24" s="1"/>
  <c r="P196" i="24"/>
  <c r="P202" i="24"/>
  <c r="G16" i="24"/>
  <c r="Z188" i="26" l="1"/>
  <c r="E203" i="28"/>
  <c r="I208" i="28" s="1"/>
  <c r="H203" i="28"/>
  <c r="L208" i="28" s="1"/>
  <c r="F203" i="28"/>
  <c r="J208" i="28" s="1"/>
  <c r="G203" i="28"/>
  <c r="K208" i="28" s="1"/>
  <c r="F204" i="28"/>
  <c r="J209" i="28" s="1"/>
  <c r="G204" i="28"/>
  <c r="K209" i="28" s="1"/>
  <c r="H204" i="28"/>
  <c r="L209" i="28" s="1"/>
  <c r="E204" i="28"/>
  <c r="I209" i="28" s="1"/>
  <c r="U196" i="28"/>
  <c r="AI161" i="28"/>
  <c r="AC195" i="28"/>
  <c r="AB189" i="28"/>
  <c r="AE189" i="28" s="1"/>
  <c r="AF193" i="28" s="1"/>
  <c r="AG193" i="28" s="1"/>
  <c r="AD193" i="28"/>
  <c r="Z189" i="28"/>
  <c r="AH192" i="28"/>
  <c r="X196" i="28"/>
  <c r="Y194" i="28"/>
  <c r="D205" i="28"/>
  <c r="C205" i="28" s="1"/>
  <c r="W190" i="28"/>
  <c r="V190" i="28"/>
  <c r="AA190" i="28"/>
  <c r="AI164" i="27"/>
  <c r="AI165" i="27"/>
  <c r="N193" i="24"/>
  <c r="Q193" i="24" s="1"/>
  <c r="N191" i="24"/>
  <c r="Q191" i="24" s="1"/>
  <c r="N202" i="24"/>
  <c r="Q202" i="24" s="1"/>
  <c r="S190" i="24"/>
  <c r="W190" i="24" s="1"/>
  <c r="AB190" i="24" s="1"/>
  <c r="AE190" i="24" s="1"/>
  <c r="AF194" i="24" s="1"/>
  <c r="AG194" i="24" s="1"/>
  <c r="N197" i="24"/>
  <c r="Q197" i="24" s="1"/>
  <c r="N199" i="24"/>
  <c r="Q199" i="24" s="1"/>
  <c r="N203" i="24"/>
  <c r="Q203" i="24" s="1"/>
  <c r="N201" i="24"/>
  <c r="N204" i="24"/>
  <c r="Q204" i="24" s="1"/>
  <c r="E16" i="24"/>
  <c r="N192" i="24"/>
  <c r="Q192" i="24" s="1"/>
  <c r="N200" i="24"/>
  <c r="Q200" i="24" s="1"/>
  <c r="Q190" i="24"/>
  <c r="N195" i="24"/>
  <c r="Q195" i="24" s="1"/>
  <c r="AH187" i="27"/>
  <c r="AI166" i="27" s="1"/>
  <c r="P190" i="27"/>
  <c r="U190" i="27" s="1"/>
  <c r="Y189" i="27"/>
  <c r="AD189" i="27" s="1"/>
  <c r="V187" i="27"/>
  <c r="AA187" i="27"/>
  <c r="R188" i="27"/>
  <c r="E200" i="27"/>
  <c r="I205" i="27" s="1"/>
  <c r="G200" i="27"/>
  <c r="K205" i="27" s="1"/>
  <c r="H200" i="27"/>
  <c r="L205" i="27" s="1"/>
  <c r="F200" i="27"/>
  <c r="J205" i="27" s="1"/>
  <c r="W185" i="27"/>
  <c r="S186" i="27"/>
  <c r="AB184" i="27"/>
  <c r="AE184" i="27" s="1"/>
  <c r="AF188" i="27" s="1"/>
  <c r="AG188" i="27" s="1"/>
  <c r="Z184" i="27"/>
  <c r="T193" i="27"/>
  <c r="X192" i="27"/>
  <c r="AC192" i="27" s="1"/>
  <c r="D202" i="27"/>
  <c r="C202" i="27" s="1"/>
  <c r="E201" i="27"/>
  <c r="I206" i="27" s="1"/>
  <c r="G201" i="27"/>
  <c r="K206" i="27" s="1"/>
  <c r="H201" i="27"/>
  <c r="L206" i="27" s="1"/>
  <c r="F201" i="27"/>
  <c r="J206" i="27" s="1"/>
  <c r="D204" i="26"/>
  <c r="C204" i="26" s="1"/>
  <c r="C203" i="26"/>
  <c r="W189" i="26"/>
  <c r="AB189" i="26" s="1"/>
  <c r="AE189" i="26" s="1"/>
  <c r="X193" i="26"/>
  <c r="AC193" i="26" s="1"/>
  <c r="T194" i="26"/>
  <c r="G202" i="26"/>
  <c r="K217" i="26" s="1"/>
  <c r="F202" i="26"/>
  <c r="J217" i="26" s="1"/>
  <c r="H202" i="26"/>
  <c r="L217" i="26" s="1"/>
  <c r="E202" i="26"/>
  <c r="I217" i="26" s="1"/>
  <c r="M203" i="26"/>
  <c r="M202" i="26"/>
  <c r="M201" i="26"/>
  <c r="M191" i="26"/>
  <c r="M200" i="26"/>
  <c r="M204" i="26"/>
  <c r="M199" i="26"/>
  <c r="M197" i="26"/>
  <c r="M195" i="26"/>
  <c r="M194" i="26"/>
  <c r="M198" i="26"/>
  <c r="M196" i="26"/>
  <c r="M193" i="26"/>
  <c r="M192" i="26"/>
  <c r="D16" i="26"/>
  <c r="N190" i="26"/>
  <c r="Q190" i="26" s="1"/>
  <c r="Y193" i="26"/>
  <c r="AD193" i="26" s="1"/>
  <c r="U194" i="26"/>
  <c r="R190" i="26"/>
  <c r="Q201" i="24"/>
  <c r="N196" i="24"/>
  <c r="Q196" i="24" s="1"/>
  <c r="N194" i="24"/>
  <c r="Q194" i="24" s="1"/>
  <c r="Q198" i="24"/>
  <c r="Y191" i="24"/>
  <c r="AD191" i="24" s="1"/>
  <c r="U192" i="24"/>
  <c r="D204" i="24"/>
  <c r="C204" i="24" s="1"/>
  <c r="C203" i="24"/>
  <c r="T191" i="24"/>
  <c r="I15" i="24"/>
  <c r="AH193" i="24"/>
  <c r="R193" i="24"/>
  <c r="AA192" i="24"/>
  <c r="V192" i="24"/>
  <c r="E205" i="28" l="1"/>
  <c r="I210" i="28" s="1"/>
  <c r="F205" i="28"/>
  <c r="J210" i="28" s="1"/>
  <c r="G205" i="28"/>
  <c r="K210" i="28" s="1"/>
  <c r="H205" i="28"/>
  <c r="L210" i="28" s="1"/>
  <c r="Z189" i="26"/>
  <c r="I15" i="26" s="1"/>
  <c r="J15" i="26" s="1"/>
  <c r="U197" i="28"/>
  <c r="AB190" i="28"/>
  <c r="AE190" i="28" s="1"/>
  <c r="AF194" i="28" s="1"/>
  <c r="AG194" i="28" s="1"/>
  <c r="AC196" i="28"/>
  <c r="AD194" i="28"/>
  <c r="Z190" i="28"/>
  <c r="AA191" i="28"/>
  <c r="V191" i="28"/>
  <c r="W191" i="28"/>
  <c r="D206" i="28"/>
  <c r="C206" i="28" s="1"/>
  <c r="X197" i="28"/>
  <c r="AH193" i="28"/>
  <c r="Y195" i="28"/>
  <c r="Z190" i="24"/>
  <c r="S191" i="24"/>
  <c r="W191" i="24" s="1"/>
  <c r="AB191" i="24" s="1"/>
  <c r="AI167" i="24"/>
  <c r="AH188" i="27"/>
  <c r="D203" i="27"/>
  <c r="AA188" i="27"/>
  <c r="V188" i="27"/>
  <c r="R189" i="27"/>
  <c r="Y190" i="27"/>
  <c r="AD190" i="27" s="1"/>
  <c r="X193" i="27"/>
  <c r="AC193" i="27" s="1"/>
  <c r="T194" i="27"/>
  <c r="AB185" i="27"/>
  <c r="AE185" i="27" s="1"/>
  <c r="AF189" i="27" s="1"/>
  <c r="AG189" i="27" s="1"/>
  <c r="Z185" i="27"/>
  <c r="W186" i="27"/>
  <c r="S187" i="27"/>
  <c r="G16" i="27"/>
  <c r="P195" i="27"/>
  <c r="P192" i="27"/>
  <c r="P191" i="27"/>
  <c r="U191" i="27" s="1"/>
  <c r="P204" i="27"/>
  <c r="P198" i="27"/>
  <c r="P202" i="27"/>
  <c r="P201" i="27"/>
  <c r="P193" i="27"/>
  <c r="P196" i="27"/>
  <c r="P203" i="27"/>
  <c r="P197" i="27"/>
  <c r="P194" i="27"/>
  <c r="P200" i="27"/>
  <c r="P199" i="27"/>
  <c r="E202" i="27"/>
  <c r="I207" i="27" s="1"/>
  <c r="G202" i="27"/>
  <c r="K207" i="27" s="1"/>
  <c r="H202" i="27"/>
  <c r="L207" i="27" s="1"/>
  <c r="F202" i="27"/>
  <c r="J207" i="27" s="1"/>
  <c r="U195" i="26"/>
  <c r="Y194" i="26"/>
  <c r="AD194" i="26" s="1"/>
  <c r="X194" i="26"/>
  <c r="AC194" i="26" s="1"/>
  <c r="T195" i="26"/>
  <c r="N199" i="26"/>
  <c r="Q199" i="26" s="1"/>
  <c r="N192" i="26"/>
  <c r="Q192" i="26" s="1"/>
  <c r="N202" i="26"/>
  <c r="Q202" i="26" s="1"/>
  <c r="N201" i="26"/>
  <c r="Q201" i="26" s="1"/>
  <c r="N191" i="26"/>
  <c r="Q191" i="26" s="1"/>
  <c r="N200" i="26"/>
  <c r="Q200" i="26" s="1"/>
  <c r="N204" i="26"/>
  <c r="Q204" i="26" s="1"/>
  <c r="N203" i="26"/>
  <c r="Q203" i="26" s="1"/>
  <c r="N198" i="26"/>
  <c r="Q198" i="26" s="1"/>
  <c r="N194" i="26"/>
  <c r="Q194" i="26" s="1"/>
  <c r="N193" i="26"/>
  <c r="Q193" i="26" s="1"/>
  <c r="N197" i="26"/>
  <c r="Q197" i="26" s="1"/>
  <c r="N196" i="26"/>
  <c r="Q196" i="26" s="1"/>
  <c r="N195" i="26"/>
  <c r="Q195" i="26" s="1"/>
  <c r="E16" i="26"/>
  <c r="S190" i="26"/>
  <c r="H203" i="26"/>
  <c r="L218" i="26" s="1"/>
  <c r="G203" i="26"/>
  <c r="K218" i="26" s="1"/>
  <c r="F203" i="26"/>
  <c r="J218" i="26" s="1"/>
  <c r="E203" i="26"/>
  <c r="I218" i="26" s="1"/>
  <c r="G204" i="26"/>
  <c r="K219" i="26" s="1"/>
  <c r="F204" i="26"/>
  <c r="J219" i="26" s="1"/>
  <c r="H204" i="26"/>
  <c r="L219" i="26" s="1"/>
  <c r="E204" i="26"/>
  <c r="I219" i="26" s="1"/>
  <c r="R191" i="26"/>
  <c r="V190" i="26"/>
  <c r="AA190" i="26"/>
  <c r="D205" i="26"/>
  <c r="X191" i="24"/>
  <c r="AC191" i="24" s="1"/>
  <c r="T192" i="24"/>
  <c r="AH194" i="24"/>
  <c r="AI168" i="24" s="1"/>
  <c r="F203" i="24"/>
  <c r="J208" i="24" s="1"/>
  <c r="E203" i="24"/>
  <c r="I208" i="24" s="1"/>
  <c r="H203" i="24"/>
  <c r="L208" i="24" s="1"/>
  <c r="G203" i="24"/>
  <c r="K208" i="24" s="1"/>
  <c r="E204" i="24"/>
  <c r="I209" i="24" s="1"/>
  <c r="G204" i="24"/>
  <c r="K209" i="24" s="1"/>
  <c r="H204" i="24"/>
  <c r="L209" i="24" s="1"/>
  <c r="F204" i="24"/>
  <c r="J209" i="24" s="1"/>
  <c r="D205" i="24"/>
  <c r="C205" i="24" s="1"/>
  <c r="AA193" i="24"/>
  <c r="V193" i="24"/>
  <c r="R194" i="24"/>
  <c r="Y192" i="24"/>
  <c r="AD192" i="24" s="1"/>
  <c r="U193" i="24"/>
  <c r="AE191" i="24" l="1"/>
  <c r="AF195" i="24" s="1"/>
  <c r="AG195" i="24" s="1"/>
  <c r="S192" i="24"/>
  <c r="W192" i="24" s="1"/>
  <c r="AB192" i="24" s="1"/>
  <c r="E206" i="28"/>
  <c r="I211" i="28" s="1"/>
  <c r="F206" i="28"/>
  <c r="J211" i="28" s="1"/>
  <c r="G206" i="28"/>
  <c r="K211" i="28" s="1"/>
  <c r="H206" i="28"/>
  <c r="L211" i="28" s="1"/>
  <c r="U198" i="28"/>
  <c r="AI162" i="28"/>
  <c r="D13" i="28" s="1"/>
  <c r="AC197" i="28"/>
  <c r="AB191" i="28"/>
  <c r="AE191" i="28" s="1"/>
  <c r="AF195" i="28" s="1"/>
  <c r="AG195" i="28" s="1"/>
  <c r="AD195" i="28"/>
  <c r="D207" i="28"/>
  <c r="C207" i="28" s="1"/>
  <c r="Y196" i="28"/>
  <c r="W192" i="28"/>
  <c r="Z191" i="28"/>
  <c r="AH194" i="28"/>
  <c r="X198" i="28"/>
  <c r="M193" i="28"/>
  <c r="R193" i="28" s="1"/>
  <c r="V192" i="28"/>
  <c r="AA192" i="28"/>
  <c r="AI167" i="27"/>
  <c r="Z191" i="24"/>
  <c r="U192" i="27"/>
  <c r="Y191" i="27"/>
  <c r="AD191" i="27" s="1"/>
  <c r="AH189" i="27"/>
  <c r="AI168" i="27" s="1"/>
  <c r="W187" i="27"/>
  <c r="S188" i="27"/>
  <c r="AA189" i="27"/>
  <c r="V189" i="27"/>
  <c r="M190" i="27"/>
  <c r="AB186" i="27"/>
  <c r="AE186" i="27" s="1"/>
  <c r="AF190" i="27" s="1"/>
  <c r="AG190" i="27" s="1"/>
  <c r="Z186" i="27"/>
  <c r="D204" i="27"/>
  <c r="X194" i="27"/>
  <c r="AC194" i="27" s="1"/>
  <c r="T195" i="27"/>
  <c r="C203" i="27"/>
  <c r="X195" i="26"/>
  <c r="AC195" i="26" s="1"/>
  <c r="T196" i="26"/>
  <c r="R192" i="26"/>
  <c r="AA191" i="26"/>
  <c r="V191" i="26"/>
  <c r="D206" i="26"/>
  <c r="C205" i="26"/>
  <c r="W190" i="26"/>
  <c r="AB190" i="26" s="1"/>
  <c r="AE190" i="26" s="1"/>
  <c r="S191" i="26"/>
  <c r="U196" i="26"/>
  <c r="Y195" i="26"/>
  <c r="AD195" i="26" s="1"/>
  <c r="AH195" i="24"/>
  <c r="V194" i="24"/>
  <c r="AA194" i="24"/>
  <c r="R195" i="24"/>
  <c r="G205" i="24"/>
  <c r="K210" i="24" s="1"/>
  <c r="F205" i="24"/>
  <c r="J210" i="24" s="1"/>
  <c r="H205" i="24"/>
  <c r="L210" i="24" s="1"/>
  <c r="E205" i="24"/>
  <c r="I210" i="24" s="1"/>
  <c r="U194" i="24"/>
  <c r="S193" i="24"/>
  <c r="W193" i="24" s="1"/>
  <c r="AB193" i="24" s="1"/>
  <c r="Y193" i="24"/>
  <c r="AD193" i="24" s="1"/>
  <c r="D206" i="24"/>
  <c r="X192" i="24"/>
  <c r="AC192" i="24" s="1"/>
  <c r="AE192" i="24" s="1"/>
  <c r="AF196" i="24" s="1"/>
  <c r="AG196" i="24" s="1"/>
  <c r="T193" i="24"/>
  <c r="F207" i="28" l="1"/>
  <c r="J212" i="28" s="1"/>
  <c r="G207" i="28"/>
  <c r="K212" i="28" s="1"/>
  <c r="H207" i="28"/>
  <c r="L212" i="28" s="1"/>
  <c r="E207" i="28"/>
  <c r="I212" i="28" s="1"/>
  <c r="U199" i="28"/>
  <c r="AC198" i="28"/>
  <c r="AB192" i="28"/>
  <c r="AE192" i="28" s="1"/>
  <c r="AF196" i="28" s="1"/>
  <c r="AG196" i="28" s="1"/>
  <c r="AD196" i="28"/>
  <c r="Z192" i="28"/>
  <c r="C15" i="28" s="1"/>
  <c r="AH195" i="28"/>
  <c r="AI163" i="28" s="1"/>
  <c r="Y197" i="28"/>
  <c r="D208" i="28"/>
  <c r="C208" i="28" s="1"/>
  <c r="M205" i="28"/>
  <c r="M199" i="28"/>
  <c r="M203" i="28"/>
  <c r="M197" i="28"/>
  <c r="M207" i="28"/>
  <c r="M196" i="28"/>
  <c r="M206" i="28"/>
  <c r="M204" i="28"/>
  <c r="M202" i="28"/>
  <c r="M201" i="28"/>
  <c r="M198" i="28"/>
  <c r="M194" i="28"/>
  <c r="R194" i="28" s="1"/>
  <c r="M200" i="28"/>
  <c r="M195" i="28"/>
  <c r="F16" i="28"/>
  <c r="N193" i="28"/>
  <c r="S193" i="28" s="1"/>
  <c r="X199" i="28"/>
  <c r="AH190" i="27"/>
  <c r="AI169" i="27" s="1"/>
  <c r="D16" i="27"/>
  <c r="M194" i="27"/>
  <c r="M200" i="27"/>
  <c r="M193" i="27"/>
  <c r="M199" i="27"/>
  <c r="M192" i="27"/>
  <c r="M198" i="27"/>
  <c r="M191" i="27"/>
  <c r="M197" i="27"/>
  <c r="M196" i="27"/>
  <c r="M202" i="27"/>
  <c r="N190" i="27"/>
  <c r="Q190" i="27" s="1"/>
  <c r="M195" i="27"/>
  <c r="M201" i="27"/>
  <c r="M203" i="27"/>
  <c r="M204" i="27"/>
  <c r="E203" i="27"/>
  <c r="I208" i="27" s="1"/>
  <c r="H203" i="27"/>
  <c r="L208" i="27" s="1"/>
  <c r="F203" i="27"/>
  <c r="J208" i="27" s="1"/>
  <c r="G203" i="27"/>
  <c r="K208" i="27" s="1"/>
  <c r="R190" i="27"/>
  <c r="W188" i="27"/>
  <c r="S189" i="27"/>
  <c r="D205" i="27"/>
  <c r="AB187" i="27"/>
  <c r="AE187" i="27" s="1"/>
  <c r="AF191" i="27" s="1"/>
  <c r="AG191" i="27" s="1"/>
  <c r="Z187" i="27"/>
  <c r="Y192" i="27"/>
  <c r="AD192" i="27" s="1"/>
  <c r="U193" i="27"/>
  <c r="X195" i="27"/>
  <c r="AC195" i="27" s="1"/>
  <c r="T196" i="27"/>
  <c r="C204" i="27"/>
  <c r="F205" i="26"/>
  <c r="J220" i="26" s="1"/>
  <c r="E205" i="26"/>
  <c r="I220" i="26" s="1"/>
  <c r="H205" i="26"/>
  <c r="L220" i="26" s="1"/>
  <c r="G205" i="26"/>
  <c r="K220" i="26" s="1"/>
  <c r="Z190" i="26"/>
  <c r="D207" i="26"/>
  <c r="C207" i="26" s="1"/>
  <c r="C206" i="26"/>
  <c r="AA192" i="26"/>
  <c r="R193" i="26"/>
  <c r="V192" i="26"/>
  <c r="X196" i="26"/>
  <c r="AC196" i="26" s="1"/>
  <c r="T197" i="26"/>
  <c r="W191" i="26"/>
  <c r="AB191" i="26" s="1"/>
  <c r="AE191" i="26" s="1"/>
  <c r="S192" i="26"/>
  <c r="U197" i="26"/>
  <c r="Y196" i="26"/>
  <c r="AD196" i="26" s="1"/>
  <c r="AH196" i="24"/>
  <c r="S194" i="24"/>
  <c r="W194" i="24" s="1"/>
  <c r="AB194" i="24" s="1"/>
  <c r="Y194" i="24"/>
  <c r="AD194" i="24" s="1"/>
  <c r="U195" i="24"/>
  <c r="T194" i="24"/>
  <c r="X193" i="24"/>
  <c r="AC193" i="24" s="1"/>
  <c r="AE193" i="24" s="1"/>
  <c r="AF197" i="24" s="1"/>
  <c r="AG197" i="24" s="1"/>
  <c r="Z192" i="24"/>
  <c r="V195" i="24"/>
  <c r="AA195" i="24"/>
  <c r="R196" i="24"/>
  <c r="D207" i="24"/>
  <c r="C206" i="24"/>
  <c r="E208" i="28" l="1"/>
  <c r="I213" i="28" s="1"/>
  <c r="F208" i="28"/>
  <c r="J213" i="28" s="1"/>
  <c r="G208" i="28"/>
  <c r="H208" i="28"/>
  <c r="Z191" i="26"/>
  <c r="R195" i="28"/>
  <c r="R196" i="28" s="1"/>
  <c r="R197" i="28" s="1"/>
  <c r="R198" i="28" s="1"/>
  <c r="R199" i="28" s="1"/>
  <c r="R200" i="28" s="1"/>
  <c r="R201" i="28" s="1"/>
  <c r="R202" i="28" s="1"/>
  <c r="R203" i="28" s="1"/>
  <c r="R204" i="28" s="1"/>
  <c r="R205" i="28" s="1"/>
  <c r="R206" i="28" s="1"/>
  <c r="R207" i="28" s="1"/>
  <c r="U200" i="28"/>
  <c r="AC199" i="28"/>
  <c r="AD197" i="28"/>
  <c r="K213" i="28"/>
  <c r="L213" i="28"/>
  <c r="D209" i="28"/>
  <c r="C209" i="28" s="1"/>
  <c r="X200" i="28"/>
  <c r="AA193" i="28"/>
  <c r="V193" i="28"/>
  <c r="N203" i="28"/>
  <c r="Q203" i="28" s="1"/>
  <c r="N197" i="28"/>
  <c r="Q197" i="28" s="1"/>
  <c r="N206" i="28"/>
  <c r="Q206" i="28" s="1"/>
  <c r="N199" i="28"/>
  <c r="Q199" i="28" s="1"/>
  <c r="N198" i="28"/>
  <c r="Q198" i="28" s="1"/>
  <c r="N205" i="28"/>
  <c r="Q205" i="28" s="1"/>
  <c r="N202" i="28"/>
  <c r="Q202" i="28" s="1"/>
  <c r="N207" i="28"/>
  <c r="Q207" i="28" s="1"/>
  <c r="N204" i="28"/>
  <c r="Q204" i="28" s="1"/>
  <c r="N201" i="28"/>
  <c r="Q201" i="28" s="1"/>
  <c r="N194" i="28"/>
  <c r="Q194" i="28" s="1"/>
  <c r="N196" i="28"/>
  <c r="Q196" i="28" s="1"/>
  <c r="N200" i="28"/>
  <c r="Q200" i="28" s="1"/>
  <c r="N195" i="28"/>
  <c r="Q195" i="28" s="1"/>
  <c r="G16" i="28"/>
  <c r="Q193" i="28"/>
  <c r="Y198" i="28"/>
  <c r="AH196" i="28"/>
  <c r="AI169" i="24"/>
  <c r="AH191" i="27"/>
  <c r="AI170" i="27" s="1"/>
  <c r="Y193" i="27"/>
  <c r="AD193" i="27" s="1"/>
  <c r="U194" i="27"/>
  <c r="D206" i="27"/>
  <c r="C205" i="27"/>
  <c r="W189" i="27"/>
  <c r="S190" i="27"/>
  <c r="AB188" i="27"/>
  <c r="AE188" i="27" s="1"/>
  <c r="AF192" i="27" s="1"/>
  <c r="AG192" i="27" s="1"/>
  <c r="Z188" i="27"/>
  <c r="E16" i="27"/>
  <c r="N195" i="27"/>
  <c r="Q195" i="27" s="1"/>
  <c r="N194" i="27"/>
  <c r="Q194" i="27" s="1"/>
  <c r="N191" i="27"/>
  <c r="Q191" i="27" s="1"/>
  <c r="N198" i="27"/>
  <c r="Q198" i="27" s="1"/>
  <c r="N202" i="27"/>
  <c r="Q202" i="27" s="1"/>
  <c r="N193" i="27"/>
  <c r="Q193" i="27" s="1"/>
  <c r="N196" i="27"/>
  <c r="Q196" i="27" s="1"/>
  <c r="N199" i="27"/>
  <c r="Q199" i="27" s="1"/>
  <c r="N197" i="27"/>
  <c r="Q197" i="27" s="1"/>
  <c r="N200" i="27"/>
  <c r="Q200" i="27" s="1"/>
  <c r="N204" i="27"/>
  <c r="Q204" i="27" s="1"/>
  <c r="N192" i="27"/>
  <c r="Q192" i="27" s="1"/>
  <c r="N201" i="27"/>
  <c r="Q201" i="27" s="1"/>
  <c r="N203" i="27"/>
  <c r="Q203" i="27" s="1"/>
  <c r="E204" i="27"/>
  <c r="I209" i="27" s="1"/>
  <c r="G204" i="27"/>
  <c r="K209" i="27" s="1"/>
  <c r="H204" i="27"/>
  <c r="L209" i="27" s="1"/>
  <c r="F204" i="27"/>
  <c r="J209" i="27" s="1"/>
  <c r="X196" i="27"/>
  <c r="AC196" i="27" s="1"/>
  <c r="T197" i="27"/>
  <c r="R191" i="27"/>
  <c r="AA190" i="27"/>
  <c r="V190" i="27"/>
  <c r="E207" i="26"/>
  <c r="I222" i="26" s="1"/>
  <c r="H207" i="26"/>
  <c r="L222" i="26" s="1"/>
  <c r="G207" i="26"/>
  <c r="K222" i="26" s="1"/>
  <c r="F207" i="26"/>
  <c r="J222" i="26" s="1"/>
  <c r="R194" i="26"/>
  <c r="V193" i="26"/>
  <c r="AA193" i="26"/>
  <c r="H206" i="26"/>
  <c r="L221" i="26" s="1"/>
  <c r="G206" i="26"/>
  <c r="K221" i="26" s="1"/>
  <c r="F206" i="26"/>
  <c r="J221" i="26" s="1"/>
  <c r="E206" i="26"/>
  <c r="I221" i="26" s="1"/>
  <c r="Y197" i="26"/>
  <c r="AD197" i="26" s="1"/>
  <c r="U198" i="26"/>
  <c r="D208" i="26"/>
  <c r="C208" i="26" s="1"/>
  <c r="X197" i="26"/>
  <c r="AC197" i="26" s="1"/>
  <c r="T198" i="26"/>
  <c r="W192" i="26"/>
  <c r="AB192" i="26" s="1"/>
  <c r="AE192" i="26" s="1"/>
  <c r="S193" i="26"/>
  <c r="AH197" i="24"/>
  <c r="R197" i="24"/>
  <c r="AA196" i="24"/>
  <c r="V196" i="24"/>
  <c r="X194" i="24"/>
  <c r="T195" i="24"/>
  <c r="Z193" i="24"/>
  <c r="Y195" i="24"/>
  <c r="AD195" i="24" s="1"/>
  <c r="S195" i="24"/>
  <c r="W195" i="24" s="1"/>
  <c r="AB195" i="24" s="1"/>
  <c r="U196" i="24"/>
  <c r="H206" i="24"/>
  <c r="L211" i="24" s="1"/>
  <c r="G206" i="24"/>
  <c r="K211" i="24" s="1"/>
  <c r="F206" i="24"/>
  <c r="J211" i="24" s="1"/>
  <c r="E206" i="24"/>
  <c r="I211" i="24" s="1"/>
  <c r="D208" i="24"/>
  <c r="C208" i="24" s="1"/>
  <c r="C207" i="24"/>
  <c r="Z192" i="26" l="1"/>
  <c r="E209" i="28"/>
  <c r="I214" i="28" s="1"/>
  <c r="F209" i="28"/>
  <c r="J214" i="28" s="1"/>
  <c r="G209" i="28"/>
  <c r="K214" i="28" s="1"/>
  <c r="H209" i="28"/>
  <c r="L214" i="28" s="1"/>
  <c r="U201" i="28"/>
  <c r="S194" i="28"/>
  <c r="S195" i="28" s="1"/>
  <c r="S196" i="28" s="1"/>
  <c r="S197" i="28" s="1"/>
  <c r="S198" i="28" s="1"/>
  <c r="S199" i="28" s="1"/>
  <c r="S200" i="28" s="1"/>
  <c r="AD198" i="28"/>
  <c r="AC200" i="28"/>
  <c r="AI164" i="28"/>
  <c r="W193" i="28"/>
  <c r="X201" i="28"/>
  <c r="D210" i="28"/>
  <c r="C210" i="28" s="1"/>
  <c r="Y199" i="28"/>
  <c r="V194" i="28"/>
  <c r="AA194" i="28"/>
  <c r="AI170" i="24"/>
  <c r="AH192" i="27"/>
  <c r="X197" i="27"/>
  <c r="AC197" i="27" s="1"/>
  <c r="T198" i="27"/>
  <c r="Y194" i="27"/>
  <c r="AD194" i="27" s="1"/>
  <c r="U195" i="27"/>
  <c r="W190" i="27"/>
  <c r="AB190" i="27" s="1"/>
  <c r="AE190" i="27" s="1"/>
  <c r="AF194" i="27" s="1"/>
  <c r="S191" i="27"/>
  <c r="AB189" i="27"/>
  <c r="AE189" i="27" s="1"/>
  <c r="AF193" i="27" s="1"/>
  <c r="AG193" i="27" s="1"/>
  <c r="Z189" i="27"/>
  <c r="G205" i="27"/>
  <c r="K210" i="27" s="1"/>
  <c r="E205" i="27"/>
  <c r="I210" i="27" s="1"/>
  <c r="F205" i="27"/>
  <c r="J210" i="27" s="1"/>
  <c r="H205" i="27"/>
  <c r="L210" i="27" s="1"/>
  <c r="D207" i="27"/>
  <c r="AA191" i="27"/>
  <c r="R192" i="27"/>
  <c r="V191" i="27"/>
  <c r="C206" i="27"/>
  <c r="W193" i="26"/>
  <c r="AB193" i="26" s="1"/>
  <c r="AE193" i="26" s="1"/>
  <c r="S194" i="26"/>
  <c r="AA194" i="26"/>
  <c r="R195" i="26"/>
  <c r="V194" i="26"/>
  <c r="H208" i="26"/>
  <c r="L223" i="26" s="1"/>
  <c r="G208" i="26"/>
  <c r="K223" i="26" s="1"/>
  <c r="F208" i="26"/>
  <c r="J223" i="26" s="1"/>
  <c r="E208" i="26"/>
  <c r="I223" i="26" s="1"/>
  <c r="D209" i="26"/>
  <c r="Y198" i="26"/>
  <c r="AD198" i="26" s="1"/>
  <c r="U199" i="26"/>
  <c r="T199" i="26"/>
  <c r="X198" i="26"/>
  <c r="AC198" i="26" s="1"/>
  <c r="D209" i="24"/>
  <c r="X195" i="24"/>
  <c r="T196" i="24"/>
  <c r="H208" i="24"/>
  <c r="L213" i="24" s="1"/>
  <c r="G208" i="24"/>
  <c r="K213" i="24" s="1"/>
  <c r="F208" i="24"/>
  <c r="J213" i="24" s="1"/>
  <c r="E208" i="24"/>
  <c r="I213" i="24" s="1"/>
  <c r="Y196" i="24"/>
  <c r="AD196" i="24" s="1"/>
  <c r="S196" i="24"/>
  <c r="W196" i="24" s="1"/>
  <c r="AB196" i="24" s="1"/>
  <c r="U197" i="24"/>
  <c r="AA197" i="24"/>
  <c r="V197" i="24"/>
  <c r="R198" i="24"/>
  <c r="E207" i="24"/>
  <c r="I212" i="24" s="1"/>
  <c r="H207" i="24"/>
  <c r="L212" i="24" s="1"/>
  <c r="G207" i="24"/>
  <c r="K212" i="24" s="1"/>
  <c r="F207" i="24"/>
  <c r="J212" i="24" s="1"/>
  <c r="AC194" i="24"/>
  <c r="AE194" i="24" s="1"/>
  <c r="AF198" i="24" s="1"/>
  <c r="AG198" i="24" s="1"/>
  <c r="Z194" i="24"/>
  <c r="Z193" i="26" l="1"/>
  <c r="F210" i="28"/>
  <c r="J215" i="28" s="1"/>
  <c r="G210" i="28"/>
  <c r="K215" i="28" s="1"/>
  <c r="H210" i="28"/>
  <c r="L215" i="28" s="1"/>
  <c r="E210" i="28"/>
  <c r="I215" i="28" s="1"/>
  <c r="S201" i="28"/>
  <c r="U202" i="28"/>
  <c r="AD199" i="28"/>
  <c r="AC201" i="28"/>
  <c r="AB193" i="28"/>
  <c r="AE193" i="28" s="1"/>
  <c r="AF197" i="28" s="1"/>
  <c r="AG197" i="28" s="1"/>
  <c r="AH197" i="28" s="1"/>
  <c r="D211" i="28"/>
  <c r="X202" i="28"/>
  <c r="W194" i="28"/>
  <c r="Z193" i="28"/>
  <c r="V195" i="28"/>
  <c r="AA195" i="28"/>
  <c r="Y200" i="28"/>
  <c r="AI171" i="27"/>
  <c r="AI172" i="27"/>
  <c r="AI175" i="27"/>
  <c r="AH193" i="27"/>
  <c r="AG194" i="27"/>
  <c r="I15" i="27"/>
  <c r="V192" i="27"/>
  <c r="AA192" i="27"/>
  <c r="R193" i="27"/>
  <c r="W191" i="27"/>
  <c r="AB191" i="27" s="1"/>
  <c r="AE191" i="27" s="1"/>
  <c r="AF195" i="27" s="1"/>
  <c r="S192" i="27"/>
  <c r="U196" i="27"/>
  <c r="Y195" i="27"/>
  <c r="AD195" i="27" s="1"/>
  <c r="F206" i="27"/>
  <c r="J211" i="27" s="1"/>
  <c r="G206" i="27"/>
  <c r="K211" i="27" s="1"/>
  <c r="H206" i="27"/>
  <c r="L211" i="27" s="1"/>
  <c r="E206" i="27"/>
  <c r="I211" i="27" s="1"/>
  <c r="Z190" i="27"/>
  <c r="X198" i="27"/>
  <c r="AC198" i="27" s="1"/>
  <c r="T199" i="27"/>
  <c r="D208" i="27"/>
  <c r="C207" i="27"/>
  <c r="R196" i="26"/>
  <c r="V195" i="26"/>
  <c r="AA195" i="26"/>
  <c r="U200" i="26"/>
  <c r="Y199" i="26"/>
  <c r="AD199" i="26" s="1"/>
  <c r="D210" i="26"/>
  <c r="X199" i="26"/>
  <c r="AC199" i="26" s="1"/>
  <c r="T200" i="26"/>
  <c r="W194" i="26"/>
  <c r="AB194" i="26" s="1"/>
  <c r="AE194" i="26" s="1"/>
  <c r="S195" i="26"/>
  <c r="C209" i="26"/>
  <c r="X196" i="24"/>
  <c r="T197" i="24"/>
  <c r="R199" i="24"/>
  <c r="AA198" i="24"/>
  <c r="V198" i="24"/>
  <c r="AC195" i="24"/>
  <c r="AE195" i="24" s="1"/>
  <c r="AF199" i="24" s="1"/>
  <c r="AG199" i="24" s="1"/>
  <c r="Z195" i="24"/>
  <c r="D210" i="24"/>
  <c r="C210" i="24" s="1"/>
  <c r="AH198" i="24"/>
  <c r="S197" i="24"/>
  <c r="W197" i="24" s="1"/>
  <c r="AB197" i="24" s="1"/>
  <c r="Y197" i="24"/>
  <c r="AD197" i="24" s="1"/>
  <c r="U198" i="24"/>
  <c r="C209" i="24"/>
  <c r="U203" i="28" l="1"/>
  <c r="S202" i="28"/>
  <c r="AD200" i="28"/>
  <c r="AC202" i="28"/>
  <c r="AB194" i="28"/>
  <c r="AE194" i="28" s="1"/>
  <c r="AF198" i="28" s="1"/>
  <c r="AG198" i="28" s="1"/>
  <c r="AH198" i="28" s="1"/>
  <c r="W195" i="28"/>
  <c r="Z195" i="28" s="1"/>
  <c r="Y201" i="28"/>
  <c r="D212" i="28"/>
  <c r="C211" i="28"/>
  <c r="X203" i="28"/>
  <c r="AA196" i="28"/>
  <c r="V196" i="28"/>
  <c r="Z194" i="28"/>
  <c r="AI173" i="27"/>
  <c r="AI176" i="27"/>
  <c r="AI171" i="24"/>
  <c r="U197" i="27"/>
  <c r="Y196" i="27"/>
  <c r="AD196" i="27" s="1"/>
  <c r="D209" i="27"/>
  <c r="W192" i="27"/>
  <c r="AB192" i="27" s="1"/>
  <c r="AE192" i="27" s="1"/>
  <c r="AF196" i="27" s="1"/>
  <c r="S193" i="27"/>
  <c r="V193" i="27"/>
  <c r="AA193" i="27"/>
  <c r="R194" i="27"/>
  <c r="G207" i="27"/>
  <c r="K212" i="27" s="1"/>
  <c r="E207" i="27"/>
  <c r="I212" i="27" s="1"/>
  <c r="F207" i="27"/>
  <c r="J212" i="27" s="1"/>
  <c r="H207" i="27"/>
  <c r="L212" i="27" s="1"/>
  <c r="C208" i="27"/>
  <c r="T200" i="27"/>
  <c r="X199" i="27"/>
  <c r="AC199" i="27" s="1"/>
  <c r="AG195" i="27"/>
  <c r="AH194" i="27"/>
  <c r="Z191" i="27"/>
  <c r="D211" i="26"/>
  <c r="E209" i="26"/>
  <c r="I224" i="26" s="1"/>
  <c r="H209" i="26"/>
  <c r="L224" i="26" s="1"/>
  <c r="G209" i="26"/>
  <c r="K224" i="26" s="1"/>
  <c r="F209" i="26"/>
  <c r="J224" i="26" s="1"/>
  <c r="R197" i="26"/>
  <c r="AA196" i="26"/>
  <c r="V196" i="26"/>
  <c r="U201" i="26"/>
  <c r="Y200" i="26"/>
  <c r="AD200" i="26" s="1"/>
  <c r="Z194" i="26"/>
  <c r="C210" i="26"/>
  <c r="W195" i="26"/>
  <c r="AB195" i="26" s="1"/>
  <c r="AE195" i="26" s="1"/>
  <c r="S196" i="26"/>
  <c r="T201" i="26"/>
  <c r="X200" i="26"/>
  <c r="AC200" i="26" s="1"/>
  <c r="AH199" i="24"/>
  <c r="D211" i="24"/>
  <c r="C211" i="24" s="1"/>
  <c r="Y198" i="24"/>
  <c r="AD198" i="24" s="1"/>
  <c r="U199" i="24"/>
  <c r="S198" i="24"/>
  <c r="W198" i="24" s="1"/>
  <c r="AB198" i="24" s="1"/>
  <c r="E210" i="24"/>
  <c r="I215" i="24" s="1"/>
  <c r="G210" i="24"/>
  <c r="K215" i="24" s="1"/>
  <c r="F210" i="24"/>
  <c r="J215" i="24" s="1"/>
  <c r="H210" i="24"/>
  <c r="L215" i="24" s="1"/>
  <c r="H209" i="24"/>
  <c r="L214" i="24" s="1"/>
  <c r="E209" i="24"/>
  <c r="I214" i="24" s="1"/>
  <c r="G209" i="24"/>
  <c r="K214" i="24" s="1"/>
  <c r="F209" i="24"/>
  <c r="J214" i="24" s="1"/>
  <c r="V199" i="24"/>
  <c r="AA199" i="24"/>
  <c r="R200" i="24"/>
  <c r="X197" i="24"/>
  <c r="T198" i="24"/>
  <c r="AC196" i="24"/>
  <c r="AE196" i="24" s="1"/>
  <c r="AF200" i="24" s="1"/>
  <c r="AG200" i="24" s="1"/>
  <c r="Z196" i="24"/>
  <c r="E211" i="28" l="1"/>
  <c r="I216" i="28" s="1"/>
  <c r="F211" i="28"/>
  <c r="J216" i="28" s="1"/>
  <c r="G211" i="28"/>
  <c r="K216" i="28" s="1"/>
  <c r="H211" i="28"/>
  <c r="L216" i="28" s="1"/>
  <c r="S203" i="28"/>
  <c r="U204" i="28"/>
  <c r="AC203" i="28"/>
  <c r="AB195" i="28"/>
  <c r="AE195" i="28" s="1"/>
  <c r="AF199" i="28" s="1"/>
  <c r="AG199" i="28" s="1"/>
  <c r="AH199" i="28" s="1"/>
  <c r="AD201" i="28"/>
  <c r="AI165" i="28"/>
  <c r="D213" i="28"/>
  <c r="C213" i="28" s="1"/>
  <c r="C212" i="28"/>
  <c r="Y202" i="28"/>
  <c r="AA197" i="28"/>
  <c r="V197" i="28"/>
  <c r="W196" i="28"/>
  <c r="X204" i="28"/>
  <c r="AI174" i="27"/>
  <c r="J14" i="27" s="1"/>
  <c r="AI177" i="27"/>
  <c r="AI178" i="27"/>
  <c r="AA194" i="27"/>
  <c r="V194" i="27"/>
  <c r="R195" i="27"/>
  <c r="W193" i="27"/>
  <c r="AB193" i="27" s="1"/>
  <c r="AE193" i="27" s="1"/>
  <c r="AF197" i="27" s="1"/>
  <c r="S194" i="27"/>
  <c r="D210" i="27"/>
  <c r="C210" i="27" s="1"/>
  <c r="T201" i="27"/>
  <c r="X200" i="27"/>
  <c r="AC200" i="27" s="1"/>
  <c r="C209" i="27"/>
  <c r="U198" i="27"/>
  <c r="Y197" i="27"/>
  <c r="AD197" i="27" s="1"/>
  <c r="AG196" i="27"/>
  <c r="AH195" i="27"/>
  <c r="Z192" i="27"/>
  <c r="E208" i="27"/>
  <c r="I213" i="27" s="1"/>
  <c r="G208" i="27"/>
  <c r="K213" i="27" s="1"/>
  <c r="H208" i="27"/>
  <c r="L213" i="27" s="1"/>
  <c r="F208" i="27"/>
  <c r="J213" i="27" s="1"/>
  <c r="Y201" i="26"/>
  <c r="AD201" i="26" s="1"/>
  <c r="U202" i="26"/>
  <c r="R198" i="26"/>
  <c r="AA197" i="26"/>
  <c r="V197" i="26"/>
  <c r="Z195" i="26"/>
  <c r="X201" i="26"/>
  <c r="AC201" i="26" s="1"/>
  <c r="T202" i="26"/>
  <c r="W196" i="26"/>
  <c r="AB196" i="26" s="1"/>
  <c r="AE196" i="26" s="1"/>
  <c r="S197" i="26"/>
  <c r="H210" i="26"/>
  <c r="L225" i="26" s="1"/>
  <c r="G210" i="26"/>
  <c r="K225" i="26" s="1"/>
  <c r="F210" i="26"/>
  <c r="J225" i="26" s="1"/>
  <c r="E210" i="26"/>
  <c r="I225" i="26" s="1"/>
  <c r="D212" i="26"/>
  <c r="C212" i="26" s="1"/>
  <c r="C211" i="26"/>
  <c r="AH200" i="24"/>
  <c r="G211" i="24"/>
  <c r="K216" i="24" s="1"/>
  <c r="F211" i="24"/>
  <c r="J216" i="24" s="1"/>
  <c r="H211" i="24"/>
  <c r="L216" i="24" s="1"/>
  <c r="E211" i="24"/>
  <c r="I216" i="24" s="1"/>
  <c r="X198" i="24"/>
  <c r="AC198" i="24" s="1"/>
  <c r="AE198" i="24" s="1"/>
  <c r="AF202" i="24" s="1"/>
  <c r="T199" i="24"/>
  <c r="AC197" i="24"/>
  <c r="AE197" i="24" s="1"/>
  <c r="AF201" i="24" s="1"/>
  <c r="AG201" i="24" s="1"/>
  <c r="Z197" i="24"/>
  <c r="U200" i="24"/>
  <c r="S199" i="24"/>
  <c r="W199" i="24" s="1"/>
  <c r="AB199" i="24" s="1"/>
  <c r="Y199" i="24"/>
  <c r="AD199" i="24" s="1"/>
  <c r="R201" i="24"/>
  <c r="AA200" i="24"/>
  <c r="V200" i="24"/>
  <c r="D212" i="24"/>
  <c r="C212" i="24" s="1"/>
  <c r="E212" i="28" l="1"/>
  <c r="I217" i="28" s="1"/>
  <c r="H212" i="28"/>
  <c r="L217" i="28" s="1"/>
  <c r="F212" i="28"/>
  <c r="G212" i="28"/>
  <c r="F213" i="28"/>
  <c r="J218" i="28" s="1"/>
  <c r="G213" i="28"/>
  <c r="K218" i="28" s="1"/>
  <c r="H213" i="28"/>
  <c r="L218" i="28" s="1"/>
  <c r="E213" i="28"/>
  <c r="I218" i="28" s="1"/>
  <c r="S204" i="28"/>
  <c r="U205" i="28"/>
  <c r="AI166" i="28"/>
  <c r="AC204" i="28"/>
  <c r="AB196" i="28"/>
  <c r="AE196" i="28" s="1"/>
  <c r="AF200" i="28" s="1"/>
  <c r="AG200" i="28" s="1"/>
  <c r="AH200" i="28" s="1"/>
  <c r="AD202" i="28"/>
  <c r="Y203" i="28"/>
  <c r="Z196" i="28"/>
  <c r="K217" i="28"/>
  <c r="J217" i="28"/>
  <c r="D214" i="28"/>
  <c r="X205" i="28"/>
  <c r="W197" i="28"/>
  <c r="AA198" i="28"/>
  <c r="V198" i="28"/>
  <c r="AI179" i="27"/>
  <c r="AI172" i="24"/>
  <c r="W194" i="27"/>
  <c r="AB194" i="27" s="1"/>
  <c r="AE194" i="27" s="1"/>
  <c r="AF198" i="27" s="1"/>
  <c r="S195" i="27"/>
  <c r="AG197" i="27"/>
  <c r="AH196" i="27"/>
  <c r="AI180" i="27" s="1"/>
  <c r="Z193" i="27"/>
  <c r="Y198" i="27"/>
  <c r="AD198" i="27" s="1"/>
  <c r="U199" i="27"/>
  <c r="AA195" i="27"/>
  <c r="R196" i="27"/>
  <c r="V195" i="27"/>
  <c r="E209" i="27"/>
  <c r="I214" i="27" s="1"/>
  <c r="G209" i="27"/>
  <c r="K214" i="27" s="1"/>
  <c r="F209" i="27"/>
  <c r="J214" i="27" s="1"/>
  <c r="H209" i="27"/>
  <c r="L214" i="27" s="1"/>
  <c r="E210" i="27"/>
  <c r="I215" i="27" s="1"/>
  <c r="G210" i="27"/>
  <c r="K215" i="27" s="1"/>
  <c r="H210" i="27"/>
  <c r="L215" i="27" s="1"/>
  <c r="F210" i="27"/>
  <c r="J215" i="27" s="1"/>
  <c r="X201" i="27"/>
  <c r="AC201" i="27" s="1"/>
  <c r="T202" i="27"/>
  <c r="D211" i="27"/>
  <c r="C211" i="27" s="1"/>
  <c r="H212" i="26"/>
  <c r="L227" i="26" s="1"/>
  <c r="G212" i="26"/>
  <c r="K227" i="26" s="1"/>
  <c r="F212" i="26"/>
  <c r="J227" i="26" s="1"/>
  <c r="E212" i="26"/>
  <c r="I227" i="26" s="1"/>
  <c r="D213" i="26"/>
  <c r="V198" i="26"/>
  <c r="AA198" i="26"/>
  <c r="R199" i="26"/>
  <c r="U203" i="26"/>
  <c r="Y202" i="26"/>
  <c r="AD202" i="26" s="1"/>
  <c r="T203" i="26"/>
  <c r="X202" i="26"/>
  <c r="AC202" i="26" s="1"/>
  <c r="G211" i="26"/>
  <c r="K226" i="26" s="1"/>
  <c r="F211" i="26"/>
  <c r="J226" i="26" s="1"/>
  <c r="E211" i="26"/>
  <c r="I226" i="26" s="1"/>
  <c r="H211" i="26"/>
  <c r="L226" i="26" s="1"/>
  <c r="W197" i="26"/>
  <c r="AB197" i="26" s="1"/>
  <c r="AE197" i="26" s="1"/>
  <c r="S198" i="26"/>
  <c r="Z196" i="26"/>
  <c r="AH201" i="24"/>
  <c r="AG202" i="24"/>
  <c r="H212" i="24"/>
  <c r="L217" i="24" s="1"/>
  <c r="F212" i="24"/>
  <c r="J217" i="24" s="1"/>
  <c r="E212" i="24"/>
  <c r="I217" i="24" s="1"/>
  <c r="G212" i="24"/>
  <c r="K217" i="24" s="1"/>
  <c r="Y200" i="24"/>
  <c r="AD200" i="24" s="1"/>
  <c r="U201" i="24"/>
  <c r="S200" i="24"/>
  <c r="W200" i="24" s="1"/>
  <c r="AB200" i="24" s="1"/>
  <c r="T200" i="24"/>
  <c r="X199" i="24"/>
  <c r="AC199" i="24" s="1"/>
  <c r="AE199" i="24" s="1"/>
  <c r="AF203" i="24" s="1"/>
  <c r="V201" i="24"/>
  <c r="R202" i="24"/>
  <c r="AA201" i="24"/>
  <c r="Z198" i="24"/>
  <c r="D213" i="24"/>
  <c r="C213" i="24" s="1"/>
  <c r="U206" i="28" l="1"/>
  <c r="S205" i="28"/>
  <c r="AD203" i="28"/>
  <c r="AB197" i="28"/>
  <c r="AE197" i="28" s="1"/>
  <c r="AF201" i="28" s="1"/>
  <c r="AG201" i="28" s="1"/>
  <c r="AH201" i="28" s="1"/>
  <c r="AC205" i="28"/>
  <c r="W198" i="28"/>
  <c r="D215" i="28"/>
  <c r="C215" i="28" s="1"/>
  <c r="Y204" i="28"/>
  <c r="Z197" i="28"/>
  <c r="AA199" i="28"/>
  <c r="V199" i="28"/>
  <c r="X206" i="28"/>
  <c r="C214" i="28"/>
  <c r="AI173" i="24"/>
  <c r="Z194" i="27"/>
  <c r="Y199" i="27"/>
  <c r="AD199" i="27" s="1"/>
  <c r="U200" i="27"/>
  <c r="X202" i="27"/>
  <c r="AC202" i="27" s="1"/>
  <c r="T203" i="27"/>
  <c r="AG198" i="27"/>
  <c r="AH197" i="27"/>
  <c r="AI181" i="27" s="1"/>
  <c r="AA196" i="27"/>
  <c r="V196" i="27"/>
  <c r="R197" i="27"/>
  <c r="W195" i="27"/>
  <c r="AB195" i="27" s="1"/>
  <c r="AE195" i="27" s="1"/>
  <c r="AF199" i="27" s="1"/>
  <c r="S196" i="27"/>
  <c r="D212" i="27"/>
  <c r="G211" i="27"/>
  <c r="K216" i="27" s="1"/>
  <c r="E211" i="27"/>
  <c r="I216" i="27" s="1"/>
  <c r="F211" i="27"/>
  <c r="J216" i="27" s="1"/>
  <c r="H211" i="27"/>
  <c r="L216" i="27" s="1"/>
  <c r="D214" i="26"/>
  <c r="C213" i="26"/>
  <c r="Z197" i="26"/>
  <c r="W198" i="26"/>
  <c r="AB198" i="26" s="1"/>
  <c r="AE198" i="26" s="1"/>
  <c r="S199" i="26"/>
  <c r="T204" i="26"/>
  <c r="X203" i="26"/>
  <c r="AC203" i="26" s="1"/>
  <c r="R200" i="26"/>
  <c r="AA199" i="26"/>
  <c r="V199" i="26"/>
  <c r="Y203" i="26"/>
  <c r="AD203" i="26" s="1"/>
  <c r="U204" i="26"/>
  <c r="F213" i="24"/>
  <c r="J218" i="24" s="1"/>
  <c r="E213" i="24"/>
  <c r="I218" i="24" s="1"/>
  <c r="H213" i="24"/>
  <c r="L218" i="24" s="1"/>
  <c r="G213" i="24"/>
  <c r="K218" i="24" s="1"/>
  <c r="X200" i="24"/>
  <c r="AC200" i="24" s="1"/>
  <c r="AE200" i="24" s="1"/>
  <c r="AF204" i="24" s="1"/>
  <c r="T201" i="24"/>
  <c r="Z199" i="24"/>
  <c r="U202" i="24"/>
  <c r="Y201" i="24"/>
  <c r="AD201" i="24" s="1"/>
  <c r="S201" i="24"/>
  <c r="W201" i="24" s="1"/>
  <c r="AB201" i="24" s="1"/>
  <c r="R203" i="24"/>
  <c r="AA202" i="24"/>
  <c r="V202" i="24"/>
  <c r="AH202" i="24"/>
  <c r="AG203" i="24"/>
  <c r="D214" i="24"/>
  <c r="E215" i="28" l="1"/>
  <c r="I220" i="28" s="1"/>
  <c r="F215" i="28"/>
  <c r="J220" i="28" s="1"/>
  <c r="G215" i="28"/>
  <c r="K220" i="28" s="1"/>
  <c r="H215" i="28"/>
  <c r="L220" i="28" s="1"/>
  <c r="E214" i="28"/>
  <c r="I219" i="28" s="1"/>
  <c r="F214" i="28"/>
  <c r="J219" i="28" s="1"/>
  <c r="G214" i="28"/>
  <c r="K219" i="28" s="1"/>
  <c r="H214" i="28"/>
  <c r="L219" i="28" s="1"/>
  <c r="S206" i="28"/>
  <c r="U207" i="28"/>
  <c r="AD204" i="28"/>
  <c r="AC206" i="28"/>
  <c r="AB198" i="28"/>
  <c r="AE198" i="28" s="1"/>
  <c r="AF202" i="28" s="1"/>
  <c r="AG202" i="28" s="1"/>
  <c r="AH202" i="28" s="1"/>
  <c r="AI167" i="28"/>
  <c r="Y205" i="28"/>
  <c r="D216" i="28"/>
  <c r="C216" i="28" s="1"/>
  <c r="W199" i="28"/>
  <c r="X207" i="28"/>
  <c r="O208" i="28"/>
  <c r="T208" i="28" s="1"/>
  <c r="Z198" i="28"/>
  <c r="AA200" i="28"/>
  <c r="V200" i="28"/>
  <c r="AI174" i="24"/>
  <c r="J14" i="24" s="1"/>
  <c r="Z195" i="27"/>
  <c r="AG199" i="27"/>
  <c r="AH198" i="27"/>
  <c r="AA197" i="27"/>
  <c r="R198" i="27"/>
  <c r="V197" i="27"/>
  <c r="D213" i="27"/>
  <c r="C213" i="27" s="1"/>
  <c r="X203" i="27"/>
  <c r="AC203" i="27" s="1"/>
  <c r="T204" i="27"/>
  <c r="W196" i="27"/>
  <c r="AB196" i="27" s="1"/>
  <c r="AE196" i="27" s="1"/>
  <c r="AF200" i="27" s="1"/>
  <c r="S197" i="27"/>
  <c r="Y200" i="27"/>
  <c r="AD200" i="27" s="1"/>
  <c r="U201" i="27"/>
  <c r="C212" i="27"/>
  <c r="AA200" i="26"/>
  <c r="V200" i="26"/>
  <c r="R201" i="26"/>
  <c r="O205" i="26"/>
  <c r="X204" i="26"/>
  <c r="AC204" i="26" s="1"/>
  <c r="W199" i="26"/>
  <c r="AB199" i="26" s="1"/>
  <c r="AE199" i="26" s="1"/>
  <c r="S200" i="26"/>
  <c r="H213" i="26"/>
  <c r="L228" i="26" s="1"/>
  <c r="G213" i="26"/>
  <c r="K228" i="26" s="1"/>
  <c r="F213" i="26"/>
  <c r="J228" i="26" s="1"/>
  <c r="E213" i="26"/>
  <c r="I228" i="26" s="1"/>
  <c r="Y204" i="26"/>
  <c r="AD204" i="26" s="1"/>
  <c r="P205" i="26"/>
  <c r="Z198" i="26"/>
  <c r="D215" i="26"/>
  <c r="C214" i="26"/>
  <c r="Z200" i="24"/>
  <c r="D215" i="24"/>
  <c r="X201" i="24"/>
  <c r="T202" i="24"/>
  <c r="Y202" i="24"/>
  <c r="AD202" i="24" s="1"/>
  <c r="S202" i="24"/>
  <c r="W202" i="24" s="1"/>
  <c r="AB202" i="24" s="1"/>
  <c r="U203" i="24"/>
  <c r="C214" i="24"/>
  <c r="AA203" i="24"/>
  <c r="V203" i="24"/>
  <c r="R204" i="24"/>
  <c r="AH203" i="24"/>
  <c r="AG204" i="24"/>
  <c r="F216" i="28" l="1"/>
  <c r="G216" i="28"/>
  <c r="H216" i="28"/>
  <c r="L221" i="28" s="1"/>
  <c r="E216" i="28"/>
  <c r="I221" i="28" s="1"/>
  <c r="S207" i="28"/>
  <c r="AC207" i="28"/>
  <c r="AB199" i="28"/>
  <c r="AE199" i="28" s="1"/>
  <c r="AF203" i="28" s="1"/>
  <c r="AG203" i="28" s="1"/>
  <c r="AH203" i="28" s="1"/>
  <c r="AD205" i="28"/>
  <c r="Z199" i="28"/>
  <c r="D217" i="28"/>
  <c r="Y206" i="28"/>
  <c r="O220" i="28"/>
  <c r="O214" i="28"/>
  <c r="O218" i="28"/>
  <c r="O212" i="28"/>
  <c r="O217" i="28"/>
  <c r="O210" i="28"/>
  <c r="O215" i="28"/>
  <c r="O213" i="28"/>
  <c r="O219" i="28"/>
  <c r="O211" i="28"/>
  <c r="O216" i="28"/>
  <c r="O209" i="28"/>
  <c r="T209" i="28" s="1"/>
  <c r="O221" i="28"/>
  <c r="O222" i="28"/>
  <c r="H17" i="28"/>
  <c r="K221" i="28"/>
  <c r="J221" i="28"/>
  <c r="V201" i="28"/>
  <c r="AA201" i="28"/>
  <c r="W200" i="28"/>
  <c r="AI182" i="27"/>
  <c r="AI183" i="27"/>
  <c r="AI175" i="24"/>
  <c r="F213" i="27"/>
  <c r="J218" i="27" s="1"/>
  <c r="H213" i="27"/>
  <c r="L218" i="27" s="1"/>
  <c r="G213" i="27"/>
  <c r="K218" i="27" s="1"/>
  <c r="E213" i="27"/>
  <c r="I218" i="27" s="1"/>
  <c r="H212" i="27"/>
  <c r="L217" i="27" s="1"/>
  <c r="E212" i="27"/>
  <c r="I217" i="27" s="1"/>
  <c r="F212" i="27"/>
  <c r="J217" i="27" s="1"/>
  <c r="G212" i="27"/>
  <c r="K217" i="27" s="1"/>
  <c r="X204" i="27"/>
  <c r="AC204" i="27" s="1"/>
  <c r="O205" i="27"/>
  <c r="W197" i="27"/>
  <c r="AB197" i="27" s="1"/>
  <c r="AE197" i="27" s="1"/>
  <c r="AF201" i="27" s="1"/>
  <c r="S198" i="27"/>
  <c r="D214" i="27"/>
  <c r="C214" i="27" s="1"/>
  <c r="AA198" i="27"/>
  <c r="V198" i="27"/>
  <c r="R199" i="27"/>
  <c r="AG200" i="27"/>
  <c r="AH199" i="27"/>
  <c r="AI184" i="27" s="1"/>
  <c r="Y201" i="27"/>
  <c r="AD201" i="27" s="1"/>
  <c r="U202" i="27"/>
  <c r="Z196" i="27"/>
  <c r="Z199" i="26"/>
  <c r="H214" i="26"/>
  <c r="L229" i="26" s="1"/>
  <c r="G214" i="26"/>
  <c r="K229" i="26" s="1"/>
  <c r="F214" i="26"/>
  <c r="J229" i="26" s="1"/>
  <c r="E214" i="26"/>
  <c r="I229" i="26" s="1"/>
  <c r="W200" i="26"/>
  <c r="AB200" i="26" s="1"/>
  <c r="AE200" i="26" s="1"/>
  <c r="S201" i="26"/>
  <c r="D216" i="26"/>
  <c r="C216" i="26" s="1"/>
  <c r="C215" i="26"/>
  <c r="O219" i="26"/>
  <c r="O217" i="26"/>
  <c r="O215" i="26"/>
  <c r="O213" i="26"/>
  <c r="O211" i="26"/>
  <c r="O209" i="26"/>
  <c r="O218" i="26"/>
  <c r="O210" i="26"/>
  <c r="O212" i="26"/>
  <c r="O207" i="26"/>
  <c r="O214" i="26"/>
  <c r="O208" i="26"/>
  <c r="O206" i="26"/>
  <c r="O216" i="26"/>
  <c r="F17" i="26"/>
  <c r="P219" i="26"/>
  <c r="P211" i="26"/>
  <c r="P218" i="26"/>
  <c r="P210" i="26"/>
  <c r="P212" i="26"/>
  <c r="P215" i="26"/>
  <c r="P207" i="26"/>
  <c r="P209" i="26"/>
  <c r="P217" i="26"/>
  <c r="P214" i="26"/>
  <c r="P208" i="26"/>
  <c r="P206" i="26"/>
  <c r="P216" i="26"/>
  <c r="P213" i="26"/>
  <c r="G17" i="26"/>
  <c r="T205" i="26"/>
  <c r="R202" i="26"/>
  <c r="AA201" i="26"/>
  <c r="V201" i="26"/>
  <c r="U205" i="26"/>
  <c r="H214" i="24"/>
  <c r="L219" i="24" s="1"/>
  <c r="F214" i="24"/>
  <c r="J219" i="24" s="1"/>
  <c r="E214" i="24"/>
  <c r="I219" i="24" s="1"/>
  <c r="G214" i="24"/>
  <c r="K219" i="24" s="1"/>
  <c r="U204" i="24"/>
  <c r="Y203" i="24"/>
  <c r="AD203" i="24" s="1"/>
  <c r="S203" i="24"/>
  <c r="W203" i="24" s="1"/>
  <c r="AB203" i="24" s="1"/>
  <c r="AH204" i="24"/>
  <c r="X202" i="24"/>
  <c r="T203" i="24"/>
  <c r="AC201" i="24"/>
  <c r="AE201" i="24" s="1"/>
  <c r="AF205" i="24" s="1"/>
  <c r="AG205" i="24" s="1"/>
  <c r="Z201" i="24"/>
  <c r="V204" i="24"/>
  <c r="M205" i="24"/>
  <c r="AA204" i="24"/>
  <c r="D216" i="24"/>
  <c r="C216" i="24" s="1"/>
  <c r="C215" i="24"/>
  <c r="T210" i="28" l="1"/>
  <c r="T211" i="28" s="1"/>
  <c r="T212" i="28" s="1"/>
  <c r="T213" i="28" s="1"/>
  <c r="T214" i="28" s="1"/>
  <c r="T215" i="28" s="1"/>
  <c r="T216" i="28" s="1"/>
  <c r="T217" i="28" s="1"/>
  <c r="T218" i="28" s="1"/>
  <c r="T219" i="28" s="1"/>
  <c r="T220" i="28" s="1"/>
  <c r="T221" i="28" s="1"/>
  <c r="Z200" i="26"/>
  <c r="AB200" i="28"/>
  <c r="AE200" i="28" s="1"/>
  <c r="AF204" i="28" s="1"/>
  <c r="AG204" i="28" s="1"/>
  <c r="AH204" i="28" s="1"/>
  <c r="AD206" i="28"/>
  <c r="AI168" i="28"/>
  <c r="Y207" i="28"/>
  <c r="P208" i="28"/>
  <c r="U208" i="28" s="1"/>
  <c r="V202" i="28"/>
  <c r="AA202" i="28"/>
  <c r="D218" i="28"/>
  <c r="Z200" i="28"/>
  <c r="C217" i="28"/>
  <c r="X208" i="28"/>
  <c r="W201" i="28"/>
  <c r="AI176" i="24"/>
  <c r="Z197" i="27"/>
  <c r="F17" i="27"/>
  <c r="O209" i="27"/>
  <c r="O208" i="27"/>
  <c r="O206" i="27"/>
  <c r="O212" i="27"/>
  <c r="O207" i="27"/>
  <c r="O210" i="27"/>
  <c r="O217" i="27"/>
  <c r="O215" i="27"/>
  <c r="O214" i="27"/>
  <c r="O219" i="27"/>
  <c r="O211" i="27"/>
  <c r="O213" i="27"/>
  <c r="O218" i="27"/>
  <c r="O216" i="27"/>
  <c r="AG201" i="27"/>
  <c r="AH200" i="27"/>
  <c r="AI185" i="27" s="1"/>
  <c r="T205" i="27"/>
  <c r="AA199" i="27"/>
  <c r="R200" i="27"/>
  <c r="V199" i="27"/>
  <c r="H214" i="27"/>
  <c r="L219" i="27" s="1"/>
  <c r="E214" i="27"/>
  <c r="I219" i="27" s="1"/>
  <c r="F214" i="27"/>
  <c r="J219" i="27" s="1"/>
  <c r="G214" i="27"/>
  <c r="K219" i="27" s="1"/>
  <c r="D215" i="27"/>
  <c r="C215" i="27" s="1"/>
  <c r="W198" i="27"/>
  <c r="AB198" i="27" s="1"/>
  <c r="AE198" i="27" s="1"/>
  <c r="AF202" i="27" s="1"/>
  <c r="S199" i="27"/>
  <c r="Y202" i="27"/>
  <c r="AD202" i="27" s="1"/>
  <c r="U203" i="27"/>
  <c r="H215" i="26"/>
  <c r="L230" i="26" s="1"/>
  <c r="G215" i="26"/>
  <c r="K230" i="26" s="1"/>
  <c r="F215" i="26"/>
  <c r="J230" i="26" s="1"/>
  <c r="E215" i="26"/>
  <c r="I230" i="26" s="1"/>
  <c r="Y205" i="26"/>
  <c r="AD205" i="26" s="1"/>
  <c r="U206" i="26"/>
  <c r="H216" i="26"/>
  <c r="L231" i="26" s="1"/>
  <c r="F216" i="26"/>
  <c r="J231" i="26" s="1"/>
  <c r="E216" i="26"/>
  <c r="I231" i="26" s="1"/>
  <c r="G216" i="26"/>
  <c r="K231" i="26" s="1"/>
  <c r="D217" i="26"/>
  <c r="W201" i="26"/>
  <c r="AB201" i="26" s="1"/>
  <c r="AE201" i="26" s="1"/>
  <c r="S202" i="26"/>
  <c r="AA202" i="26"/>
  <c r="V202" i="26"/>
  <c r="R203" i="26"/>
  <c r="T206" i="26"/>
  <c r="X205" i="26"/>
  <c r="AC205" i="26" s="1"/>
  <c r="T204" i="24"/>
  <c r="X203" i="24"/>
  <c r="AC202" i="24"/>
  <c r="AE202" i="24" s="1"/>
  <c r="AF206" i="24" s="1"/>
  <c r="AG206" i="24" s="1"/>
  <c r="Z202" i="24"/>
  <c r="E216" i="24"/>
  <c r="I221" i="24" s="1"/>
  <c r="H216" i="24"/>
  <c r="L221" i="24" s="1"/>
  <c r="G216" i="24"/>
  <c r="K221" i="24" s="1"/>
  <c r="F216" i="24"/>
  <c r="J221" i="24" s="1"/>
  <c r="D217" i="24"/>
  <c r="C217" i="24" s="1"/>
  <c r="S204" i="24"/>
  <c r="W204" i="24" s="1"/>
  <c r="AB204" i="24" s="1"/>
  <c r="Y204" i="24"/>
  <c r="AD204" i="24" s="1"/>
  <c r="P205" i="24"/>
  <c r="M214" i="24"/>
  <c r="M208" i="24"/>
  <c r="M219" i="24"/>
  <c r="M216" i="24"/>
  <c r="M217" i="24"/>
  <c r="M206" i="24"/>
  <c r="M210" i="24"/>
  <c r="M213" i="24"/>
  <c r="M215" i="24"/>
  <c r="M207" i="24"/>
  <c r="M209" i="24"/>
  <c r="M218" i="24"/>
  <c r="M212" i="24"/>
  <c r="M211" i="24"/>
  <c r="D17" i="24"/>
  <c r="AH205" i="24"/>
  <c r="AI177" i="24" s="1"/>
  <c r="E215" i="24"/>
  <c r="I220" i="24" s="1"/>
  <c r="H215" i="24"/>
  <c r="L220" i="24" s="1"/>
  <c r="G215" i="24"/>
  <c r="K220" i="24" s="1"/>
  <c r="F215" i="24"/>
  <c r="J220" i="24" s="1"/>
  <c r="R205" i="24"/>
  <c r="E217" i="28" l="1"/>
  <c r="F217" i="28"/>
  <c r="G217" i="28"/>
  <c r="H217" i="28"/>
  <c r="Z201" i="26"/>
  <c r="AD207" i="28"/>
  <c r="AC208" i="28"/>
  <c r="AB201" i="28"/>
  <c r="AE201" i="28" s="1"/>
  <c r="AF205" i="28" s="1"/>
  <c r="AG205" i="28" s="1"/>
  <c r="AH205" i="28" s="1"/>
  <c r="AI169" i="28"/>
  <c r="AI171" i="28"/>
  <c r="AA203" i="28"/>
  <c r="V203" i="28"/>
  <c r="D219" i="28"/>
  <c r="C219" i="28" s="1"/>
  <c r="W202" i="28"/>
  <c r="P221" i="28"/>
  <c r="P222" i="28"/>
  <c r="P210" i="28"/>
  <c r="P215" i="28"/>
  <c r="P219" i="28"/>
  <c r="P212" i="28"/>
  <c r="P216" i="28"/>
  <c r="P218" i="28"/>
  <c r="P209" i="28"/>
  <c r="U209" i="28" s="1"/>
  <c r="P214" i="28"/>
  <c r="P217" i="28"/>
  <c r="P213" i="28"/>
  <c r="P220" i="28"/>
  <c r="P211" i="28"/>
  <c r="I17" i="28"/>
  <c r="X209" i="28"/>
  <c r="Z201" i="28"/>
  <c r="J222" i="28"/>
  <c r="I222" i="28"/>
  <c r="L222" i="28"/>
  <c r="K222" i="28"/>
  <c r="T222" i="28" s="1"/>
  <c r="C218" i="28"/>
  <c r="Z198" i="27"/>
  <c r="T206" i="27"/>
  <c r="X205" i="27"/>
  <c r="AC205" i="27" s="1"/>
  <c r="D216" i="27"/>
  <c r="C216" i="27" s="1"/>
  <c r="E215" i="27"/>
  <c r="I220" i="27" s="1"/>
  <c r="F215" i="27"/>
  <c r="J220" i="27" s="1"/>
  <c r="G215" i="27"/>
  <c r="K220" i="27" s="1"/>
  <c r="H215" i="27"/>
  <c r="L220" i="27" s="1"/>
  <c r="AH201" i="27"/>
  <c r="AI186" i="27" s="1"/>
  <c r="AG202" i="27"/>
  <c r="AA200" i="27"/>
  <c r="V200" i="27"/>
  <c r="R201" i="27"/>
  <c r="W199" i="27"/>
  <c r="AB199" i="27" s="1"/>
  <c r="AE199" i="27" s="1"/>
  <c r="AF203" i="27" s="1"/>
  <c r="S200" i="27"/>
  <c r="Y203" i="27"/>
  <c r="AD203" i="27" s="1"/>
  <c r="U204" i="27"/>
  <c r="T207" i="26"/>
  <c r="X206" i="26"/>
  <c r="AC206" i="26" s="1"/>
  <c r="R204" i="26"/>
  <c r="V203" i="26"/>
  <c r="AA203" i="26"/>
  <c r="Y206" i="26"/>
  <c r="AD206" i="26" s="1"/>
  <c r="U207" i="26"/>
  <c r="W202" i="26"/>
  <c r="AB202" i="26" s="1"/>
  <c r="AE202" i="26" s="1"/>
  <c r="S203" i="26"/>
  <c r="D218" i="26"/>
  <c r="C217" i="26"/>
  <c r="AH206" i="24"/>
  <c r="D218" i="24"/>
  <c r="R206" i="24"/>
  <c r="AA205" i="24"/>
  <c r="V205" i="24"/>
  <c r="G217" i="24"/>
  <c r="K222" i="24" s="1"/>
  <c r="F217" i="24"/>
  <c r="J222" i="24" s="1"/>
  <c r="H217" i="24"/>
  <c r="L222" i="24" s="1"/>
  <c r="E217" i="24"/>
  <c r="I222" i="24" s="1"/>
  <c r="P216" i="24"/>
  <c r="P210" i="24"/>
  <c r="P219" i="24"/>
  <c r="P213" i="24"/>
  <c r="P218" i="24"/>
  <c r="P214" i="24"/>
  <c r="P211" i="24"/>
  <c r="P207" i="24"/>
  <c r="P206" i="24"/>
  <c r="P212" i="24"/>
  <c r="P208" i="24"/>
  <c r="P209" i="24"/>
  <c r="P217" i="24"/>
  <c r="P215" i="24"/>
  <c r="G17" i="24"/>
  <c r="U205" i="24"/>
  <c r="AC203" i="24"/>
  <c r="AE203" i="24" s="1"/>
  <c r="AF207" i="24" s="1"/>
  <c r="AG207" i="24" s="1"/>
  <c r="Z203" i="24"/>
  <c r="O205" i="24"/>
  <c r="T205" i="24" s="1"/>
  <c r="X204" i="24"/>
  <c r="E218" i="28" l="1"/>
  <c r="I223" i="28" s="1"/>
  <c r="F218" i="28"/>
  <c r="J223" i="28" s="1"/>
  <c r="G218" i="28"/>
  <c r="K223" i="28" s="1"/>
  <c r="H218" i="28"/>
  <c r="L223" i="28" s="1"/>
  <c r="F219" i="28"/>
  <c r="J224" i="28" s="1"/>
  <c r="G219" i="28"/>
  <c r="K224" i="28" s="1"/>
  <c r="H219" i="28"/>
  <c r="L224" i="28" s="1"/>
  <c r="E219" i="28"/>
  <c r="I224" i="28" s="1"/>
  <c r="U210" i="28"/>
  <c r="AI170" i="28"/>
  <c r="AB202" i="28"/>
  <c r="AE202" i="28" s="1"/>
  <c r="AF206" i="28" s="1"/>
  <c r="AG206" i="28" s="1"/>
  <c r="AH206" i="28" s="1"/>
  <c r="AC209" i="28"/>
  <c r="W203" i="28"/>
  <c r="Z202" i="28"/>
  <c r="D220" i="28"/>
  <c r="X210" i="28"/>
  <c r="Y208" i="28"/>
  <c r="AA204" i="28"/>
  <c r="V204" i="28"/>
  <c r="AI178" i="24"/>
  <c r="Y204" i="27"/>
  <c r="AD204" i="27" s="1"/>
  <c r="P205" i="27"/>
  <c r="G216" i="27"/>
  <c r="K221" i="27" s="1"/>
  <c r="H216" i="27"/>
  <c r="L221" i="27" s="1"/>
  <c r="F216" i="27"/>
  <c r="J221" i="27" s="1"/>
  <c r="E216" i="27"/>
  <c r="I221" i="27" s="1"/>
  <c r="Z199" i="27"/>
  <c r="D217" i="27"/>
  <c r="C217" i="27" s="1"/>
  <c r="W200" i="27"/>
  <c r="AB200" i="27" s="1"/>
  <c r="AE200" i="27" s="1"/>
  <c r="AF204" i="27" s="1"/>
  <c r="S201" i="27"/>
  <c r="AA201" i="27"/>
  <c r="R202" i="27"/>
  <c r="V201" i="27"/>
  <c r="X206" i="27"/>
  <c r="AC206" i="27" s="1"/>
  <c r="T207" i="27"/>
  <c r="AG203" i="27"/>
  <c r="AH202" i="27"/>
  <c r="AI187" i="27" s="1"/>
  <c r="W203" i="26"/>
  <c r="AB203" i="26" s="1"/>
  <c r="AE203" i="26" s="1"/>
  <c r="S204" i="26"/>
  <c r="Z202" i="26"/>
  <c r="E217" i="26"/>
  <c r="I232" i="26" s="1"/>
  <c r="H217" i="26"/>
  <c r="L232" i="26" s="1"/>
  <c r="G217" i="26"/>
  <c r="K232" i="26" s="1"/>
  <c r="F217" i="26"/>
  <c r="J232" i="26" s="1"/>
  <c r="M205" i="26"/>
  <c r="R205" i="26" s="1"/>
  <c r="AA204" i="26"/>
  <c r="V204" i="26"/>
  <c r="D219" i="26"/>
  <c r="Y207" i="26"/>
  <c r="AD207" i="26" s="1"/>
  <c r="U208" i="26"/>
  <c r="C218" i="26"/>
  <c r="T208" i="26"/>
  <c r="X207" i="26"/>
  <c r="AC207" i="26" s="1"/>
  <c r="AH207" i="24"/>
  <c r="AC204" i="24"/>
  <c r="AE204" i="24" s="1"/>
  <c r="AF208" i="24" s="1"/>
  <c r="AG208" i="24" s="1"/>
  <c r="Z204" i="24"/>
  <c r="D219" i="24"/>
  <c r="C219" i="24" s="1"/>
  <c r="U206" i="24"/>
  <c r="Y205" i="24"/>
  <c r="AD205" i="24" s="1"/>
  <c r="C218" i="24"/>
  <c r="X205" i="24"/>
  <c r="AC205" i="24" s="1"/>
  <c r="O215" i="24"/>
  <c r="O209" i="24"/>
  <c r="O208" i="24"/>
  <c r="O219" i="24"/>
  <c r="O214" i="24"/>
  <c r="O211" i="24"/>
  <c r="O216" i="24"/>
  <c r="O207" i="24"/>
  <c r="O218" i="24"/>
  <c r="O212" i="24"/>
  <c r="O206" i="24"/>
  <c r="T206" i="24" s="1"/>
  <c r="O210" i="24"/>
  <c r="O217" i="24"/>
  <c r="O213" i="24"/>
  <c r="F17" i="24"/>
  <c r="N205" i="24"/>
  <c r="S205" i="24" s="1"/>
  <c r="W205" i="24" s="1"/>
  <c r="AB205" i="24" s="1"/>
  <c r="AA206" i="24"/>
  <c r="R207" i="24"/>
  <c r="V206" i="24"/>
  <c r="Z203" i="26" l="1"/>
  <c r="U211" i="28"/>
  <c r="AD208" i="28"/>
  <c r="AB203" i="28"/>
  <c r="AE203" i="28" s="1"/>
  <c r="AF207" i="28" s="1"/>
  <c r="AG207" i="28" s="1"/>
  <c r="AH207" i="28" s="1"/>
  <c r="AC210" i="28"/>
  <c r="AI172" i="28"/>
  <c r="Z203" i="28"/>
  <c r="D221" i="28"/>
  <c r="C221" i="28" s="1"/>
  <c r="C220" i="28"/>
  <c r="W204" i="28"/>
  <c r="Z204" i="28" s="1"/>
  <c r="AA205" i="28"/>
  <c r="V205" i="28"/>
  <c r="Y209" i="28"/>
  <c r="X211" i="28"/>
  <c r="AI179" i="24"/>
  <c r="AE205" i="24"/>
  <c r="AF209" i="24" s="1"/>
  <c r="AG209" i="24" s="1"/>
  <c r="F217" i="27"/>
  <c r="J222" i="27" s="1"/>
  <c r="E217" i="27"/>
  <c r="I222" i="27" s="1"/>
  <c r="G217" i="27"/>
  <c r="K222" i="27" s="1"/>
  <c r="H217" i="27"/>
  <c r="L222" i="27" s="1"/>
  <c r="D218" i="27"/>
  <c r="X207" i="27"/>
  <c r="AC207" i="27" s="1"/>
  <c r="T208" i="27"/>
  <c r="Z200" i="27"/>
  <c r="G17" i="27"/>
  <c r="P209" i="27"/>
  <c r="P217" i="27"/>
  <c r="P216" i="27"/>
  <c r="P211" i="27"/>
  <c r="P208" i="27"/>
  <c r="P215" i="27"/>
  <c r="P210" i="27"/>
  <c r="P214" i="27"/>
  <c r="P206" i="27"/>
  <c r="P207" i="27"/>
  <c r="P219" i="27"/>
  <c r="P213" i="27"/>
  <c r="P212" i="27"/>
  <c r="P218" i="27"/>
  <c r="AA202" i="27"/>
  <c r="V202" i="27"/>
  <c r="R203" i="27"/>
  <c r="AG204" i="27"/>
  <c r="AH203" i="27"/>
  <c r="AI188" i="27" s="1"/>
  <c r="U205" i="27"/>
  <c r="W201" i="27"/>
  <c r="AB201" i="27" s="1"/>
  <c r="AE201" i="27" s="1"/>
  <c r="AF205" i="27" s="1"/>
  <c r="S202" i="27"/>
  <c r="V205" i="26"/>
  <c r="AA205" i="26"/>
  <c r="M219" i="26"/>
  <c r="M212" i="26"/>
  <c r="M211" i="26"/>
  <c r="M207" i="26"/>
  <c r="M214" i="26"/>
  <c r="M218" i="26"/>
  <c r="M216" i="26"/>
  <c r="M215" i="26"/>
  <c r="M209" i="26"/>
  <c r="M217" i="26"/>
  <c r="M206" i="26"/>
  <c r="M210" i="26"/>
  <c r="M213" i="26"/>
  <c r="M208" i="26"/>
  <c r="D17" i="26"/>
  <c r="N205" i="26"/>
  <c r="S205" i="26" s="1"/>
  <c r="T209" i="26"/>
  <c r="X208" i="26"/>
  <c r="AC208" i="26" s="1"/>
  <c r="H218" i="26"/>
  <c r="L233" i="26" s="1"/>
  <c r="G218" i="26"/>
  <c r="K233" i="26" s="1"/>
  <c r="F218" i="26"/>
  <c r="J233" i="26" s="1"/>
  <c r="E218" i="26"/>
  <c r="I233" i="26" s="1"/>
  <c r="Y208" i="26"/>
  <c r="AD208" i="26" s="1"/>
  <c r="U209" i="26"/>
  <c r="D220" i="26"/>
  <c r="C220" i="26" s="1"/>
  <c r="C219" i="26"/>
  <c r="W204" i="26"/>
  <c r="AB204" i="26" s="1"/>
  <c r="AE204" i="26" s="1"/>
  <c r="E219" i="24"/>
  <c r="I224" i="24" s="1"/>
  <c r="F219" i="24"/>
  <c r="J224" i="24" s="1"/>
  <c r="H219" i="24"/>
  <c r="L224" i="24" s="1"/>
  <c r="G219" i="24"/>
  <c r="K224" i="24" s="1"/>
  <c r="AH208" i="24"/>
  <c r="V207" i="24"/>
  <c r="R208" i="24"/>
  <c r="AA207" i="24"/>
  <c r="T207" i="24"/>
  <c r="X206" i="24"/>
  <c r="AC206" i="24" s="1"/>
  <c r="Y206" i="24"/>
  <c r="AD206" i="24" s="1"/>
  <c r="U207" i="24"/>
  <c r="Z205" i="24"/>
  <c r="D220" i="24"/>
  <c r="C220" i="24" s="1"/>
  <c r="N219" i="24"/>
  <c r="Q219" i="24" s="1"/>
  <c r="N215" i="24"/>
  <c r="Q215" i="24" s="1"/>
  <c r="N209" i="24"/>
  <c r="Q209" i="24" s="1"/>
  <c r="N206" i="24"/>
  <c r="Q206" i="24" s="1"/>
  <c r="N214" i="24"/>
  <c r="Q214" i="24" s="1"/>
  <c r="N211" i="24"/>
  <c r="Q211" i="24" s="1"/>
  <c r="N207" i="24"/>
  <c r="Q207" i="24" s="1"/>
  <c r="N216" i="24"/>
  <c r="Q216" i="24" s="1"/>
  <c r="N213" i="24"/>
  <c r="Q213" i="24" s="1"/>
  <c r="N218" i="24"/>
  <c r="Q218" i="24" s="1"/>
  <c r="N217" i="24"/>
  <c r="Q217" i="24" s="1"/>
  <c r="N212" i="24"/>
  <c r="Q212" i="24" s="1"/>
  <c r="N208" i="24"/>
  <c r="Q208" i="24" s="1"/>
  <c r="N210" i="24"/>
  <c r="Q210" i="24" s="1"/>
  <c r="E17" i="24"/>
  <c r="Q205" i="24"/>
  <c r="I16" i="24"/>
  <c r="H218" i="24"/>
  <c r="L223" i="24" s="1"/>
  <c r="G218" i="24"/>
  <c r="K223" i="24" s="1"/>
  <c r="F218" i="24"/>
  <c r="J223" i="24" s="1"/>
  <c r="E218" i="24"/>
  <c r="I223" i="24" s="1"/>
  <c r="Z204" i="26" l="1"/>
  <c r="Q205" i="26"/>
  <c r="I16" i="26"/>
  <c r="J16" i="26" s="1"/>
  <c r="E220" i="28"/>
  <c r="I225" i="28" s="1"/>
  <c r="F220" i="28"/>
  <c r="J225" i="28" s="1"/>
  <c r="G220" i="28"/>
  <c r="H220" i="28"/>
  <c r="L225" i="28" s="1"/>
  <c r="E221" i="28"/>
  <c r="I226" i="28" s="1"/>
  <c r="H221" i="28"/>
  <c r="L226" i="28" s="1"/>
  <c r="F221" i="28"/>
  <c r="J226" i="28" s="1"/>
  <c r="G221" i="28"/>
  <c r="K226" i="28" s="1"/>
  <c r="U212" i="28"/>
  <c r="AB204" i="28"/>
  <c r="AE204" i="28" s="1"/>
  <c r="AF208" i="28" s="1"/>
  <c r="AG208" i="28" s="1"/>
  <c r="AH208" i="28" s="1"/>
  <c r="AD209" i="28"/>
  <c r="AC211" i="28"/>
  <c r="AA206" i="28"/>
  <c r="V206" i="28"/>
  <c r="W205" i="28"/>
  <c r="X212" i="28"/>
  <c r="K225" i="28"/>
  <c r="Y210" i="28"/>
  <c r="D222" i="28"/>
  <c r="AI180" i="24"/>
  <c r="W202" i="27"/>
  <c r="AB202" i="27" s="1"/>
  <c r="AE202" i="27" s="1"/>
  <c r="AF206" i="27" s="1"/>
  <c r="S203" i="27"/>
  <c r="Z201" i="27"/>
  <c r="U206" i="27"/>
  <c r="Y205" i="27"/>
  <c r="AD205" i="27" s="1"/>
  <c r="X208" i="27"/>
  <c r="AC208" i="27" s="1"/>
  <c r="T209" i="27"/>
  <c r="D219" i="27"/>
  <c r="C219" i="27" s="1"/>
  <c r="AA203" i="27"/>
  <c r="V203" i="27"/>
  <c r="R204" i="27"/>
  <c r="C218" i="27"/>
  <c r="AG205" i="27"/>
  <c r="AH204" i="27"/>
  <c r="AI189" i="27" s="1"/>
  <c r="J15" i="27" s="1"/>
  <c r="H220" i="26"/>
  <c r="L235" i="26" s="1"/>
  <c r="G220" i="26"/>
  <c r="K235" i="26" s="1"/>
  <c r="F220" i="26"/>
  <c r="J235" i="26" s="1"/>
  <c r="E220" i="26"/>
  <c r="I235" i="26" s="1"/>
  <c r="H219" i="26"/>
  <c r="L234" i="26" s="1"/>
  <c r="G219" i="26"/>
  <c r="K234" i="26" s="1"/>
  <c r="F219" i="26"/>
  <c r="J234" i="26" s="1"/>
  <c r="E219" i="26"/>
  <c r="I234" i="26" s="1"/>
  <c r="N219" i="26"/>
  <c r="Q219" i="26" s="1"/>
  <c r="N217" i="26"/>
  <c r="Q217" i="26" s="1"/>
  <c r="N215" i="26"/>
  <c r="Q215" i="26" s="1"/>
  <c r="N213" i="26"/>
  <c r="Q213" i="26" s="1"/>
  <c r="N211" i="26"/>
  <c r="Q211" i="26" s="1"/>
  <c r="N209" i="26"/>
  <c r="Q209" i="26" s="1"/>
  <c r="N212" i="26"/>
  <c r="Q212" i="26" s="1"/>
  <c r="N207" i="26"/>
  <c r="Q207" i="26" s="1"/>
  <c r="N214" i="26"/>
  <c r="Q214" i="26" s="1"/>
  <c r="N210" i="26"/>
  <c r="Q210" i="26" s="1"/>
  <c r="N208" i="26"/>
  <c r="Q208" i="26" s="1"/>
  <c r="N206" i="26"/>
  <c r="Q206" i="26" s="1"/>
  <c r="N216" i="26"/>
  <c r="Q216" i="26" s="1"/>
  <c r="N218" i="26"/>
  <c r="Q218" i="26" s="1"/>
  <c r="E17" i="26"/>
  <c r="D221" i="26"/>
  <c r="T210" i="26"/>
  <c r="X209" i="26"/>
  <c r="AC209" i="26" s="1"/>
  <c r="U210" i="26"/>
  <c r="Y209" i="26"/>
  <c r="AD209" i="26" s="1"/>
  <c r="W205" i="26"/>
  <c r="AB205" i="26" s="1"/>
  <c r="AE205" i="26" s="1"/>
  <c r="R206" i="26"/>
  <c r="AA208" i="24"/>
  <c r="R209" i="24"/>
  <c r="V208" i="24"/>
  <c r="X207" i="24"/>
  <c r="AC207" i="24" s="1"/>
  <c r="T208" i="24"/>
  <c r="F220" i="24"/>
  <c r="J225" i="24" s="1"/>
  <c r="E220" i="24"/>
  <c r="I225" i="24" s="1"/>
  <c r="H220" i="24"/>
  <c r="L225" i="24" s="1"/>
  <c r="G220" i="24"/>
  <c r="K225" i="24" s="1"/>
  <c r="D221" i="24"/>
  <c r="C221" i="24" s="1"/>
  <c r="AH209" i="24"/>
  <c r="S206" i="24"/>
  <c r="W206" i="24" s="1"/>
  <c r="U208" i="24"/>
  <c r="Y207" i="24"/>
  <c r="AD207" i="24" s="1"/>
  <c r="S206" i="26" l="1"/>
  <c r="U213" i="28"/>
  <c r="AC212" i="28"/>
  <c r="AB205" i="28"/>
  <c r="AE205" i="28" s="1"/>
  <c r="AF209" i="28" s="1"/>
  <c r="AG209" i="28" s="1"/>
  <c r="AH209" i="28" s="1"/>
  <c r="AD210" i="28"/>
  <c r="AI175" i="28"/>
  <c r="AI173" i="28"/>
  <c r="V207" i="28"/>
  <c r="AA207" i="28"/>
  <c r="M208" i="28"/>
  <c r="R208" i="28" s="1"/>
  <c r="D223" i="28"/>
  <c r="C223" i="28" s="1"/>
  <c r="Y211" i="28"/>
  <c r="C222" i="28"/>
  <c r="X213" i="28"/>
  <c r="Z205" i="28"/>
  <c r="W206" i="28"/>
  <c r="Z202" i="27"/>
  <c r="H219" i="27"/>
  <c r="L224" i="27" s="1"/>
  <c r="E219" i="27"/>
  <c r="I224" i="27" s="1"/>
  <c r="F219" i="27"/>
  <c r="J224" i="27" s="1"/>
  <c r="G219" i="27"/>
  <c r="K224" i="27" s="1"/>
  <c r="D220" i="27"/>
  <c r="C220" i="27" s="1"/>
  <c r="X209" i="27"/>
  <c r="AC209" i="27" s="1"/>
  <c r="T210" i="27"/>
  <c r="AG206" i="27"/>
  <c r="AH205" i="27"/>
  <c r="AI190" i="27" s="1"/>
  <c r="U207" i="27"/>
  <c r="Y206" i="27"/>
  <c r="AD206" i="27" s="1"/>
  <c r="M205" i="27"/>
  <c r="R205" i="27" s="1"/>
  <c r="V204" i="27"/>
  <c r="AA204" i="27"/>
  <c r="W203" i="27"/>
  <c r="AB203" i="27" s="1"/>
  <c r="AE203" i="27" s="1"/>
  <c r="AF207" i="27" s="1"/>
  <c r="S204" i="27"/>
  <c r="F218" i="27"/>
  <c r="J223" i="27" s="1"/>
  <c r="H218" i="27"/>
  <c r="L223" i="27" s="1"/>
  <c r="E218" i="27"/>
  <c r="I223" i="27" s="1"/>
  <c r="G218" i="27"/>
  <c r="K223" i="27" s="1"/>
  <c r="Z205" i="26"/>
  <c r="T211" i="26"/>
  <c r="X210" i="26"/>
  <c r="AC210" i="26" s="1"/>
  <c r="D222" i="26"/>
  <c r="C222" i="26" s="1"/>
  <c r="C221" i="26"/>
  <c r="W206" i="26"/>
  <c r="AB206" i="26" s="1"/>
  <c r="S207" i="26"/>
  <c r="U211" i="26"/>
  <c r="Y210" i="26"/>
  <c r="AD210" i="26" s="1"/>
  <c r="R207" i="26"/>
  <c r="AA206" i="26"/>
  <c r="V206" i="26"/>
  <c r="H221" i="24"/>
  <c r="L226" i="24" s="1"/>
  <c r="G221" i="24"/>
  <c r="K226" i="24" s="1"/>
  <c r="E221" i="24"/>
  <c r="I226" i="24" s="1"/>
  <c r="F221" i="24"/>
  <c r="J226" i="24" s="1"/>
  <c r="Y208" i="24"/>
  <c r="AD208" i="24" s="1"/>
  <c r="U209" i="24"/>
  <c r="S207" i="24"/>
  <c r="W207" i="24" s="1"/>
  <c r="AB206" i="24"/>
  <c r="AE206" i="24" s="1"/>
  <c r="AF210" i="24" s="1"/>
  <c r="AG210" i="24" s="1"/>
  <c r="Z206" i="24"/>
  <c r="X208" i="24"/>
  <c r="AC208" i="24" s="1"/>
  <c r="T209" i="24"/>
  <c r="AA209" i="24"/>
  <c r="R210" i="24"/>
  <c r="V209" i="24"/>
  <c r="D222" i="24"/>
  <c r="E223" i="28" l="1"/>
  <c r="I228" i="28" s="1"/>
  <c r="F223" i="28"/>
  <c r="J228" i="28" s="1"/>
  <c r="G223" i="28"/>
  <c r="H223" i="28"/>
  <c r="L228" i="28" s="1"/>
  <c r="F222" i="28"/>
  <c r="J227" i="28" s="1"/>
  <c r="G222" i="28"/>
  <c r="K227" i="28" s="1"/>
  <c r="H222" i="28"/>
  <c r="L227" i="28" s="1"/>
  <c r="E222" i="28"/>
  <c r="I227" i="28" s="1"/>
  <c r="U214" i="28"/>
  <c r="AI174" i="28"/>
  <c r="AB206" i="28"/>
  <c r="AE206" i="28" s="1"/>
  <c r="AF210" i="28" s="1"/>
  <c r="AG210" i="28" s="1"/>
  <c r="AH210" i="28" s="1"/>
  <c r="AC213" i="28"/>
  <c r="AD211" i="28"/>
  <c r="AI176" i="28"/>
  <c r="K228" i="28"/>
  <c r="AA208" i="28"/>
  <c r="V208" i="28"/>
  <c r="W207" i="28"/>
  <c r="Z206" i="28"/>
  <c r="M219" i="28"/>
  <c r="M211" i="28"/>
  <c r="M221" i="28"/>
  <c r="M209" i="28"/>
  <c r="R209" i="28" s="1"/>
  <c r="M217" i="28"/>
  <c r="M222" i="28"/>
  <c r="M214" i="28"/>
  <c r="M220" i="28"/>
  <c r="M212" i="28"/>
  <c r="M218" i="28"/>
  <c r="M210" i="28"/>
  <c r="M216" i="28"/>
  <c r="M213" i="28"/>
  <c r="M215" i="28"/>
  <c r="F17" i="28"/>
  <c r="N208" i="28"/>
  <c r="S208" i="28" s="1"/>
  <c r="D224" i="28"/>
  <c r="C224" i="28" s="1"/>
  <c r="X214" i="28"/>
  <c r="Y212" i="28"/>
  <c r="E220" i="27"/>
  <c r="I225" i="27" s="1"/>
  <c r="F220" i="27"/>
  <c r="J225" i="27" s="1"/>
  <c r="G220" i="27"/>
  <c r="K225" i="27" s="1"/>
  <c r="H220" i="27"/>
  <c r="L225" i="27" s="1"/>
  <c r="Y207" i="27"/>
  <c r="AD207" i="27" s="1"/>
  <c r="U208" i="27"/>
  <c r="AH206" i="27"/>
  <c r="AG207" i="27"/>
  <c r="T211" i="27"/>
  <c r="X210" i="27"/>
  <c r="AC210" i="27" s="1"/>
  <c r="AA205" i="27"/>
  <c r="V205" i="27"/>
  <c r="D221" i="27"/>
  <c r="W204" i="27"/>
  <c r="AB204" i="27" s="1"/>
  <c r="AE204" i="27" s="1"/>
  <c r="AF208" i="27" s="1"/>
  <c r="D17" i="27"/>
  <c r="M208" i="27"/>
  <c r="M207" i="27"/>
  <c r="N205" i="27"/>
  <c r="M206" i="27"/>
  <c r="M209" i="27"/>
  <c r="M212" i="27"/>
  <c r="M210" i="27"/>
  <c r="M215" i="27"/>
  <c r="M218" i="27"/>
  <c r="M217" i="27"/>
  <c r="M219" i="27"/>
  <c r="M211" i="27"/>
  <c r="M214" i="27"/>
  <c r="M213" i="27"/>
  <c r="M216" i="27"/>
  <c r="Z203" i="27"/>
  <c r="H222" i="26"/>
  <c r="L237" i="26" s="1"/>
  <c r="G222" i="26"/>
  <c r="K237" i="26" s="1"/>
  <c r="E222" i="26"/>
  <c r="I237" i="26" s="1"/>
  <c r="F222" i="26"/>
  <c r="J237" i="26" s="1"/>
  <c r="U212" i="26"/>
  <c r="Y211" i="26"/>
  <c r="AD211" i="26" s="1"/>
  <c r="W207" i="26"/>
  <c r="AB207" i="26" s="1"/>
  <c r="S208" i="26"/>
  <c r="AA207" i="26"/>
  <c r="R208" i="26"/>
  <c r="V207" i="26"/>
  <c r="E221" i="26"/>
  <c r="I236" i="26" s="1"/>
  <c r="H221" i="26"/>
  <c r="L236" i="26" s="1"/>
  <c r="G221" i="26"/>
  <c r="K236" i="26" s="1"/>
  <c r="F221" i="26"/>
  <c r="J236" i="26" s="1"/>
  <c r="D223" i="26"/>
  <c r="Z206" i="26"/>
  <c r="AE206" i="26"/>
  <c r="T212" i="26"/>
  <c r="X211" i="26"/>
  <c r="AC211" i="26" s="1"/>
  <c r="T210" i="24"/>
  <c r="X209" i="24"/>
  <c r="AC209" i="24" s="1"/>
  <c r="AH210" i="24"/>
  <c r="AB207" i="24"/>
  <c r="AE207" i="24" s="1"/>
  <c r="AF211" i="24" s="1"/>
  <c r="AG211" i="24" s="1"/>
  <c r="Z207" i="24"/>
  <c r="D223" i="24"/>
  <c r="S208" i="24"/>
  <c r="W208" i="24" s="1"/>
  <c r="C222" i="24"/>
  <c r="U210" i="24"/>
  <c r="Y209" i="24"/>
  <c r="AD209" i="24" s="1"/>
  <c r="R211" i="24"/>
  <c r="AA210" i="24"/>
  <c r="V210" i="24"/>
  <c r="R210" i="28" l="1"/>
  <c r="E224" i="28"/>
  <c r="I229" i="28" s="1"/>
  <c r="F224" i="28"/>
  <c r="J229" i="28" s="1"/>
  <c r="G224" i="28"/>
  <c r="H224" i="28"/>
  <c r="L229" i="28" s="1"/>
  <c r="R211" i="28"/>
  <c r="R212" i="28" s="1"/>
  <c r="R213" i="28" s="1"/>
  <c r="R214" i="28" s="1"/>
  <c r="R215" i="28" s="1"/>
  <c r="R216" i="28" s="1"/>
  <c r="R217" i="28" s="1"/>
  <c r="R218" i="28" s="1"/>
  <c r="R219" i="28" s="1"/>
  <c r="R220" i="28" s="1"/>
  <c r="R221" i="28" s="1"/>
  <c r="R222" i="28" s="1"/>
  <c r="AE207" i="26"/>
  <c r="U215" i="28"/>
  <c r="AI177" i="28"/>
  <c r="D14" i="28" s="1"/>
  <c r="AB207" i="28"/>
  <c r="AE207" i="28" s="1"/>
  <c r="AF211" i="28" s="1"/>
  <c r="AG211" i="28" s="1"/>
  <c r="AH211" i="28" s="1"/>
  <c r="AC214" i="28"/>
  <c r="AD212" i="28"/>
  <c r="Z207" i="28"/>
  <c r="C16" i="28" s="1"/>
  <c r="K229" i="28"/>
  <c r="W208" i="28"/>
  <c r="X215" i="28"/>
  <c r="V209" i="28"/>
  <c r="AA209" i="28"/>
  <c r="Y213" i="28"/>
  <c r="N220" i="28"/>
  <c r="Q220" i="28" s="1"/>
  <c r="N209" i="28"/>
  <c r="Q209" i="28" s="1"/>
  <c r="N217" i="28"/>
  <c r="Q217" i="28" s="1"/>
  <c r="N222" i="28"/>
  <c r="Q222" i="28" s="1"/>
  <c r="N214" i="28"/>
  <c r="Q214" i="28" s="1"/>
  <c r="N215" i="28"/>
  <c r="Q215" i="28" s="1"/>
  <c r="N213" i="28"/>
  <c r="Q213" i="28" s="1"/>
  <c r="N219" i="28"/>
  <c r="Q219" i="28" s="1"/>
  <c r="N218" i="28"/>
  <c r="Q218" i="28" s="1"/>
  <c r="N216" i="28"/>
  <c r="Q216" i="28" s="1"/>
  <c r="N212" i="28"/>
  <c r="Q212" i="28" s="1"/>
  <c r="N211" i="28"/>
  <c r="Q211" i="28" s="1"/>
  <c r="N221" i="28"/>
  <c r="Q221" i="28" s="1"/>
  <c r="N210" i="28"/>
  <c r="Q210" i="28" s="1"/>
  <c r="G17" i="28"/>
  <c r="D225" i="28"/>
  <c r="C225" i="28" s="1"/>
  <c r="Q208" i="28"/>
  <c r="AI191" i="27"/>
  <c r="AI181" i="24"/>
  <c r="Z204" i="27"/>
  <c r="I16" i="27" s="1"/>
  <c r="E17" i="27"/>
  <c r="N216" i="27"/>
  <c r="Q216" i="27" s="1"/>
  <c r="N207" i="27"/>
  <c r="Q207" i="27" s="1"/>
  <c r="N215" i="27"/>
  <c r="Q215" i="27" s="1"/>
  <c r="N218" i="27"/>
  <c r="Q218" i="27" s="1"/>
  <c r="N208" i="27"/>
  <c r="Q208" i="27" s="1"/>
  <c r="N210" i="27"/>
  <c r="Q210" i="27" s="1"/>
  <c r="N206" i="27"/>
  <c r="Q206" i="27" s="1"/>
  <c r="N209" i="27"/>
  <c r="Q209" i="27" s="1"/>
  <c r="N217" i="27"/>
  <c r="Q217" i="27" s="1"/>
  <c r="N219" i="27"/>
  <c r="Q219" i="27" s="1"/>
  <c r="N211" i="27"/>
  <c r="Q211" i="27" s="1"/>
  <c r="N212" i="27"/>
  <c r="N214" i="27"/>
  <c r="Q214" i="27" s="1"/>
  <c r="N213" i="27"/>
  <c r="Q213" i="27" s="1"/>
  <c r="X211" i="27"/>
  <c r="AC211" i="27" s="1"/>
  <c r="T212" i="27"/>
  <c r="AG208" i="27"/>
  <c r="AH207" i="27"/>
  <c r="AI192" i="27" s="1"/>
  <c r="S205" i="27"/>
  <c r="Y208" i="27"/>
  <c r="AD208" i="27" s="1"/>
  <c r="U209" i="27"/>
  <c r="D222" i="27"/>
  <c r="C222" i="27" s="1"/>
  <c r="Q212" i="27"/>
  <c r="C221" i="27"/>
  <c r="R206" i="27"/>
  <c r="Q205" i="27"/>
  <c r="Z207" i="26"/>
  <c r="R209" i="26"/>
  <c r="V208" i="26"/>
  <c r="AA208" i="26"/>
  <c r="T213" i="26"/>
  <c r="X212" i="26"/>
  <c r="AC212" i="26" s="1"/>
  <c r="W208" i="26"/>
  <c r="AB208" i="26" s="1"/>
  <c r="S209" i="26"/>
  <c r="D224" i="26"/>
  <c r="C224" i="26" s="1"/>
  <c r="C223" i="26"/>
  <c r="U213" i="26"/>
  <c r="Y212" i="26"/>
  <c r="AD212" i="26" s="1"/>
  <c r="S209" i="24"/>
  <c r="W209" i="24" s="1"/>
  <c r="AB209" i="24" s="1"/>
  <c r="AE209" i="24" s="1"/>
  <c r="AF213" i="24" s="1"/>
  <c r="AH211" i="24"/>
  <c r="E222" i="24"/>
  <c r="I227" i="24" s="1"/>
  <c r="G222" i="24"/>
  <c r="K227" i="24" s="1"/>
  <c r="F222" i="24"/>
  <c r="J227" i="24" s="1"/>
  <c r="H222" i="24"/>
  <c r="L227" i="24" s="1"/>
  <c r="AB208" i="24"/>
  <c r="AE208" i="24" s="1"/>
  <c r="AF212" i="24" s="1"/>
  <c r="AG212" i="24" s="1"/>
  <c r="Z208" i="24"/>
  <c r="D224" i="24"/>
  <c r="C224" i="24" s="1"/>
  <c r="C223" i="24"/>
  <c r="R212" i="24"/>
  <c r="V211" i="24"/>
  <c r="AA211" i="24"/>
  <c r="Y210" i="24"/>
  <c r="AD210" i="24" s="1"/>
  <c r="U211" i="24"/>
  <c r="X210" i="24"/>
  <c r="AC210" i="24" s="1"/>
  <c r="T211" i="24"/>
  <c r="F225" i="28" l="1"/>
  <c r="J230" i="28" s="1"/>
  <c r="G225" i="28"/>
  <c r="K230" i="28" s="1"/>
  <c r="H225" i="28"/>
  <c r="L230" i="28" s="1"/>
  <c r="E225" i="28"/>
  <c r="I230" i="28" s="1"/>
  <c r="U216" i="28"/>
  <c r="S209" i="28"/>
  <c r="S210" i="28" s="1"/>
  <c r="S211" i="28" s="1"/>
  <c r="S212" i="28" s="1"/>
  <c r="S213" i="28" s="1"/>
  <c r="S214" i="28" s="1"/>
  <c r="S215" i="28" s="1"/>
  <c r="AB208" i="28"/>
  <c r="AE208" i="28" s="1"/>
  <c r="AF212" i="28" s="1"/>
  <c r="AG212" i="28" s="1"/>
  <c r="AH212" i="28" s="1"/>
  <c r="AD213" i="28"/>
  <c r="AC215" i="28"/>
  <c r="W209" i="28"/>
  <c r="X216" i="28"/>
  <c r="Y214" i="28"/>
  <c r="Z208" i="28"/>
  <c r="D226" i="28"/>
  <c r="AA210" i="28"/>
  <c r="V210" i="28"/>
  <c r="S210" i="24"/>
  <c r="W210" i="24" s="1"/>
  <c r="AB210" i="24" s="1"/>
  <c r="Z209" i="24"/>
  <c r="AI182" i="24"/>
  <c r="AH208" i="27"/>
  <c r="D223" i="27"/>
  <c r="C223" i="27" s="1"/>
  <c r="T213" i="27"/>
  <c r="X212" i="27"/>
  <c r="AC212" i="27" s="1"/>
  <c r="Y209" i="27"/>
  <c r="AD209" i="27" s="1"/>
  <c r="U210" i="27"/>
  <c r="V206" i="27"/>
  <c r="AA206" i="27"/>
  <c r="R207" i="27"/>
  <c r="F222" i="27"/>
  <c r="J227" i="27" s="1"/>
  <c r="E222" i="27"/>
  <c r="I227" i="27" s="1"/>
  <c r="H222" i="27"/>
  <c r="L227" i="27" s="1"/>
  <c r="G222" i="27"/>
  <c r="K227" i="27" s="1"/>
  <c r="W205" i="27"/>
  <c r="S206" i="27"/>
  <c r="H221" i="27"/>
  <c r="L226" i="27" s="1"/>
  <c r="E221" i="27"/>
  <c r="I226" i="27" s="1"/>
  <c r="F221" i="27"/>
  <c r="J226" i="27" s="1"/>
  <c r="G221" i="27"/>
  <c r="K226" i="27" s="1"/>
  <c r="U214" i="26"/>
  <c r="Y213" i="26"/>
  <c r="AD213" i="26" s="1"/>
  <c r="H223" i="26"/>
  <c r="L238" i="26" s="1"/>
  <c r="G223" i="26"/>
  <c r="K238" i="26" s="1"/>
  <c r="F223" i="26"/>
  <c r="J238" i="26" s="1"/>
  <c r="E223" i="26"/>
  <c r="I238" i="26" s="1"/>
  <c r="H224" i="26"/>
  <c r="L239" i="26" s="1"/>
  <c r="F224" i="26"/>
  <c r="J239" i="26" s="1"/>
  <c r="E224" i="26"/>
  <c r="I239" i="26" s="1"/>
  <c r="G224" i="26"/>
  <c r="K239" i="26" s="1"/>
  <c r="D225" i="26"/>
  <c r="C225" i="26" s="1"/>
  <c r="W209" i="26"/>
  <c r="AB209" i="26" s="1"/>
  <c r="S210" i="26"/>
  <c r="T214" i="26"/>
  <c r="X213" i="26"/>
  <c r="AC213" i="26" s="1"/>
  <c r="AE208" i="26"/>
  <c r="Z208" i="26"/>
  <c r="AA209" i="26"/>
  <c r="R210" i="26"/>
  <c r="V209" i="26"/>
  <c r="AE210" i="24"/>
  <c r="AF214" i="24" s="1"/>
  <c r="AG213" i="24"/>
  <c r="AH212" i="24"/>
  <c r="H223" i="24"/>
  <c r="L228" i="24" s="1"/>
  <c r="G223" i="24"/>
  <c r="K228" i="24" s="1"/>
  <c r="F223" i="24"/>
  <c r="J228" i="24" s="1"/>
  <c r="E223" i="24"/>
  <c r="I228" i="24" s="1"/>
  <c r="E224" i="24"/>
  <c r="I229" i="24" s="1"/>
  <c r="H224" i="24"/>
  <c r="L229" i="24" s="1"/>
  <c r="G224" i="24"/>
  <c r="K229" i="24" s="1"/>
  <c r="F224" i="24"/>
  <c r="J229" i="24" s="1"/>
  <c r="U212" i="24"/>
  <c r="S211" i="24"/>
  <c r="W211" i="24" s="1"/>
  <c r="AB211" i="24" s="1"/>
  <c r="Y211" i="24"/>
  <c r="AD211" i="24" s="1"/>
  <c r="D225" i="24"/>
  <c r="C225" i="24" s="1"/>
  <c r="V212" i="24"/>
  <c r="R213" i="24"/>
  <c r="AA212" i="24"/>
  <c r="T212" i="24"/>
  <c r="X211" i="24"/>
  <c r="AC211" i="24" s="1"/>
  <c r="Z210" i="24"/>
  <c r="Z209" i="26" l="1"/>
  <c r="AE209" i="26"/>
  <c r="S216" i="28"/>
  <c r="U217" i="28"/>
  <c r="AC216" i="28"/>
  <c r="AD214" i="28"/>
  <c r="AB209" i="28"/>
  <c r="AE209" i="28" s="1"/>
  <c r="AF213" i="28" s="1"/>
  <c r="AG213" i="28" s="1"/>
  <c r="AH213" i="28" s="1"/>
  <c r="W210" i="28"/>
  <c r="X217" i="28"/>
  <c r="D227" i="28"/>
  <c r="C227" i="28" s="1"/>
  <c r="C226" i="28"/>
  <c r="Z209" i="28"/>
  <c r="AA211" i="28"/>
  <c r="V211" i="28"/>
  <c r="Y215" i="28"/>
  <c r="AI193" i="27"/>
  <c r="AI194" i="27"/>
  <c r="F223" i="27"/>
  <c r="J228" i="27" s="1"/>
  <c r="E223" i="27"/>
  <c r="I228" i="27" s="1"/>
  <c r="G223" i="27"/>
  <c r="K228" i="27" s="1"/>
  <c r="H223" i="27"/>
  <c r="L228" i="27" s="1"/>
  <c r="U211" i="27"/>
  <c r="Y210" i="27"/>
  <c r="AD210" i="27" s="1"/>
  <c r="W206" i="27"/>
  <c r="AB206" i="27" s="1"/>
  <c r="AE206" i="27" s="1"/>
  <c r="AF210" i="27" s="1"/>
  <c r="S207" i="27"/>
  <c r="AB205" i="27"/>
  <c r="AE205" i="27" s="1"/>
  <c r="AF209" i="27" s="1"/>
  <c r="AG209" i="27" s="1"/>
  <c r="Z205" i="27"/>
  <c r="X213" i="27"/>
  <c r="AC213" i="27" s="1"/>
  <c r="T214" i="27"/>
  <c r="D224" i="27"/>
  <c r="AA207" i="27"/>
  <c r="R208" i="27"/>
  <c r="V207" i="27"/>
  <c r="E225" i="26"/>
  <c r="I240" i="26" s="1"/>
  <c r="G225" i="26"/>
  <c r="K240" i="26" s="1"/>
  <c r="F225" i="26"/>
  <c r="J240" i="26" s="1"/>
  <c r="H225" i="26"/>
  <c r="L240" i="26" s="1"/>
  <c r="AA210" i="26"/>
  <c r="R211" i="26"/>
  <c r="V210" i="26"/>
  <c r="X214" i="26"/>
  <c r="AC214" i="26" s="1"/>
  <c r="T215" i="26"/>
  <c r="W210" i="26"/>
  <c r="AB210" i="26" s="1"/>
  <c r="S211" i="26"/>
  <c r="D226" i="26"/>
  <c r="C226" i="26" s="1"/>
  <c r="Y214" i="26"/>
  <c r="AD214" i="26" s="1"/>
  <c r="U215" i="26"/>
  <c r="AE211" i="24"/>
  <c r="AF215" i="24" s="1"/>
  <c r="E225" i="24"/>
  <c r="I230" i="24" s="1"/>
  <c r="H225" i="24"/>
  <c r="L230" i="24" s="1"/>
  <c r="G225" i="24"/>
  <c r="K230" i="24" s="1"/>
  <c r="F225" i="24"/>
  <c r="J230" i="24" s="1"/>
  <c r="Y212" i="24"/>
  <c r="AD212" i="24" s="1"/>
  <c r="S212" i="24"/>
  <c r="W212" i="24" s="1"/>
  <c r="AB212" i="24" s="1"/>
  <c r="U213" i="24"/>
  <c r="Z211" i="24"/>
  <c r="V213" i="24"/>
  <c r="AA213" i="24"/>
  <c r="R214" i="24"/>
  <c r="T213" i="24"/>
  <c r="X212" i="24"/>
  <c r="AC212" i="24" s="1"/>
  <c r="D226" i="24"/>
  <c r="C226" i="24" s="1"/>
  <c r="AH213" i="24"/>
  <c r="AI183" i="24" s="1"/>
  <c r="AG214" i="24"/>
  <c r="E226" i="28" l="1"/>
  <c r="I231" i="28" s="1"/>
  <c r="F226" i="28"/>
  <c r="J231" i="28" s="1"/>
  <c r="G226" i="28"/>
  <c r="H226" i="28"/>
  <c r="E227" i="28"/>
  <c r="I232" i="28" s="1"/>
  <c r="F227" i="28"/>
  <c r="J232" i="28" s="1"/>
  <c r="G227" i="28"/>
  <c r="K232" i="28" s="1"/>
  <c r="H227" i="28"/>
  <c r="L232" i="28" s="1"/>
  <c r="U218" i="28"/>
  <c r="S217" i="28"/>
  <c r="AC217" i="28"/>
  <c r="AD215" i="28"/>
  <c r="AI179" i="28"/>
  <c r="AB210" i="28"/>
  <c r="AE210" i="28" s="1"/>
  <c r="AF214" i="28" s="1"/>
  <c r="AG214" i="28" s="1"/>
  <c r="AH214" i="28" s="1"/>
  <c r="AI178" i="28"/>
  <c r="L231" i="28"/>
  <c r="K231" i="28"/>
  <c r="Y216" i="28"/>
  <c r="D228" i="28"/>
  <c r="C228" i="28" s="1"/>
  <c r="AA212" i="28"/>
  <c r="V212" i="28"/>
  <c r="X218" i="28"/>
  <c r="W211" i="28"/>
  <c r="Z210" i="28"/>
  <c r="AE212" i="24"/>
  <c r="AF216" i="24" s="1"/>
  <c r="AG210" i="27"/>
  <c r="AH209" i="27"/>
  <c r="AI195" i="27" s="1"/>
  <c r="W207" i="27"/>
  <c r="AB207" i="27" s="1"/>
  <c r="AE207" i="27" s="1"/>
  <c r="AF211" i="27" s="1"/>
  <c r="S208" i="27"/>
  <c r="U212" i="27"/>
  <c r="Y211" i="27"/>
  <c r="AD211" i="27" s="1"/>
  <c r="AA208" i="27"/>
  <c r="V208" i="27"/>
  <c r="R209" i="27"/>
  <c r="Z206" i="27"/>
  <c r="D225" i="27"/>
  <c r="C225" i="27" s="1"/>
  <c r="C224" i="27"/>
  <c r="X214" i="27"/>
  <c r="AC214" i="27" s="1"/>
  <c r="T215" i="27"/>
  <c r="W211" i="26"/>
  <c r="AB211" i="26" s="1"/>
  <c r="S212" i="26"/>
  <c r="T216" i="26"/>
  <c r="X215" i="26"/>
  <c r="AC215" i="26" s="1"/>
  <c r="Z210" i="26"/>
  <c r="AA211" i="26"/>
  <c r="R212" i="26"/>
  <c r="V211" i="26"/>
  <c r="AE210" i="26"/>
  <c r="U216" i="26"/>
  <c r="Y215" i="26"/>
  <c r="AD215" i="26" s="1"/>
  <c r="D227" i="26"/>
  <c r="H226" i="26"/>
  <c r="L241" i="26" s="1"/>
  <c r="G226" i="26"/>
  <c r="K241" i="26" s="1"/>
  <c r="F226" i="26"/>
  <c r="J241" i="26" s="1"/>
  <c r="E226" i="26"/>
  <c r="I241" i="26" s="1"/>
  <c r="Z212" i="24"/>
  <c r="AG215" i="24"/>
  <c r="AH214" i="24"/>
  <c r="S213" i="24"/>
  <c r="W213" i="24" s="1"/>
  <c r="AB213" i="24" s="1"/>
  <c r="U214" i="24"/>
  <c r="Y213" i="24"/>
  <c r="AD213" i="24" s="1"/>
  <c r="G226" i="24"/>
  <c r="K231" i="24" s="1"/>
  <c r="F226" i="24"/>
  <c r="J231" i="24" s="1"/>
  <c r="H226" i="24"/>
  <c r="L231" i="24" s="1"/>
  <c r="E226" i="24"/>
  <c r="I231" i="24" s="1"/>
  <c r="D227" i="24"/>
  <c r="C227" i="24" s="1"/>
  <c r="T214" i="24"/>
  <c r="X213" i="24"/>
  <c r="AC213" i="24" s="1"/>
  <c r="R215" i="24"/>
  <c r="AA214" i="24"/>
  <c r="V214" i="24"/>
  <c r="Z211" i="26" l="1"/>
  <c r="AE211" i="26"/>
  <c r="F228" i="28"/>
  <c r="J233" i="28" s="1"/>
  <c r="G228" i="28"/>
  <c r="K233" i="28" s="1"/>
  <c r="H228" i="28"/>
  <c r="E228" i="28"/>
  <c r="S218" i="28"/>
  <c r="U219" i="28"/>
  <c r="AI180" i="28"/>
  <c r="AD216" i="28"/>
  <c r="AB211" i="28"/>
  <c r="AE211" i="28" s="1"/>
  <c r="AF215" i="28" s="1"/>
  <c r="AG215" i="28" s="1"/>
  <c r="AH215" i="28" s="1"/>
  <c r="AC218" i="28"/>
  <c r="W212" i="28"/>
  <c r="Z212" i="28" s="1"/>
  <c r="Y217" i="28"/>
  <c r="X219" i="28"/>
  <c r="V213" i="28"/>
  <c r="AA213" i="28"/>
  <c r="Z211" i="28"/>
  <c r="D229" i="28"/>
  <c r="L233" i="28"/>
  <c r="I233" i="28"/>
  <c r="AI184" i="24"/>
  <c r="Z213" i="24"/>
  <c r="Z207" i="27"/>
  <c r="Y212" i="27"/>
  <c r="AD212" i="27" s="1"/>
  <c r="U213" i="27"/>
  <c r="X215" i="27"/>
  <c r="AC215" i="27" s="1"/>
  <c r="T216" i="27"/>
  <c r="F224" i="27"/>
  <c r="J229" i="27" s="1"/>
  <c r="H224" i="27"/>
  <c r="L229" i="27" s="1"/>
  <c r="E224" i="27"/>
  <c r="I229" i="27" s="1"/>
  <c r="G224" i="27"/>
  <c r="K229" i="27" s="1"/>
  <c r="W208" i="27"/>
  <c r="AB208" i="27" s="1"/>
  <c r="AE208" i="27" s="1"/>
  <c r="AF212" i="27" s="1"/>
  <c r="S209" i="27"/>
  <c r="H225" i="27"/>
  <c r="L230" i="27" s="1"/>
  <c r="E225" i="27"/>
  <c r="I230" i="27" s="1"/>
  <c r="F225" i="27"/>
  <c r="J230" i="27" s="1"/>
  <c r="G225" i="27"/>
  <c r="K230" i="27" s="1"/>
  <c r="D226" i="27"/>
  <c r="AG211" i="27"/>
  <c r="AH210" i="27"/>
  <c r="AA209" i="27"/>
  <c r="V209" i="27"/>
  <c r="R210" i="27"/>
  <c r="U217" i="26"/>
  <c r="Y216" i="26"/>
  <c r="AD216" i="26" s="1"/>
  <c r="AA212" i="26"/>
  <c r="V212" i="26"/>
  <c r="R213" i="26"/>
  <c r="T217" i="26"/>
  <c r="X216" i="26"/>
  <c r="AC216" i="26" s="1"/>
  <c r="D228" i="26"/>
  <c r="C228" i="26" s="1"/>
  <c r="W212" i="26"/>
  <c r="AB212" i="26" s="1"/>
  <c r="S213" i="26"/>
  <c r="C227" i="26"/>
  <c r="AE213" i="24"/>
  <c r="AF217" i="24" s="1"/>
  <c r="F227" i="24"/>
  <c r="J232" i="24" s="1"/>
  <c r="E227" i="24"/>
  <c r="I232" i="24" s="1"/>
  <c r="H227" i="24"/>
  <c r="L232" i="24" s="1"/>
  <c r="G227" i="24"/>
  <c r="K232" i="24" s="1"/>
  <c r="Y214" i="24"/>
  <c r="AD214" i="24" s="1"/>
  <c r="U215" i="24"/>
  <c r="S214" i="24"/>
  <c r="W214" i="24" s="1"/>
  <c r="AB214" i="24" s="1"/>
  <c r="AA215" i="24"/>
  <c r="R216" i="24"/>
  <c r="V215" i="24"/>
  <c r="X214" i="24"/>
  <c r="AC214" i="24" s="1"/>
  <c r="T215" i="24"/>
  <c r="AG216" i="24"/>
  <c r="AH215" i="24"/>
  <c r="AI185" i="24" s="1"/>
  <c r="D228" i="24"/>
  <c r="C228" i="24" s="1"/>
  <c r="S219" i="28" l="1"/>
  <c r="U220" i="28"/>
  <c r="AC219" i="28"/>
  <c r="AD217" i="28"/>
  <c r="AB212" i="28"/>
  <c r="AE212" i="28" s="1"/>
  <c r="AF216" i="28" s="1"/>
  <c r="AG216" i="28" s="1"/>
  <c r="AH216" i="28" s="1"/>
  <c r="X220" i="28"/>
  <c r="Y218" i="28"/>
  <c r="D230" i="28"/>
  <c r="W213" i="28"/>
  <c r="C229" i="28"/>
  <c r="AA214" i="28"/>
  <c r="V214" i="28"/>
  <c r="AI196" i="27"/>
  <c r="AG212" i="27"/>
  <c r="AH211" i="27"/>
  <c r="AI197" i="27" s="1"/>
  <c r="X216" i="27"/>
  <c r="AC216" i="27" s="1"/>
  <c r="T217" i="27"/>
  <c r="D227" i="27"/>
  <c r="C227" i="27" s="1"/>
  <c r="C226" i="27"/>
  <c r="Y213" i="27"/>
  <c r="AD213" i="27" s="1"/>
  <c r="U214" i="27"/>
  <c r="AA210" i="27"/>
  <c r="R211" i="27"/>
  <c r="V210" i="27"/>
  <c r="W209" i="27"/>
  <c r="AB209" i="27" s="1"/>
  <c r="AE209" i="27" s="1"/>
  <c r="AF213" i="27" s="1"/>
  <c r="S210" i="27"/>
  <c r="Z208" i="27"/>
  <c r="W213" i="26"/>
  <c r="AB213" i="26" s="1"/>
  <c r="S214" i="26"/>
  <c r="D229" i="26"/>
  <c r="H228" i="26"/>
  <c r="L243" i="26" s="1"/>
  <c r="G228" i="26"/>
  <c r="K243" i="26" s="1"/>
  <c r="F228" i="26"/>
  <c r="J243" i="26" s="1"/>
  <c r="E228" i="26"/>
  <c r="I243" i="26" s="1"/>
  <c r="T218" i="26"/>
  <c r="X217" i="26"/>
  <c r="AC217" i="26" s="1"/>
  <c r="AA213" i="26"/>
  <c r="R214" i="26"/>
  <c r="V213" i="26"/>
  <c r="Z212" i="26"/>
  <c r="AE212" i="26"/>
  <c r="U218" i="26"/>
  <c r="Y217" i="26"/>
  <c r="AD217" i="26" s="1"/>
  <c r="H227" i="26"/>
  <c r="L242" i="26" s="1"/>
  <c r="G227" i="26"/>
  <c r="K242" i="26" s="1"/>
  <c r="F227" i="26"/>
  <c r="J242" i="26" s="1"/>
  <c r="E227" i="26"/>
  <c r="I242" i="26" s="1"/>
  <c r="AE214" i="24"/>
  <c r="AF218" i="24" s="1"/>
  <c r="S215" i="24"/>
  <c r="W215" i="24" s="1"/>
  <c r="AB215" i="24" s="1"/>
  <c r="U216" i="24"/>
  <c r="Y215" i="24"/>
  <c r="AD215" i="24" s="1"/>
  <c r="R217" i="24"/>
  <c r="AA216" i="24"/>
  <c r="V216" i="24"/>
  <c r="F228" i="24"/>
  <c r="J233" i="24" s="1"/>
  <c r="E228" i="24"/>
  <c r="I233" i="24" s="1"/>
  <c r="H228" i="24"/>
  <c r="L233" i="24" s="1"/>
  <c r="G228" i="24"/>
  <c r="K233" i="24" s="1"/>
  <c r="D229" i="24"/>
  <c r="Z214" i="24"/>
  <c r="AH216" i="24"/>
  <c r="AG217" i="24"/>
  <c r="X215" i="24"/>
  <c r="AC215" i="24" s="1"/>
  <c r="T216" i="24"/>
  <c r="E229" i="28" l="1"/>
  <c r="I234" i="28" s="1"/>
  <c r="F229" i="28"/>
  <c r="J234" i="28" s="1"/>
  <c r="G229" i="28"/>
  <c r="H229" i="28"/>
  <c r="L234" i="28" s="1"/>
  <c r="Z213" i="26"/>
  <c r="AE213" i="26"/>
  <c r="U221" i="28"/>
  <c r="S220" i="28"/>
  <c r="AD218" i="28"/>
  <c r="AB213" i="28"/>
  <c r="AE213" i="28" s="1"/>
  <c r="AF217" i="28" s="1"/>
  <c r="AG217" i="28" s="1"/>
  <c r="AH217" i="28" s="1"/>
  <c r="AI186" i="28" s="1"/>
  <c r="AC220" i="28"/>
  <c r="AI181" i="28"/>
  <c r="AI182" i="28"/>
  <c r="D231" i="28"/>
  <c r="C231" i="28" s="1"/>
  <c r="W214" i="28"/>
  <c r="Y219" i="28"/>
  <c r="V215" i="28"/>
  <c r="AA215" i="28"/>
  <c r="X221" i="28"/>
  <c r="C230" i="28"/>
  <c r="K234" i="28"/>
  <c r="Z213" i="28"/>
  <c r="U215" i="27"/>
  <c r="Y214" i="27"/>
  <c r="AD214" i="27" s="1"/>
  <c r="E226" i="27"/>
  <c r="I231" i="27" s="1"/>
  <c r="F226" i="27"/>
  <c r="J231" i="27" s="1"/>
  <c r="G226" i="27"/>
  <c r="K231" i="27" s="1"/>
  <c r="H226" i="27"/>
  <c r="L231" i="27" s="1"/>
  <c r="G227" i="27"/>
  <c r="K232" i="27" s="1"/>
  <c r="E227" i="27"/>
  <c r="I232" i="27" s="1"/>
  <c r="F227" i="27"/>
  <c r="J232" i="27" s="1"/>
  <c r="H227" i="27"/>
  <c r="L232" i="27" s="1"/>
  <c r="D228" i="27"/>
  <c r="C228" i="27" s="1"/>
  <c r="Z209" i="27"/>
  <c r="T218" i="27"/>
  <c r="X217" i="27"/>
  <c r="AC217" i="27" s="1"/>
  <c r="W210" i="27"/>
  <c r="AB210" i="27" s="1"/>
  <c r="AE210" i="27" s="1"/>
  <c r="AF214" i="27" s="1"/>
  <c r="S211" i="27"/>
  <c r="AH212" i="27"/>
  <c r="AG213" i="27"/>
  <c r="V211" i="27"/>
  <c r="AA211" i="27"/>
  <c r="R212" i="27"/>
  <c r="R215" i="26"/>
  <c r="AA214" i="26"/>
  <c r="V214" i="26"/>
  <c r="T219" i="26"/>
  <c r="X218" i="26"/>
  <c r="AC218" i="26" s="1"/>
  <c r="U219" i="26"/>
  <c r="Y218" i="26"/>
  <c r="AD218" i="26" s="1"/>
  <c r="D230" i="26"/>
  <c r="C230" i="26" s="1"/>
  <c r="C229" i="26"/>
  <c r="W214" i="26"/>
  <c r="AB214" i="26" s="1"/>
  <c r="S215" i="26"/>
  <c r="AE215" i="24"/>
  <c r="AF219" i="24" s="1"/>
  <c r="D230" i="24"/>
  <c r="C230" i="24" s="1"/>
  <c r="Z215" i="24"/>
  <c r="T217" i="24"/>
  <c r="X216" i="24"/>
  <c r="AC216" i="24" s="1"/>
  <c r="V217" i="24"/>
  <c r="AA217" i="24"/>
  <c r="R218" i="24"/>
  <c r="AG218" i="24"/>
  <c r="AH217" i="24"/>
  <c r="AI186" i="24" s="1"/>
  <c r="S216" i="24"/>
  <c r="W216" i="24" s="1"/>
  <c r="AB216" i="24" s="1"/>
  <c r="U217" i="24"/>
  <c r="Y216" i="24"/>
  <c r="AD216" i="24" s="1"/>
  <c r="C229" i="24"/>
  <c r="E230" i="28" l="1"/>
  <c r="I235" i="28" s="1"/>
  <c r="H230" i="28"/>
  <c r="L235" i="28" s="1"/>
  <c r="F230" i="28"/>
  <c r="J235" i="28" s="1"/>
  <c r="G230" i="28"/>
  <c r="K235" i="28" s="1"/>
  <c r="E231" i="28"/>
  <c r="I236" i="28" s="1"/>
  <c r="F231" i="28"/>
  <c r="J236" i="28" s="1"/>
  <c r="G231" i="28"/>
  <c r="K236" i="28" s="1"/>
  <c r="H231" i="28"/>
  <c r="L236" i="28" s="1"/>
  <c r="S221" i="28"/>
  <c r="U222" i="28"/>
  <c r="AC221" i="28"/>
  <c r="AD219" i="28"/>
  <c r="AB214" i="28"/>
  <c r="AE214" i="28" s="1"/>
  <c r="AF218" i="28" s="1"/>
  <c r="AG218" i="28" s="1"/>
  <c r="AH218" i="28" s="1"/>
  <c r="AI183" i="28"/>
  <c r="V216" i="28"/>
  <c r="AA216" i="28"/>
  <c r="Y220" i="28"/>
  <c r="W215" i="28"/>
  <c r="O223" i="28"/>
  <c r="T223" i="28" s="1"/>
  <c r="X222" i="28"/>
  <c r="D232" i="28"/>
  <c r="Z214" i="28"/>
  <c r="AI198" i="27"/>
  <c r="AH213" i="27"/>
  <c r="AI199" i="27" s="1"/>
  <c r="AG214" i="27"/>
  <c r="Z210" i="27"/>
  <c r="T219" i="27"/>
  <c r="X218" i="27"/>
  <c r="AC218" i="27" s="1"/>
  <c r="W211" i="27"/>
  <c r="AB211" i="27" s="1"/>
  <c r="AE211" i="27" s="1"/>
  <c r="AF215" i="27" s="1"/>
  <c r="S212" i="27"/>
  <c r="AA212" i="27"/>
  <c r="R213" i="27"/>
  <c r="V212" i="27"/>
  <c r="U216" i="27"/>
  <c r="Y215" i="27"/>
  <c r="AD215" i="27" s="1"/>
  <c r="F228" i="27"/>
  <c r="J233" i="27" s="1"/>
  <c r="G228" i="27"/>
  <c r="K233" i="27" s="1"/>
  <c r="H228" i="27"/>
  <c r="L233" i="27" s="1"/>
  <c r="E228" i="27"/>
  <c r="I233" i="27" s="1"/>
  <c r="D229" i="27"/>
  <c r="C229" i="27" s="1"/>
  <c r="H230" i="26"/>
  <c r="L245" i="26" s="1"/>
  <c r="G230" i="26"/>
  <c r="K245" i="26" s="1"/>
  <c r="F230" i="26"/>
  <c r="J245" i="26" s="1"/>
  <c r="E230" i="26"/>
  <c r="I245" i="26" s="1"/>
  <c r="F229" i="26"/>
  <c r="J244" i="26" s="1"/>
  <c r="E229" i="26"/>
  <c r="I244" i="26" s="1"/>
  <c r="H229" i="26"/>
  <c r="L244" i="26" s="1"/>
  <c r="G229" i="26"/>
  <c r="K244" i="26" s="1"/>
  <c r="D231" i="26"/>
  <c r="Y219" i="26"/>
  <c r="AD219" i="26" s="1"/>
  <c r="P220" i="26"/>
  <c r="U220" i="26" s="1"/>
  <c r="X219" i="26"/>
  <c r="AC219" i="26" s="1"/>
  <c r="O220" i="26"/>
  <c r="Z214" i="26"/>
  <c r="AE214" i="26"/>
  <c r="W215" i="26"/>
  <c r="AB215" i="26" s="1"/>
  <c r="S216" i="26"/>
  <c r="AA215" i="26"/>
  <c r="V215" i="26"/>
  <c r="Z215" i="26" s="1"/>
  <c r="R216" i="26"/>
  <c r="AE216" i="24"/>
  <c r="AF220" i="24" s="1"/>
  <c r="F230" i="24"/>
  <c r="J235" i="24" s="1"/>
  <c r="E230" i="24"/>
  <c r="I235" i="24" s="1"/>
  <c r="H230" i="24"/>
  <c r="L235" i="24" s="1"/>
  <c r="G230" i="24"/>
  <c r="K235" i="24" s="1"/>
  <c r="AH218" i="24"/>
  <c r="AI187" i="24" s="1"/>
  <c r="AG219" i="24"/>
  <c r="V218" i="24"/>
  <c r="R219" i="24"/>
  <c r="AA218" i="24"/>
  <c r="H229" i="24"/>
  <c r="L234" i="24" s="1"/>
  <c r="G229" i="24"/>
  <c r="K234" i="24" s="1"/>
  <c r="E229" i="24"/>
  <c r="I234" i="24" s="1"/>
  <c r="F229" i="24"/>
  <c r="J234" i="24" s="1"/>
  <c r="Z216" i="24"/>
  <c r="U218" i="24"/>
  <c r="S217" i="24"/>
  <c r="W217" i="24" s="1"/>
  <c r="AB217" i="24" s="1"/>
  <c r="Y217" i="24"/>
  <c r="AD217" i="24" s="1"/>
  <c r="T218" i="24"/>
  <c r="X217" i="24"/>
  <c r="AC217" i="24" s="1"/>
  <c r="D231" i="24"/>
  <c r="AE215" i="26" l="1"/>
  <c r="S222" i="28"/>
  <c r="AI187" i="28"/>
  <c r="AB215" i="28"/>
  <c r="AE215" i="28" s="1"/>
  <c r="AF219" i="28" s="1"/>
  <c r="AG219" i="28" s="1"/>
  <c r="AH219" i="28" s="1"/>
  <c r="AI184" i="28" s="1"/>
  <c r="AD220" i="28"/>
  <c r="AC222" i="28"/>
  <c r="Z215" i="28"/>
  <c r="AA217" i="28"/>
  <c r="V217" i="28"/>
  <c r="O232" i="28"/>
  <c r="O226" i="28"/>
  <c r="O229" i="28"/>
  <c r="O237" i="28"/>
  <c r="O234" i="28"/>
  <c r="O235" i="28"/>
  <c r="O230" i="28"/>
  <c r="O225" i="28"/>
  <c r="O224" i="28"/>
  <c r="T224" i="28" s="1"/>
  <c r="O236" i="28"/>
  <c r="O231" i="28"/>
  <c r="O233" i="28"/>
  <c r="O228" i="28"/>
  <c r="O227" i="28"/>
  <c r="H18" i="28"/>
  <c r="W216" i="28"/>
  <c r="Y221" i="28"/>
  <c r="D233" i="28"/>
  <c r="C233" i="28" s="1"/>
  <c r="C232" i="28"/>
  <c r="AE217" i="24"/>
  <c r="AF221" i="24" s="1"/>
  <c r="Z211" i="27"/>
  <c r="F229" i="27"/>
  <c r="J234" i="27" s="1"/>
  <c r="G229" i="27"/>
  <c r="K234" i="27" s="1"/>
  <c r="H229" i="27"/>
  <c r="L234" i="27" s="1"/>
  <c r="E229" i="27"/>
  <c r="I234" i="27" s="1"/>
  <c r="V213" i="27"/>
  <c r="AA213" i="27"/>
  <c r="R214" i="27"/>
  <c r="D230" i="27"/>
  <c r="C230" i="27" s="1"/>
  <c r="W212" i="27"/>
  <c r="AB212" i="27" s="1"/>
  <c r="AE212" i="27" s="1"/>
  <c r="AF216" i="27" s="1"/>
  <c r="S213" i="27"/>
  <c r="X219" i="27"/>
  <c r="AC219" i="27" s="1"/>
  <c r="O220" i="27"/>
  <c r="T220" i="27" s="1"/>
  <c r="AH214" i="27"/>
  <c r="AG215" i="27"/>
  <c r="U217" i="27"/>
  <c r="Y216" i="27"/>
  <c r="AD216" i="27" s="1"/>
  <c r="Y220" i="26"/>
  <c r="AD220" i="26" s="1"/>
  <c r="D232" i="26"/>
  <c r="C232" i="26" s="1"/>
  <c r="W216" i="26"/>
  <c r="AB216" i="26" s="1"/>
  <c r="S217" i="26"/>
  <c r="C231" i="26"/>
  <c r="O233" i="26"/>
  <c r="O231" i="26"/>
  <c r="O229" i="26"/>
  <c r="O227" i="26"/>
  <c r="O225" i="26"/>
  <c r="O223" i="26"/>
  <c r="O221" i="26"/>
  <c r="O234" i="26"/>
  <c r="O226" i="26"/>
  <c r="O230" i="26"/>
  <c r="O224" i="26"/>
  <c r="O232" i="26"/>
  <c r="O228" i="26"/>
  <c r="O222" i="26"/>
  <c r="F18" i="26"/>
  <c r="V216" i="26"/>
  <c r="R217" i="26"/>
  <c r="AA216" i="26"/>
  <c r="T220" i="26"/>
  <c r="P227" i="26"/>
  <c r="P234" i="26"/>
  <c r="P226" i="26"/>
  <c r="P233" i="26"/>
  <c r="P232" i="26"/>
  <c r="P221" i="26"/>
  <c r="U221" i="26" s="1"/>
  <c r="P229" i="26"/>
  <c r="P223" i="26"/>
  <c r="P231" i="26"/>
  <c r="P228" i="26"/>
  <c r="P225" i="26"/>
  <c r="P222" i="26"/>
  <c r="P230" i="26"/>
  <c r="G18" i="26"/>
  <c r="P224" i="26"/>
  <c r="Z217" i="24"/>
  <c r="AG220" i="24"/>
  <c r="AH219" i="24"/>
  <c r="M220" i="24"/>
  <c r="R220" i="24" s="1"/>
  <c r="AA219" i="24"/>
  <c r="V219" i="24"/>
  <c r="D232" i="24"/>
  <c r="T219" i="24"/>
  <c r="X218" i="24"/>
  <c r="AC218" i="24" s="1"/>
  <c r="S218" i="24"/>
  <c r="W218" i="24" s="1"/>
  <c r="AB218" i="24" s="1"/>
  <c r="Y218" i="24"/>
  <c r="AD218" i="24" s="1"/>
  <c r="U219" i="24"/>
  <c r="C231" i="24"/>
  <c r="Z216" i="26" l="1"/>
  <c r="T225" i="28"/>
  <c r="E232" i="28"/>
  <c r="I237" i="28" s="1"/>
  <c r="F232" i="28"/>
  <c r="J237" i="28" s="1"/>
  <c r="G232" i="28"/>
  <c r="K237" i="28" s="1"/>
  <c r="H232" i="28"/>
  <c r="L237" i="28" s="1"/>
  <c r="E233" i="28"/>
  <c r="I238" i="28" s="1"/>
  <c r="F233" i="28"/>
  <c r="J238" i="28" s="1"/>
  <c r="G233" i="28"/>
  <c r="K238" i="28" s="1"/>
  <c r="H233" i="28"/>
  <c r="L238" i="28" s="1"/>
  <c r="T226" i="28"/>
  <c r="T227" i="28" s="1"/>
  <c r="T228" i="28" s="1"/>
  <c r="T229" i="28" s="1"/>
  <c r="T230" i="28" s="1"/>
  <c r="T231" i="28" s="1"/>
  <c r="T232" i="28" s="1"/>
  <c r="T233" i="28" s="1"/>
  <c r="T234" i="28" s="1"/>
  <c r="T235" i="28" s="1"/>
  <c r="T236" i="28" s="1"/>
  <c r="AD221" i="28"/>
  <c r="AB216" i="28"/>
  <c r="AE216" i="28" s="1"/>
  <c r="AF220" i="28" s="1"/>
  <c r="AG220" i="28" s="1"/>
  <c r="AH220" i="28" s="1"/>
  <c r="Z216" i="28"/>
  <c r="D234" i="28"/>
  <c r="C234" i="28" s="1"/>
  <c r="AA218" i="28"/>
  <c r="V218" i="28"/>
  <c r="P223" i="28"/>
  <c r="U223" i="28" s="1"/>
  <c r="Y222" i="28"/>
  <c r="X223" i="28"/>
  <c r="W217" i="28"/>
  <c r="AI200" i="27"/>
  <c r="AE218" i="24"/>
  <c r="AF222" i="24" s="1"/>
  <c r="F230" i="27"/>
  <c r="J235" i="27" s="1"/>
  <c r="H230" i="27"/>
  <c r="L235" i="27" s="1"/>
  <c r="E230" i="27"/>
  <c r="I235" i="27" s="1"/>
  <c r="G230" i="27"/>
  <c r="K235" i="27" s="1"/>
  <c r="U218" i="27"/>
  <c r="Y217" i="27"/>
  <c r="AD217" i="27" s="1"/>
  <c r="AG216" i="27"/>
  <c r="AH215" i="27"/>
  <c r="D231" i="27"/>
  <c r="C231" i="27" s="1"/>
  <c r="V214" i="27"/>
  <c r="R215" i="27"/>
  <c r="AA214" i="27"/>
  <c r="X220" i="27"/>
  <c r="AC220" i="27" s="1"/>
  <c r="F18" i="27"/>
  <c r="O228" i="27"/>
  <c r="O225" i="27"/>
  <c r="O230" i="27"/>
  <c r="O233" i="27"/>
  <c r="O227" i="27"/>
  <c r="O232" i="27"/>
  <c r="O222" i="27"/>
  <c r="O223" i="27"/>
  <c r="O221" i="27"/>
  <c r="T221" i="27" s="1"/>
  <c r="O229" i="27"/>
  <c r="O226" i="27"/>
  <c r="O234" i="27"/>
  <c r="O224" i="27"/>
  <c r="O231" i="27"/>
  <c r="W213" i="27"/>
  <c r="AB213" i="27" s="1"/>
  <c r="AE213" i="27" s="1"/>
  <c r="AF217" i="27" s="1"/>
  <c r="S214" i="27"/>
  <c r="Z212" i="27"/>
  <c r="U222" i="26"/>
  <c r="Y221" i="26"/>
  <c r="AD221" i="26" s="1"/>
  <c r="H231" i="26"/>
  <c r="L246" i="26" s="1"/>
  <c r="G231" i="26"/>
  <c r="K246" i="26" s="1"/>
  <c r="F231" i="26"/>
  <c r="J246" i="26" s="1"/>
  <c r="E231" i="26"/>
  <c r="I246" i="26" s="1"/>
  <c r="W217" i="26"/>
  <c r="AB217" i="26" s="1"/>
  <c r="S218" i="26"/>
  <c r="H232" i="26"/>
  <c r="L247" i="26" s="1"/>
  <c r="F232" i="26"/>
  <c r="J247" i="26" s="1"/>
  <c r="E232" i="26"/>
  <c r="I247" i="26" s="1"/>
  <c r="G232" i="26"/>
  <c r="K247" i="26" s="1"/>
  <c r="D233" i="26"/>
  <c r="C233" i="26" s="1"/>
  <c r="T221" i="26"/>
  <c r="X220" i="26"/>
  <c r="AC220" i="26" s="1"/>
  <c r="AE216" i="26"/>
  <c r="AA217" i="26"/>
  <c r="V217" i="26"/>
  <c r="R218" i="26"/>
  <c r="AA220" i="24"/>
  <c r="V220" i="24"/>
  <c r="D233" i="24"/>
  <c r="C233" i="24" s="1"/>
  <c r="H231" i="24"/>
  <c r="L236" i="24" s="1"/>
  <c r="G231" i="24"/>
  <c r="K236" i="24" s="1"/>
  <c r="F231" i="24"/>
  <c r="J236" i="24" s="1"/>
  <c r="E231" i="24"/>
  <c r="I236" i="24" s="1"/>
  <c r="Y219" i="24"/>
  <c r="AD219" i="24" s="1"/>
  <c r="P220" i="24"/>
  <c r="S219" i="24"/>
  <c r="W219" i="24" s="1"/>
  <c r="AB219" i="24" s="1"/>
  <c r="AH220" i="24"/>
  <c r="AI188" i="24" s="1"/>
  <c r="AG221" i="24"/>
  <c r="C232" i="24"/>
  <c r="M232" i="24"/>
  <c r="M226" i="24"/>
  <c r="M233" i="24"/>
  <c r="M225" i="24"/>
  <c r="M231" i="24"/>
  <c r="M234" i="24"/>
  <c r="M221" i="24"/>
  <c r="M227" i="24"/>
  <c r="M223" i="24"/>
  <c r="M224" i="24"/>
  <c r="M229" i="24"/>
  <c r="M228" i="24"/>
  <c r="M222" i="24"/>
  <c r="M230" i="24"/>
  <c r="D18" i="24"/>
  <c r="O220" i="24"/>
  <c r="X219" i="24"/>
  <c r="AC219" i="24" s="1"/>
  <c r="Z218" i="24"/>
  <c r="T237" i="28" l="1"/>
  <c r="Z217" i="26"/>
  <c r="E234" i="28"/>
  <c r="I239" i="28" s="1"/>
  <c r="F234" i="28"/>
  <c r="J239" i="28" s="1"/>
  <c r="G234" i="28"/>
  <c r="K239" i="28" s="1"/>
  <c r="H234" i="28"/>
  <c r="L239" i="28" s="1"/>
  <c r="N220" i="24"/>
  <c r="N231" i="24" s="1"/>
  <c r="AI188" i="28"/>
  <c r="AI185" i="28"/>
  <c r="AD222" i="28"/>
  <c r="AB217" i="28"/>
  <c r="AE217" i="28" s="1"/>
  <c r="AF221" i="28" s="1"/>
  <c r="AG221" i="28" s="1"/>
  <c r="AH221" i="28" s="1"/>
  <c r="AI189" i="28" s="1"/>
  <c r="AC223" i="28"/>
  <c r="D235" i="28"/>
  <c r="P233" i="28"/>
  <c r="P229" i="28"/>
  <c r="P237" i="28"/>
  <c r="P234" i="28"/>
  <c r="P227" i="28"/>
  <c r="P232" i="28"/>
  <c r="P224" i="28"/>
  <c r="U224" i="28" s="1"/>
  <c r="P236" i="28"/>
  <c r="P231" i="28"/>
  <c r="P226" i="28"/>
  <c r="P228" i="28"/>
  <c r="P235" i="28"/>
  <c r="P230" i="28"/>
  <c r="P225" i="28"/>
  <c r="I18" i="28"/>
  <c r="AA219" i="28"/>
  <c r="V219" i="28"/>
  <c r="W218" i="28"/>
  <c r="Z217" i="28"/>
  <c r="X224" i="28"/>
  <c r="AI201" i="27"/>
  <c r="AI202" i="27"/>
  <c r="AE219" i="24"/>
  <c r="AF223" i="24" s="1"/>
  <c r="X221" i="27"/>
  <c r="AC221" i="27" s="1"/>
  <c r="T222" i="27"/>
  <c r="W214" i="27"/>
  <c r="AB214" i="27" s="1"/>
  <c r="AE214" i="27" s="1"/>
  <c r="AF218" i="27" s="1"/>
  <c r="S215" i="27"/>
  <c r="D232" i="27"/>
  <c r="C232" i="27" s="1"/>
  <c r="H231" i="27"/>
  <c r="L236" i="27" s="1"/>
  <c r="E231" i="27"/>
  <c r="I236" i="27" s="1"/>
  <c r="F231" i="27"/>
  <c r="J236" i="27" s="1"/>
  <c r="G231" i="27"/>
  <c r="K236" i="27" s="1"/>
  <c r="AG217" i="27"/>
  <c r="AH216" i="27"/>
  <c r="AI203" i="27" s="1"/>
  <c r="Z213" i="27"/>
  <c r="Y218" i="27"/>
  <c r="AD218" i="27" s="1"/>
  <c r="U219" i="27"/>
  <c r="V215" i="27"/>
  <c r="R216" i="27"/>
  <c r="AA215" i="27"/>
  <c r="AE217" i="26"/>
  <c r="V218" i="26"/>
  <c r="AA218" i="26"/>
  <c r="R219" i="26"/>
  <c r="W218" i="26"/>
  <c r="AB218" i="26" s="1"/>
  <c r="S219" i="26"/>
  <c r="T222" i="26"/>
  <c r="X221" i="26"/>
  <c r="AC221" i="26" s="1"/>
  <c r="D234" i="26"/>
  <c r="E233" i="26"/>
  <c r="I248" i="26" s="1"/>
  <c r="H233" i="26"/>
  <c r="L248" i="26" s="1"/>
  <c r="G233" i="26"/>
  <c r="K248" i="26" s="1"/>
  <c r="F233" i="26"/>
  <c r="J248" i="26" s="1"/>
  <c r="Y222" i="26"/>
  <c r="AD222" i="26" s="1"/>
  <c r="U223" i="26"/>
  <c r="T220" i="24"/>
  <c r="X220" i="24" s="1"/>
  <c r="AC220" i="24" s="1"/>
  <c r="E232" i="24"/>
  <c r="I237" i="24" s="1"/>
  <c r="H232" i="24"/>
  <c r="L237" i="24" s="1"/>
  <c r="F232" i="24"/>
  <c r="J237" i="24" s="1"/>
  <c r="G232" i="24"/>
  <c r="K237" i="24" s="1"/>
  <c r="N232" i="24"/>
  <c r="N225" i="24"/>
  <c r="N228" i="24"/>
  <c r="N234" i="24"/>
  <c r="N224" i="24"/>
  <c r="N222" i="24"/>
  <c r="N233" i="24"/>
  <c r="N223" i="24"/>
  <c r="E18" i="24"/>
  <c r="H233" i="24"/>
  <c r="L238" i="24" s="1"/>
  <c r="F233" i="24"/>
  <c r="J238" i="24" s="1"/>
  <c r="E233" i="24"/>
  <c r="I238" i="24" s="1"/>
  <c r="G233" i="24"/>
  <c r="K238" i="24" s="1"/>
  <c r="AG222" i="24"/>
  <c r="AH221" i="24"/>
  <c r="AI189" i="24" s="1"/>
  <c r="J15" i="24" s="1"/>
  <c r="D234" i="24"/>
  <c r="R221" i="24"/>
  <c r="Q220" i="24"/>
  <c r="Z219" i="24"/>
  <c r="P233" i="24"/>
  <c r="P227" i="24"/>
  <c r="P230" i="24"/>
  <c r="P222" i="24"/>
  <c r="P229" i="24"/>
  <c r="P228" i="24"/>
  <c r="P226" i="24"/>
  <c r="P221" i="24"/>
  <c r="P231" i="24"/>
  <c r="P232" i="24"/>
  <c r="P225" i="24"/>
  <c r="P234" i="24"/>
  <c r="P224" i="24"/>
  <c r="P223" i="24"/>
  <c r="G18" i="24"/>
  <c r="O233" i="24"/>
  <c r="O227" i="24"/>
  <c r="O221" i="24"/>
  <c r="O230" i="24"/>
  <c r="O222" i="24"/>
  <c r="O234" i="24"/>
  <c r="O224" i="24"/>
  <c r="O223" i="24"/>
  <c r="O231" i="24"/>
  <c r="O232" i="24"/>
  <c r="O228" i="24"/>
  <c r="O229" i="24"/>
  <c r="O226" i="24"/>
  <c r="O225" i="24"/>
  <c r="F18" i="24"/>
  <c r="U220" i="24"/>
  <c r="N221" i="24" l="1"/>
  <c r="N230" i="24"/>
  <c r="N226" i="24"/>
  <c r="N227" i="24"/>
  <c r="Z214" i="27"/>
  <c r="N229" i="24"/>
  <c r="U225" i="28"/>
  <c r="AB218" i="28"/>
  <c r="AE218" i="28" s="1"/>
  <c r="AF222" i="28" s="1"/>
  <c r="AG222" i="28" s="1"/>
  <c r="AH222" i="28" s="1"/>
  <c r="AC224" i="28"/>
  <c r="Y223" i="28"/>
  <c r="X225" i="28"/>
  <c r="D236" i="28"/>
  <c r="C236" i="28" s="1"/>
  <c r="W219" i="28"/>
  <c r="C235" i="28"/>
  <c r="Z218" i="28"/>
  <c r="AA220" i="28"/>
  <c r="V220" i="28"/>
  <c r="T221" i="24"/>
  <c r="T222" i="24" s="1"/>
  <c r="H232" i="27"/>
  <c r="L237" i="27" s="1"/>
  <c r="E232" i="27"/>
  <c r="I237" i="27" s="1"/>
  <c r="F232" i="27"/>
  <c r="J237" i="27" s="1"/>
  <c r="G232" i="27"/>
  <c r="K237" i="27" s="1"/>
  <c r="AH217" i="27"/>
  <c r="AG218" i="27"/>
  <c r="R217" i="27"/>
  <c r="V216" i="27"/>
  <c r="AA216" i="27"/>
  <c r="D233" i="27"/>
  <c r="W215" i="27"/>
  <c r="AB215" i="27" s="1"/>
  <c r="AE215" i="27" s="1"/>
  <c r="AF219" i="27" s="1"/>
  <c r="S216" i="27"/>
  <c r="P220" i="27"/>
  <c r="Y219" i="27"/>
  <c r="AD219" i="27" s="1"/>
  <c r="T223" i="27"/>
  <c r="X222" i="27"/>
  <c r="AC222" i="27" s="1"/>
  <c r="D235" i="26"/>
  <c r="C234" i="26"/>
  <c r="X222" i="26"/>
  <c r="AC222" i="26" s="1"/>
  <c r="T223" i="26"/>
  <c r="W219" i="26"/>
  <c r="AB219" i="26" s="1"/>
  <c r="U224" i="26"/>
  <c r="Y223" i="26"/>
  <c r="AD223" i="26" s="1"/>
  <c r="AA219" i="26"/>
  <c r="M220" i="26"/>
  <c r="V219" i="26"/>
  <c r="AE218" i="26"/>
  <c r="Z218" i="26"/>
  <c r="Q228" i="24"/>
  <c r="Q221" i="24"/>
  <c r="Q225" i="24"/>
  <c r="Q229" i="24"/>
  <c r="Q232" i="24"/>
  <c r="Q233" i="24"/>
  <c r="Q223" i="24"/>
  <c r="Q222" i="24"/>
  <c r="Q230" i="24"/>
  <c r="Q226" i="24"/>
  <c r="Q224" i="24"/>
  <c r="Q227" i="24"/>
  <c r="Q234" i="24"/>
  <c r="Q231" i="24"/>
  <c r="D235" i="24"/>
  <c r="I17" i="24"/>
  <c r="Y220" i="24"/>
  <c r="AD220" i="24" s="1"/>
  <c r="S220" i="24"/>
  <c r="W220" i="24" s="1"/>
  <c r="U221" i="24"/>
  <c r="AA221" i="24"/>
  <c r="V221" i="24"/>
  <c r="R222" i="24"/>
  <c r="AG223" i="24"/>
  <c r="AH222" i="24"/>
  <c r="C234" i="24"/>
  <c r="X221" i="24" l="1"/>
  <c r="AC221" i="24" s="1"/>
  <c r="AE219" i="26"/>
  <c r="E235" i="28"/>
  <c r="I240" i="28" s="1"/>
  <c r="F235" i="28"/>
  <c r="J240" i="28" s="1"/>
  <c r="G235" i="28"/>
  <c r="K240" i="28" s="1"/>
  <c r="H235" i="28"/>
  <c r="L240" i="28" s="1"/>
  <c r="E236" i="28"/>
  <c r="I241" i="28" s="1"/>
  <c r="F236" i="28"/>
  <c r="J241" i="28" s="1"/>
  <c r="G236" i="28"/>
  <c r="K241" i="28" s="1"/>
  <c r="H236" i="28"/>
  <c r="L241" i="28" s="1"/>
  <c r="U226" i="28"/>
  <c r="AB219" i="28"/>
  <c r="AE219" i="28" s="1"/>
  <c r="AF223" i="28" s="1"/>
  <c r="AG223" i="28" s="1"/>
  <c r="AH223" i="28" s="1"/>
  <c r="AI190" i="28" s="1"/>
  <c r="AC225" i="28"/>
  <c r="AD223" i="28"/>
  <c r="W220" i="28"/>
  <c r="Z220" i="28" s="1"/>
  <c r="D237" i="28"/>
  <c r="X226" i="28"/>
  <c r="Z219" i="28"/>
  <c r="Y224" i="28"/>
  <c r="V221" i="28"/>
  <c r="AA221" i="28"/>
  <c r="AI204" i="27"/>
  <c r="J16" i="27" s="1"/>
  <c r="Z215" i="27"/>
  <c r="R218" i="27"/>
  <c r="AA217" i="27"/>
  <c r="V217" i="27"/>
  <c r="G18" i="27"/>
  <c r="P223" i="27"/>
  <c r="P229" i="27"/>
  <c r="P222" i="27"/>
  <c r="P228" i="27"/>
  <c r="P234" i="27"/>
  <c r="P225" i="27"/>
  <c r="P230" i="27"/>
  <c r="P233" i="27"/>
  <c r="P221" i="27"/>
  <c r="P227" i="27"/>
  <c r="P226" i="27"/>
  <c r="P232" i="27"/>
  <c r="P224" i="27"/>
  <c r="P231" i="27"/>
  <c r="AG219" i="27"/>
  <c r="AH218" i="27"/>
  <c r="U220" i="27"/>
  <c r="D234" i="27"/>
  <c r="C234" i="27"/>
  <c r="T224" i="27"/>
  <c r="X223" i="27"/>
  <c r="AC223" i="27" s="1"/>
  <c r="W216" i="27"/>
  <c r="AB216" i="27" s="1"/>
  <c r="AE216" i="27" s="1"/>
  <c r="AF220" i="27" s="1"/>
  <c r="S217" i="27"/>
  <c r="C233" i="27"/>
  <c r="U225" i="26"/>
  <c r="Y224" i="26"/>
  <c r="AD224" i="26" s="1"/>
  <c r="T224" i="26"/>
  <c r="X223" i="26"/>
  <c r="AC223" i="26" s="1"/>
  <c r="H234" i="26"/>
  <c r="L249" i="26" s="1"/>
  <c r="E234" i="26"/>
  <c r="I249" i="26" s="1"/>
  <c r="G234" i="26"/>
  <c r="K249" i="26" s="1"/>
  <c r="F234" i="26"/>
  <c r="J249" i="26" s="1"/>
  <c r="Z219" i="26"/>
  <c r="I17" i="26" s="1"/>
  <c r="J17" i="26" s="1"/>
  <c r="D236" i="26"/>
  <c r="C236" i="26" s="1"/>
  <c r="M228" i="26"/>
  <c r="M227" i="26"/>
  <c r="M225" i="26"/>
  <c r="M233" i="26"/>
  <c r="M222" i="26"/>
  <c r="M221" i="26"/>
  <c r="M226" i="26"/>
  <c r="M224" i="26"/>
  <c r="M232" i="26"/>
  <c r="M229" i="26"/>
  <c r="M234" i="26"/>
  <c r="M223" i="26"/>
  <c r="M231" i="26"/>
  <c r="M230" i="26"/>
  <c r="D18" i="26"/>
  <c r="N220" i="26"/>
  <c r="Q220" i="26" s="1"/>
  <c r="R220" i="26"/>
  <c r="C235" i="26"/>
  <c r="AH223" i="24"/>
  <c r="AI190" i="24" s="1"/>
  <c r="U222" i="24"/>
  <c r="Y221" i="24"/>
  <c r="AD221" i="24" s="1"/>
  <c r="S221" i="24"/>
  <c r="W221" i="24" s="1"/>
  <c r="AB221" i="24" s="1"/>
  <c r="AE221" i="24" s="1"/>
  <c r="AF225" i="24" s="1"/>
  <c r="AB220" i="24"/>
  <c r="AE220" i="24" s="1"/>
  <c r="AF224" i="24" s="1"/>
  <c r="AG224" i="24" s="1"/>
  <c r="Z220" i="24"/>
  <c r="V222" i="24"/>
  <c r="R223" i="24"/>
  <c r="AA222" i="24"/>
  <c r="F234" i="24"/>
  <c r="J239" i="24" s="1"/>
  <c r="E234" i="24"/>
  <c r="I239" i="24" s="1"/>
  <c r="H234" i="24"/>
  <c r="L239" i="24" s="1"/>
  <c r="G234" i="24"/>
  <c r="K239" i="24" s="1"/>
  <c r="T223" i="24"/>
  <c r="X222" i="24"/>
  <c r="AC222" i="24" s="1"/>
  <c r="D236" i="24"/>
  <c r="C236" i="24" s="1"/>
  <c r="C235" i="24"/>
  <c r="U227" i="28" l="1"/>
  <c r="AC226" i="28"/>
  <c r="AD224" i="28"/>
  <c r="AB220" i="28"/>
  <c r="AE220" i="28" s="1"/>
  <c r="AF224" i="28" s="1"/>
  <c r="AG224" i="28" s="1"/>
  <c r="AH224" i="28" s="1"/>
  <c r="V222" i="28"/>
  <c r="AA222" i="28"/>
  <c r="M223" i="28"/>
  <c r="R223" i="28" s="1"/>
  <c r="D238" i="28"/>
  <c r="Y225" i="28"/>
  <c r="C237" i="28"/>
  <c r="W221" i="28"/>
  <c r="X227" i="28"/>
  <c r="U221" i="27"/>
  <c r="Y220" i="27"/>
  <c r="AD220" i="27" s="1"/>
  <c r="AH219" i="27"/>
  <c r="AI205" i="27" s="1"/>
  <c r="AG220" i="27"/>
  <c r="E233" i="27"/>
  <c r="I238" i="27" s="1"/>
  <c r="F233" i="27"/>
  <c r="J238" i="27" s="1"/>
  <c r="G233" i="27"/>
  <c r="K238" i="27" s="1"/>
  <c r="H233" i="27"/>
  <c r="L238" i="27" s="1"/>
  <c r="AA218" i="27"/>
  <c r="V218" i="27"/>
  <c r="R219" i="27"/>
  <c r="T225" i="27"/>
  <c r="X224" i="27"/>
  <c r="AC224" i="27" s="1"/>
  <c r="Z216" i="27"/>
  <c r="W217" i="27"/>
  <c r="AB217" i="27" s="1"/>
  <c r="AE217" i="27" s="1"/>
  <c r="AF221" i="27" s="1"/>
  <c r="S218" i="27"/>
  <c r="G234" i="27"/>
  <c r="K239" i="27" s="1"/>
  <c r="H234" i="27"/>
  <c r="L239" i="27" s="1"/>
  <c r="E234" i="27"/>
  <c r="I239" i="27" s="1"/>
  <c r="F234" i="27"/>
  <c r="J239" i="27" s="1"/>
  <c r="D235" i="27"/>
  <c r="D237" i="26"/>
  <c r="H236" i="26"/>
  <c r="L251" i="26" s="1"/>
  <c r="G236" i="26"/>
  <c r="K251" i="26" s="1"/>
  <c r="F236" i="26"/>
  <c r="J251" i="26" s="1"/>
  <c r="E236" i="26"/>
  <c r="I251" i="26" s="1"/>
  <c r="T225" i="26"/>
  <c r="X224" i="26"/>
  <c r="AC224" i="26" s="1"/>
  <c r="H235" i="26"/>
  <c r="L250" i="26" s="1"/>
  <c r="G235" i="26"/>
  <c r="K250" i="26" s="1"/>
  <c r="F235" i="26"/>
  <c r="J250" i="26" s="1"/>
  <c r="E235" i="26"/>
  <c r="I250" i="26" s="1"/>
  <c r="U226" i="26"/>
  <c r="Y225" i="26"/>
  <c r="AD225" i="26" s="1"/>
  <c r="AA220" i="26"/>
  <c r="V220" i="26"/>
  <c r="R221" i="26"/>
  <c r="N233" i="26"/>
  <c r="Q233" i="26" s="1"/>
  <c r="N231" i="26"/>
  <c r="Q231" i="26" s="1"/>
  <c r="N229" i="26"/>
  <c r="Q229" i="26" s="1"/>
  <c r="N227" i="26"/>
  <c r="Q227" i="26" s="1"/>
  <c r="N225" i="26"/>
  <c r="Q225" i="26" s="1"/>
  <c r="N223" i="26"/>
  <c r="Q223" i="26" s="1"/>
  <c r="N221" i="26"/>
  <c r="Q221" i="26" s="1"/>
  <c r="N228" i="26"/>
  <c r="Q228" i="26" s="1"/>
  <c r="N222" i="26"/>
  <c r="Q222" i="26" s="1"/>
  <c r="N230" i="26"/>
  <c r="Q230" i="26" s="1"/>
  <c r="N226" i="26"/>
  <c r="Q226" i="26" s="1"/>
  <c r="N224" i="26"/>
  <c r="Q224" i="26" s="1"/>
  <c r="N232" i="26"/>
  <c r="Q232" i="26" s="1"/>
  <c r="N234" i="26"/>
  <c r="Q234" i="26" s="1"/>
  <c r="E18" i="26"/>
  <c r="S220" i="26"/>
  <c r="AH224" i="24"/>
  <c r="AG225" i="24"/>
  <c r="R224" i="24"/>
  <c r="AA223" i="24"/>
  <c r="V223" i="24"/>
  <c r="H235" i="24"/>
  <c r="L240" i="24" s="1"/>
  <c r="G235" i="24"/>
  <c r="K240" i="24" s="1"/>
  <c r="F235" i="24"/>
  <c r="J240" i="24" s="1"/>
  <c r="E235" i="24"/>
  <c r="I240" i="24" s="1"/>
  <c r="U223" i="24"/>
  <c r="Y222" i="24"/>
  <c r="AD222" i="24" s="1"/>
  <c r="S222" i="24"/>
  <c r="W222" i="24" s="1"/>
  <c r="AB222" i="24" s="1"/>
  <c r="D237" i="24"/>
  <c r="C237" i="24" s="1"/>
  <c r="Z221" i="24"/>
  <c r="H236" i="24"/>
  <c r="L241" i="24" s="1"/>
  <c r="G236" i="24"/>
  <c r="K241" i="24" s="1"/>
  <c r="F236" i="24"/>
  <c r="J241" i="24" s="1"/>
  <c r="E236" i="24"/>
  <c r="I241" i="24" s="1"/>
  <c r="X223" i="24"/>
  <c r="AC223" i="24" s="1"/>
  <c r="T224" i="24"/>
  <c r="E237" i="28" l="1"/>
  <c r="I242" i="28" s="1"/>
  <c r="F237" i="28"/>
  <c r="J242" i="28" s="1"/>
  <c r="G237" i="28"/>
  <c r="K242" i="28" s="1"/>
  <c r="H237" i="28"/>
  <c r="U228" i="28"/>
  <c r="AI191" i="28"/>
  <c r="AC227" i="28"/>
  <c r="AB221" i="28"/>
  <c r="AE221" i="28" s="1"/>
  <c r="AF225" i="28" s="1"/>
  <c r="AG225" i="28" s="1"/>
  <c r="AH225" i="28" s="1"/>
  <c r="AI192" i="28" s="1"/>
  <c r="AD225" i="28"/>
  <c r="D239" i="28"/>
  <c r="C239" i="28" s="1"/>
  <c r="C238" i="28"/>
  <c r="M237" i="28"/>
  <c r="M231" i="28"/>
  <c r="M235" i="28"/>
  <c r="M232" i="28"/>
  <c r="M225" i="28"/>
  <c r="M226" i="28"/>
  <c r="M230" i="28"/>
  <c r="M224" i="28"/>
  <c r="R224" i="28" s="1"/>
  <c r="M229" i="28"/>
  <c r="M234" i="28"/>
  <c r="M236" i="28"/>
  <c r="M233" i="28"/>
  <c r="M227" i="28"/>
  <c r="M228" i="28"/>
  <c r="F18" i="28"/>
  <c r="N223" i="28"/>
  <c r="S223" i="28" s="1"/>
  <c r="X228" i="28"/>
  <c r="W222" i="28"/>
  <c r="Z221" i="28"/>
  <c r="Y226" i="28"/>
  <c r="L242" i="28"/>
  <c r="D236" i="27"/>
  <c r="Z217" i="27"/>
  <c r="W218" i="27"/>
  <c r="AB218" i="27" s="1"/>
  <c r="AE218" i="27" s="1"/>
  <c r="AF222" i="27" s="1"/>
  <c r="S219" i="27"/>
  <c r="AH220" i="27"/>
  <c r="AI206" i="27" s="1"/>
  <c r="AG221" i="27"/>
  <c r="T226" i="27"/>
  <c r="X225" i="27"/>
  <c r="AC225" i="27" s="1"/>
  <c r="V219" i="27"/>
  <c r="M220" i="27"/>
  <c r="R220" i="27" s="1"/>
  <c r="AA219" i="27"/>
  <c r="C235" i="27"/>
  <c r="Y221" i="27"/>
  <c r="AD221" i="27" s="1"/>
  <c r="U222" i="27"/>
  <c r="T226" i="26"/>
  <c r="X225" i="26"/>
  <c r="AC225" i="26" s="1"/>
  <c r="W220" i="26"/>
  <c r="AB220" i="26" s="1"/>
  <c r="AE220" i="26" s="1"/>
  <c r="S221" i="26"/>
  <c r="U227" i="26"/>
  <c r="Y226" i="26"/>
  <c r="AD226" i="26" s="1"/>
  <c r="AA221" i="26"/>
  <c r="V221" i="26"/>
  <c r="R222" i="26"/>
  <c r="D238" i="26"/>
  <c r="C238" i="26" s="1"/>
  <c r="C237" i="26"/>
  <c r="AE222" i="24"/>
  <c r="AF226" i="24" s="1"/>
  <c r="AG226" i="24" s="1"/>
  <c r="Z222" i="24"/>
  <c r="G237" i="24"/>
  <c r="K242" i="24" s="1"/>
  <c r="F237" i="24"/>
  <c r="J242" i="24" s="1"/>
  <c r="E237" i="24"/>
  <c r="I242" i="24" s="1"/>
  <c r="H237" i="24"/>
  <c r="L242" i="24" s="1"/>
  <c r="D238" i="24"/>
  <c r="C238" i="24" s="1"/>
  <c r="V224" i="24"/>
  <c r="AA224" i="24"/>
  <c r="R225" i="24"/>
  <c r="AH225" i="24"/>
  <c r="AI191" i="24" s="1"/>
  <c r="T225" i="24"/>
  <c r="X224" i="24"/>
  <c r="AC224" i="24" s="1"/>
  <c r="U224" i="24"/>
  <c r="S223" i="24"/>
  <c r="W223" i="24" s="1"/>
  <c r="AB223" i="24" s="1"/>
  <c r="Y223" i="24"/>
  <c r="AD223" i="24" s="1"/>
  <c r="Z220" i="26" l="1"/>
  <c r="E238" i="28"/>
  <c r="I243" i="28" s="1"/>
  <c r="F238" i="28"/>
  <c r="J243" i="28" s="1"/>
  <c r="G238" i="28"/>
  <c r="K243" i="28" s="1"/>
  <c r="H238" i="28"/>
  <c r="L243" i="28" s="1"/>
  <c r="E239" i="28"/>
  <c r="I244" i="28" s="1"/>
  <c r="F239" i="28"/>
  <c r="J244" i="28" s="1"/>
  <c r="G239" i="28"/>
  <c r="K244" i="28" s="1"/>
  <c r="H239" i="28"/>
  <c r="L244" i="28" s="1"/>
  <c r="R225" i="28"/>
  <c r="R226" i="28" s="1"/>
  <c r="R227" i="28" s="1"/>
  <c r="R228" i="28" s="1"/>
  <c r="R229" i="28" s="1"/>
  <c r="R230" i="28" s="1"/>
  <c r="R231" i="28" s="1"/>
  <c r="R232" i="28" s="1"/>
  <c r="R233" i="28" s="1"/>
  <c r="R234" i="28" s="1"/>
  <c r="R235" i="28" s="1"/>
  <c r="R236" i="28" s="1"/>
  <c r="R237" i="28" s="1"/>
  <c r="U229" i="28"/>
  <c r="Q223" i="28"/>
  <c r="D15" i="28"/>
  <c r="AB222" i="28"/>
  <c r="AE222" i="28" s="1"/>
  <c r="AF226" i="28" s="1"/>
  <c r="AG226" i="28" s="1"/>
  <c r="AH226" i="28" s="1"/>
  <c r="AI193" i="28" s="1"/>
  <c r="AC228" i="28"/>
  <c r="AD226" i="28"/>
  <c r="N232" i="28"/>
  <c r="Q232" i="28" s="1"/>
  <c r="N226" i="28"/>
  <c r="Q226" i="28" s="1"/>
  <c r="N229" i="28"/>
  <c r="Q229" i="28" s="1"/>
  <c r="N235" i="28"/>
  <c r="Q235" i="28" s="1"/>
  <c r="N230" i="28"/>
  <c r="Q230" i="28" s="1"/>
  <c r="N225" i="28"/>
  <c r="Q225" i="28" s="1"/>
  <c r="N224" i="28"/>
  <c r="Q224" i="28" s="1"/>
  <c r="N237" i="28"/>
  <c r="Q237" i="28" s="1"/>
  <c r="N233" i="28"/>
  <c r="Q233" i="28" s="1"/>
  <c r="N236" i="28"/>
  <c r="Q236" i="28" s="1"/>
  <c r="N231" i="28"/>
  <c r="Q231" i="28" s="1"/>
  <c r="N228" i="28"/>
  <c r="Q228" i="28" s="1"/>
  <c r="N234" i="28"/>
  <c r="Q234" i="28" s="1"/>
  <c r="G18" i="28"/>
  <c r="N227" i="28"/>
  <c r="Q227" i="28" s="1"/>
  <c r="Y227" i="28"/>
  <c r="D240" i="28"/>
  <c r="AA223" i="28"/>
  <c r="V223" i="28"/>
  <c r="X229" i="28"/>
  <c r="Z222" i="28"/>
  <c r="AE223" i="24"/>
  <c r="AF227" i="24" s="1"/>
  <c r="AG227" i="24" s="1"/>
  <c r="Z218" i="27"/>
  <c r="V220" i="27"/>
  <c r="AA220" i="27"/>
  <c r="X226" i="27"/>
  <c r="AC226" i="27" s="1"/>
  <c r="T227" i="27"/>
  <c r="U223" i="27"/>
  <c r="Y222" i="27"/>
  <c r="AD222" i="27" s="1"/>
  <c r="W219" i="27"/>
  <c r="AB219" i="27" s="1"/>
  <c r="AE219" i="27" s="1"/>
  <c r="AF223" i="27" s="1"/>
  <c r="F235" i="27"/>
  <c r="J240" i="27" s="1"/>
  <c r="E235" i="27"/>
  <c r="I240" i="27" s="1"/>
  <c r="H235" i="27"/>
  <c r="L240" i="27" s="1"/>
  <c r="G235" i="27"/>
  <c r="K240" i="27" s="1"/>
  <c r="AG222" i="27"/>
  <c r="AH221" i="27"/>
  <c r="AI207" i="27" s="1"/>
  <c r="D18" i="27"/>
  <c r="M233" i="27"/>
  <c r="M223" i="27"/>
  <c r="M226" i="27"/>
  <c r="M228" i="27"/>
  <c r="M231" i="27"/>
  <c r="M230" i="27"/>
  <c r="M232" i="27"/>
  <c r="M227" i="27"/>
  <c r="M222" i="27"/>
  <c r="M224" i="27"/>
  <c r="N220" i="27"/>
  <c r="S220" i="27" s="1"/>
  <c r="M225" i="27"/>
  <c r="M229" i="27"/>
  <c r="M221" i="27"/>
  <c r="M234" i="27"/>
  <c r="D237" i="27"/>
  <c r="C237" i="27" s="1"/>
  <c r="C236" i="27"/>
  <c r="R223" i="26"/>
  <c r="AA222" i="26"/>
  <c r="V222" i="26"/>
  <c r="U228" i="26"/>
  <c r="Y227" i="26"/>
  <c r="AD227" i="26" s="1"/>
  <c r="W221" i="26"/>
  <c r="AB221" i="26" s="1"/>
  <c r="AE221" i="26" s="1"/>
  <c r="S222" i="26"/>
  <c r="H237" i="26"/>
  <c r="L252" i="26" s="1"/>
  <c r="G237" i="26"/>
  <c r="K252" i="26" s="1"/>
  <c r="F237" i="26"/>
  <c r="J252" i="26" s="1"/>
  <c r="E237" i="26"/>
  <c r="I252" i="26" s="1"/>
  <c r="H238" i="26"/>
  <c r="L253" i="26" s="1"/>
  <c r="E238" i="26"/>
  <c r="I253" i="26" s="1"/>
  <c r="G238" i="26"/>
  <c r="K253" i="26" s="1"/>
  <c r="F238" i="26"/>
  <c r="J253" i="26" s="1"/>
  <c r="D239" i="26"/>
  <c r="T227" i="26"/>
  <c r="X226" i="26"/>
  <c r="AC226" i="26" s="1"/>
  <c r="G238" i="24"/>
  <c r="K243" i="24" s="1"/>
  <c r="E238" i="24"/>
  <c r="I243" i="24" s="1"/>
  <c r="H238" i="24"/>
  <c r="L243" i="24" s="1"/>
  <c r="F238" i="24"/>
  <c r="J243" i="24" s="1"/>
  <c r="D239" i="24"/>
  <c r="C239" i="24" s="1"/>
  <c r="U225" i="24"/>
  <c r="S224" i="24"/>
  <c r="W224" i="24" s="1"/>
  <c r="AB224" i="24" s="1"/>
  <c r="Y224" i="24"/>
  <c r="AD224" i="24" s="1"/>
  <c r="Z223" i="24"/>
  <c r="X225" i="24"/>
  <c r="AC225" i="24" s="1"/>
  <c r="T226" i="24"/>
  <c r="AH226" i="24"/>
  <c r="AI192" i="24" s="1"/>
  <c r="AA225" i="24"/>
  <c r="R226" i="24"/>
  <c r="V225" i="24"/>
  <c r="S224" i="28" l="1"/>
  <c r="S225" i="28" s="1"/>
  <c r="S226" i="28" s="1"/>
  <c r="S227" i="28" s="1"/>
  <c r="S228" i="28" s="1"/>
  <c r="S229" i="28" s="1"/>
  <c r="U230" i="28"/>
  <c r="AD227" i="28"/>
  <c r="AC229" i="28"/>
  <c r="V224" i="28"/>
  <c r="AA224" i="28"/>
  <c r="D241" i="28"/>
  <c r="C241" i="28" s="1"/>
  <c r="Y228" i="28"/>
  <c r="C17" i="28"/>
  <c r="W223" i="28"/>
  <c r="C240" i="28"/>
  <c r="X230" i="28"/>
  <c r="W220" i="27"/>
  <c r="AB220" i="27" s="1"/>
  <c r="AE220" i="27" s="1"/>
  <c r="AF224" i="27" s="1"/>
  <c r="Q220" i="27"/>
  <c r="Y223" i="27"/>
  <c r="AD223" i="27" s="1"/>
  <c r="U224" i="27"/>
  <c r="AH222" i="27"/>
  <c r="AI208" i="27" s="1"/>
  <c r="AG223" i="27"/>
  <c r="X227" i="27"/>
  <c r="AC227" i="27" s="1"/>
  <c r="T228" i="27"/>
  <c r="E18" i="27"/>
  <c r="N222" i="27"/>
  <c r="Q222" i="27" s="1"/>
  <c r="N228" i="27"/>
  <c r="Q228" i="27" s="1"/>
  <c r="N234" i="27"/>
  <c r="Q234" i="27" s="1"/>
  <c r="N221" i="27"/>
  <c r="S221" i="27" s="1"/>
  <c r="N227" i="27"/>
  <c r="Q227" i="27" s="1"/>
  <c r="N233" i="27"/>
  <c r="Q233" i="27" s="1"/>
  <c r="N223" i="27"/>
  <c r="Q223" i="27" s="1"/>
  <c r="N226" i="27"/>
  <c r="Q226" i="27" s="1"/>
  <c r="N231" i="27"/>
  <c r="Q231" i="27" s="1"/>
  <c r="N225" i="27"/>
  <c r="Q225" i="27" s="1"/>
  <c r="N230" i="27"/>
  <c r="Q230" i="27" s="1"/>
  <c r="N232" i="27"/>
  <c r="Q232" i="27" s="1"/>
  <c r="N229" i="27"/>
  <c r="Q229" i="27" s="1"/>
  <c r="N224" i="27"/>
  <c r="Q224" i="27" s="1"/>
  <c r="F236" i="27"/>
  <c r="J241" i="27" s="1"/>
  <c r="H236" i="27"/>
  <c r="L241" i="27" s="1"/>
  <c r="G236" i="27"/>
  <c r="K241" i="27" s="1"/>
  <c r="E236" i="27"/>
  <c r="I241" i="27" s="1"/>
  <c r="Z219" i="27"/>
  <c r="D238" i="27"/>
  <c r="R221" i="27"/>
  <c r="H237" i="27"/>
  <c r="L242" i="27" s="1"/>
  <c r="E237" i="27"/>
  <c r="I242" i="27" s="1"/>
  <c r="F237" i="27"/>
  <c r="J242" i="27" s="1"/>
  <c r="G237" i="27"/>
  <c r="K242" i="27" s="1"/>
  <c r="T228" i="26"/>
  <c r="X227" i="26"/>
  <c r="AC227" i="26" s="1"/>
  <c r="D240" i="26"/>
  <c r="C240" i="26" s="1"/>
  <c r="C239" i="26"/>
  <c r="Y228" i="26"/>
  <c r="AD228" i="26" s="1"/>
  <c r="U229" i="26"/>
  <c r="Z221" i="26"/>
  <c r="W222" i="26"/>
  <c r="AB222" i="26" s="1"/>
  <c r="AE222" i="26" s="1"/>
  <c r="S223" i="26"/>
  <c r="AA223" i="26"/>
  <c r="V223" i="26"/>
  <c r="R224" i="26"/>
  <c r="AE224" i="24"/>
  <c r="AF228" i="24" s="1"/>
  <c r="AG228" i="24" s="1"/>
  <c r="E239" i="24"/>
  <c r="I244" i="24" s="1"/>
  <c r="H239" i="24"/>
  <c r="L244" i="24" s="1"/>
  <c r="G239" i="24"/>
  <c r="K244" i="24" s="1"/>
  <c r="F239" i="24"/>
  <c r="J244" i="24" s="1"/>
  <c r="U226" i="24"/>
  <c r="S225" i="24"/>
  <c r="W225" i="24" s="1"/>
  <c r="AB225" i="24" s="1"/>
  <c r="Y225" i="24"/>
  <c r="AD225" i="24" s="1"/>
  <c r="D240" i="24"/>
  <c r="C240" i="24" s="1"/>
  <c r="AH227" i="24"/>
  <c r="Z224" i="24"/>
  <c r="T227" i="24"/>
  <c r="X226" i="24"/>
  <c r="AC226" i="24" s="1"/>
  <c r="V226" i="24"/>
  <c r="R227" i="24"/>
  <c r="AA226" i="24"/>
  <c r="Z220" i="27" l="1"/>
  <c r="G240" i="28"/>
  <c r="K245" i="28" s="1"/>
  <c r="H240" i="28"/>
  <c r="L245" i="28" s="1"/>
  <c r="E240" i="28"/>
  <c r="I245" i="28" s="1"/>
  <c r="F240" i="28"/>
  <c r="J245" i="28" s="1"/>
  <c r="E241" i="28"/>
  <c r="I246" i="28" s="1"/>
  <c r="F241" i="28"/>
  <c r="J246" i="28" s="1"/>
  <c r="G241" i="28"/>
  <c r="K246" i="28" s="1"/>
  <c r="H241" i="28"/>
  <c r="L246" i="28" s="1"/>
  <c r="S230" i="28"/>
  <c r="U231" i="28"/>
  <c r="AC230" i="28"/>
  <c r="AB223" i="28"/>
  <c r="AE223" i="28" s="1"/>
  <c r="AF227" i="28" s="1"/>
  <c r="AG227" i="28" s="1"/>
  <c r="AH227" i="28" s="1"/>
  <c r="AI194" i="28" s="1"/>
  <c r="AD228" i="28"/>
  <c r="Z223" i="28"/>
  <c r="D242" i="28"/>
  <c r="C242" i="28" s="1"/>
  <c r="V225" i="28"/>
  <c r="AA225" i="28"/>
  <c r="Y229" i="28"/>
  <c r="X231" i="28"/>
  <c r="W224" i="28"/>
  <c r="W221" i="27"/>
  <c r="AB221" i="27" s="1"/>
  <c r="S222" i="27"/>
  <c r="U225" i="27"/>
  <c r="Y224" i="27"/>
  <c r="AD224" i="27" s="1"/>
  <c r="D239" i="27"/>
  <c r="Q221" i="27"/>
  <c r="T229" i="27"/>
  <c r="X228" i="27"/>
  <c r="AC228" i="27" s="1"/>
  <c r="AA221" i="27"/>
  <c r="V221" i="27"/>
  <c r="R222" i="27"/>
  <c r="I17" i="27"/>
  <c r="AG224" i="27"/>
  <c r="AH223" i="27"/>
  <c r="AI209" i="27" s="1"/>
  <c r="C238" i="27"/>
  <c r="H240" i="26"/>
  <c r="L255" i="26" s="1"/>
  <c r="G240" i="26"/>
  <c r="K255" i="26" s="1"/>
  <c r="F240" i="26"/>
  <c r="J255" i="26" s="1"/>
  <c r="E240" i="26"/>
  <c r="I255" i="26" s="1"/>
  <c r="Z222" i="26"/>
  <c r="F239" i="26"/>
  <c r="J254" i="26" s="1"/>
  <c r="E239" i="26"/>
  <c r="I254" i="26" s="1"/>
  <c r="H239" i="26"/>
  <c r="L254" i="26" s="1"/>
  <c r="G239" i="26"/>
  <c r="K254" i="26" s="1"/>
  <c r="V224" i="26"/>
  <c r="R225" i="26"/>
  <c r="AA224" i="26"/>
  <c r="U230" i="26"/>
  <c r="Y229" i="26"/>
  <c r="AD229" i="26" s="1"/>
  <c r="D241" i="26"/>
  <c r="W223" i="26"/>
  <c r="AB223" i="26" s="1"/>
  <c r="AE223" i="26" s="1"/>
  <c r="S224" i="26"/>
  <c r="X228" i="26"/>
  <c r="AC228" i="26" s="1"/>
  <c r="T229" i="26"/>
  <c r="AI196" i="24"/>
  <c r="AE225" i="24"/>
  <c r="AF229" i="24" s="1"/>
  <c r="AG229" i="24" s="1"/>
  <c r="R228" i="24"/>
  <c r="AA227" i="24"/>
  <c r="V227" i="24"/>
  <c r="Y226" i="24"/>
  <c r="AD226" i="24" s="1"/>
  <c r="U227" i="24"/>
  <c r="S226" i="24"/>
  <c r="W226" i="24" s="1"/>
  <c r="AB226" i="24" s="1"/>
  <c r="F240" i="24"/>
  <c r="J245" i="24" s="1"/>
  <c r="E240" i="24"/>
  <c r="I245" i="24" s="1"/>
  <c r="H240" i="24"/>
  <c r="L245" i="24" s="1"/>
  <c r="G240" i="24"/>
  <c r="K245" i="24" s="1"/>
  <c r="Z225" i="24"/>
  <c r="AH228" i="24"/>
  <c r="AI193" i="24" s="1"/>
  <c r="T228" i="24"/>
  <c r="X227" i="24"/>
  <c r="AC227" i="24" s="1"/>
  <c r="D241" i="24"/>
  <c r="C241" i="24" s="1"/>
  <c r="AE226" i="24" l="1"/>
  <c r="AF230" i="24" s="1"/>
  <c r="AG230" i="24" s="1"/>
  <c r="E242" i="28"/>
  <c r="I247" i="28" s="1"/>
  <c r="F242" i="28"/>
  <c r="J247" i="28" s="1"/>
  <c r="G242" i="28"/>
  <c r="K247" i="28" s="1"/>
  <c r="H242" i="28"/>
  <c r="L247" i="28" s="1"/>
  <c r="Z221" i="27"/>
  <c r="S231" i="28"/>
  <c r="U232" i="28"/>
  <c r="AB224" i="28"/>
  <c r="AE224" i="28" s="1"/>
  <c r="AF228" i="28" s="1"/>
  <c r="AG228" i="28" s="1"/>
  <c r="AH228" i="28" s="1"/>
  <c r="AI195" i="28" s="1"/>
  <c r="AC231" i="28"/>
  <c r="AD229" i="28"/>
  <c r="D243" i="28"/>
  <c r="C243" i="28" s="1"/>
  <c r="Z224" i="28"/>
  <c r="AA226" i="28"/>
  <c r="V226" i="28"/>
  <c r="X232" i="28"/>
  <c r="Y230" i="28"/>
  <c r="W225" i="28"/>
  <c r="AE221" i="27"/>
  <c r="AF225" i="27" s="1"/>
  <c r="AG225" i="27" s="1"/>
  <c r="T230" i="27"/>
  <c r="X229" i="27"/>
  <c r="AC229" i="27" s="1"/>
  <c r="D240" i="27"/>
  <c r="C240" i="27" s="1"/>
  <c r="G238" i="27"/>
  <c r="K243" i="27" s="1"/>
  <c r="H238" i="27"/>
  <c r="L243" i="27" s="1"/>
  <c r="E238" i="27"/>
  <c r="I243" i="27" s="1"/>
  <c r="F238" i="27"/>
  <c r="J243" i="27" s="1"/>
  <c r="C239" i="27"/>
  <c r="AH224" i="27"/>
  <c r="AI210" i="27" s="1"/>
  <c r="U226" i="27"/>
  <c r="Y225" i="27"/>
  <c r="AD225" i="27" s="1"/>
  <c r="W222" i="27"/>
  <c r="AB222" i="27" s="1"/>
  <c r="S223" i="27"/>
  <c r="R223" i="27"/>
  <c r="AA222" i="27"/>
  <c r="V222" i="27"/>
  <c r="D242" i="26"/>
  <c r="C242" i="26" s="1"/>
  <c r="C241" i="26"/>
  <c r="T230" i="26"/>
  <c r="X229" i="26"/>
  <c r="AC229" i="26" s="1"/>
  <c r="Z223" i="26"/>
  <c r="AA225" i="26"/>
  <c r="R226" i="26"/>
  <c r="V225" i="26"/>
  <c r="Y230" i="26"/>
  <c r="AD230" i="26" s="1"/>
  <c r="U231" i="26"/>
  <c r="W224" i="26"/>
  <c r="AB224" i="26" s="1"/>
  <c r="AE224" i="26" s="1"/>
  <c r="S225" i="26"/>
  <c r="AI197" i="24"/>
  <c r="D242" i="24"/>
  <c r="C242" i="24" s="1"/>
  <c r="T229" i="24"/>
  <c r="X228" i="24"/>
  <c r="AC228" i="24" s="1"/>
  <c r="U228" i="24"/>
  <c r="Y227" i="24"/>
  <c r="AD227" i="24" s="1"/>
  <c r="S227" i="24"/>
  <c r="W227" i="24" s="1"/>
  <c r="AB227" i="24" s="1"/>
  <c r="AH229" i="24"/>
  <c r="H241" i="24"/>
  <c r="L246" i="24" s="1"/>
  <c r="G241" i="24"/>
  <c r="K246" i="24" s="1"/>
  <c r="F241" i="24"/>
  <c r="J246" i="24" s="1"/>
  <c r="E241" i="24"/>
  <c r="I246" i="24" s="1"/>
  <c r="R229" i="24"/>
  <c r="V228" i="24"/>
  <c r="AA228" i="24"/>
  <c r="Z226" i="24"/>
  <c r="Z222" i="27" l="1"/>
  <c r="E243" i="28"/>
  <c r="I248" i="28" s="1"/>
  <c r="F243" i="28"/>
  <c r="J248" i="28" s="1"/>
  <c r="G243" i="28"/>
  <c r="K248" i="28" s="1"/>
  <c r="H243" i="28"/>
  <c r="L248" i="28" s="1"/>
  <c r="U233" i="28"/>
  <c r="S232" i="28"/>
  <c r="AB225" i="28"/>
  <c r="AE225" i="28" s="1"/>
  <c r="AF229" i="28" s="1"/>
  <c r="AG229" i="28" s="1"/>
  <c r="AH229" i="28" s="1"/>
  <c r="AD230" i="28"/>
  <c r="AC232" i="28"/>
  <c r="W226" i="28"/>
  <c r="Z225" i="28"/>
  <c r="AA227" i="28"/>
  <c r="V227" i="28"/>
  <c r="Y231" i="28"/>
  <c r="D244" i="28"/>
  <c r="C244" i="28" s="1"/>
  <c r="X233" i="28"/>
  <c r="AE222" i="27"/>
  <c r="AF226" i="27" s="1"/>
  <c r="AG226" i="27" s="1"/>
  <c r="AI194" i="24"/>
  <c r="AE227" i="24"/>
  <c r="AF231" i="24" s="1"/>
  <c r="AG231" i="24" s="1"/>
  <c r="F240" i="27"/>
  <c r="J245" i="27" s="1"/>
  <c r="E240" i="27"/>
  <c r="I245" i="27" s="1"/>
  <c r="G240" i="27"/>
  <c r="K245" i="27" s="1"/>
  <c r="H240" i="27"/>
  <c r="L245" i="27" s="1"/>
  <c r="AH225" i="27"/>
  <c r="AI211" i="27" s="1"/>
  <c r="H239" i="27"/>
  <c r="L244" i="27" s="1"/>
  <c r="E239" i="27"/>
  <c r="I244" i="27" s="1"/>
  <c r="G239" i="27"/>
  <c r="K244" i="27" s="1"/>
  <c r="F239" i="27"/>
  <c r="J244" i="27" s="1"/>
  <c r="D241" i="27"/>
  <c r="W223" i="27"/>
  <c r="AB223" i="27" s="1"/>
  <c r="S224" i="27"/>
  <c r="T231" i="27"/>
  <c r="X230" i="27"/>
  <c r="AC230" i="27" s="1"/>
  <c r="R224" i="27"/>
  <c r="AA223" i="27"/>
  <c r="V223" i="27"/>
  <c r="U227" i="27"/>
  <c r="Y226" i="27"/>
  <c r="AD226" i="27" s="1"/>
  <c r="U232" i="26"/>
  <c r="Y231" i="26"/>
  <c r="AD231" i="26" s="1"/>
  <c r="X230" i="26"/>
  <c r="AC230" i="26" s="1"/>
  <c r="T231" i="26"/>
  <c r="V226" i="26"/>
  <c r="AA226" i="26"/>
  <c r="R227" i="26"/>
  <c r="H241" i="26"/>
  <c r="L256" i="26" s="1"/>
  <c r="G241" i="26"/>
  <c r="K256" i="26" s="1"/>
  <c r="F241" i="26"/>
  <c r="J256" i="26" s="1"/>
  <c r="E241" i="26"/>
  <c r="I256" i="26" s="1"/>
  <c r="H242" i="26"/>
  <c r="L257" i="26" s="1"/>
  <c r="G242" i="26"/>
  <c r="K257" i="26" s="1"/>
  <c r="E242" i="26"/>
  <c r="I257" i="26" s="1"/>
  <c r="F242" i="26"/>
  <c r="J257" i="26" s="1"/>
  <c r="D243" i="26"/>
  <c r="C243" i="26" s="1"/>
  <c r="W225" i="26"/>
  <c r="AB225" i="26" s="1"/>
  <c r="AE225" i="26" s="1"/>
  <c r="S226" i="26"/>
  <c r="Z224" i="26"/>
  <c r="H242" i="24"/>
  <c r="L247" i="24" s="1"/>
  <c r="G242" i="24"/>
  <c r="K247" i="24" s="1"/>
  <c r="F242" i="24"/>
  <c r="J247" i="24" s="1"/>
  <c r="E242" i="24"/>
  <c r="I247" i="24" s="1"/>
  <c r="AH230" i="24"/>
  <c r="AI195" i="24" s="1"/>
  <c r="U229" i="24"/>
  <c r="Y228" i="24"/>
  <c r="AD228" i="24" s="1"/>
  <c r="S228" i="24"/>
  <c r="W228" i="24" s="1"/>
  <c r="AB228" i="24" s="1"/>
  <c r="X229" i="24"/>
  <c r="AC229" i="24" s="1"/>
  <c r="T230" i="24"/>
  <c r="V229" i="24"/>
  <c r="AA229" i="24"/>
  <c r="R230" i="24"/>
  <c r="Z227" i="24"/>
  <c r="D243" i="24"/>
  <c r="C243" i="24" s="1"/>
  <c r="E244" i="28" l="1"/>
  <c r="I249" i="28" s="1"/>
  <c r="F244" i="28"/>
  <c r="J249" i="28" s="1"/>
  <c r="G244" i="28"/>
  <c r="K249" i="28" s="1"/>
  <c r="H244" i="28"/>
  <c r="L249" i="28" s="1"/>
  <c r="S233" i="28"/>
  <c r="U234" i="28"/>
  <c r="AD231" i="28"/>
  <c r="AB226" i="28"/>
  <c r="AE226" i="28" s="1"/>
  <c r="AF230" i="28" s="1"/>
  <c r="AG230" i="28" s="1"/>
  <c r="AH230" i="28" s="1"/>
  <c r="AI196" i="28" s="1"/>
  <c r="AC233" i="28"/>
  <c r="Z226" i="28"/>
  <c r="X234" i="28"/>
  <c r="W227" i="28"/>
  <c r="Y232" i="28"/>
  <c r="V228" i="28"/>
  <c r="AA228" i="28"/>
  <c r="D245" i="28"/>
  <c r="C245" i="28" s="1"/>
  <c r="AI198" i="24"/>
  <c r="AE228" i="24"/>
  <c r="AF232" i="24" s="1"/>
  <c r="Z223" i="27"/>
  <c r="AE223" i="27"/>
  <c r="AF227" i="27" s="1"/>
  <c r="AG227" i="27" s="1"/>
  <c r="D242" i="27"/>
  <c r="U228" i="27"/>
  <c r="Y227" i="27"/>
  <c r="AD227" i="27" s="1"/>
  <c r="R225" i="27"/>
  <c r="V224" i="27"/>
  <c r="AA224" i="27"/>
  <c r="AH226" i="27"/>
  <c r="AI212" i="27" s="1"/>
  <c r="T232" i="27"/>
  <c r="X231" i="27"/>
  <c r="AC231" i="27" s="1"/>
  <c r="W224" i="27"/>
  <c r="AB224" i="27" s="1"/>
  <c r="S225" i="27"/>
  <c r="C241" i="27"/>
  <c r="H243" i="26"/>
  <c r="L258" i="26" s="1"/>
  <c r="G243" i="26"/>
  <c r="K258" i="26" s="1"/>
  <c r="F243" i="26"/>
  <c r="J258" i="26" s="1"/>
  <c r="E243" i="26"/>
  <c r="I258" i="26" s="1"/>
  <c r="AA227" i="26"/>
  <c r="R228" i="26"/>
  <c r="V227" i="26"/>
  <c r="W226" i="26"/>
  <c r="AB226" i="26" s="1"/>
  <c r="AE226" i="26" s="1"/>
  <c r="S227" i="26"/>
  <c r="T232" i="26"/>
  <c r="X231" i="26"/>
  <c r="AC231" i="26" s="1"/>
  <c r="Z225" i="26"/>
  <c r="D244" i="26"/>
  <c r="C244" i="26" s="1"/>
  <c r="U233" i="26"/>
  <c r="Y232" i="26"/>
  <c r="AD232" i="26" s="1"/>
  <c r="Z228" i="24"/>
  <c r="H243" i="24"/>
  <c r="L248" i="24" s="1"/>
  <c r="G243" i="24"/>
  <c r="K248" i="24" s="1"/>
  <c r="F243" i="24"/>
  <c r="J248" i="24" s="1"/>
  <c r="E243" i="24"/>
  <c r="I248" i="24" s="1"/>
  <c r="U230" i="24"/>
  <c r="S229" i="24"/>
  <c r="W229" i="24" s="1"/>
  <c r="AB229" i="24" s="1"/>
  <c r="Y229" i="24"/>
  <c r="AD229" i="24" s="1"/>
  <c r="AG232" i="24"/>
  <c r="AH231" i="24"/>
  <c r="D244" i="24"/>
  <c r="C244" i="24" s="1"/>
  <c r="X230" i="24"/>
  <c r="AC230" i="24" s="1"/>
  <c r="T231" i="24"/>
  <c r="V230" i="24"/>
  <c r="AA230" i="24"/>
  <c r="R231" i="24"/>
  <c r="E245" i="28" l="1"/>
  <c r="I250" i="28" s="1"/>
  <c r="F245" i="28"/>
  <c r="J250" i="28" s="1"/>
  <c r="G245" i="28"/>
  <c r="K250" i="28" s="1"/>
  <c r="H245" i="28"/>
  <c r="L250" i="28" s="1"/>
  <c r="Z224" i="27"/>
  <c r="Z229" i="24"/>
  <c r="S234" i="28"/>
  <c r="U235" i="28"/>
  <c r="AC234" i="28"/>
  <c r="AD232" i="28"/>
  <c r="AB227" i="28"/>
  <c r="AE227" i="28" s="1"/>
  <c r="AF231" i="28" s="1"/>
  <c r="AG231" i="28" s="1"/>
  <c r="AH231" i="28" s="1"/>
  <c r="AI197" i="28" s="1"/>
  <c r="W228" i="28"/>
  <c r="D246" i="28"/>
  <c r="C246" i="28" s="1"/>
  <c r="Z227" i="28"/>
  <c r="X235" i="28"/>
  <c r="V229" i="28"/>
  <c r="AA229" i="28"/>
  <c r="Y233" i="28"/>
  <c r="AE224" i="27"/>
  <c r="AF228" i="27" s="1"/>
  <c r="AG228" i="27" s="1"/>
  <c r="X232" i="27"/>
  <c r="AC232" i="27" s="1"/>
  <c r="T233" i="27"/>
  <c r="AH227" i="27"/>
  <c r="V225" i="27"/>
  <c r="AA225" i="27"/>
  <c r="R226" i="27"/>
  <c r="F241" i="27"/>
  <c r="J246" i="27" s="1"/>
  <c r="G241" i="27"/>
  <c r="K246" i="27" s="1"/>
  <c r="H241" i="27"/>
  <c r="L246" i="27" s="1"/>
  <c r="E241" i="27"/>
  <c r="I246" i="27" s="1"/>
  <c r="Y228" i="27"/>
  <c r="AD228" i="27" s="1"/>
  <c r="U229" i="27"/>
  <c r="W225" i="27"/>
  <c r="AB225" i="27" s="1"/>
  <c r="S226" i="27"/>
  <c r="D243" i="27"/>
  <c r="C243" i="27" s="1"/>
  <c r="C242" i="27"/>
  <c r="H244" i="26"/>
  <c r="L259" i="26" s="1"/>
  <c r="G244" i="26"/>
  <c r="K259" i="26" s="1"/>
  <c r="F244" i="26"/>
  <c r="J259" i="26" s="1"/>
  <c r="E244" i="26"/>
  <c r="I259" i="26" s="1"/>
  <c r="W227" i="26"/>
  <c r="AB227" i="26" s="1"/>
  <c r="AE227" i="26" s="1"/>
  <c r="S228" i="26"/>
  <c r="AA228" i="26"/>
  <c r="R229" i="26"/>
  <c r="V228" i="26"/>
  <c r="T233" i="26"/>
  <c r="X232" i="26"/>
  <c r="AC232" i="26" s="1"/>
  <c r="D245" i="26"/>
  <c r="Z226" i="26"/>
  <c r="U234" i="26"/>
  <c r="Y233" i="26"/>
  <c r="AD233" i="26" s="1"/>
  <c r="AI199" i="24"/>
  <c r="AE229" i="24"/>
  <c r="AF233" i="24" s="1"/>
  <c r="AG233" i="24" s="1"/>
  <c r="E244" i="24"/>
  <c r="I249" i="24" s="1"/>
  <c r="H244" i="24"/>
  <c r="L249" i="24" s="1"/>
  <c r="G244" i="24"/>
  <c r="K249" i="24" s="1"/>
  <c r="F244" i="24"/>
  <c r="J249" i="24" s="1"/>
  <c r="AH232" i="24"/>
  <c r="R232" i="24"/>
  <c r="V231" i="24"/>
  <c r="AA231" i="24"/>
  <c r="Y230" i="24"/>
  <c r="AD230" i="24" s="1"/>
  <c r="U231" i="24"/>
  <c r="S230" i="24"/>
  <c r="W230" i="24" s="1"/>
  <c r="AB230" i="24" s="1"/>
  <c r="X231" i="24"/>
  <c r="AC231" i="24" s="1"/>
  <c r="T232" i="24"/>
  <c r="D245" i="24"/>
  <c r="C245" i="24" s="1"/>
  <c r="E246" i="28" l="1"/>
  <c r="I251" i="28" s="1"/>
  <c r="F246" i="28"/>
  <c r="J251" i="28" s="1"/>
  <c r="G246" i="28"/>
  <c r="K251" i="28" s="1"/>
  <c r="H246" i="28"/>
  <c r="L251" i="28" s="1"/>
  <c r="U236" i="28"/>
  <c r="S235" i="28"/>
  <c r="AD233" i="28"/>
  <c r="AB228" i="28"/>
  <c r="AE228" i="28" s="1"/>
  <c r="AF232" i="28" s="1"/>
  <c r="AG232" i="28" s="1"/>
  <c r="AH232" i="28" s="1"/>
  <c r="AC235" i="28"/>
  <c r="Z228" i="28"/>
  <c r="Y234" i="28"/>
  <c r="X236" i="28"/>
  <c r="D247" i="28"/>
  <c r="C247" i="28" s="1"/>
  <c r="W229" i="28"/>
  <c r="V230" i="28"/>
  <c r="AA230" i="28"/>
  <c r="AE225" i="27"/>
  <c r="AF229" i="27" s="1"/>
  <c r="AG229" i="27" s="1"/>
  <c r="Z225" i="27"/>
  <c r="AI213" i="27"/>
  <c r="F242" i="27"/>
  <c r="J247" i="27" s="1"/>
  <c r="H242" i="27"/>
  <c r="L247" i="27" s="1"/>
  <c r="E242" i="27"/>
  <c r="I247" i="27" s="1"/>
  <c r="G242" i="27"/>
  <c r="K247" i="27" s="1"/>
  <c r="AH228" i="27"/>
  <c r="AI214" i="27" s="1"/>
  <c r="H243" i="27"/>
  <c r="L248" i="27" s="1"/>
  <c r="G243" i="27"/>
  <c r="K248" i="27" s="1"/>
  <c r="F243" i="27"/>
  <c r="J248" i="27" s="1"/>
  <c r="E243" i="27"/>
  <c r="I248" i="27" s="1"/>
  <c r="D244" i="27"/>
  <c r="C244" i="27" s="1"/>
  <c r="X233" i="27"/>
  <c r="AC233" i="27" s="1"/>
  <c r="T234" i="27"/>
  <c r="V226" i="27"/>
  <c r="R227" i="27"/>
  <c r="AA226" i="27"/>
  <c r="W226" i="27"/>
  <c r="AB226" i="27" s="1"/>
  <c r="S227" i="27"/>
  <c r="U230" i="27"/>
  <c r="Y229" i="27"/>
  <c r="AD229" i="27" s="1"/>
  <c r="T234" i="26"/>
  <c r="X233" i="26"/>
  <c r="AC233" i="26" s="1"/>
  <c r="AA229" i="26"/>
  <c r="V229" i="26"/>
  <c r="R230" i="26"/>
  <c r="Z227" i="26"/>
  <c r="W228" i="26"/>
  <c r="AB228" i="26" s="1"/>
  <c r="AE228" i="26" s="1"/>
  <c r="S229" i="26"/>
  <c r="P235" i="26"/>
  <c r="Y234" i="26"/>
  <c r="AD234" i="26" s="1"/>
  <c r="D246" i="26"/>
  <c r="C246" i="26" s="1"/>
  <c r="C245" i="26"/>
  <c r="AE230" i="24"/>
  <c r="AF234" i="24" s="1"/>
  <c r="AG234" i="24" s="1"/>
  <c r="Y231" i="24"/>
  <c r="AD231" i="24" s="1"/>
  <c r="S231" i="24"/>
  <c r="W231" i="24" s="1"/>
  <c r="AB231" i="24" s="1"/>
  <c r="U232" i="24"/>
  <c r="R233" i="24"/>
  <c r="AA232" i="24"/>
  <c r="V232" i="24"/>
  <c r="H245" i="24"/>
  <c r="L250" i="24" s="1"/>
  <c r="G245" i="24"/>
  <c r="K250" i="24" s="1"/>
  <c r="F245" i="24"/>
  <c r="J250" i="24" s="1"/>
  <c r="E245" i="24"/>
  <c r="I250" i="24" s="1"/>
  <c r="AH233" i="24"/>
  <c r="AI200" i="24" s="1"/>
  <c r="D246" i="24"/>
  <c r="Z230" i="24"/>
  <c r="X232" i="24"/>
  <c r="AC232" i="24" s="1"/>
  <c r="T233" i="24"/>
  <c r="AE231" i="24" l="1"/>
  <c r="AF235" i="24" s="1"/>
  <c r="E247" i="28"/>
  <c r="I252" i="28" s="1"/>
  <c r="F247" i="28"/>
  <c r="J252" i="28" s="1"/>
  <c r="G247" i="28"/>
  <c r="K252" i="28" s="1"/>
  <c r="H247" i="28"/>
  <c r="S236" i="28"/>
  <c r="U237" i="28"/>
  <c r="AI201" i="28"/>
  <c r="AC236" i="28"/>
  <c r="AD234" i="28"/>
  <c r="AB229" i="28"/>
  <c r="AE229" i="28" s="1"/>
  <c r="AF233" i="28" s="1"/>
  <c r="AG233" i="28" s="1"/>
  <c r="AH233" i="28" s="1"/>
  <c r="AA231" i="28"/>
  <c r="V231" i="28"/>
  <c r="Y235" i="28"/>
  <c r="W230" i="28"/>
  <c r="Z229" i="28"/>
  <c r="L252" i="28"/>
  <c r="D248" i="28"/>
  <c r="C248" i="28" s="1"/>
  <c r="O238" i="28"/>
  <c r="T238" i="28" s="1"/>
  <c r="X237" i="28"/>
  <c r="Z226" i="27"/>
  <c r="U231" i="27"/>
  <c r="Y230" i="27"/>
  <c r="AD230" i="27" s="1"/>
  <c r="W227" i="27"/>
  <c r="AB227" i="27" s="1"/>
  <c r="S228" i="27"/>
  <c r="AE226" i="27"/>
  <c r="AF230" i="27" s="1"/>
  <c r="AG230" i="27" s="1"/>
  <c r="R228" i="27"/>
  <c r="V227" i="27"/>
  <c r="AA227" i="27"/>
  <c r="AH229" i="27"/>
  <c r="X234" i="27"/>
  <c r="AC234" i="27" s="1"/>
  <c r="O235" i="27"/>
  <c r="G244" i="27"/>
  <c r="K249" i="27" s="1"/>
  <c r="H244" i="27"/>
  <c r="L249" i="27" s="1"/>
  <c r="E244" i="27"/>
  <c r="I249" i="27" s="1"/>
  <c r="F244" i="27"/>
  <c r="J249" i="27" s="1"/>
  <c r="D245" i="27"/>
  <c r="C245" i="27" s="1"/>
  <c r="P248" i="26"/>
  <c r="P246" i="26"/>
  <c r="P244" i="26"/>
  <c r="P242" i="26"/>
  <c r="P240" i="26"/>
  <c r="P238" i="26"/>
  <c r="P236" i="26"/>
  <c r="P249" i="26"/>
  <c r="P247" i="26"/>
  <c r="P245" i="26"/>
  <c r="P241" i="26"/>
  <c r="P243" i="26"/>
  <c r="P237" i="26"/>
  <c r="P239" i="26"/>
  <c r="G19" i="26"/>
  <c r="W229" i="26"/>
  <c r="AB229" i="26" s="1"/>
  <c r="AE229" i="26" s="1"/>
  <c r="S230" i="26"/>
  <c r="R231" i="26"/>
  <c r="AA230" i="26"/>
  <c r="V230" i="26"/>
  <c r="G245" i="26"/>
  <c r="K260" i="26" s="1"/>
  <c r="F245" i="26"/>
  <c r="J260" i="26" s="1"/>
  <c r="E245" i="26"/>
  <c r="I260" i="26" s="1"/>
  <c r="H245" i="26"/>
  <c r="L260" i="26" s="1"/>
  <c r="H246" i="26"/>
  <c r="L261" i="26" s="1"/>
  <c r="E246" i="26"/>
  <c r="I261" i="26" s="1"/>
  <c r="F246" i="26"/>
  <c r="J261" i="26" s="1"/>
  <c r="G246" i="26"/>
  <c r="K261" i="26" s="1"/>
  <c r="D247" i="26"/>
  <c r="C247" i="26" s="1"/>
  <c r="Z228" i="26"/>
  <c r="U235" i="26"/>
  <c r="O235" i="26"/>
  <c r="X234" i="26"/>
  <c r="AC234" i="26" s="1"/>
  <c r="Z231" i="24"/>
  <c r="T234" i="24"/>
  <c r="X233" i="24"/>
  <c r="AC233" i="24" s="1"/>
  <c r="R234" i="24"/>
  <c r="AA233" i="24"/>
  <c r="V233" i="24"/>
  <c r="D247" i="24"/>
  <c r="C246" i="24"/>
  <c r="Y232" i="24"/>
  <c r="AD232" i="24" s="1"/>
  <c r="S232" i="24"/>
  <c r="W232" i="24" s="1"/>
  <c r="AB232" i="24" s="1"/>
  <c r="U233" i="24"/>
  <c r="AG235" i="24"/>
  <c r="AH234" i="24"/>
  <c r="AE232" i="24" l="1"/>
  <c r="AF236" i="24" s="1"/>
  <c r="Z227" i="27"/>
  <c r="AE227" i="27"/>
  <c r="AF231" i="27" s="1"/>
  <c r="E248" i="28"/>
  <c r="I253" i="28" s="1"/>
  <c r="F248" i="28"/>
  <c r="J253" i="28" s="1"/>
  <c r="G248" i="28"/>
  <c r="K253" i="28" s="1"/>
  <c r="H248" i="28"/>
  <c r="L253" i="28" s="1"/>
  <c r="S237" i="28"/>
  <c r="AI198" i="28"/>
  <c r="AB230" i="28"/>
  <c r="AE230" i="28" s="1"/>
  <c r="AF234" i="28" s="1"/>
  <c r="AG234" i="28" s="1"/>
  <c r="AH234" i="28" s="1"/>
  <c r="AD235" i="28"/>
  <c r="AC237" i="28"/>
  <c r="Z230" i="28"/>
  <c r="O244" i="28"/>
  <c r="O252" i="28"/>
  <c r="O248" i="28"/>
  <c r="O245" i="28"/>
  <c r="O251" i="28"/>
  <c r="O250" i="28"/>
  <c r="O246" i="28"/>
  <c r="O241" i="28"/>
  <c r="O242" i="28"/>
  <c r="O247" i="28"/>
  <c r="O249" i="28"/>
  <c r="O240" i="28"/>
  <c r="O243" i="28"/>
  <c r="O239" i="28"/>
  <c r="T239" i="28" s="1"/>
  <c r="H19" i="28"/>
  <c r="D249" i="28"/>
  <c r="C249" i="28" s="1"/>
  <c r="Y236" i="28"/>
  <c r="W231" i="28"/>
  <c r="X238" i="28"/>
  <c r="AA232" i="28"/>
  <c r="V232" i="28"/>
  <c r="AI215" i="27"/>
  <c r="AI216" i="27"/>
  <c r="AH230" i="27"/>
  <c r="AG231" i="27"/>
  <c r="R229" i="27"/>
  <c r="AA228" i="27"/>
  <c r="V228" i="27"/>
  <c r="W228" i="27"/>
  <c r="AB228" i="27" s="1"/>
  <c r="S229" i="27"/>
  <c r="D246" i="27"/>
  <c r="C246" i="27" s="1"/>
  <c r="F19" i="27"/>
  <c r="O246" i="27"/>
  <c r="O238" i="27"/>
  <c r="O243" i="27"/>
  <c r="O248" i="27"/>
  <c r="O241" i="27"/>
  <c r="O249" i="27"/>
  <c r="O237" i="27"/>
  <c r="O239" i="27"/>
  <c r="O244" i="27"/>
  <c r="O245" i="27"/>
  <c r="O236" i="27"/>
  <c r="O242" i="27"/>
  <c r="O247" i="27"/>
  <c r="O240" i="27"/>
  <c r="T235" i="27"/>
  <c r="Y231" i="27"/>
  <c r="AD231" i="27" s="1"/>
  <c r="U232" i="27"/>
  <c r="G245" i="27"/>
  <c r="K250" i="27" s="1"/>
  <c r="E245" i="27"/>
  <c r="I250" i="27" s="1"/>
  <c r="F245" i="27"/>
  <c r="J250" i="27" s="1"/>
  <c r="H245" i="27"/>
  <c r="L250" i="27" s="1"/>
  <c r="O247" i="26"/>
  <c r="O245" i="26"/>
  <c r="O243" i="26"/>
  <c r="O241" i="26"/>
  <c r="O239" i="26"/>
  <c r="O237" i="26"/>
  <c r="O249" i="26"/>
  <c r="O246" i="26"/>
  <c r="O236" i="26"/>
  <c r="O238" i="26"/>
  <c r="O242" i="26"/>
  <c r="O240" i="26"/>
  <c r="O248" i="26"/>
  <c r="O244" i="26"/>
  <c r="F19" i="26"/>
  <c r="D248" i="26"/>
  <c r="C248" i="26" s="1"/>
  <c r="U236" i="26"/>
  <c r="Y235" i="26"/>
  <c r="AD235" i="26" s="1"/>
  <c r="W230" i="26"/>
  <c r="AB230" i="26" s="1"/>
  <c r="AE230" i="26" s="1"/>
  <c r="S231" i="26"/>
  <c r="AA231" i="26"/>
  <c r="V231" i="26"/>
  <c r="R232" i="26"/>
  <c r="F247" i="26"/>
  <c r="J262" i="26" s="1"/>
  <c r="G247" i="26"/>
  <c r="K262" i="26" s="1"/>
  <c r="E247" i="26"/>
  <c r="I262" i="26" s="1"/>
  <c r="H247" i="26"/>
  <c r="L262" i="26" s="1"/>
  <c r="T235" i="26"/>
  <c r="Z229" i="26"/>
  <c r="AI201" i="24"/>
  <c r="F246" i="24"/>
  <c r="J251" i="24" s="1"/>
  <c r="E246" i="24"/>
  <c r="I251" i="24" s="1"/>
  <c r="H246" i="24"/>
  <c r="L251" i="24" s="1"/>
  <c r="G246" i="24"/>
  <c r="K251" i="24" s="1"/>
  <c r="AG236" i="24"/>
  <c r="AH235" i="24"/>
  <c r="D248" i="24"/>
  <c r="U234" i="24"/>
  <c r="Y233" i="24"/>
  <c r="AD233" i="24" s="1"/>
  <c r="S233" i="24"/>
  <c r="W233" i="24" s="1"/>
  <c r="AB233" i="24" s="1"/>
  <c r="Z232" i="24"/>
  <c r="C247" i="24"/>
  <c r="V234" i="24"/>
  <c r="AA234" i="24"/>
  <c r="M235" i="24"/>
  <c r="O235" i="24"/>
  <c r="T235" i="24" s="1"/>
  <c r="X234" i="24"/>
  <c r="AC234" i="24" s="1"/>
  <c r="T240" i="28" l="1"/>
  <c r="T241" i="28" s="1"/>
  <c r="T242" i="28" s="1"/>
  <c r="T243" i="28" s="1"/>
  <c r="T244" i="28" s="1"/>
  <c r="T245" i="28" s="1"/>
  <c r="T246" i="28" s="1"/>
  <c r="T247" i="28" s="1"/>
  <c r="T248" i="28" s="1"/>
  <c r="T249" i="28" s="1"/>
  <c r="T250" i="28" s="1"/>
  <c r="T251" i="28" s="1"/>
  <c r="T252" i="28" s="1"/>
  <c r="E249" i="28"/>
  <c r="I254" i="28" s="1"/>
  <c r="F249" i="28"/>
  <c r="J254" i="28" s="1"/>
  <c r="G249" i="28"/>
  <c r="K254" i="28" s="1"/>
  <c r="H249" i="28"/>
  <c r="L254" i="28" s="1"/>
  <c r="AI202" i="28"/>
  <c r="AI199" i="28"/>
  <c r="AD236" i="28"/>
  <c r="AC238" i="28"/>
  <c r="AB231" i="28"/>
  <c r="AE231" i="28" s="1"/>
  <c r="AF235" i="28" s="1"/>
  <c r="AG235" i="28" s="1"/>
  <c r="AH235" i="28" s="1"/>
  <c r="V233" i="28"/>
  <c r="AA233" i="28"/>
  <c r="D250" i="28"/>
  <c r="C250" i="28" s="1"/>
  <c r="X239" i="28"/>
  <c r="W232" i="28"/>
  <c r="Z231" i="28"/>
  <c r="Y237" i="28"/>
  <c r="P238" i="28"/>
  <c r="U238" i="28" s="1"/>
  <c r="AI217" i="27"/>
  <c r="G246" i="27"/>
  <c r="K251" i="27" s="1"/>
  <c r="H246" i="27"/>
  <c r="L251" i="27" s="1"/>
  <c r="E246" i="27"/>
  <c r="I251" i="27" s="1"/>
  <c r="F246" i="27"/>
  <c r="J251" i="27" s="1"/>
  <c r="D247" i="27"/>
  <c r="C247" i="27" s="1"/>
  <c r="W229" i="27"/>
  <c r="AB229" i="27" s="1"/>
  <c r="S230" i="27"/>
  <c r="Z228" i="27"/>
  <c r="AE228" i="27"/>
  <c r="AF232" i="27" s="1"/>
  <c r="AG232" i="27" s="1"/>
  <c r="U233" i="27"/>
  <c r="Y232" i="27"/>
  <c r="AD232" i="27" s="1"/>
  <c r="R230" i="27"/>
  <c r="V229" i="27"/>
  <c r="AA229" i="27"/>
  <c r="T236" i="27"/>
  <c r="X235" i="27"/>
  <c r="AC235" i="27" s="1"/>
  <c r="AH231" i="27"/>
  <c r="W231" i="26"/>
  <c r="AB231" i="26" s="1"/>
  <c r="AE231" i="26" s="1"/>
  <c r="S232" i="26"/>
  <c r="U237" i="26"/>
  <c r="Y236" i="26"/>
  <c r="AD236" i="26" s="1"/>
  <c r="Z230" i="26"/>
  <c r="H248" i="26"/>
  <c r="L263" i="26" s="1"/>
  <c r="F248" i="26"/>
  <c r="J263" i="26" s="1"/>
  <c r="E248" i="26"/>
  <c r="I263" i="26" s="1"/>
  <c r="G248" i="26"/>
  <c r="K263" i="26" s="1"/>
  <c r="D249" i="26"/>
  <c r="V232" i="26"/>
  <c r="R233" i="26"/>
  <c r="AA232" i="26"/>
  <c r="T236" i="26"/>
  <c r="X235" i="26"/>
  <c r="AC235" i="26" s="1"/>
  <c r="AE233" i="24"/>
  <c r="AF237" i="24" s="1"/>
  <c r="AG237" i="24" s="1"/>
  <c r="Z233" i="24"/>
  <c r="X235" i="24"/>
  <c r="AC235" i="24" s="1"/>
  <c r="P235" i="24"/>
  <c r="N235" i="24" s="1"/>
  <c r="Q235" i="24" s="1"/>
  <c r="S234" i="24"/>
  <c r="W234" i="24" s="1"/>
  <c r="AB234" i="24" s="1"/>
  <c r="Y234" i="24"/>
  <c r="AD234" i="24" s="1"/>
  <c r="D249" i="24"/>
  <c r="C249" i="24" s="1"/>
  <c r="AH236" i="24"/>
  <c r="AI202" i="24" s="1"/>
  <c r="M244" i="24"/>
  <c r="M248" i="24"/>
  <c r="M245" i="24"/>
  <c r="M238" i="24"/>
  <c r="M249" i="24"/>
  <c r="M243" i="24"/>
  <c r="M236" i="24"/>
  <c r="M242" i="24"/>
  <c r="M246" i="24"/>
  <c r="M240" i="24"/>
  <c r="M237" i="24"/>
  <c r="M247" i="24"/>
  <c r="M239" i="24"/>
  <c r="M241" i="24"/>
  <c r="D19" i="24"/>
  <c r="O245" i="24"/>
  <c r="O239" i="24"/>
  <c r="O242" i="24"/>
  <c r="O238" i="24"/>
  <c r="O248" i="24"/>
  <c r="O237" i="24"/>
  <c r="O247" i="24"/>
  <c r="O249" i="24"/>
  <c r="O243" i="24"/>
  <c r="O236" i="24"/>
  <c r="T236" i="24" s="1"/>
  <c r="O244" i="24"/>
  <c r="O240" i="24"/>
  <c r="O246" i="24"/>
  <c r="O241" i="24"/>
  <c r="F19" i="24"/>
  <c r="C248" i="24"/>
  <c r="R235" i="24"/>
  <c r="H247" i="24"/>
  <c r="L252" i="24" s="1"/>
  <c r="G247" i="24"/>
  <c r="K252" i="24" s="1"/>
  <c r="F247" i="24"/>
  <c r="J252" i="24" s="1"/>
  <c r="E247" i="24"/>
  <c r="I252" i="24" s="1"/>
  <c r="Z231" i="26" l="1"/>
  <c r="E250" i="28"/>
  <c r="I255" i="28" s="1"/>
  <c r="F250" i="28"/>
  <c r="J255" i="28" s="1"/>
  <c r="G250" i="28"/>
  <c r="K255" i="28" s="1"/>
  <c r="H250" i="28"/>
  <c r="L255" i="28" s="1"/>
  <c r="AI200" i="28"/>
  <c r="AI203" i="28"/>
  <c r="AD237" i="28"/>
  <c r="AB232" i="28"/>
  <c r="AE232" i="28" s="1"/>
  <c r="AF236" i="28" s="1"/>
  <c r="AG236" i="28" s="1"/>
  <c r="AH236" i="28" s="1"/>
  <c r="AC239" i="28"/>
  <c r="Z232" i="28"/>
  <c r="P252" i="28"/>
  <c r="P245" i="28"/>
  <c r="P239" i="28"/>
  <c r="U239" i="28" s="1"/>
  <c r="P242" i="28"/>
  <c r="P250" i="28"/>
  <c r="P246" i="28"/>
  <c r="P241" i="28"/>
  <c r="P247" i="28"/>
  <c r="P251" i="28"/>
  <c r="P240" i="28"/>
  <c r="P243" i="28"/>
  <c r="P249" i="28"/>
  <c r="P248" i="28"/>
  <c r="P244" i="28"/>
  <c r="I19" i="28"/>
  <c r="D251" i="28"/>
  <c r="C251" i="28" s="1"/>
  <c r="V234" i="28"/>
  <c r="AA234" i="28"/>
  <c r="W233" i="28"/>
  <c r="X240" i="28"/>
  <c r="AI218" i="27"/>
  <c r="U235" i="24"/>
  <c r="S235" i="24" s="1"/>
  <c r="W235" i="24" s="1"/>
  <c r="AB235" i="24" s="1"/>
  <c r="AE234" i="24"/>
  <c r="AF238" i="24" s="1"/>
  <c r="AG238" i="24" s="1"/>
  <c r="F247" i="27"/>
  <c r="J252" i="27" s="1"/>
  <c r="G247" i="27"/>
  <c r="K252" i="27" s="1"/>
  <c r="H247" i="27"/>
  <c r="L252" i="27" s="1"/>
  <c r="E247" i="27"/>
  <c r="I252" i="27" s="1"/>
  <c r="W230" i="27"/>
  <c r="AB230" i="27" s="1"/>
  <c r="S231" i="27"/>
  <c r="T237" i="27"/>
  <c r="X236" i="27"/>
  <c r="AC236" i="27" s="1"/>
  <c r="D248" i="27"/>
  <c r="C248" i="27" s="1"/>
  <c r="AE229" i="27"/>
  <c r="AF233" i="27" s="1"/>
  <c r="AG233" i="27" s="1"/>
  <c r="Z229" i="27"/>
  <c r="AH232" i="27"/>
  <c r="AI219" i="27" s="1"/>
  <c r="R231" i="27"/>
  <c r="V230" i="27"/>
  <c r="AA230" i="27"/>
  <c r="U234" i="27"/>
  <c r="Y233" i="27"/>
  <c r="AD233" i="27" s="1"/>
  <c r="D250" i="26"/>
  <c r="C250" i="26" s="1"/>
  <c r="C249" i="26"/>
  <c r="X236" i="26"/>
  <c r="AC236" i="26" s="1"/>
  <c r="T237" i="26"/>
  <c r="U238" i="26"/>
  <c r="Y237" i="26"/>
  <c r="AD237" i="26" s="1"/>
  <c r="AA233" i="26"/>
  <c r="R234" i="26"/>
  <c r="V233" i="26"/>
  <c r="W232" i="26"/>
  <c r="AB232" i="26" s="1"/>
  <c r="AE232" i="26" s="1"/>
  <c r="S233" i="26"/>
  <c r="AI203" i="24"/>
  <c r="Z234" i="24"/>
  <c r="I18" i="24" s="1"/>
  <c r="G249" i="24"/>
  <c r="K254" i="24" s="1"/>
  <c r="F249" i="24"/>
  <c r="J254" i="24" s="1"/>
  <c r="H249" i="24"/>
  <c r="L254" i="24" s="1"/>
  <c r="E249" i="24"/>
  <c r="I254" i="24" s="1"/>
  <c r="T237" i="24"/>
  <c r="X236" i="24"/>
  <c r="AC236" i="24" s="1"/>
  <c r="AA235" i="24"/>
  <c r="V235" i="24"/>
  <c r="R236" i="24"/>
  <c r="D250" i="24"/>
  <c r="C250" i="24" s="1"/>
  <c r="H248" i="24"/>
  <c r="L253" i="24" s="1"/>
  <c r="G248" i="24"/>
  <c r="K253" i="24" s="1"/>
  <c r="F248" i="24"/>
  <c r="J253" i="24" s="1"/>
  <c r="E248" i="24"/>
  <c r="I253" i="24" s="1"/>
  <c r="AH237" i="24"/>
  <c r="N244" i="24"/>
  <c r="N238" i="24"/>
  <c r="N246" i="24"/>
  <c r="N240" i="24"/>
  <c r="N248" i="24"/>
  <c r="N237" i="24"/>
  <c r="N247" i="24"/>
  <c r="N245" i="24"/>
  <c r="N241" i="24"/>
  <c r="N249" i="24"/>
  <c r="N243" i="24"/>
  <c r="N242" i="24"/>
  <c r="N239" i="24"/>
  <c r="N236" i="24"/>
  <c r="E19" i="24"/>
  <c r="P245" i="24"/>
  <c r="P242" i="24"/>
  <c r="P247" i="24"/>
  <c r="P238" i="24"/>
  <c r="P241" i="24"/>
  <c r="P239" i="24"/>
  <c r="P249" i="24"/>
  <c r="P243" i="24"/>
  <c r="P236" i="24"/>
  <c r="P246" i="24"/>
  <c r="P244" i="24"/>
  <c r="P240" i="24"/>
  <c r="P237" i="24"/>
  <c r="P248" i="24"/>
  <c r="G19" i="24"/>
  <c r="Q237" i="24" l="1"/>
  <c r="Q245" i="24"/>
  <c r="Y235" i="24"/>
  <c r="AD235" i="24" s="1"/>
  <c r="E251" i="28"/>
  <c r="I256" i="28" s="1"/>
  <c r="G251" i="28"/>
  <c r="K256" i="28" s="1"/>
  <c r="H251" i="28"/>
  <c r="L256" i="28" s="1"/>
  <c r="F251" i="28"/>
  <c r="J256" i="28" s="1"/>
  <c r="Q248" i="24"/>
  <c r="U236" i="24"/>
  <c r="S236" i="24" s="1"/>
  <c r="W236" i="24" s="1"/>
  <c r="AB236" i="24" s="1"/>
  <c r="U240" i="28"/>
  <c r="AB233" i="28"/>
  <c r="AE233" i="28" s="1"/>
  <c r="AF237" i="28" s="1"/>
  <c r="AG237" i="28" s="1"/>
  <c r="AH237" i="28" s="1"/>
  <c r="AC240" i="28"/>
  <c r="X241" i="28"/>
  <c r="Y238" i="28"/>
  <c r="D252" i="28"/>
  <c r="C252" i="28" s="1"/>
  <c r="W234" i="28"/>
  <c r="AA235" i="28"/>
  <c r="V235" i="28"/>
  <c r="Z233" i="28"/>
  <c r="J17" i="27"/>
  <c r="Q239" i="24"/>
  <c r="Q244" i="24"/>
  <c r="Z235" i="24"/>
  <c r="Q242" i="24"/>
  <c r="Q241" i="24"/>
  <c r="AE230" i="27"/>
  <c r="AF234" i="27" s="1"/>
  <c r="AG234" i="27" s="1"/>
  <c r="Z230" i="27"/>
  <c r="AH233" i="27"/>
  <c r="F248" i="27"/>
  <c r="J253" i="27" s="1"/>
  <c r="H248" i="27"/>
  <c r="L253" i="27" s="1"/>
  <c r="G248" i="27"/>
  <c r="K253" i="27" s="1"/>
  <c r="E248" i="27"/>
  <c r="I253" i="27" s="1"/>
  <c r="D249" i="27"/>
  <c r="X237" i="27"/>
  <c r="AC237" i="27" s="1"/>
  <c r="T238" i="27"/>
  <c r="P235" i="27"/>
  <c r="Y234" i="27"/>
  <c r="AD234" i="27" s="1"/>
  <c r="W231" i="27"/>
  <c r="AB231" i="27" s="1"/>
  <c r="S232" i="27"/>
  <c r="V231" i="27"/>
  <c r="AA231" i="27"/>
  <c r="R232" i="27"/>
  <c r="Z232" i="26"/>
  <c r="U239" i="26"/>
  <c r="Y238" i="26"/>
  <c r="AD238" i="26" s="1"/>
  <c r="M235" i="26"/>
  <c r="R235" i="26" s="1"/>
  <c r="V234" i="26"/>
  <c r="AA234" i="26"/>
  <c r="T238" i="26"/>
  <c r="X237" i="26"/>
  <c r="AC237" i="26" s="1"/>
  <c r="F249" i="26"/>
  <c r="J264" i="26" s="1"/>
  <c r="E249" i="26"/>
  <c r="I264" i="26" s="1"/>
  <c r="H249" i="26"/>
  <c r="L264" i="26" s="1"/>
  <c r="G249" i="26"/>
  <c r="K264" i="26" s="1"/>
  <c r="W233" i="26"/>
  <c r="AB233" i="26" s="1"/>
  <c r="AE233" i="26" s="1"/>
  <c r="S234" i="26"/>
  <c r="E250" i="26"/>
  <c r="I265" i="26" s="1"/>
  <c r="H250" i="26"/>
  <c r="L265" i="26" s="1"/>
  <c r="G250" i="26"/>
  <c r="K265" i="26" s="1"/>
  <c r="F250" i="26"/>
  <c r="J265" i="26" s="1"/>
  <c r="D251" i="26"/>
  <c r="AE235" i="24"/>
  <c r="AF239" i="24" s="1"/>
  <c r="AG239" i="24" s="1"/>
  <c r="Q243" i="24"/>
  <c r="Q249" i="24"/>
  <c r="Q247" i="24"/>
  <c r="Q240" i="24"/>
  <c r="Q246" i="24"/>
  <c r="Q236" i="24"/>
  <c r="Q238" i="24"/>
  <c r="H250" i="24"/>
  <c r="L255" i="24" s="1"/>
  <c r="G250" i="24"/>
  <c r="K255" i="24" s="1"/>
  <c r="F250" i="24"/>
  <c r="J255" i="24" s="1"/>
  <c r="E250" i="24"/>
  <c r="I255" i="24" s="1"/>
  <c r="U237" i="24"/>
  <c r="D251" i="24"/>
  <c r="C251" i="24" s="1"/>
  <c r="X237" i="24"/>
  <c r="AC237" i="24" s="1"/>
  <c r="T238" i="24"/>
  <c r="AH238" i="24"/>
  <c r="V236" i="24"/>
  <c r="AA236" i="24"/>
  <c r="R237" i="24"/>
  <c r="Z233" i="26" l="1"/>
  <c r="Y236" i="24"/>
  <c r="AD236" i="24" s="1"/>
  <c r="E252" i="28"/>
  <c r="I257" i="28" s="1"/>
  <c r="F252" i="28"/>
  <c r="J257" i="28" s="1"/>
  <c r="G252" i="28"/>
  <c r="K257" i="28" s="1"/>
  <c r="H252" i="28"/>
  <c r="L257" i="28" s="1"/>
  <c r="U241" i="28"/>
  <c r="AC241" i="28"/>
  <c r="AD238" i="28"/>
  <c r="AB234" i="28"/>
  <c r="AE234" i="28" s="1"/>
  <c r="AF238" i="28" s="1"/>
  <c r="AG238" i="28" s="1"/>
  <c r="AH238" i="28" s="1"/>
  <c r="AI205" i="28" s="1"/>
  <c r="AI204" i="28"/>
  <c r="Z234" i="28"/>
  <c r="Y239" i="28"/>
  <c r="X242" i="28"/>
  <c r="V236" i="28"/>
  <c r="AA236" i="28"/>
  <c r="W235" i="28"/>
  <c r="D253" i="28"/>
  <c r="C253" i="28" s="1"/>
  <c r="AE231" i="27"/>
  <c r="AF235" i="27" s="1"/>
  <c r="AG235" i="27" s="1"/>
  <c r="Z231" i="27"/>
  <c r="G19" i="27"/>
  <c r="P241" i="27"/>
  <c r="P247" i="27"/>
  <c r="P240" i="27"/>
  <c r="P246" i="27"/>
  <c r="P238" i="27"/>
  <c r="P243" i="27"/>
  <c r="P248" i="27"/>
  <c r="P236" i="27"/>
  <c r="P249" i="27"/>
  <c r="P237" i="27"/>
  <c r="P239" i="27"/>
  <c r="P244" i="27"/>
  <c r="P245" i="27"/>
  <c r="P242" i="27"/>
  <c r="X238" i="27"/>
  <c r="AC238" i="27" s="1"/>
  <c r="T239" i="27"/>
  <c r="V232" i="27"/>
  <c r="R233" i="27"/>
  <c r="AA232" i="27"/>
  <c r="D250" i="27"/>
  <c r="C249" i="27"/>
  <c r="W232" i="27"/>
  <c r="AB232" i="27" s="1"/>
  <c r="S233" i="27"/>
  <c r="U235" i="27"/>
  <c r="AH234" i="27"/>
  <c r="V235" i="26"/>
  <c r="AA235" i="26"/>
  <c r="D252" i="26"/>
  <c r="C252" i="26" s="1"/>
  <c r="C251" i="26"/>
  <c r="T239" i="26"/>
  <c r="X238" i="26"/>
  <c r="AC238" i="26" s="1"/>
  <c r="W234" i="26"/>
  <c r="AB234" i="26" s="1"/>
  <c r="AE234" i="26" s="1"/>
  <c r="M245" i="26"/>
  <c r="M244" i="26"/>
  <c r="M249" i="26"/>
  <c r="M246" i="26"/>
  <c r="M248" i="26"/>
  <c r="M241" i="26"/>
  <c r="M239" i="26"/>
  <c r="M243" i="26"/>
  <c r="M238" i="26"/>
  <c r="M242" i="26"/>
  <c r="M237" i="26"/>
  <c r="M247" i="26"/>
  <c r="M236" i="26"/>
  <c r="R236" i="26" s="1"/>
  <c r="M240" i="26"/>
  <c r="D19" i="26"/>
  <c r="N235" i="26"/>
  <c r="Q235" i="26" s="1"/>
  <c r="U240" i="26"/>
  <c r="Y239" i="26"/>
  <c r="AD239" i="26" s="1"/>
  <c r="AI204" i="24"/>
  <c r="J16" i="24" s="1"/>
  <c r="AI205" i="24"/>
  <c r="H251" i="24"/>
  <c r="L256" i="24" s="1"/>
  <c r="G251" i="24"/>
  <c r="K256" i="24" s="1"/>
  <c r="F251" i="24"/>
  <c r="J256" i="24" s="1"/>
  <c r="E251" i="24"/>
  <c r="I256" i="24" s="1"/>
  <c r="S237" i="24"/>
  <c r="W237" i="24" s="1"/>
  <c r="AB237" i="24" s="1"/>
  <c r="U238" i="24"/>
  <c r="Y237" i="24"/>
  <c r="AD237" i="24" s="1"/>
  <c r="R238" i="24"/>
  <c r="V237" i="24"/>
  <c r="AA237" i="24"/>
  <c r="Z236" i="24"/>
  <c r="AE236" i="24"/>
  <c r="AF240" i="24" s="1"/>
  <c r="AG240" i="24" s="1"/>
  <c r="AH239" i="24"/>
  <c r="D252" i="24"/>
  <c r="C252" i="24" s="1"/>
  <c r="T239" i="24"/>
  <c r="X238" i="24"/>
  <c r="AC238" i="24" s="1"/>
  <c r="S235" i="26" l="1"/>
  <c r="E253" i="28"/>
  <c r="I258" i="28" s="1"/>
  <c r="F253" i="28"/>
  <c r="J258" i="28" s="1"/>
  <c r="G253" i="28"/>
  <c r="H253" i="28"/>
  <c r="L258" i="28" s="1"/>
  <c r="Z232" i="27"/>
  <c r="U242" i="28"/>
  <c r="AB235" i="28"/>
  <c r="AE235" i="28" s="1"/>
  <c r="AF239" i="28" s="1"/>
  <c r="AG239" i="28" s="1"/>
  <c r="AH239" i="28" s="1"/>
  <c r="AC242" i="28"/>
  <c r="AD239" i="28"/>
  <c r="K258" i="28"/>
  <c r="Y240" i="28"/>
  <c r="D254" i="28"/>
  <c r="C254" i="28" s="1"/>
  <c r="W236" i="28"/>
  <c r="AA237" i="28"/>
  <c r="M238" i="28"/>
  <c r="R238" i="28" s="1"/>
  <c r="V237" i="28"/>
  <c r="X243" i="28"/>
  <c r="Z235" i="28"/>
  <c r="AI220" i="27"/>
  <c r="AE232" i="27"/>
  <c r="AF236" i="27" s="1"/>
  <c r="AG236" i="27" s="1"/>
  <c r="H249" i="27"/>
  <c r="L254" i="27" s="1"/>
  <c r="E249" i="27"/>
  <c r="I254" i="27" s="1"/>
  <c r="F249" i="27"/>
  <c r="J254" i="27" s="1"/>
  <c r="G249" i="27"/>
  <c r="K254" i="27" s="1"/>
  <c r="D251" i="27"/>
  <c r="C250" i="27"/>
  <c r="V233" i="27"/>
  <c r="R234" i="27"/>
  <c r="AA233" i="27"/>
  <c r="X239" i="27"/>
  <c r="AC239" i="27" s="1"/>
  <c r="T240" i="27"/>
  <c r="AH235" i="27"/>
  <c r="AI221" i="27" s="1"/>
  <c r="U236" i="27"/>
  <c r="Y235" i="27"/>
  <c r="AD235" i="27" s="1"/>
  <c r="W233" i="27"/>
  <c r="AB233" i="27" s="1"/>
  <c r="S234" i="27"/>
  <c r="W234" i="27" s="1"/>
  <c r="AB234" i="27" s="1"/>
  <c r="R237" i="26"/>
  <c r="AA236" i="26"/>
  <c r="V236" i="26"/>
  <c r="W235" i="26"/>
  <c r="AB235" i="26" s="1"/>
  <c r="Z234" i="26"/>
  <c r="I18" i="26" s="1"/>
  <c r="J18" i="26" s="1"/>
  <c r="T240" i="26"/>
  <c r="X239" i="26"/>
  <c r="AC239" i="26" s="1"/>
  <c r="U241" i="26"/>
  <c r="Y240" i="26"/>
  <c r="AD240" i="26" s="1"/>
  <c r="H251" i="26"/>
  <c r="L266" i="26" s="1"/>
  <c r="G251" i="26"/>
  <c r="K266" i="26" s="1"/>
  <c r="E251" i="26"/>
  <c r="I266" i="26" s="1"/>
  <c r="F251" i="26"/>
  <c r="J266" i="26" s="1"/>
  <c r="H252" i="26"/>
  <c r="L267" i="26" s="1"/>
  <c r="G252" i="26"/>
  <c r="K267" i="26" s="1"/>
  <c r="F252" i="26"/>
  <c r="J267" i="26" s="1"/>
  <c r="E252" i="26"/>
  <c r="I267" i="26" s="1"/>
  <c r="Q249" i="26"/>
  <c r="D253" i="26"/>
  <c r="AE235" i="26"/>
  <c r="N247" i="26"/>
  <c r="Q247" i="26" s="1"/>
  <c r="N245" i="26"/>
  <c r="Q245" i="26" s="1"/>
  <c r="N243" i="26"/>
  <c r="Q243" i="26" s="1"/>
  <c r="N241" i="26"/>
  <c r="Q241" i="26" s="1"/>
  <c r="N239" i="26"/>
  <c r="Q239" i="26" s="1"/>
  <c r="N237" i="26"/>
  <c r="Q237" i="26" s="1"/>
  <c r="N249" i="26"/>
  <c r="N246" i="26"/>
  <c r="Q246" i="26" s="1"/>
  <c r="N244" i="26"/>
  <c r="Q244" i="26" s="1"/>
  <c r="N238" i="26"/>
  <c r="Q238" i="26" s="1"/>
  <c r="N242" i="26"/>
  <c r="Q242" i="26" s="1"/>
  <c r="N236" i="26"/>
  <c r="S236" i="26" s="1"/>
  <c r="N240" i="26"/>
  <c r="Q240" i="26" s="1"/>
  <c r="N248" i="26"/>
  <c r="Q248" i="26" s="1"/>
  <c r="E19" i="26"/>
  <c r="AE237" i="24"/>
  <c r="AF241" i="24" s="1"/>
  <c r="AG241" i="24" s="1"/>
  <c r="AH240" i="24"/>
  <c r="Z237" i="24"/>
  <c r="Y238" i="24"/>
  <c r="AD238" i="24" s="1"/>
  <c r="U239" i="24"/>
  <c r="S238" i="24"/>
  <c r="W238" i="24" s="1"/>
  <c r="AB238" i="24" s="1"/>
  <c r="X239" i="24"/>
  <c r="AC239" i="24" s="1"/>
  <c r="T240" i="24"/>
  <c r="F252" i="24"/>
  <c r="J257" i="24" s="1"/>
  <c r="E252" i="24"/>
  <c r="I257" i="24" s="1"/>
  <c r="H252" i="24"/>
  <c r="L257" i="24" s="1"/>
  <c r="G252" i="24"/>
  <c r="K257" i="24" s="1"/>
  <c r="R239" i="24"/>
  <c r="V238" i="24"/>
  <c r="AA238" i="24"/>
  <c r="D253" i="24"/>
  <c r="C253" i="24" s="1"/>
  <c r="Z235" i="26" l="1"/>
  <c r="E254" i="28"/>
  <c r="I259" i="28" s="1"/>
  <c r="F254" i="28"/>
  <c r="J259" i="28" s="1"/>
  <c r="G254" i="28"/>
  <c r="K259" i="28" s="1"/>
  <c r="H254" i="28"/>
  <c r="L259" i="28" s="1"/>
  <c r="U243" i="28"/>
  <c r="AB236" i="28"/>
  <c r="AE236" i="28" s="1"/>
  <c r="AF240" i="28" s="1"/>
  <c r="AG240" i="28" s="1"/>
  <c r="AH240" i="28" s="1"/>
  <c r="AD240" i="28"/>
  <c r="AC243" i="28"/>
  <c r="AI206" i="28"/>
  <c r="D255" i="28"/>
  <c r="C255" i="28" s="1"/>
  <c r="Z236" i="28"/>
  <c r="X244" i="28"/>
  <c r="Y241" i="28"/>
  <c r="AA238" i="28"/>
  <c r="V238" i="28"/>
  <c r="M249" i="28"/>
  <c r="M243" i="28"/>
  <c r="M240" i="28"/>
  <c r="M252" i="28"/>
  <c r="M248" i="28"/>
  <c r="M245" i="28"/>
  <c r="M247" i="28"/>
  <c r="M242" i="28"/>
  <c r="M246" i="28"/>
  <c r="M241" i="28"/>
  <c r="M244" i="28"/>
  <c r="M239" i="28"/>
  <c r="R239" i="28" s="1"/>
  <c r="M250" i="28"/>
  <c r="M251" i="28"/>
  <c r="F19" i="28"/>
  <c r="N238" i="28"/>
  <c r="S238" i="28" s="1"/>
  <c r="W237" i="28"/>
  <c r="Z233" i="27"/>
  <c r="AE233" i="27"/>
  <c r="AF237" i="27" s="1"/>
  <c r="AG237" i="27" s="1"/>
  <c r="V234" i="27"/>
  <c r="Z234" i="27" s="1"/>
  <c r="AA234" i="27"/>
  <c r="AE234" i="27" s="1"/>
  <c r="AF238" i="27" s="1"/>
  <c r="M235" i="27"/>
  <c r="H250" i="27"/>
  <c r="L255" i="27" s="1"/>
  <c r="E250" i="27"/>
  <c r="I255" i="27" s="1"/>
  <c r="F250" i="27"/>
  <c r="J255" i="27" s="1"/>
  <c r="G250" i="27"/>
  <c r="K255" i="27" s="1"/>
  <c r="D252" i="27"/>
  <c r="C252" i="27" s="1"/>
  <c r="C251" i="27"/>
  <c r="AH236" i="27"/>
  <c r="Y236" i="27"/>
  <c r="AD236" i="27" s="1"/>
  <c r="U237" i="27"/>
  <c r="X240" i="27"/>
  <c r="AC240" i="27" s="1"/>
  <c r="T241" i="27"/>
  <c r="W236" i="26"/>
  <c r="AB236" i="26" s="1"/>
  <c r="AE236" i="26" s="1"/>
  <c r="S237" i="26"/>
  <c r="D254" i="26"/>
  <c r="C254" i="26" s="1"/>
  <c r="X240" i="26"/>
  <c r="AC240" i="26" s="1"/>
  <c r="T241" i="26"/>
  <c r="Q236" i="26"/>
  <c r="U242" i="26"/>
  <c r="Y241" i="26"/>
  <c r="AD241" i="26" s="1"/>
  <c r="C253" i="26"/>
  <c r="V237" i="26"/>
  <c r="AA237" i="26"/>
  <c r="R238" i="26"/>
  <c r="AI212" i="24"/>
  <c r="AI206" i="24"/>
  <c r="H253" i="24"/>
  <c r="L258" i="24" s="1"/>
  <c r="G253" i="24"/>
  <c r="K258" i="24" s="1"/>
  <c r="E253" i="24"/>
  <c r="I258" i="24" s="1"/>
  <c r="F253" i="24"/>
  <c r="J258" i="24" s="1"/>
  <c r="Y239" i="24"/>
  <c r="AD239" i="24" s="1"/>
  <c r="S239" i="24"/>
  <c r="W239" i="24" s="1"/>
  <c r="AB239" i="24" s="1"/>
  <c r="U240" i="24"/>
  <c r="T241" i="24"/>
  <c r="X240" i="24"/>
  <c r="AC240" i="24" s="1"/>
  <c r="D254" i="24"/>
  <c r="C254" i="24" s="1"/>
  <c r="AE238" i="24"/>
  <c r="AF242" i="24" s="1"/>
  <c r="AG242" i="24" s="1"/>
  <c r="Z238" i="24"/>
  <c r="R240" i="24"/>
  <c r="AA239" i="24"/>
  <c r="V239" i="24"/>
  <c r="AH241" i="24"/>
  <c r="H255" i="28" l="1"/>
  <c r="L260" i="28" s="1"/>
  <c r="E255" i="28"/>
  <c r="I260" i="28" s="1"/>
  <c r="F255" i="28"/>
  <c r="J260" i="28" s="1"/>
  <c r="G255" i="28"/>
  <c r="K260" i="28" s="1"/>
  <c r="Z236" i="26"/>
  <c r="R240" i="28"/>
  <c r="R241" i="28" s="1"/>
  <c r="R242" i="28" s="1"/>
  <c r="R243" i="28" s="1"/>
  <c r="R244" i="28" s="1"/>
  <c r="R245" i="28" s="1"/>
  <c r="R246" i="28" s="1"/>
  <c r="R247" i="28" s="1"/>
  <c r="R248" i="28" s="1"/>
  <c r="R249" i="28" s="1"/>
  <c r="R250" i="28" s="1"/>
  <c r="R251" i="28" s="1"/>
  <c r="R252" i="28" s="1"/>
  <c r="U244" i="28"/>
  <c r="AB237" i="28"/>
  <c r="AE237" i="28" s="1"/>
  <c r="AF241" i="28" s="1"/>
  <c r="AG241" i="28" s="1"/>
  <c r="AH241" i="28" s="1"/>
  <c r="AC244" i="28"/>
  <c r="AD241" i="28"/>
  <c r="W238" i="28"/>
  <c r="V239" i="28"/>
  <c r="AA239" i="28"/>
  <c r="D256" i="28"/>
  <c r="C256" i="28" s="1"/>
  <c r="X245" i="28"/>
  <c r="N244" i="28"/>
  <c r="Q244" i="28" s="1"/>
  <c r="N243" i="28"/>
  <c r="Q243" i="28" s="1"/>
  <c r="N240" i="28"/>
  <c r="Q240" i="28" s="1"/>
  <c r="N252" i="28"/>
  <c r="Q252" i="28" s="1"/>
  <c r="N248" i="28"/>
  <c r="Q248" i="28" s="1"/>
  <c r="N245" i="28"/>
  <c r="Q245" i="28" s="1"/>
  <c r="N250" i="28"/>
  <c r="Q250" i="28" s="1"/>
  <c r="N246" i="28"/>
  <c r="Q246" i="28" s="1"/>
  <c r="N241" i="28"/>
  <c r="Q241" i="28" s="1"/>
  <c r="N247" i="28"/>
  <c r="Q247" i="28" s="1"/>
  <c r="N251" i="28"/>
  <c r="Q251" i="28" s="1"/>
  <c r="N242" i="28"/>
  <c r="Q242" i="28" s="1"/>
  <c r="N239" i="28"/>
  <c r="Q239" i="28" s="1"/>
  <c r="N249" i="28"/>
  <c r="Q249" i="28" s="1"/>
  <c r="G19" i="28"/>
  <c r="Q238" i="28"/>
  <c r="Z237" i="28"/>
  <c r="Y242" i="28"/>
  <c r="AI222" i="27"/>
  <c r="G252" i="27"/>
  <c r="K257" i="27" s="1"/>
  <c r="H252" i="27"/>
  <c r="L257" i="27" s="1"/>
  <c r="E252" i="27"/>
  <c r="I257" i="27" s="1"/>
  <c r="F252" i="27"/>
  <c r="J257" i="27" s="1"/>
  <c r="D19" i="27"/>
  <c r="M236" i="27"/>
  <c r="M241" i="27"/>
  <c r="M244" i="27"/>
  <c r="M246" i="27"/>
  <c r="M249" i="27"/>
  <c r="M237" i="27"/>
  <c r="M248" i="27"/>
  <c r="M238" i="27"/>
  <c r="M239" i="27"/>
  <c r="M242" i="27"/>
  <c r="M243" i="27"/>
  <c r="M245" i="27"/>
  <c r="M247" i="27"/>
  <c r="N235" i="27"/>
  <c r="M240" i="27"/>
  <c r="T242" i="27"/>
  <c r="X241" i="27"/>
  <c r="AC241" i="27" s="1"/>
  <c r="I18" i="27"/>
  <c r="D253" i="27"/>
  <c r="C253" i="27" s="1"/>
  <c r="R235" i="27"/>
  <c r="U238" i="27"/>
  <c r="Y237" i="27"/>
  <c r="AD237" i="27" s="1"/>
  <c r="AH237" i="27"/>
  <c r="AG238" i="27"/>
  <c r="H251" i="27"/>
  <c r="L256" i="27" s="1"/>
  <c r="E251" i="27"/>
  <c r="I256" i="27" s="1"/>
  <c r="F251" i="27"/>
  <c r="J256" i="27" s="1"/>
  <c r="G251" i="27"/>
  <c r="K256" i="27" s="1"/>
  <c r="Y242" i="26"/>
  <c r="AD242" i="26" s="1"/>
  <c r="U243" i="26"/>
  <c r="T242" i="26"/>
  <c r="X241" i="26"/>
  <c r="AC241" i="26" s="1"/>
  <c r="V238" i="26"/>
  <c r="AA238" i="26"/>
  <c r="R239" i="26"/>
  <c r="F254" i="26"/>
  <c r="J269" i="26" s="1"/>
  <c r="E254" i="26"/>
  <c r="I269" i="26" s="1"/>
  <c r="H254" i="26"/>
  <c r="L269" i="26" s="1"/>
  <c r="G254" i="26"/>
  <c r="K269" i="26" s="1"/>
  <c r="D255" i="26"/>
  <c r="C255" i="26" s="1"/>
  <c r="F253" i="26"/>
  <c r="J268" i="26" s="1"/>
  <c r="E253" i="26"/>
  <c r="I268" i="26" s="1"/>
  <c r="G253" i="26"/>
  <c r="K268" i="26" s="1"/>
  <c r="H253" i="26"/>
  <c r="L268" i="26" s="1"/>
  <c r="W237" i="26"/>
  <c r="AB237" i="26" s="1"/>
  <c r="AE237" i="26" s="1"/>
  <c r="S238" i="26"/>
  <c r="Z239" i="24"/>
  <c r="H254" i="24"/>
  <c r="L259" i="24" s="1"/>
  <c r="G254" i="24"/>
  <c r="K259" i="24" s="1"/>
  <c r="E254" i="24"/>
  <c r="I259" i="24" s="1"/>
  <c r="F254" i="24"/>
  <c r="J259" i="24" s="1"/>
  <c r="D255" i="24"/>
  <c r="C255" i="24" s="1"/>
  <c r="X241" i="24"/>
  <c r="AC241" i="24" s="1"/>
  <c r="T242" i="24"/>
  <c r="U241" i="24"/>
  <c r="Y240" i="24"/>
  <c r="AD240" i="24" s="1"/>
  <c r="S240" i="24"/>
  <c r="W240" i="24" s="1"/>
  <c r="AB240" i="24" s="1"/>
  <c r="AH242" i="24"/>
  <c r="AI207" i="24" s="1"/>
  <c r="AA240" i="24"/>
  <c r="R241" i="24"/>
  <c r="V240" i="24"/>
  <c r="AE239" i="24"/>
  <c r="AF243" i="24" s="1"/>
  <c r="AG243" i="24" s="1"/>
  <c r="E256" i="28" l="1"/>
  <c r="I261" i="28" s="1"/>
  <c r="F256" i="28"/>
  <c r="J261" i="28" s="1"/>
  <c r="G256" i="28"/>
  <c r="K261" i="28" s="1"/>
  <c r="H256" i="28"/>
  <c r="S239" i="28"/>
  <c r="S240" i="28" s="1"/>
  <c r="S241" i="28" s="1"/>
  <c r="S242" i="28" s="1"/>
  <c r="S243" i="28" s="1"/>
  <c r="S244" i="28" s="1"/>
  <c r="U245" i="28"/>
  <c r="AC245" i="28"/>
  <c r="AD242" i="28"/>
  <c r="AB238" i="28"/>
  <c r="AE238" i="28" s="1"/>
  <c r="AF242" i="28" s="1"/>
  <c r="AG242" i="28" s="1"/>
  <c r="AH242" i="28" s="1"/>
  <c r="AI207" i="28"/>
  <c r="D16" i="28" s="1"/>
  <c r="Z238" i="28"/>
  <c r="C18" i="28"/>
  <c r="AA240" i="28"/>
  <c r="V240" i="28"/>
  <c r="X246" i="28"/>
  <c r="L261" i="28"/>
  <c r="D257" i="28"/>
  <c r="C257" i="28" s="1"/>
  <c r="Y243" i="28"/>
  <c r="AI223" i="27"/>
  <c r="AI224" i="27"/>
  <c r="F253" i="27"/>
  <c r="J258" i="27" s="1"/>
  <c r="E253" i="27"/>
  <c r="I258" i="27" s="1"/>
  <c r="G253" i="27"/>
  <c r="K258" i="27" s="1"/>
  <c r="H253" i="27"/>
  <c r="L258" i="27" s="1"/>
  <c r="T243" i="27"/>
  <c r="X242" i="27"/>
  <c r="AC242" i="27" s="1"/>
  <c r="E19" i="27"/>
  <c r="N240" i="27"/>
  <c r="Q240" i="27" s="1"/>
  <c r="N246" i="27"/>
  <c r="Q246" i="27" s="1"/>
  <c r="N239" i="27"/>
  <c r="Q239" i="27" s="1"/>
  <c r="N245" i="27"/>
  <c r="Q245" i="27" s="1"/>
  <c r="N236" i="27"/>
  <c r="Q236" i="27" s="1"/>
  <c r="N241" i="27"/>
  <c r="Q241" i="27" s="1"/>
  <c r="N244" i="27"/>
  <c r="Q244" i="27" s="1"/>
  <c r="N249" i="27"/>
  <c r="Q249" i="27" s="1"/>
  <c r="N238" i="27"/>
  <c r="Q238" i="27" s="1"/>
  <c r="N243" i="27"/>
  <c r="Q243" i="27" s="1"/>
  <c r="N237" i="27"/>
  <c r="Q237" i="27" s="1"/>
  <c r="N248" i="27"/>
  <c r="Q248" i="27" s="1"/>
  <c r="N242" i="27"/>
  <c r="Q242" i="27" s="1"/>
  <c r="N247" i="27"/>
  <c r="Q247" i="27" s="1"/>
  <c r="S235" i="27"/>
  <c r="U239" i="27"/>
  <c r="Y238" i="27"/>
  <c r="AD238" i="27" s="1"/>
  <c r="Q235" i="27"/>
  <c r="AH238" i="27"/>
  <c r="R236" i="27"/>
  <c r="AA235" i="27"/>
  <c r="V235" i="27"/>
  <c r="D254" i="27"/>
  <c r="X242" i="26"/>
  <c r="AC242" i="26" s="1"/>
  <c r="T243" i="26"/>
  <c r="U244" i="26"/>
  <c r="Y243" i="26"/>
  <c r="AD243" i="26" s="1"/>
  <c r="W238" i="26"/>
  <c r="AB238" i="26" s="1"/>
  <c r="AE238" i="26" s="1"/>
  <c r="S239" i="26"/>
  <c r="F255" i="26"/>
  <c r="J270" i="26" s="1"/>
  <c r="E255" i="26"/>
  <c r="I270" i="26" s="1"/>
  <c r="H255" i="26"/>
  <c r="L270" i="26" s="1"/>
  <c r="G255" i="26"/>
  <c r="K270" i="26" s="1"/>
  <c r="V239" i="26"/>
  <c r="AA239" i="26"/>
  <c r="R240" i="26"/>
  <c r="D256" i="26"/>
  <c r="C256" i="26"/>
  <c r="Z237" i="26"/>
  <c r="AI213" i="24"/>
  <c r="AI208" i="24"/>
  <c r="AH243" i="24"/>
  <c r="AI214" i="24" s="1"/>
  <c r="G255" i="24"/>
  <c r="K260" i="24" s="1"/>
  <c r="F255" i="24"/>
  <c r="J260" i="24" s="1"/>
  <c r="H255" i="24"/>
  <c r="L260" i="24" s="1"/>
  <c r="E255" i="24"/>
  <c r="I260" i="24" s="1"/>
  <c r="U242" i="24"/>
  <c r="S241" i="24"/>
  <c r="W241" i="24" s="1"/>
  <c r="AB241" i="24" s="1"/>
  <c r="Y241" i="24"/>
  <c r="AD241" i="24" s="1"/>
  <c r="D256" i="24"/>
  <c r="C256" i="24" s="1"/>
  <c r="Z240" i="24"/>
  <c r="V241" i="24"/>
  <c r="AA241" i="24"/>
  <c r="R242" i="24"/>
  <c r="T243" i="24"/>
  <c r="X242" i="24"/>
  <c r="AC242" i="24" s="1"/>
  <c r="AE240" i="24"/>
  <c r="AF244" i="24" s="1"/>
  <c r="AG244" i="24" s="1"/>
  <c r="E257" i="28" l="1"/>
  <c r="I262" i="28" s="1"/>
  <c r="F257" i="28"/>
  <c r="J262" i="28" s="1"/>
  <c r="G257" i="28"/>
  <c r="K262" i="28" s="1"/>
  <c r="H257" i="28"/>
  <c r="L262" i="28" s="1"/>
  <c r="S245" i="28"/>
  <c r="U246" i="28"/>
  <c r="AD243" i="28"/>
  <c r="AC246" i="28"/>
  <c r="V241" i="28"/>
  <c r="AA241" i="28"/>
  <c r="Y244" i="28"/>
  <c r="D258" i="28"/>
  <c r="C258" i="28" s="1"/>
  <c r="W239" i="28"/>
  <c r="X247" i="28"/>
  <c r="AI225" i="27"/>
  <c r="T244" i="27"/>
  <c r="X243" i="27"/>
  <c r="AC243" i="27" s="1"/>
  <c r="D255" i="27"/>
  <c r="AA236" i="27"/>
  <c r="V236" i="27"/>
  <c r="R237" i="27"/>
  <c r="W235" i="27"/>
  <c r="AB235" i="27" s="1"/>
  <c r="AE235" i="27" s="1"/>
  <c r="AF239" i="27" s="1"/>
  <c r="AG239" i="27" s="1"/>
  <c r="S236" i="27"/>
  <c r="C254" i="27"/>
  <c r="Y239" i="27"/>
  <c r="AD239" i="27" s="1"/>
  <c r="U240" i="27"/>
  <c r="E256" i="26"/>
  <c r="I271" i="26" s="1"/>
  <c r="H256" i="26"/>
  <c r="L271" i="26" s="1"/>
  <c r="G256" i="26"/>
  <c r="K271" i="26" s="1"/>
  <c r="F256" i="26"/>
  <c r="J271" i="26" s="1"/>
  <c r="Y244" i="26"/>
  <c r="AD244" i="26" s="1"/>
  <c r="U245" i="26"/>
  <c r="T244" i="26"/>
  <c r="X243" i="26"/>
  <c r="AC243" i="26" s="1"/>
  <c r="W239" i="26"/>
  <c r="AB239" i="26" s="1"/>
  <c r="AE239" i="26" s="1"/>
  <c r="S240" i="26"/>
  <c r="D257" i="26"/>
  <c r="C257" i="26" s="1"/>
  <c r="V240" i="26"/>
  <c r="AA240" i="26"/>
  <c r="R241" i="26"/>
  <c r="Z238" i="26"/>
  <c r="F256" i="24"/>
  <c r="J261" i="24" s="1"/>
  <c r="E256" i="24"/>
  <c r="I261" i="24" s="1"/>
  <c r="H256" i="24"/>
  <c r="L261" i="24" s="1"/>
  <c r="G256" i="24"/>
  <c r="K261" i="24" s="1"/>
  <c r="AH244" i="24"/>
  <c r="D257" i="24"/>
  <c r="C257" i="24" s="1"/>
  <c r="Y242" i="24"/>
  <c r="AD242" i="24" s="1"/>
  <c r="U243" i="24"/>
  <c r="S242" i="24"/>
  <c r="W242" i="24" s="1"/>
  <c r="AB242" i="24" s="1"/>
  <c r="X243" i="24"/>
  <c r="AC243" i="24" s="1"/>
  <c r="T244" i="24"/>
  <c r="V242" i="24"/>
  <c r="AA242" i="24"/>
  <c r="R243" i="24"/>
  <c r="AE241" i="24"/>
  <c r="AF245" i="24" s="1"/>
  <c r="AG245" i="24" s="1"/>
  <c r="Z241" i="24"/>
  <c r="E258" i="28" l="1"/>
  <c r="I263" i="28" s="1"/>
  <c r="F258" i="28"/>
  <c r="J263" i="28" s="1"/>
  <c r="G258" i="28"/>
  <c r="K263" i="28" s="1"/>
  <c r="H258" i="28"/>
  <c r="L263" i="28" s="1"/>
  <c r="S246" i="28"/>
  <c r="U247" i="28"/>
  <c r="AC247" i="28"/>
  <c r="AD244" i="28"/>
  <c r="Y245" i="28"/>
  <c r="V242" i="28"/>
  <c r="AA242" i="28"/>
  <c r="X248" i="28"/>
  <c r="W240" i="28"/>
  <c r="AB239" i="28"/>
  <c r="AE239" i="28" s="1"/>
  <c r="AF243" i="28" s="1"/>
  <c r="AG243" i="28" s="1"/>
  <c r="Z239" i="28"/>
  <c r="D259" i="28"/>
  <c r="C259" i="28" s="1"/>
  <c r="AH239" i="27"/>
  <c r="V237" i="27"/>
  <c r="R238" i="27"/>
  <c r="AA237" i="27"/>
  <c r="Z235" i="27"/>
  <c r="D256" i="27"/>
  <c r="C256" i="27" s="1"/>
  <c r="F254" i="27"/>
  <c r="J259" i="27" s="1"/>
  <c r="H254" i="27"/>
  <c r="L259" i="27" s="1"/>
  <c r="G254" i="27"/>
  <c r="K259" i="27" s="1"/>
  <c r="E254" i="27"/>
  <c r="I259" i="27" s="1"/>
  <c r="C255" i="27"/>
  <c r="W236" i="27"/>
  <c r="AB236" i="27" s="1"/>
  <c r="AE236" i="27" s="1"/>
  <c r="AF240" i="27" s="1"/>
  <c r="AG240" i="27" s="1"/>
  <c r="S237" i="27"/>
  <c r="U241" i="27"/>
  <c r="Y240" i="27"/>
  <c r="AD240" i="27" s="1"/>
  <c r="X244" i="27"/>
  <c r="AC244" i="27" s="1"/>
  <c r="T245" i="27"/>
  <c r="H257" i="26"/>
  <c r="L272" i="26" s="1"/>
  <c r="E257" i="26"/>
  <c r="I272" i="26" s="1"/>
  <c r="G257" i="26"/>
  <c r="K272" i="26" s="1"/>
  <c r="F257" i="26"/>
  <c r="J272" i="26" s="1"/>
  <c r="W240" i="26"/>
  <c r="AB240" i="26" s="1"/>
  <c r="AE240" i="26" s="1"/>
  <c r="S241" i="26"/>
  <c r="T245" i="26"/>
  <c r="X244" i="26"/>
  <c r="AC244" i="26" s="1"/>
  <c r="V241" i="26"/>
  <c r="AA241" i="26"/>
  <c r="R242" i="26"/>
  <c r="U246" i="26"/>
  <c r="Y245" i="26"/>
  <c r="AD245" i="26" s="1"/>
  <c r="D258" i="26"/>
  <c r="C258" i="26" s="1"/>
  <c r="Z239" i="26"/>
  <c r="AI215" i="24"/>
  <c r="AI209" i="24"/>
  <c r="G257" i="24"/>
  <c r="K262" i="24" s="1"/>
  <c r="F257" i="24"/>
  <c r="J262" i="24" s="1"/>
  <c r="H257" i="24"/>
  <c r="L262" i="24" s="1"/>
  <c r="E257" i="24"/>
  <c r="I262" i="24" s="1"/>
  <c r="AH245" i="24"/>
  <c r="Y243" i="24"/>
  <c r="AD243" i="24" s="1"/>
  <c r="S243" i="24"/>
  <c r="W243" i="24" s="1"/>
  <c r="AB243" i="24" s="1"/>
  <c r="U244" i="24"/>
  <c r="D258" i="24"/>
  <c r="C258" i="24" s="1"/>
  <c r="AE242" i="24"/>
  <c r="AF246" i="24" s="1"/>
  <c r="AG246" i="24" s="1"/>
  <c r="Z242" i="24"/>
  <c r="X244" i="24"/>
  <c r="AC244" i="24" s="1"/>
  <c r="T245" i="24"/>
  <c r="R244" i="24"/>
  <c r="AA243" i="24"/>
  <c r="V243" i="24"/>
  <c r="E259" i="28" l="1"/>
  <c r="I264" i="28" s="1"/>
  <c r="F259" i="28"/>
  <c r="J264" i="28" s="1"/>
  <c r="G259" i="28"/>
  <c r="K264" i="28" s="1"/>
  <c r="H259" i="28"/>
  <c r="L264" i="28" s="1"/>
  <c r="U248" i="28"/>
  <c r="S247" i="28"/>
  <c r="AC248" i="28"/>
  <c r="AD245" i="28"/>
  <c r="AB240" i="28"/>
  <c r="AE240" i="28" s="1"/>
  <c r="AF244" i="28" s="1"/>
  <c r="AG244" i="28" s="1"/>
  <c r="Z240" i="28"/>
  <c r="X249" i="28"/>
  <c r="AA243" i="28"/>
  <c r="V243" i="28"/>
  <c r="W241" i="28"/>
  <c r="D260" i="28"/>
  <c r="C260" i="28" s="1"/>
  <c r="AH243" i="28"/>
  <c r="AI208" i="28" s="1"/>
  <c r="Y246" i="28"/>
  <c r="AI226" i="27"/>
  <c r="AH240" i="27"/>
  <c r="AI227" i="27" s="1"/>
  <c r="E256" i="27"/>
  <c r="I261" i="27" s="1"/>
  <c r="F256" i="27"/>
  <c r="J261" i="27" s="1"/>
  <c r="G256" i="27"/>
  <c r="K261" i="27" s="1"/>
  <c r="H256" i="27"/>
  <c r="L261" i="27" s="1"/>
  <c r="X245" i="27"/>
  <c r="AC245" i="27" s="1"/>
  <c r="T246" i="27"/>
  <c r="D257" i="27"/>
  <c r="C257" i="27" s="1"/>
  <c r="W237" i="27"/>
  <c r="AB237" i="27" s="1"/>
  <c r="AE237" i="27" s="1"/>
  <c r="AF241" i="27" s="1"/>
  <c r="AG241" i="27" s="1"/>
  <c r="S238" i="27"/>
  <c r="V238" i="27"/>
  <c r="R239" i="27"/>
  <c r="AA238" i="27"/>
  <c r="Y241" i="27"/>
  <c r="AD241" i="27" s="1"/>
  <c r="U242" i="27"/>
  <c r="Z236" i="27"/>
  <c r="H255" i="27"/>
  <c r="L260" i="27" s="1"/>
  <c r="E255" i="27"/>
  <c r="I260" i="27" s="1"/>
  <c r="G255" i="27"/>
  <c r="K260" i="27" s="1"/>
  <c r="F255" i="27"/>
  <c r="J260" i="27" s="1"/>
  <c r="Y246" i="26"/>
  <c r="AD246" i="26" s="1"/>
  <c r="U247" i="26"/>
  <c r="T246" i="26"/>
  <c r="X245" i="26"/>
  <c r="AC245" i="26" s="1"/>
  <c r="F258" i="26"/>
  <c r="J273" i="26" s="1"/>
  <c r="E258" i="26"/>
  <c r="I273" i="26" s="1"/>
  <c r="H258" i="26"/>
  <c r="L273" i="26" s="1"/>
  <c r="G258" i="26"/>
  <c r="K273" i="26" s="1"/>
  <c r="W241" i="26"/>
  <c r="AB241" i="26" s="1"/>
  <c r="AE241" i="26" s="1"/>
  <c r="S242" i="26"/>
  <c r="D259" i="26"/>
  <c r="Z240" i="26"/>
  <c r="R243" i="26"/>
  <c r="AA242" i="26"/>
  <c r="V242" i="26"/>
  <c r="AI216" i="24"/>
  <c r="AI210" i="24"/>
  <c r="F258" i="24"/>
  <c r="J263" i="24" s="1"/>
  <c r="E258" i="24"/>
  <c r="I263" i="24" s="1"/>
  <c r="H258" i="24"/>
  <c r="L263" i="24" s="1"/>
  <c r="G258" i="24"/>
  <c r="K263" i="24" s="1"/>
  <c r="AH246" i="24"/>
  <c r="D259" i="24"/>
  <c r="Z243" i="24"/>
  <c r="AA244" i="24"/>
  <c r="R245" i="24"/>
  <c r="V244" i="24"/>
  <c r="Y244" i="24"/>
  <c r="AD244" i="24" s="1"/>
  <c r="S244" i="24"/>
  <c r="W244" i="24" s="1"/>
  <c r="AB244" i="24" s="1"/>
  <c r="U245" i="24"/>
  <c r="X245" i="24"/>
  <c r="AC245" i="24" s="1"/>
  <c r="T246" i="24"/>
  <c r="AE243" i="24"/>
  <c r="AF247" i="24" s="1"/>
  <c r="AG247" i="24" s="1"/>
  <c r="E260" i="28" l="1"/>
  <c r="I265" i="28" s="1"/>
  <c r="F260" i="28"/>
  <c r="J265" i="28" s="1"/>
  <c r="G260" i="28"/>
  <c r="K265" i="28" s="1"/>
  <c r="H260" i="28"/>
  <c r="L265" i="28" s="1"/>
  <c r="S248" i="28"/>
  <c r="U249" i="28"/>
  <c r="AD246" i="28"/>
  <c r="AC249" i="28"/>
  <c r="AI209" i="28"/>
  <c r="W242" i="28"/>
  <c r="AB241" i="28"/>
  <c r="AE241" i="28" s="1"/>
  <c r="AF245" i="28" s="1"/>
  <c r="AG245" i="28" s="1"/>
  <c r="Z241" i="28"/>
  <c r="AA244" i="28"/>
  <c r="V244" i="28"/>
  <c r="AH244" i="28"/>
  <c r="D261" i="28"/>
  <c r="X250" i="28"/>
  <c r="Y247" i="28"/>
  <c r="Z237" i="27"/>
  <c r="AH241" i="27"/>
  <c r="D258" i="27"/>
  <c r="C258" i="27" s="1"/>
  <c r="H257" i="27"/>
  <c r="L262" i="27" s="1"/>
  <c r="F257" i="27"/>
  <c r="J262" i="27" s="1"/>
  <c r="G257" i="27"/>
  <c r="K262" i="27" s="1"/>
  <c r="E257" i="27"/>
  <c r="I262" i="27" s="1"/>
  <c r="T247" i="27"/>
  <c r="X246" i="27"/>
  <c r="AC246" i="27" s="1"/>
  <c r="AA239" i="27"/>
  <c r="V239" i="27"/>
  <c r="R240" i="27"/>
  <c r="Y242" i="27"/>
  <c r="AD242" i="27" s="1"/>
  <c r="U243" i="27"/>
  <c r="W238" i="27"/>
  <c r="AB238" i="27" s="1"/>
  <c r="AE238" i="27" s="1"/>
  <c r="AF242" i="27" s="1"/>
  <c r="AG242" i="27" s="1"/>
  <c r="S239" i="27"/>
  <c r="T247" i="26"/>
  <c r="X246" i="26"/>
  <c r="AC246" i="26" s="1"/>
  <c r="Z241" i="26"/>
  <c r="D260" i="26"/>
  <c r="C260" i="26" s="1"/>
  <c r="U248" i="26"/>
  <c r="Y247" i="26"/>
  <c r="AD247" i="26" s="1"/>
  <c r="V243" i="26"/>
  <c r="AA243" i="26"/>
  <c r="R244" i="26"/>
  <c r="C259" i="26"/>
  <c r="W242" i="26"/>
  <c r="AB242" i="26" s="1"/>
  <c r="AE242" i="26" s="1"/>
  <c r="S243" i="26"/>
  <c r="AI217" i="24"/>
  <c r="AI211" i="24"/>
  <c r="Z244" i="24"/>
  <c r="AE244" i="24"/>
  <c r="AF248" i="24" s="1"/>
  <c r="AG248" i="24" s="1"/>
  <c r="AH247" i="24"/>
  <c r="R246" i="24"/>
  <c r="AA245" i="24"/>
  <c r="V245" i="24"/>
  <c r="D260" i="24"/>
  <c r="C260" i="24" s="1"/>
  <c r="Y245" i="24"/>
  <c r="AD245" i="24" s="1"/>
  <c r="U246" i="24"/>
  <c r="S245" i="24"/>
  <c r="W245" i="24" s="1"/>
  <c r="AB245" i="24" s="1"/>
  <c r="C259" i="24"/>
  <c r="T247" i="24"/>
  <c r="X246" i="24"/>
  <c r="AC246" i="24" s="1"/>
  <c r="S249" i="28" l="1"/>
  <c r="U250" i="28"/>
  <c r="AD247" i="28"/>
  <c r="AC250" i="28"/>
  <c r="AI210" i="28"/>
  <c r="AH245" i="28"/>
  <c r="D262" i="28"/>
  <c r="AA245" i="28"/>
  <c r="V245" i="28"/>
  <c r="Y248" i="28"/>
  <c r="W243" i="28"/>
  <c r="X251" i="28"/>
  <c r="C261" i="28"/>
  <c r="AB242" i="28"/>
  <c r="AE242" i="28" s="1"/>
  <c r="AF246" i="28" s="1"/>
  <c r="AG246" i="28" s="1"/>
  <c r="Z242" i="28"/>
  <c r="AI228" i="27"/>
  <c r="F258" i="27"/>
  <c r="J263" i="27" s="1"/>
  <c r="E258" i="27"/>
  <c r="I263" i="27" s="1"/>
  <c r="G258" i="27"/>
  <c r="K263" i="27" s="1"/>
  <c r="H258" i="27"/>
  <c r="L263" i="27" s="1"/>
  <c r="AH242" i="27"/>
  <c r="D259" i="27"/>
  <c r="C259" i="27" s="1"/>
  <c r="T248" i="27"/>
  <c r="X247" i="27"/>
  <c r="AC247" i="27" s="1"/>
  <c r="R241" i="27"/>
  <c r="AA240" i="27"/>
  <c r="V240" i="27"/>
  <c r="Z238" i="27"/>
  <c r="W239" i="27"/>
  <c r="AB239" i="27" s="1"/>
  <c r="AE239" i="27" s="1"/>
  <c r="AF243" i="27" s="1"/>
  <c r="AG243" i="27" s="1"/>
  <c r="S240" i="27"/>
  <c r="U244" i="27"/>
  <c r="Y243" i="27"/>
  <c r="AD243" i="27" s="1"/>
  <c r="E260" i="26"/>
  <c r="I275" i="26" s="1"/>
  <c r="H260" i="26"/>
  <c r="L275" i="26" s="1"/>
  <c r="G260" i="26"/>
  <c r="K275" i="26" s="1"/>
  <c r="F260" i="26"/>
  <c r="J275" i="26" s="1"/>
  <c r="U249" i="26"/>
  <c r="Y248" i="26"/>
  <c r="AD248" i="26" s="1"/>
  <c r="D261" i="26"/>
  <c r="C261" i="26" s="1"/>
  <c r="G259" i="26"/>
  <c r="K274" i="26" s="1"/>
  <c r="F259" i="26"/>
  <c r="J274" i="26" s="1"/>
  <c r="E259" i="26"/>
  <c r="I274" i="26" s="1"/>
  <c r="H259" i="26"/>
  <c r="L274" i="26" s="1"/>
  <c r="T248" i="26"/>
  <c r="X247" i="26"/>
  <c r="AC247" i="26" s="1"/>
  <c r="W243" i="26"/>
  <c r="AB243" i="26" s="1"/>
  <c r="AE243" i="26" s="1"/>
  <c r="S244" i="26"/>
  <c r="AA244" i="26"/>
  <c r="V244" i="26"/>
  <c r="R245" i="26"/>
  <c r="Z242" i="26"/>
  <c r="E260" i="24"/>
  <c r="I265" i="24" s="1"/>
  <c r="H260" i="24"/>
  <c r="L265" i="24" s="1"/>
  <c r="G260" i="24"/>
  <c r="K265" i="24" s="1"/>
  <c r="F260" i="24"/>
  <c r="J265" i="24" s="1"/>
  <c r="U247" i="24"/>
  <c r="Y246" i="24"/>
  <c r="AD246" i="24" s="1"/>
  <c r="S246" i="24"/>
  <c r="W246" i="24" s="1"/>
  <c r="AB246" i="24" s="1"/>
  <c r="D261" i="24"/>
  <c r="C261" i="24"/>
  <c r="Z245" i="24"/>
  <c r="AE245" i="24"/>
  <c r="AF249" i="24" s="1"/>
  <c r="AG249" i="24" s="1"/>
  <c r="V246" i="24"/>
  <c r="AA246" i="24"/>
  <c r="R247" i="24"/>
  <c r="T248" i="24"/>
  <c r="X247" i="24"/>
  <c r="AC247" i="24" s="1"/>
  <c r="H259" i="24"/>
  <c r="L264" i="24" s="1"/>
  <c r="G259" i="24"/>
  <c r="K264" i="24" s="1"/>
  <c r="F259" i="24"/>
  <c r="J264" i="24" s="1"/>
  <c r="E259" i="24"/>
  <c r="I264" i="24" s="1"/>
  <c r="AH248" i="24"/>
  <c r="AI218" i="24" s="1"/>
  <c r="Z243" i="26" l="1"/>
  <c r="Z239" i="27"/>
  <c r="F261" i="28"/>
  <c r="J266" i="28" s="1"/>
  <c r="G261" i="28"/>
  <c r="K266" i="28" s="1"/>
  <c r="H261" i="28"/>
  <c r="L266" i="28" s="1"/>
  <c r="E261" i="28"/>
  <c r="I266" i="28" s="1"/>
  <c r="U251" i="28"/>
  <c r="S250" i="28"/>
  <c r="AC251" i="28"/>
  <c r="AD248" i="28"/>
  <c r="AI211" i="28"/>
  <c r="AH246" i="28"/>
  <c r="O253" i="28"/>
  <c r="T253" i="28" s="1"/>
  <c r="X252" i="28"/>
  <c r="AA246" i="28"/>
  <c r="V246" i="28"/>
  <c r="W244" i="28"/>
  <c r="D263" i="28"/>
  <c r="C263" i="28" s="1"/>
  <c r="Y249" i="28"/>
  <c r="AB243" i="28"/>
  <c r="AE243" i="28" s="1"/>
  <c r="AF247" i="28" s="1"/>
  <c r="AG247" i="28" s="1"/>
  <c r="Z243" i="28"/>
  <c r="C262" i="28"/>
  <c r="AI229" i="27"/>
  <c r="Z246" i="24"/>
  <c r="F259" i="27"/>
  <c r="J264" i="27" s="1"/>
  <c r="G259" i="27"/>
  <c r="K264" i="27" s="1"/>
  <c r="E259" i="27"/>
  <c r="I264" i="27" s="1"/>
  <c r="H259" i="27"/>
  <c r="L264" i="27" s="1"/>
  <c r="AH243" i="27"/>
  <c r="R242" i="27"/>
  <c r="AA241" i="27"/>
  <c r="V241" i="27"/>
  <c r="T249" i="27"/>
  <c r="X248" i="27"/>
  <c r="AC248" i="27" s="1"/>
  <c r="D260" i="27"/>
  <c r="C260" i="27" s="1"/>
  <c r="W240" i="27"/>
  <c r="AB240" i="27" s="1"/>
  <c r="AE240" i="27" s="1"/>
  <c r="AF244" i="27" s="1"/>
  <c r="AG244" i="27" s="1"/>
  <c r="S241" i="27"/>
  <c r="U245" i="27"/>
  <c r="Y244" i="27"/>
  <c r="AD244" i="27" s="1"/>
  <c r="D262" i="26"/>
  <c r="C262" i="26" s="1"/>
  <c r="G261" i="26"/>
  <c r="K276" i="26" s="1"/>
  <c r="F261" i="26"/>
  <c r="J276" i="26" s="1"/>
  <c r="E261" i="26"/>
  <c r="I276" i="26" s="1"/>
  <c r="H261" i="26"/>
  <c r="L276" i="26" s="1"/>
  <c r="P250" i="26"/>
  <c r="U250" i="26" s="1"/>
  <c r="Y249" i="26"/>
  <c r="AD249" i="26" s="1"/>
  <c r="W244" i="26"/>
  <c r="AB244" i="26" s="1"/>
  <c r="AE244" i="26" s="1"/>
  <c r="S245" i="26"/>
  <c r="X248" i="26"/>
  <c r="AC248" i="26" s="1"/>
  <c r="T249" i="26"/>
  <c r="V245" i="26"/>
  <c r="AA245" i="26"/>
  <c r="R246" i="26"/>
  <c r="AH249" i="24"/>
  <c r="AI219" i="24" s="1"/>
  <c r="J17" i="24" s="1"/>
  <c r="U248" i="24"/>
  <c r="S247" i="24"/>
  <c r="W247" i="24" s="1"/>
  <c r="AB247" i="24" s="1"/>
  <c r="Y247" i="24"/>
  <c r="AD247" i="24" s="1"/>
  <c r="T249" i="24"/>
  <c r="X248" i="24"/>
  <c r="AC248" i="24" s="1"/>
  <c r="H261" i="24"/>
  <c r="L266" i="24" s="1"/>
  <c r="G261" i="24"/>
  <c r="K266" i="24" s="1"/>
  <c r="F261" i="24"/>
  <c r="J266" i="24" s="1"/>
  <c r="E261" i="24"/>
  <c r="I266" i="24" s="1"/>
  <c r="AA247" i="24"/>
  <c r="V247" i="24"/>
  <c r="R248" i="24"/>
  <c r="D262" i="24"/>
  <c r="C262" i="24" s="1"/>
  <c r="AE246" i="24"/>
  <c r="AF250" i="24" s="1"/>
  <c r="AG250" i="24" s="1"/>
  <c r="Z240" i="27" l="1"/>
  <c r="E263" i="28"/>
  <c r="I268" i="28" s="1"/>
  <c r="F263" i="28"/>
  <c r="J268" i="28" s="1"/>
  <c r="G263" i="28"/>
  <c r="K268" i="28" s="1"/>
  <c r="H263" i="28"/>
  <c r="L268" i="28" s="1"/>
  <c r="E262" i="28"/>
  <c r="I267" i="28" s="1"/>
  <c r="F262" i="28"/>
  <c r="J267" i="28" s="1"/>
  <c r="G262" i="28"/>
  <c r="K267" i="28" s="1"/>
  <c r="H262" i="28"/>
  <c r="L267" i="28" s="1"/>
  <c r="S251" i="28"/>
  <c r="U252" i="28"/>
  <c r="AD249" i="28"/>
  <c r="AC252" i="28"/>
  <c r="AH247" i="28"/>
  <c r="Y250" i="28"/>
  <c r="W245" i="28"/>
  <c r="AB244" i="28"/>
  <c r="AE244" i="28" s="1"/>
  <c r="AF248" i="28" s="1"/>
  <c r="AG248" i="28" s="1"/>
  <c r="Z244" i="28"/>
  <c r="X253" i="28"/>
  <c r="D264" i="28"/>
  <c r="C264" i="28" s="1"/>
  <c r="O266" i="28"/>
  <c r="O260" i="28"/>
  <c r="O254" i="28"/>
  <c r="T254" i="28" s="1"/>
  <c r="O265" i="28"/>
  <c r="O257" i="28"/>
  <c r="O264" i="28"/>
  <c r="O263" i="28"/>
  <c r="O258" i="28"/>
  <c r="O267" i="28"/>
  <c r="O256" i="28"/>
  <c r="O261" i="28"/>
  <c r="O255" i="28"/>
  <c r="O259" i="28"/>
  <c r="O262" i="28"/>
  <c r="H20" i="28"/>
  <c r="V247" i="28"/>
  <c r="AA247" i="28"/>
  <c r="AI230" i="27"/>
  <c r="AH244" i="27"/>
  <c r="AI231" i="27" s="1"/>
  <c r="O250" i="27"/>
  <c r="X249" i="27"/>
  <c r="AC249" i="27" s="1"/>
  <c r="R243" i="27"/>
  <c r="V242" i="27"/>
  <c r="AA242" i="27"/>
  <c r="Y245" i="27"/>
  <c r="AD245" i="27" s="1"/>
  <c r="U246" i="27"/>
  <c r="F260" i="27"/>
  <c r="J265" i="27" s="1"/>
  <c r="H260" i="27"/>
  <c r="L265" i="27" s="1"/>
  <c r="E260" i="27"/>
  <c r="I265" i="27" s="1"/>
  <c r="G260" i="27"/>
  <c r="K265" i="27" s="1"/>
  <c r="W241" i="27"/>
  <c r="AB241" i="27" s="1"/>
  <c r="AE241" i="27" s="1"/>
  <c r="AF245" i="27" s="1"/>
  <c r="AG245" i="27" s="1"/>
  <c r="S242" i="27"/>
  <c r="D261" i="27"/>
  <c r="C261" i="27" s="1"/>
  <c r="H262" i="26"/>
  <c r="L277" i="26" s="1"/>
  <c r="F262" i="26"/>
  <c r="J277" i="26" s="1"/>
  <c r="E262" i="26"/>
  <c r="I277" i="26" s="1"/>
  <c r="G262" i="26"/>
  <c r="K277" i="26" s="1"/>
  <c r="P264" i="26"/>
  <c r="P262" i="26"/>
  <c r="P260" i="26"/>
  <c r="P258" i="26"/>
  <c r="P256" i="26"/>
  <c r="P254" i="26"/>
  <c r="P252" i="26"/>
  <c r="P263" i="26"/>
  <c r="P255" i="26"/>
  <c r="P261" i="26"/>
  <c r="P257" i="26"/>
  <c r="P259" i="26"/>
  <c r="P253" i="26"/>
  <c r="P251" i="26"/>
  <c r="U251" i="26" s="1"/>
  <c r="G20" i="26"/>
  <c r="R247" i="26"/>
  <c r="AA246" i="26"/>
  <c r="V246" i="26"/>
  <c r="Y250" i="26"/>
  <c r="AD250" i="26" s="1"/>
  <c r="O250" i="26"/>
  <c r="T250" i="26" s="1"/>
  <c r="X249" i="26"/>
  <c r="AC249" i="26" s="1"/>
  <c r="D263" i="26"/>
  <c r="C263" i="26" s="1"/>
  <c r="W245" i="26"/>
  <c r="AB245" i="26" s="1"/>
  <c r="AE245" i="26" s="1"/>
  <c r="S246" i="26"/>
  <c r="Z244" i="26"/>
  <c r="H262" i="24"/>
  <c r="L267" i="24" s="1"/>
  <c r="G262" i="24"/>
  <c r="K267" i="24" s="1"/>
  <c r="F262" i="24"/>
  <c r="J267" i="24" s="1"/>
  <c r="E262" i="24"/>
  <c r="I267" i="24" s="1"/>
  <c r="AH250" i="24"/>
  <c r="X249" i="24"/>
  <c r="AC249" i="24" s="1"/>
  <c r="O250" i="24"/>
  <c r="T250" i="24" s="1"/>
  <c r="D263" i="24"/>
  <c r="C263" i="24" s="1"/>
  <c r="V248" i="24"/>
  <c r="AA248" i="24"/>
  <c r="R249" i="24"/>
  <c r="U249" i="24"/>
  <c r="Y248" i="24"/>
  <c r="AD248" i="24" s="1"/>
  <c r="S248" i="24"/>
  <c r="W248" i="24" s="1"/>
  <c r="AB248" i="24" s="1"/>
  <c r="Z247" i="24"/>
  <c r="AE247" i="24"/>
  <c r="AF251" i="24" s="1"/>
  <c r="AG251" i="24" s="1"/>
  <c r="Z248" i="24" l="1"/>
  <c r="E264" i="28"/>
  <c r="I269" i="28" s="1"/>
  <c r="F264" i="28"/>
  <c r="J269" i="28" s="1"/>
  <c r="G264" i="28"/>
  <c r="K269" i="28" s="1"/>
  <c r="H264" i="28"/>
  <c r="L269" i="28" s="1"/>
  <c r="T255" i="28"/>
  <c r="T256" i="28" s="1"/>
  <c r="T257" i="28" s="1"/>
  <c r="T258" i="28" s="1"/>
  <c r="T259" i="28" s="1"/>
  <c r="T260" i="28" s="1"/>
  <c r="T261" i="28" s="1"/>
  <c r="T262" i="28" s="1"/>
  <c r="T263" i="28" s="1"/>
  <c r="T264" i="28" s="1"/>
  <c r="T265" i="28" s="1"/>
  <c r="T266" i="28" s="1"/>
  <c r="T267" i="28" s="1"/>
  <c r="S252" i="28"/>
  <c r="AC253" i="28"/>
  <c r="AD250" i="28"/>
  <c r="AI215" i="28"/>
  <c r="AI212" i="28"/>
  <c r="AH248" i="28"/>
  <c r="X254" i="28"/>
  <c r="AB245" i="28"/>
  <c r="AE245" i="28" s="1"/>
  <c r="AF249" i="28" s="1"/>
  <c r="AG249" i="28" s="1"/>
  <c r="Z245" i="28"/>
  <c r="Y251" i="28"/>
  <c r="D265" i="28"/>
  <c r="C265" i="28" s="1"/>
  <c r="V248" i="28"/>
  <c r="AA248" i="28"/>
  <c r="W246" i="28"/>
  <c r="H261" i="27"/>
  <c r="L266" i="27" s="1"/>
  <c r="F261" i="27"/>
  <c r="J266" i="27" s="1"/>
  <c r="G261" i="27"/>
  <c r="K266" i="27" s="1"/>
  <c r="E261" i="27"/>
  <c r="I266" i="27" s="1"/>
  <c r="AH245" i="27"/>
  <c r="AI232" i="27" s="1"/>
  <c r="W242" i="27"/>
  <c r="AB242" i="27" s="1"/>
  <c r="AE242" i="27" s="1"/>
  <c r="AF246" i="27" s="1"/>
  <c r="AG246" i="27" s="1"/>
  <c r="S243" i="27"/>
  <c r="V243" i="27"/>
  <c r="AA243" i="27"/>
  <c r="R244" i="27"/>
  <c r="Z241" i="27"/>
  <c r="F20" i="27"/>
  <c r="O253" i="27"/>
  <c r="O256" i="27"/>
  <c r="O261" i="27"/>
  <c r="O264" i="27"/>
  <c r="O251" i="27"/>
  <c r="O263" i="27"/>
  <c r="O258" i="27"/>
  <c r="O252" i="27"/>
  <c r="O260" i="27"/>
  <c r="O257" i="27"/>
  <c r="O254" i="27"/>
  <c r="O262" i="27"/>
  <c r="O255" i="27"/>
  <c r="O259" i="27"/>
  <c r="T250" i="27"/>
  <c r="Y246" i="27"/>
  <c r="AD246" i="27" s="1"/>
  <c r="U247" i="27"/>
  <c r="D262" i="27"/>
  <c r="U252" i="26"/>
  <c r="Y251" i="26"/>
  <c r="AD251" i="26" s="1"/>
  <c r="V247" i="26"/>
  <c r="AA247" i="26"/>
  <c r="R248" i="26"/>
  <c r="D264" i="26"/>
  <c r="C264" i="26" s="1"/>
  <c r="X250" i="26"/>
  <c r="AC250" i="26" s="1"/>
  <c r="O259" i="26"/>
  <c r="O264" i="26"/>
  <c r="O256" i="26"/>
  <c r="O254" i="26"/>
  <c r="O252" i="26"/>
  <c r="O262" i="26"/>
  <c r="O263" i="26"/>
  <c r="O260" i="26"/>
  <c r="O253" i="26"/>
  <c r="O261" i="26"/>
  <c r="O257" i="26"/>
  <c r="O258" i="26"/>
  <c r="O255" i="26"/>
  <c r="O251" i="26"/>
  <c r="T251" i="26" s="1"/>
  <c r="F20" i="26"/>
  <c r="Z245" i="26"/>
  <c r="F263" i="26"/>
  <c r="J278" i="26" s="1"/>
  <c r="E263" i="26"/>
  <c r="I278" i="26" s="1"/>
  <c r="G263" i="26"/>
  <c r="K278" i="26" s="1"/>
  <c r="H263" i="26"/>
  <c r="L278" i="26" s="1"/>
  <c r="W246" i="26"/>
  <c r="AB246" i="26" s="1"/>
  <c r="AE246" i="26" s="1"/>
  <c r="S247" i="26"/>
  <c r="AH251" i="24"/>
  <c r="H263" i="24"/>
  <c r="L268" i="24" s="1"/>
  <c r="G263" i="24"/>
  <c r="K268" i="24" s="1"/>
  <c r="F263" i="24"/>
  <c r="J268" i="24" s="1"/>
  <c r="E263" i="24"/>
  <c r="I268" i="24" s="1"/>
  <c r="D264" i="24"/>
  <c r="O263" i="24"/>
  <c r="O257" i="24"/>
  <c r="O251" i="24"/>
  <c r="T251" i="24" s="1"/>
  <c r="O261" i="24"/>
  <c r="O258" i="24"/>
  <c r="O264" i="24"/>
  <c r="O260" i="24"/>
  <c r="O259" i="24"/>
  <c r="O262" i="24"/>
  <c r="O256" i="24"/>
  <c r="O255" i="24"/>
  <c r="O254" i="24"/>
  <c r="O253" i="24"/>
  <c r="O252" i="24"/>
  <c r="F20" i="24"/>
  <c r="P250" i="24"/>
  <c r="U250" i="24" s="1"/>
  <c r="Y249" i="24"/>
  <c r="AD249" i="24" s="1"/>
  <c r="S249" i="24"/>
  <c r="W249" i="24" s="1"/>
  <c r="AB249" i="24" s="1"/>
  <c r="M250" i="24"/>
  <c r="R250" i="24" s="1"/>
  <c r="AA249" i="24"/>
  <c r="V249" i="24"/>
  <c r="X250" i="24"/>
  <c r="AC250" i="24" s="1"/>
  <c r="AE248" i="24"/>
  <c r="AF252" i="24" s="1"/>
  <c r="AG252" i="24" s="1"/>
  <c r="E265" i="28" l="1"/>
  <c r="I270" i="28" s="1"/>
  <c r="F265" i="28"/>
  <c r="J270" i="28" s="1"/>
  <c r="G265" i="28"/>
  <c r="K270" i="28" s="1"/>
  <c r="H265" i="28"/>
  <c r="L270" i="28" s="1"/>
  <c r="Z246" i="26"/>
  <c r="AD251" i="28"/>
  <c r="AC254" i="28"/>
  <c r="AI216" i="28"/>
  <c r="AI213" i="28"/>
  <c r="AH249" i="28"/>
  <c r="W247" i="28"/>
  <c r="D266" i="28"/>
  <c r="C266" i="28" s="1"/>
  <c r="AB246" i="28"/>
  <c r="AE246" i="28" s="1"/>
  <c r="AF250" i="28" s="1"/>
  <c r="AG250" i="28" s="1"/>
  <c r="Z246" i="28"/>
  <c r="P253" i="28"/>
  <c r="U253" i="28" s="1"/>
  <c r="Y252" i="28"/>
  <c r="V249" i="28"/>
  <c r="AA249" i="28"/>
  <c r="X255" i="28"/>
  <c r="AH246" i="27"/>
  <c r="AI233" i="27" s="1"/>
  <c r="D263" i="27"/>
  <c r="C263" i="27" s="1"/>
  <c r="C262" i="27"/>
  <c r="Z242" i="27"/>
  <c r="W243" i="27"/>
  <c r="AB243" i="27" s="1"/>
  <c r="AE243" i="27" s="1"/>
  <c r="AF247" i="27" s="1"/>
  <c r="AG247" i="27" s="1"/>
  <c r="S244" i="27"/>
  <c r="Y247" i="27"/>
  <c r="AD247" i="27" s="1"/>
  <c r="U248" i="27"/>
  <c r="X250" i="27"/>
  <c r="AC250" i="27" s="1"/>
  <c r="T251" i="27"/>
  <c r="V244" i="27"/>
  <c r="R245" i="27"/>
  <c r="AA244" i="27"/>
  <c r="H264" i="26"/>
  <c r="L279" i="26" s="1"/>
  <c r="F264" i="26"/>
  <c r="J279" i="26" s="1"/>
  <c r="E264" i="26"/>
  <c r="I279" i="26" s="1"/>
  <c r="G264" i="26"/>
  <c r="K279" i="26" s="1"/>
  <c r="W247" i="26"/>
  <c r="AB247" i="26" s="1"/>
  <c r="AE247" i="26" s="1"/>
  <c r="S248" i="26"/>
  <c r="D265" i="26"/>
  <c r="C265" i="26" s="1"/>
  <c r="V248" i="26"/>
  <c r="R249" i="26"/>
  <c r="AA248" i="26"/>
  <c r="X251" i="26"/>
  <c r="AC251" i="26" s="1"/>
  <c r="T252" i="26"/>
  <c r="U253" i="26"/>
  <c r="Y252" i="26"/>
  <c r="AD252" i="26" s="1"/>
  <c r="Z249" i="24"/>
  <c r="I19" i="24" s="1"/>
  <c r="AE249" i="24"/>
  <c r="AF253" i="24" s="1"/>
  <c r="AG253" i="24" s="1"/>
  <c r="AH252" i="24"/>
  <c r="AI220" i="24" s="1"/>
  <c r="T252" i="24"/>
  <c r="X251" i="24"/>
  <c r="AC251" i="24" s="1"/>
  <c r="D265" i="24"/>
  <c r="C265" i="24" s="1"/>
  <c r="C264" i="24"/>
  <c r="M262" i="24"/>
  <c r="M256" i="24"/>
  <c r="M253" i="24"/>
  <c r="M263" i="24"/>
  <c r="M258" i="24"/>
  <c r="M257" i="24"/>
  <c r="M255" i="24"/>
  <c r="M254" i="24"/>
  <c r="M264" i="24"/>
  <c r="M261" i="24"/>
  <c r="M260" i="24"/>
  <c r="M259" i="24"/>
  <c r="M252" i="24"/>
  <c r="M251" i="24"/>
  <c r="D20" i="24"/>
  <c r="N250" i="24"/>
  <c r="S250" i="24" s="1"/>
  <c r="W250" i="24" s="1"/>
  <c r="AB250" i="24" s="1"/>
  <c r="AA250" i="24"/>
  <c r="V250" i="24"/>
  <c r="Y250" i="24"/>
  <c r="AD250" i="24" s="1"/>
  <c r="P263" i="24"/>
  <c r="P257" i="24"/>
  <c r="P251" i="24"/>
  <c r="U251" i="24" s="1"/>
  <c r="P262" i="24"/>
  <c r="P261" i="24"/>
  <c r="P264" i="24"/>
  <c r="P260" i="24"/>
  <c r="P259" i="24"/>
  <c r="P258" i="24"/>
  <c r="P256" i="24"/>
  <c r="P255" i="24"/>
  <c r="P254" i="24"/>
  <c r="P253" i="24"/>
  <c r="P252" i="24"/>
  <c r="G20" i="24"/>
  <c r="E266" i="28" l="1"/>
  <c r="I271" i="28" s="1"/>
  <c r="H266" i="28"/>
  <c r="L271" i="28" s="1"/>
  <c r="F266" i="28"/>
  <c r="J271" i="28" s="1"/>
  <c r="G266" i="28"/>
  <c r="K271" i="28" s="1"/>
  <c r="AC255" i="28"/>
  <c r="AD252" i="28"/>
  <c r="AM252" i="28"/>
  <c r="AI217" i="28"/>
  <c r="AI214" i="28"/>
  <c r="AH250" i="28"/>
  <c r="V250" i="28"/>
  <c r="AA250" i="28"/>
  <c r="D267" i="28"/>
  <c r="W248" i="28"/>
  <c r="AB247" i="28"/>
  <c r="AE247" i="28" s="1"/>
  <c r="AF251" i="28" s="1"/>
  <c r="AG251" i="28" s="1"/>
  <c r="Z247" i="28"/>
  <c r="X256" i="28"/>
  <c r="P266" i="28"/>
  <c r="P260" i="28"/>
  <c r="P254" i="28"/>
  <c r="U254" i="28" s="1"/>
  <c r="P265" i="28"/>
  <c r="P257" i="28"/>
  <c r="P262" i="28"/>
  <c r="P267" i="28"/>
  <c r="P261" i="28"/>
  <c r="P259" i="28"/>
  <c r="P255" i="28"/>
  <c r="P264" i="28"/>
  <c r="P258" i="28"/>
  <c r="P263" i="28"/>
  <c r="P256" i="28"/>
  <c r="I20" i="28"/>
  <c r="AH247" i="27"/>
  <c r="AI234" i="27" s="1"/>
  <c r="J18" i="27" s="1"/>
  <c r="E263" i="27"/>
  <c r="I268" i="27" s="1"/>
  <c r="F263" i="27"/>
  <c r="J268" i="27" s="1"/>
  <c r="G263" i="27"/>
  <c r="K268" i="27" s="1"/>
  <c r="H263" i="27"/>
  <c r="L268" i="27" s="1"/>
  <c r="W244" i="27"/>
  <c r="AB244" i="27" s="1"/>
  <c r="AE244" i="27" s="1"/>
  <c r="AF248" i="27" s="1"/>
  <c r="AG248" i="27" s="1"/>
  <c r="S245" i="27"/>
  <c r="E262" i="27"/>
  <c r="I267" i="27" s="1"/>
  <c r="G262" i="27"/>
  <c r="K267" i="27" s="1"/>
  <c r="H262" i="27"/>
  <c r="L267" i="27" s="1"/>
  <c r="F262" i="27"/>
  <c r="J267" i="27" s="1"/>
  <c r="R246" i="27"/>
  <c r="AA245" i="27"/>
  <c r="V245" i="27"/>
  <c r="D264" i="27"/>
  <c r="Z243" i="27"/>
  <c r="X251" i="27"/>
  <c r="AC251" i="27" s="1"/>
  <c r="T252" i="27"/>
  <c r="U249" i="27"/>
  <c r="Y248" i="27"/>
  <c r="AD248" i="27" s="1"/>
  <c r="D266" i="26"/>
  <c r="C266" i="26" s="1"/>
  <c r="U254" i="26"/>
  <c r="Y253" i="26"/>
  <c r="AD253" i="26" s="1"/>
  <c r="T253" i="26"/>
  <c r="X252" i="26"/>
  <c r="AC252" i="26" s="1"/>
  <c r="V249" i="26"/>
  <c r="M250" i="26"/>
  <c r="R250" i="26" s="1"/>
  <c r="AA249" i="26"/>
  <c r="H265" i="26"/>
  <c r="L280" i="26" s="1"/>
  <c r="G265" i="26"/>
  <c r="K280" i="26" s="1"/>
  <c r="E265" i="26"/>
  <c r="I280" i="26" s="1"/>
  <c r="F265" i="26"/>
  <c r="J280" i="26" s="1"/>
  <c r="W248" i="26"/>
  <c r="AB248" i="26" s="1"/>
  <c r="AE248" i="26" s="1"/>
  <c r="S249" i="26"/>
  <c r="Z247" i="26"/>
  <c r="Y251" i="24"/>
  <c r="AD251" i="24" s="1"/>
  <c r="U252" i="24"/>
  <c r="Q250" i="24"/>
  <c r="F264" i="24"/>
  <c r="J269" i="24" s="1"/>
  <c r="E264" i="24"/>
  <c r="I269" i="24" s="1"/>
  <c r="H264" i="24"/>
  <c r="L269" i="24" s="1"/>
  <c r="G264" i="24"/>
  <c r="K269" i="24" s="1"/>
  <c r="H265" i="24"/>
  <c r="L270" i="24" s="1"/>
  <c r="G265" i="24"/>
  <c r="K270" i="24" s="1"/>
  <c r="F265" i="24"/>
  <c r="J270" i="24" s="1"/>
  <c r="E265" i="24"/>
  <c r="I270" i="24" s="1"/>
  <c r="D266" i="24"/>
  <c r="C266" i="24" s="1"/>
  <c r="R251" i="24"/>
  <c r="T253" i="24"/>
  <c r="X252" i="24"/>
  <c r="AC252" i="24" s="1"/>
  <c r="Z250" i="24"/>
  <c r="AH253" i="24"/>
  <c r="AI221" i="24" s="1"/>
  <c r="N262" i="24"/>
  <c r="Q262" i="24" s="1"/>
  <c r="N256" i="24"/>
  <c r="Q256" i="24" s="1"/>
  <c r="N253" i="24"/>
  <c r="Q253" i="24" s="1"/>
  <c r="N261" i="24"/>
  <c r="Q261" i="24" s="1"/>
  <c r="N258" i="24"/>
  <c r="Q258" i="24" s="1"/>
  <c r="N264" i="24"/>
  <c r="Q264" i="24" s="1"/>
  <c r="N260" i="24"/>
  <c r="Q260" i="24" s="1"/>
  <c r="N259" i="24"/>
  <c r="Q259" i="24" s="1"/>
  <c r="N263" i="24"/>
  <c r="Q263" i="24" s="1"/>
  <c r="N257" i="24"/>
  <c r="Q257" i="24" s="1"/>
  <c r="N255" i="24"/>
  <c r="Q255" i="24" s="1"/>
  <c r="N251" i="24"/>
  <c r="S251" i="24" s="1"/>
  <c r="W251" i="24" s="1"/>
  <c r="AB251" i="24" s="1"/>
  <c r="N254" i="24"/>
  <c r="Q254" i="24" s="1"/>
  <c r="N252" i="24"/>
  <c r="Q252" i="24" s="1"/>
  <c r="E20" i="24"/>
  <c r="AE250" i="24"/>
  <c r="AF254" i="24" s="1"/>
  <c r="AG254" i="24" s="1"/>
  <c r="Z248" i="26" l="1"/>
  <c r="U255" i="28"/>
  <c r="AC256" i="28"/>
  <c r="AI218" i="28"/>
  <c r="AH251" i="28"/>
  <c r="D268" i="28"/>
  <c r="V251" i="28"/>
  <c r="AA251" i="28"/>
  <c r="Y253" i="28"/>
  <c r="W249" i="28"/>
  <c r="X257" i="28"/>
  <c r="AB248" i="28"/>
  <c r="AE248" i="28" s="1"/>
  <c r="AF252" i="28" s="1"/>
  <c r="AG252" i="28" s="1"/>
  <c r="Z248" i="28"/>
  <c r="C267" i="28"/>
  <c r="Z244" i="27"/>
  <c r="AH248" i="27"/>
  <c r="W245" i="27"/>
  <c r="AB245" i="27" s="1"/>
  <c r="AE245" i="27" s="1"/>
  <c r="AF249" i="27" s="1"/>
  <c r="AG249" i="27" s="1"/>
  <c r="S246" i="27"/>
  <c r="D265" i="27"/>
  <c r="X252" i="27"/>
  <c r="AC252" i="27" s="1"/>
  <c r="T253" i="27"/>
  <c r="C264" i="27"/>
  <c r="R247" i="27"/>
  <c r="AA246" i="27"/>
  <c r="V246" i="27"/>
  <c r="Y249" i="27"/>
  <c r="AD249" i="27" s="1"/>
  <c r="P250" i="27"/>
  <c r="AA250" i="26"/>
  <c r="V250" i="26"/>
  <c r="T254" i="26"/>
  <c r="X253" i="26"/>
  <c r="AC253" i="26" s="1"/>
  <c r="U255" i="26"/>
  <c r="Y254" i="26"/>
  <c r="AD254" i="26" s="1"/>
  <c r="W249" i="26"/>
  <c r="AB249" i="26" s="1"/>
  <c r="AE249" i="26" s="1"/>
  <c r="H266" i="26"/>
  <c r="L281" i="26" s="1"/>
  <c r="G266" i="26"/>
  <c r="K281" i="26" s="1"/>
  <c r="E266" i="26"/>
  <c r="I281" i="26" s="1"/>
  <c r="F266" i="26"/>
  <c r="J281" i="26" s="1"/>
  <c r="M259" i="26"/>
  <c r="M258" i="26"/>
  <c r="M254" i="26"/>
  <c r="M260" i="26"/>
  <c r="M256" i="26"/>
  <c r="M255" i="26"/>
  <c r="M251" i="26"/>
  <c r="M263" i="26"/>
  <c r="M262" i="26"/>
  <c r="M257" i="26"/>
  <c r="M253" i="26"/>
  <c r="M264" i="26"/>
  <c r="M261" i="26"/>
  <c r="M252" i="26"/>
  <c r="D20" i="26"/>
  <c r="N250" i="26"/>
  <c r="Q250" i="26" s="1"/>
  <c r="D267" i="26"/>
  <c r="C267" i="26" s="1"/>
  <c r="G266" i="24"/>
  <c r="K271" i="24" s="1"/>
  <c r="F266" i="24"/>
  <c r="J271" i="24" s="1"/>
  <c r="H266" i="24"/>
  <c r="L271" i="24" s="1"/>
  <c r="E266" i="24"/>
  <c r="I271" i="24" s="1"/>
  <c r="D267" i="24"/>
  <c r="C267" i="24" s="1"/>
  <c r="AH254" i="24"/>
  <c r="AI222" i="24" s="1"/>
  <c r="Q251" i="24"/>
  <c r="T254" i="24"/>
  <c r="X253" i="24"/>
  <c r="AC253" i="24" s="1"/>
  <c r="S252" i="24"/>
  <c r="W252" i="24" s="1"/>
  <c r="AB252" i="24" s="1"/>
  <c r="Y252" i="24"/>
  <c r="AD252" i="24" s="1"/>
  <c r="U253" i="24"/>
  <c r="R252" i="24"/>
  <c r="AA251" i="24"/>
  <c r="AE251" i="24" s="1"/>
  <c r="AF255" i="24" s="1"/>
  <c r="AG255" i="24" s="1"/>
  <c r="V251" i="24"/>
  <c r="Z251" i="24" s="1"/>
  <c r="S250" i="26" l="1"/>
  <c r="W250" i="26" s="1"/>
  <c r="AB250" i="26" s="1"/>
  <c r="AE250" i="26" s="1"/>
  <c r="E267" i="28"/>
  <c r="I272" i="28" s="1"/>
  <c r="F267" i="28"/>
  <c r="J272" i="28" s="1"/>
  <c r="G267" i="28"/>
  <c r="K272" i="28" s="1"/>
  <c r="H267" i="28"/>
  <c r="L272" i="28" s="1"/>
  <c r="U256" i="28"/>
  <c r="AC257" i="28"/>
  <c r="AD253" i="28"/>
  <c r="AM253" i="28"/>
  <c r="AI219" i="28"/>
  <c r="AH252" i="28"/>
  <c r="Y254" i="28"/>
  <c r="M253" i="28"/>
  <c r="R253" i="28" s="1"/>
  <c r="V252" i="28"/>
  <c r="AA252" i="28"/>
  <c r="D269" i="28"/>
  <c r="X258" i="28"/>
  <c r="C268" i="28"/>
  <c r="W250" i="28"/>
  <c r="AB249" i="28"/>
  <c r="AE249" i="28" s="1"/>
  <c r="AF253" i="28" s="1"/>
  <c r="AG253" i="28" s="1"/>
  <c r="Z249" i="28"/>
  <c r="Z245" i="27"/>
  <c r="AH249" i="27"/>
  <c r="D266" i="27"/>
  <c r="F264" i="27"/>
  <c r="J269" i="27" s="1"/>
  <c r="E264" i="27"/>
  <c r="I269" i="27" s="1"/>
  <c r="G264" i="27"/>
  <c r="K269" i="27" s="1"/>
  <c r="H264" i="27"/>
  <c r="L269" i="27" s="1"/>
  <c r="T254" i="27"/>
  <c r="X253" i="27"/>
  <c r="AC253" i="27" s="1"/>
  <c r="C265" i="27"/>
  <c r="G20" i="27"/>
  <c r="P253" i="27"/>
  <c r="P259" i="27"/>
  <c r="P252" i="27"/>
  <c r="P258" i="27"/>
  <c r="P263" i="27"/>
  <c r="P251" i="27"/>
  <c r="P256" i="27"/>
  <c r="P257" i="27"/>
  <c r="P262" i="27"/>
  <c r="P260" i="27"/>
  <c r="P264" i="27"/>
  <c r="P254" i="27"/>
  <c r="P255" i="27"/>
  <c r="P261" i="27"/>
  <c r="U250" i="27"/>
  <c r="R248" i="27"/>
  <c r="V247" i="27"/>
  <c r="AA247" i="27"/>
  <c r="W246" i="27"/>
  <c r="AB246" i="27" s="1"/>
  <c r="AE246" i="27" s="1"/>
  <c r="AF250" i="27" s="1"/>
  <c r="AG250" i="27" s="1"/>
  <c r="S247" i="27"/>
  <c r="E267" i="26"/>
  <c r="I282" i="26" s="1"/>
  <c r="F267" i="26"/>
  <c r="J282" i="26" s="1"/>
  <c r="H267" i="26"/>
  <c r="L282" i="26" s="1"/>
  <c r="G267" i="26"/>
  <c r="K282" i="26" s="1"/>
  <c r="Y255" i="26"/>
  <c r="AD255" i="26" s="1"/>
  <c r="U256" i="26"/>
  <c r="Z249" i="26"/>
  <c r="I19" i="26" s="1"/>
  <c r="J19" i="26" s="1"/>
  <c r="T255" i="26"/>
  <c r="X254" i="26"/>
  <c r="AC254" i="26" s="1"/>
  <c r="D268" i="26"/>
  <c r="C268" i="26" s="1"/>
  <c r="R251" i="26"/>
  <c r="N263" i="26"/>
  <c r="Q263" i="26" s="1"/>
  <c r="N261" i="26"/>
  <c r="Q261" i="26" s="1"/>
  <c r="N259" i="26"/>
  <c r="Q259" i="26" s="1"/>
  <c r="N264" i="26"/>
  <c r="Q264" i="26" s="1"/>
  <c r="N262" i="26"/>
  <c r="Q262" i="26" s="1"/>
  <c r="N251" i="26"/>
  <c r="N258" i="26"/>
  <c r="Q258" i="26" s="1"/>
  <c r="N253" i="26"/>
  <c r="Q253" i="26" s="1"/>
  <c r="N260" i="26"/>
  <c r="Q260" i="26" s="1"/>
  <c r="N254" i="26"/>
  <c r="Q254" i="26" s="1"/>
  <c r="N256" i="26"/>
  <c r="Q256" i="26" s="1"/>
  <c r="N252" i="26"/>
  <c r="Q252" i="26" s="1"/>
  <c r="N257" i="26"/>
  <c r="Q257" i="26" s="1"/>
  <c r="N255" i="26"/>
  <c r="Q255" i="26" s="1"/>
  <c r="E20" i="26"/>
  <c r="G267" i="24"/>
  <c r="K272" i="24" s="1"/>
  <c r="F267" i="24"/>
  <c r="J272" i="24" s="1"/>
  <c r="H267" i="24"/>
  <c r="L272" i="24" s="1"/>
  <c r="E267" i="24"/>
  <c r="I272" i="24" s="1"/>
  <c r="D268" i="24"/>
  <c r="C268" i="24" s="1"/>
  <c r="U254" i="24"/>
  <c r="S253" i="24"/>
  <c r="W253" i="24" s="1"/>
  <c r="AB253" i="24" s="1"/>
  <c r="Y253" i="24"/>
  <c r="AD253" i="24" s="1"/>
  <c r="AA252" i="24"/>
  <c r="AE252" i="24" s="1"/>
  <c r="AF256" i="24" s="1"/>
  <c r="AG256" i="24" s="1"/>
  <c r="R253" i="24"/>
  <c r="V252" i="24"/>
  <c r="Z252" i="24" s="1"/>
  <c r="AH255" i="24"/>
  <c r="AI223" i="24" s="1"/>
  <c r="X254" i="24"/>
  <c r="AC254" i="24" s="1"/>
  <c r="T255" i="24"/>
  <c r="S251" i="26" l="1"/>
  <c r="E268" i="28"/>
  <c r="I273" i="28" s="1"/>
  <c r="F268" i="28"/>
  <c r="J273" i="28" s="1"/>
  <c r="G268" i="28"/>
  <c r="K273" i="28" s="1"/>
  <c r="H268" i="28"/>
  <c r="L273" i="28" s="1"/>
  <c r="U257" i="28"/>
  <c r="AD254" i="28"/>
  <c r="AM254" i="28"/>
  <c r="AC258" i="28"/>
  <c r="AH253" i="28"/>
  <c r="W251" i="28"/>
  <c r="AB250" i="28"/>
  <c r="AE250" i="28" s="1"/>
  <c r="AF254" i="28" s="1"/>
  <c r="AG254" i="28" s="1"/>
  <c r="Z250" i="28"/>
  <c r="V253" i="28"/>
  <c r="AA253" i="28"/>
  <c r="D270" i="28"/>
  <c r="M265" i="28"/>
  <c r="M259" i="28"/>
  <c r="M263" i="28"/>
  <c r="M260" i="28"/>
  <c r="M267" i="28"/>
  <c r="M266" i="28"/>
  <c r="M262" i="28"/>
  <c r="M257" i="28"/>
  <c r="M261" i="28"/>
  <c r="M256" i="28"/>
  <c r="M255" i="28"/>
  <c r="M264" i="28"/>
  <c r="M258" i="28"/>
  <c r="M254" i="28"/>
  <c r="R254" i="28" s="1"/>
  <c r="F20" i="28"/>
  <c r="N253" i="28"/>
  <c r="S253" i="28" s="1"/>
  <c r="X259" i="28"/>
  <c r="C269" i="28"/>
  <c r="Y255" i="28"/>
  <c r="AI235" i="27"/>
  <c r="AI236" i="27"/>
  <c r="AI237" i="27"/>
  <c r="AH250" i="27"/>
  <c r="H265" i="27"/>
  <c r="L270" i="27" s="1"/>
  <c r="E265" i="27"/>
  <c r="I270" i="27" s="1"/>
  <c r="G265" i="27"/>
  <c r="K270" i="27" s="1"/>
  <c r="F265" i="27"/>
  <c r="J270" i="27" s="1"/>
  <c r="T255" i="27"/>
  <c r="X254" i="27"/>
  <c r="AC254" i="27" s="1"/>
  <c r="Z246" i="27"/>
  <c r="AA248" i="27"/>
  <c r="R249" i="27"/>
  <c r="V248" i="27"/>
  <c r="W247" i="27"/>
  <c r="AB247" i="27" s="1"/>
  <c r="AE247" i="27" s="1"/>
  <c r="AF251" i="27" s="1"/>
  <c r="AG251" i="27" s="1"/>
  <c r="S248" i="27"/>
  <c r="U251" i="27"/>
  <c r="Y250" i="27"/>
  <c r="AD250" i="27" s="1"/>
  <c r="D267" i="27"/>
  <c r="C266" i="27"/>
  <c r="Q251" i="26"/>
  <c r="Z250" i="26"/>
  <c r="W251" i="26"/>
  <c r="AB251" i="26" s="1"/>
  <c r="S252" i="26"/>
  <c r="U257" i="26"/>
  <c r="Y256" i="26"/>
  <c r="AD256" i="26" s="1"/>
  <c r="X255" i="26"/>
  <c r="AC255" i="26" s="1"/>
  <c r="T256" i="26"/>
  <c r="E268" i="26"/>
  <c r="I283" i="26" s="1"/>
  <c r="G268" i="26"/>
  <c r="K283" i="26" s="1"/>
  <c r="F268" i="26"/>
  <c r="J283" i="26" s="1"/>
  <c r="H268" i="26"/>
  <c r="L283" i="26" s="1"/>
  <c r="D269" i="26"/>
  <c r="V251" i="26"/>
  <c r="AA251" i="26"/>
  <c r="R252" i="26"/>
  <c r="AH256" i="24"/>
  <c r="E268" i="24"/>
  <c r="I273" i="24" s="1"/>
  <c r="H268" i="24"/>
  <c r="L273" i="24" s="1"/>
  <c r="G268" i="24"/>
  <c r="K273" i="24" s="1"/>
  <c r="F268" i="24"/>
  <c r="J273" i="24" s="1"/>
  <c r="D269" i="24"/>
  <c r="C269" i="24" s="1"/>
  <c r="X255" i="24"/>
  <c r="AC255" i="24" s="1"/>
  <c r="T256" i="24"/>
  <c r="Y254" i="24"/>
  <c r="AD254" i="24" s="1"/>
  <c r="U255" i="24"/>
  <c r="S254" i="24"/>
  <c r="W254" i="24" s="1"/>
  <c r="AB254" i="24" s="1"/>
  <c r="AA253" i="24"/>
  <c r="AE253" i="24" s="1"/>
  <c r="AF257" i="24" s="1"/>
  <c r="AG257" i="24" s="1"/>
  <c r="V253" i="24"/>
  <c r="Z253" i="24" s="1"/>
  <c r="R254" i="24"/>
  <c r="AE251" i="26" l="1"/>
  <c r="Z251" i="26"/>
  <c r="E269" i="28"/>
  <c r="I274" i="28" s="1"/>
  <c r="F269" i="28"/>
  <c r="J274" i="28" s="1"/>
  <c r="G269" i="28"/>
  <c r="K274" i="28" s="1"/>
  <c r="H269" i="28"/>
  <c r="R255" i="28"/>
  <c r="R256" i="28" s="1"/>
  <c r="R257" i="28" s="1"/>
  <c r="R258" i="28" s="1"/>
  <c r="R259" i="28" s="1"/>
  <c r="R260" i="28" s="1"/>
  <c r="R261" i="28" s="1"/>
  <c r="R262" i="28" s="1"/>
  <c r="R263" i="28" s="1"/>
  <c r="R264" i="28" s="1"/>
  <c r="R265" i="28" s="1"/>
  <c r="R266" i="28" s="1"/>
  <c r="R267" i="28" s="1"/>
  <c r="U258" i="28"/>
  <c r="Q253" i="28"/>
  <c r="AC259" i="28"/>
  <c r="AD255" i="28"/>
  <c r="AM255" i="28"/>
  <c r="AI220" i="28"/>
  <c r="AH254" i="28"/>
  <c r="Y256" i="28"/>
  <c r="AA254" i="28"/>
  <c r="V254" i="28"/>
  <c r="X260" i="28"/>
  <c r="D271" i="28"/>
  <c r="C271" i="28" s="1"/>
  <c r="W252" i="28"/>
  <c r="AB251" i="28"/>
  <c r="AE251" i="28" s="1"/>
  <c r="AF255" i="28" s="1"/>
  <c r="AG255" i="28" s="1"/>
  <c r="Z251" i="28"/>
  <c r="L274" i="28"/>
  <c r="N265" i="28"/>
  <c r="Q265" i="28" s="1"/>
  <c r="N259" i="28"/>
  <c r="Q259" i="28" s="1"/>
  <c r="N261" i="28"/>
  <c r="Q261" i="28" s="1"/>
  <c r="N260" i="28"/>
  <c r="Q260" i="28" s="1"/>
  <c r="N256" i="28"/>
  <c r="Q256" i="28" s="1"/>
  <c r="N255" i="28"/>
  <c r="Q255" i="28" s="1"/>
  <c r="N264" i="28"/>
  <c r="Q264" i="28" s="1"/>
  <c r="N263" i="28"/>
  <c r="Q263" i="28" s="1"/>
  <c r="N258" i="28"/>
  <c r="Q258" i="28" s="1"/>
  <c r="N267" i="28"/>
  <c r="Q267" i="28" s="1"/>
  <c r="N262" i="28"/>
  <c r="Q262" i="28" s="1"/>
  <c r="N266" i="28"/>
  <c r="Q266" i="28" s="1"/>
  <c r="N257" i="28"/>
  <c r="Q257" i="28" s="1"/>
  <c r="N254" i="28"/>
  <c r="Q254" i="28" s="1"/>
  <c r="G20" i="28"/>
  <c r="C270" i="28"/>
  <c r="AI238" i="27"/>
  <c r="Z247" i="27"/>
  <c r="AH251" i="27"/>
  <c r="AI240" i="27" s="1"/>
  <c r="V249" i="27"/>
  <c r="AA249" i="27"/>
  <c r="M250" i="27"/>
  <c r="R250" i="27" s="1"/>
  <c r="X255" i="27"/>
  <c r="AC255" i="27" s="1"/>
  <c r="T256" i="27"/>
  <c r="U252" i="27"/>
  <c r="Y251" i="27"/>
  <c r="AD251" i="27" s="1"/>
  <c r="G266" i="27"/>
  <c r="K271" i="27" s="1"/>
  <c r="F266" i="27"/>
  <c r="J271" i="27" s="1"/>
  <c r="H266" i="27"/>
  <c r="L271" i="27" s="1"/>
  <c r="E266" i="27"/>
  <c r="I271" i="27" s="1"/>
  <c r="D268" i="27"/>
  <c r="W248" i="27"/>
  <c r="AB248" i="27" s="1"/>
  <c r="AE248" i="27" s="1"/>
  <c r="AF252" i="27" s="1"/>
  <c r="AG252" i="27" s="1"/>
  <c r="S249" i="27"/>
  <c r="C267" i="27"/>
  <c r="X256" i="26"/>
  <c r="AC256" i="26" s="1"/>
  <c r="T257" i="26"/>
  <c r="AA252" i="26"/>
  <c r="V252" i="26"/>
  <c r="R253" i="26"/>
  <c r="D270" i="26"/>
  <c r="C270" i="26" s="1"/>
  <c r="U258" i="26"/>
  <c r="Y257" i="26"/>
  <c r="AD257" i="26" s="1"/>
  <c r="W252" i="26"/>
  <c r="AB252" i="26" s="1"/>
  <c r="S253" i="26"/>
  <c r="C269" i="26"/>
  <c r="AH257" i="24"/>
  <c r="AI224" i="24" s="1"/>
  <c r="T257" i="24"/>
  <c r="X256" i="24"/>
  <c r="AC256" i="24" s="1"/>
  <c r="D270" i="24"/>
  <c r="C270" i="24" s="1"/>
  <c r="V254" i="24"/>
  <c r="Z254" i="24" s="1"/>
  <c r="R255" i="24"/>
  <c r="AA254" i="24"/>
  <c r="AE254" i="24" s="1"/>
  <c r="AF258" i="24" s="1"/>
  <c r="AG258" i="24" s="1"/>
  <c r="H269" i="24"/>
  <c r="L274" i="24" s="1"/>
  <c r="G269" i="24"/>
  <c r="K274" i="24" s="1"/>
  <c r="F269" i="24"/>
  <c r="J274" i="24" s="1"/>
  <c r="E269" i="24"/>
  <c r="I274" i="24" s="1"/>
  <c r="Y255" i="24"/>
  <c r="AD255" i="24" s="1"/>
  <c r="U256" i="24"/>
  <c r="S255" i="24"/>
  <c r="W255" i="24" s="1"/>
  <c r="AB255" i="24" s="1"/>
  <c r="AI239" i="27" l="1"/>
  <c r="E270" i="28"/>
  <c r="I275" i="28" s="1"/>
  <c r="F270" i="28"/>
  <c r="J275" i="28" s="1"/>
  <c r="G270" i="28"/>
  <c r="K275" i="28" s="1"/>
  <c r="H270" i="28"/>
  <c r="L275" i="28" s="1"/>
  <c r="E271" i="28"/>
  <c r="I276" i="28" s="1"/>
  <c r="F271" i="28"/>
  <c r="J276" i="28" s="1"/>
  <c r="H271" i="28"/>
  <c r="L276" i="28" s="1"/>
  <c r="G271" i="28"/>
  <c r="K276" i="28" s="1"/>
  <c r="U259" i="28"/>
  <c r="S254" i="28"/>
  <c r="S255" i="28" s="1"/>
  <c r="S256" i="28" s="1"/>
  <c r="S257" i="28" s="1"/>
  <c r="S258" i="28" s="1"/>
  <c r="AI221" i="28"/>
  <c r="AC260" i="28"/>
  <c r="AD256" i="28"/>
  <c r="AM256" i="28"/>
  <c r="AH255" i="28"/>
  <c r="AB252" i="28"/>
  <c r="AE252" i="28" s="1"/>
  <c r="AF256" i="28" s="1"/>
  <c r="AG256" i="28" s="1"/>
  <c r="Z252" i="28"/>
  <c r="D272" i="28"/>
  <c r="C272" i="28" s="1"/>
  <c r="W253" i="28"/>
  <c r="Y257" i="28"/>
  <c r="X261" i="28"/>
  <c r="V255" i="28"/>
  <c r="AA255" i="28"/>
  <c r="AI241" i="27"/>
  <c r="AH252" i="27"/>
  <c r="AI242" i="27" s="1"/>
  <c r="H267" i="27"/>
  <c r="L272" i="27" s="1"/>
  <c r="E267" i="27"/>
  <c r="I272" i="27" s="1"/>
  <c r="F267" i="27"/>
  <c r="J272" i="27" s="1"/>
  <c r="G267" i="27"/>
  <c r="K272" i="27" s="1"/>
  <c r="V250" i="27"/>
  <c r="AA250" i="27"/>
  <c r="X256" i="27"/>
  <c r="AC256" i="27" s="1"/>
  <c r="T257" i="27"/>
  <c r="D20" i="27"/>
  <c r="M251" i="27"/>
  <c r="R251" i="27" s="1"/>
  <c r="M263" i="27"/>
  <c r="M254" i="27"/>
  <c r="M259" i="27"/>
  <c r="M262" i="27"/>
  <c r="M255" i="27"/>
  <c r="M252" i="27"/>
  <c r="M256" i="27"/>
  <c r="M261" i="27"/>
  <c r="M264" i="27"/>
  <c r="M257" i="27"/>
  <c r="M253" i="27"/>
  <c r="M258" i="27"/>
  <c r="N250" i="27"/>
  <c r="S250" i="27" s="1"/>
  <c r="M260" i="27"/>
  <c r="W249" i="27"/>
  <c r="AB249" i="27" s="1"/>
  <c r="AE249" i="27" s="1"/>
  <c r="AF253" i="27" s="1"/>
  <c r="AG253" i="27" s="1"/>
  <c r="D269" i="27"/>
  <c r="Z248" i="27"/>
  <c r="C268" i="27"/>
  <c r="U253" i="27"/>
  <c r="Y252" i="27"/>
  <c r="AD252" i="27" s="1"/>
  <c r="Y258" i="26"/>
  <c r="AD258" i="26" s="1"/>
  <c r="U259" i="26"/>
  <c r="V253" i="26"/>
  <c r="R254" i="26"/>
  <c r="AA253" i="26"/>
  <c r="Z252" i="26"/>
  <c r="AE252" i="26"/>
  <c r="D271" i="26"/>
  <c r="C271" i="26" s="1"/>
  <c r="T258" i="26"/>
  <c r="X257" i="26"/>
  <c r="AC257" i="26" s="1"/>
  <c r="F270" i="26"/>
  <c r="J285" i="26" s="1"/>
  <c r="H270" i="26"/>
  <c r="L285" i="26" s="1"/>
  <c r="G270" i="26"/>
  <c r="K285" i="26" s="1"/>
  <c r="E270" i="26"/>
  <c r="I285" i="26" s="1"/>
  <c r="H269" i="26"/>
  <c r="L284" i="26" s="1"/>
  <c r="G269" i="26"/>
  <c r="K284" i="26" s="1"/>
  <c r="F269" i="26"/>
  <c r="J284" i="26" s="1"/>
  <c r="E269" i="26"/>
  <c r="I284" i="26" s="1"/>
  <c r="W253" i="26"/>
  <c r="AB253" i="26" s="1"/>
  <c r="S254" i="26"/>
  <c r="AH258" i="24"/>
  <c r="F270" i="24"/>
  <c r="J275" i="24" s="1"/>
  <c r="E270" i="24"/>
  <c r="I275" i="24" s="1"/>
  <c r="H270" i="24"/>
  <c r="L275" i="24" s="1"/>
  <c r="G270" i="24"/>
  <c r="K275" i="24" s="1"/>
  <c r="V255" i="24"/>
  <c r="Z255" i="24" s="1"/>
  <c r="AA255" i="24"/>
  <c r="AE255" i="24" s="1"/>
  <c r="AF259" i="24" s="1"/>
  <c r="AG259" i="24" s="1"/>
  <c r="R256" i="24"/>
  <c r="D271" i="24"/>
  <c r="Y256" i="24"/>
  <c r="AD256" i="24" s="1"/>
  <c r="U257" i="24"/>
  <c r="S256" i="24"/>
  <c r="W256" i="24" s="1"/>
  <c r="AB256" i="24" s="1"/>
  <c r="X257" i="24"/>
  <c r="AC257" i="24" s="1"/>
  <c r="T258" i="24"/>
  <c r="AI243" i="27" l="1"/>
  <c r="E272" i="28"/>
  <c r="I277" i="28" s="1"/>
  <c r="F272" i="28"/>
  <c r="J277" i="28" s="1"/>
  <c r="G272" i="28"/>
  <c r="K277" i="28" s="1"/>
  <c r="H272" i="28"/>
  <c r="L277" i="28" s="1"/>
  <c r="U260" i="28"/>
  <c r="S259" i="28"/>
  <c r="AC261" i="28"/>
  <c r="AI222" i="28"/>
  <c r="D17" i="28" s="1"/>
  <c r="AD257" i="28"/>
  <c r="AM257" i="28"/>
  <c r="AH256" i="28"/>
  <c r="V256" i="28"/>
  <c r="AA256" i="28"/>
  <c r="AB253" i="28"/>
  <c r="AE253" i="28" s="1"/>
  <c r="AF257" i="28" s="1"/>
  <c r="AG257" i="28" s="1"/>
  <c r="Z253" i="28"/>
  <c r="W254" i="28"/>
  <c r="D273" i="28"/>
  <c r="C19" i="28"/>
  <c r="Y258" i="28"/>
  <c r="X262" i="28"/>
  <c r="Q250" i="27"/>
  <c r="Z249" i="27"/>
  <c r="I19" i="27" s="1"/>
  <c r="AH253" i="27"/>
  <c r="F268" i="27"/>
  <c r="J273" i="27" s="1"/>
  <c r="E268" i="27"/>
  <c r="I273" i="27" s="1"/>
  <c r="G268" i="27"/>
  <c r="K273" i="27" s="1"/>
  <c r="H268" i="27"/>
  <c r="L273" i="27" s="1"/>
  <c r="X257" i="27"/>
  <c r="AC257" i="27" s="1"/>
  <c r="T258" i="27"/>
  <c r="D270" i="27"/>
  <c r="C270" i="27" s="1"/>
  <c r="R252" i="27"/>
  <c r="V251" i="27"/>
  <c r="AA251" i="27"/>
  <c r="W250" i="27"/>
  <c r="AB250" i="27" s="1"/>
  <c r="AE250" i="27" s="1"/>
  <c r="AF254" i="27" s="1"/>
  <c r="AG254" i="27" s="1"/>
  <c r="C269" i="27"/>
  <c r="E20" i="27"/>
  <c r="N252" i="27"/>
  <c r="Q252" i="27" s="1"/>
  <c r="N258" i="27"/>
  <c r="Q258" i="27" s="1"/>
  <c r="N251" i="27"/>
  <c r="Q251" i="27" s="1"/>
  <c r="N257" i="27"/>
  <c r="Q257" i="27" s="1"/>
  <c r="N254" i="27"/>
  <c r="Q254" i="27" s="1"/>
  <c r="N259" i="27"/>
  <c r="Q259" i="27" s="1"/>
  <c r="N262" i="27"/>
  <c r="Q262" i="27" s="1"/>
  <c r="N261" i="27"/>
  <c r="Q261" i="27" s="1"/>
  <c r="N264" i="27"/>
  <c r="Q264" i="27" s="1"/>
  <c r="N263" i="27"/>
  <c r="Q263" i="27" s="1"/>
  <c r="N256" i="27"/>
  <c r="Q256" i="27" s="1"/>
  <c r="N260" i="27"/>
  <c r="Q260" i="27" s="1"/>
  <c r="N253" i="27"/>
  <c r="Q253" i="27" s="1"/>
  <c r="N255" i="27"/>
  <c r="Q255" i="27" s="1"/>
  <c r="Y253" i="27"/>
  <c r="AD253" i="27" s="1"/>
  <c r="U254" i="27"/>
  <c r="D272" i="26"/>
  <c r="W254" i="26"/>
  <c r="AB254" i="26" s="1"/>
  <c r="S255" i="26"/>
  <c r="AE253" i="26"/>
  <c r="AA254" i="26"/>
  <c r="R255" i="26"/>
  <c r="V254" i="26"/>
  <c r="G271" i="26"/>
  <c r="K286" i="26" s="1"/>
  <c r="H271" i="26"/>
  <c r="L286" i="26" s="1"/>
  <c r="F271" i="26"/>
  <c r="J286" i="26" s="1"/>
  <c r="E271" i="26"/>
  <c r="I286" i="26" s="1"/>
  <c r="Z253" i="26"/>
  <c r="U260" i="26"/>
  <c r="Y259" i="26"/>
  <c r="AD259" i="26" s="1"/>
  <c r="X258" i="26"/>
  <c r="AC258" i="26" s="1"/>
  <c r="T259" i="26"/>
  <c r="AH259" i="24"/>
  <c r="D272" i="24"/>
  <c r="C271" i="24"/>
  <c r="AA256" i="24"/>
  <c r="AE256" i="24" s="1"/>
  <c r="AF260" i="24" s="1"/>
  <c r="AG260" i="24" s="1"/>
  <c r="V256" i="24"/>
  <c r="Z256" i="24" s="1"/>
  <c r="R257" i="24"/>
  <c r="T259" i="24"/>
  <c r="X258" i="24"/>
  <c r="AC258" i="24" s="1"/>
  <c r="Y257" i="24"/>
  <c r="AD257" i="24" s="1"/>
  <c r="U258" i="24"/>
  <c r="S257" i="24"/>
  <c r="W257" i="24" s="1"/>
  <c r="AB257" i="24" s="1"/>
  <c r="AI225" i="24"/>
  <c r="AI226" i="24"/>
  <c r="AI227" i="24"/>
  <c r="Z254" i="26" l="1"/>
  <c r="AE254" i="26"/>
  <c r="AI244" i="27"/>
  <c r="S260" i="28"/>
  <c r="U261" i="28"/>
  <c r="AC262" i="28"/>
  <c r="AD258" i="28"/>
  <c r="AM258" i="28"/>
  <c r="AH257" i="28"/>
  <c r="X263" i="28"/>
  <c r="V257" i="28"/>
  <c r="AA257" i="28"/>
  <c r="D274" i="28"/>
  <c r="C274" i="28" s="1"/>
  <c r="C273" i="28"/>
  <c r="AB254" i="28"/>
  <c r="AE254" i="28" s="1"/>
  <c r="AF258" i="28" s="1"/>
  <c r="AG258" i="28" s="1"/>
  <c r="Z254" i="28"/>
  <c r="Y259" i="28"/>
  <c r="W255" i="28"/>
  <c r="Z250" i="27"/>
  <c r="AH254" i="27"/>
  <c r="D271" i="27"/>
  <c r="C271" i="27" s="1"/>
  <c r="E270" i="27"/>
  <c r="I275" i="27" s="1"/>
  <c r="G270" i="27"/>
  <c r="K275" i="27" s="1"/>
  <c r="H270" i="27"/>
  <c r="L275" i="27" s="1"/>
  <c r="F270" i="27"/>
  <c r="J275" i="27" s="1"/>
  <c r="T259" i="27"/>
  <c r="X258" i="27"/>
  <c r="AC258" i="27" s="1"/>
  <c r="S251" i="27"/>
  <c r="R253" i="27"/>
  <c r="V252" i="27"/>
  <c r="AA252" i="27"/>
  <c r="Y254" i="27"/>
  <c r="AD254" i="27" s="1"/>
  <c r="U255" i="27"/>
  <c r="E269" i="27"/>
  <c r="I274" i="27" s="1"/>
  <c r="G269" i="27"/>
  <c r="K274" i="27" s="1"/>
  <c r="H269" i="27"/>
  <c r="L274" i="27" s="1"/>
  <c r="F269" i="27"/>
  <c r="J274" i="27" s="1"/>
  <c r="V255" i="26"/>
  <c r="AA255" i="26"/>
  <c r="R256" i="26"/>
  <c r="W255" i="26"/>
  <c r="AB255" i="26" s="1"/>
  <c r="S256" i="26"/>
  <c r="T260" i="26"/>
  <c r="X259" i="26"/>
  <c r="AC259" i="26" s="1"/>
  <c r="D273" i="26"/>
  <c r="C273" i="26" s="1"/>
  <c r="U261" i="26"/>
  <c r="Y260" i="26"/>
  <c r="AD260" i="26" s="1"/>
  <c r="C272" i="26"/>
  <c r="AH260" i="24"/>
  <c r="AI228" i="24" s="1"/>
  <c r="H271" i="24"/>
  <c r="L276" i="24" s="1"/>
  <c r="G271" i="24"/>
  <c r="K276" i="24" s="1"/>
  <c r="F271" i="24"/>
  <c r="J276" i="24" s="1"/>
  <c r="E271" i="24"/>
  <c r="I276" i="24" s="1"/>
  <c r="D273" i="24"/>
  <c r="C272" i="24"/>
  <c r="X259" i="24"/>
  <c r="AC259" i="24" s="1"/>
  <c r="T260" i="24"/>
  <c r="R258" i="24"/>
  <c r="AA257" i="24"/>
  <c r="AE257" i="24" s="1"/>
  <c r="AF261" i="24" s="1"/>
  <c r="AG261" i="24" s="1"/>
  <c r="V257" i="24"/>
  <c r="Z257" i="24" s="1"/>
  <c r="S258" i="24"/>
  <c r="W258" i="24" s="1"/>
  <c r="AB258" i="24" s="1"/>
  <c r="Y258" i="24"/>
  <c r="AD258" i="24" s="1"/>
  <c r="U259" i="24"/>
  <c r="AI245" i="27" l="1"/>
  <c r="E273" i="28"/>
  <c r="I278" i="28" s="1"/>
  <c r="F273" i="28"/>
  <c r="J278" i="28" s="1"/>
  <c r="G273" i="28"/>
  <c r="K278" i="28" s="1"/>
  <c r="H273" i="28"/>
  <c r="L278" i="28" s="1"/>
  <c r="E274" i="28"/>
  <c r="I279" i="28" s="1"/>
  <c r="F274" i="28"/>
  <c r="J279" i="28" s="1"/>
  <c r="H274" i="28"/>
  <c r="L279" i="28" s="1"/>
  <c r="G274" i="28"/>
  <c r="K279" i="28" s="1"/>
  <c r="S261" i="28"/>
  <c r="U262" i="28"/>
  <c r="AD259" i="28"/>
  <c r="AM259" i="28"/>
  <c r="AC263" i="28"/>
  <c r="AH258" i="28"/>
  <c r="W256" i="28"/>
  <c r="AB255" i="28"/>
  <c r="AE255" i="28" s="1"/>
  <c r="AF259" i="28" s="1"/>
  <c r="AG259" i="28" s="1"/>
  <c r="Z255" i="28"/>
  <c r="Y260" i="28"/>
  <c r="X264" i="28"/>
  <c r="AA258" i="28"/>
  <c r="V258" i="28"/>
  <c r="D275" i="28"/>
  <c r="E271" i="27"/>
  <c r="I276" i="27" s="1"/>
  <c r="G271" i="27"/>
  <c r="K276" i="27" s="1"/>
  <c r="F271" i="27"/>
  <c r="J276" i="27" s="1"/>
  <c r="H271" i="27"/>
  <c r="L276" i="27" s="1"/>
  <c r="Y255" i="27"/>
  <c r="AD255" i="27" s="1"/>
  <c r="U256" i="27"/>
  <c r="R254" i="27"/>
  <c r="V253" i="27"/>
  <c r="AA253" i="27"/>
  <c r="D272" i="27"/>
  <c r="T260" i="27"/>
  <c r="X259" i="27"/>
  <c r="AC259" i="27" s="1"/>
  <c r="W251" i="27"/>
  <c r="S252" i="27"/>
  <c r="D274" i="26"/>
  <c r="C274" i="26" s="1"/>
  <c r="X260" i="26"/>
  <c r="AC260" i="26" s="1"/>
  <c r="T261" i="26"/>
  <c r="W256" i="26"/>
  <c r="AB256" i="26" s="1"/>
  <c r="S257" i="26"/>
  <c r="U262" i="26"/>
  <c r="Y261" i="26"/>
  <c r="AD261" i="26" s="1"/>
  <c r="AA256" i="26"/>
  <c r="R257" i="26"/>
  <c r="V256" i="26"/>
  <c r="E273" i="26"/>
  <c r="I288" i="26" s="1"/>
  <c r="G273" i="26"/>
  <c r="K288" i="26" s="1"/>
  <c r="F273" i="26"/>
  <c r="J288" i="26" s="1"/>
  <c r="H273" i="26"/>
  <c r="L288" i="26" s="1"/>
  <c r="AE255" i="26"/>
  <c r="H272" i="26"/>
  <c r="L287" i="26" s="1"/>
  <c r="G272" i="26"/>
  <c r="K287" i="26" s="1"/>
  <c r="F272" i="26"/>
  <c r="J287" i="26" s="1"/>
  <c r="E272" i="26"/>
  <c r="I287" i="26" s="1"/>
  <c r="Z255" i="26"/>
  <c r="AH261" i="24"/>
  <c r="AI229" i="24" s="1"/>
  <c r="X260" i="24"/>
  <c r="AC260" i="24" s="1"/>
  <c r="T261" i="24"/>
  <c r="G272" i="24"/>
  <c r="K277" i="24" s="1"/>
  <c r="F272" i="24"/>
  <c r="J277" i="24" s="1"/>
  <c r="E272" i="24"/>
  <c r="I277" i="24" s="1"/>
  <c r="H272" i="24"/>
  <c r="L277" i="24" s="1"/>
  <c r="D274" i="24"/>
  <c r="C274" i="24" s="1"/>
  <c r="U260" i="24"/>
  <c r="S259" i="24"/>
  <c r="W259" i="24" s="1"/>
  <c r="AB259" i="24" s="1"/>
  <c r="Y259" i="24"/>
  <c r="AD259" i="24" s="1"/>
  <c r="C273" i="24"/>
  <c r="AA258" i="24"/>
  <c r="AE258" i="24" s="1"/>
  <c r="AF262" i="24" s="1"/>
  <c r="AG262" i="24" s="1"/>
  <c r="V258" i="24"/>
  <c r="Z258" i="24" s="1"/>
  <c r="R259" i="24"/>
  <c r="Z256" i="26" l="1"/>
  <c r="AE256" i="26"/>
  <c r="U263" i="28"/>
  <c r="S262" i="28"/>
  <c r="AD260" i="28"/>
  <c r="AM260" i="28"/>
  <c r="AC264" i="28"/>
  <c r="AI223" i="28"/>
  <c r="AI224" i="28"/>
  <c r="AH259" i="28"/>
  <c r="Y261" i="28"/>
  <c r="D276" i="28"/>
  <c r="C276" i="28" s="1"/>
  <c r="W257" i="28"/>
  <c r="AB256" i="28"/>
  <c r="AE256" i="28" s="1"/>
  <c r="AF260" i="28" s="1"/>
  <c r="AG260" i="28" s="1"/>
  <c r="Z256" i="28"/>
  <c r="V259" i="28"/>
  <c r="AA259" i="28"/>
  <c r="X265" i="28"/>
  <c r="C275" i="28"/>
  <c r="D273" i="27"/>
  <c r="Y256" i="27"/>
  <c r="AD256" i="27" s="1"/>
  <c r="U257" i="27"/>
  <c r="AA254" i="27"/>
  <c r="V254" i="27"/>
  <c r="R255" i="27"/>
  <c r="AB251" i="27"/>
  <c r="AE251" i="27" s="1"/>
  <c r="AF255" i="27" s="1"/>
  <c r="AG255" i="27" s="1"/>
  <c r="Z251" i="27"/>
  <c r="W252" i="27"/>
  <c r="S253" i="27"/>
  <c r="T261" i="27"/>
  <c r="X260" i="27"/>
  <c r="AC260" i="27" s="1"/>
  <c r="C272" i="27"/>
  <c r="E274" i="26"/>
  <c r="I289" i="26" s="1"/>
  <c r="F274" i="26"/>
  <c r="J289" i="26" s="1"/>
  <c r="G274" i="26"/>
  <c r="K289" i="26" s="1"/>
  <c r="H274" i="26"/>
  <c r="L289" i="26" s="1"/>
  <c r="R258" i="26"/>
  <c r="V257" i="26"/>
  <c r="AA257" i="26"/>
  <c r="U263" i="26"/>
  <c r="Y262" i="26"/>
  <c r="AD262" i="26" s="1"/>
  <c r="W257" i="26"/>
  <c r="AB257" i="26" s="1"/>
  <c r="S258" i="26"/>
  <c r="T262" i="26"/>
  <c r="X261" i="26"/>
  <c r="AC261" i="26" s="1"/>
  <c r="D275" i="26"/>
  <c r="G274" i="24"/>
  <c r="K279" i="24" s="1"/>
  <c r="F274" i="24"/>
  <c r="J279" i="24" s="1"/>
  <c r="E274" i="24"/>
  <c r="I279" i="24" s="1"/>
  <c r="H274" i="24"/>
  <c r="L279" i="24" s="1"/>
  <c r="AH262" i="24"/>
  <c r="AI230" i="24" s="1"/>
  <c r="S260" i="24"/>
  <c r="W260" i="24" s="1"/>
  <c r="AB260" i="24" s="1"/>
  <c r="Y260" i="24"/>
  <c r="AD260" i="24" s="1"/>
  <c r="U261" i="24"/>
  <c r="R260" i="24"/>
  <c r="AA259" i="24"/>
  <c r="AE259" i="24" s="1"/>
  <c r="AF263" i="24" s="1"/>
  <c r="AG263" i="24" s="1"/>
  <c r="V259" i="24"/>
  <c r="Z259" i="24" s="1"/>
  <c r="X261" i="24"/>
  <c r="AC261" i="24" s="1"/>
  <c r="T262" i="24"/>
  <c r="D275" i="24"/>
  <c r="C275" i="24" s="1"/>
  <c r="G273" i="24"/>
  <c r="K278" i="24" s="1"/>
  <c r="F273" i="24"/>
  <c r="J278" i="24" s="1"/>
  <c r="H273" i="24"/>
  <c r="L278" i="24" s="1"/>
  <c r="E273" i="24"/>
  <c r="I278" i="24" s="1"/>
  <c r="E276" i="28" l="1"/>
  <c r="I281" i="28" s="1"/>
  <c r="F276" i="28"/>
  <c r="J281" i="28" s="1"/>
  <c r="G276" i="28"/>
  <c r="K281" i="28" s="1"/>
  <c r="H276" i="28"/>
  <c r="L281" i="28" s="1"/>
  <c r="E275" i="28"/>
  <c r="I280" i="28" s="1"/>
  <c r="F275" i="28"/>
  <c r="J280" i="28" s="1"/>
  <c r="G275" i="28"/>
  <c r="K280" i="28" s="1"/>
  <c r="H275" i="28"/>
  <c r="L280" i="28" s="1"/>
  <c r="S263" i="28"/>
  <c r="U264" i="28"/>
  <c r="AC265" i="28"/>
  <c r="AD261" i="28"/>
  <c r="AM261" i="28"/>
  <c r="AI225" i="28"/>
  <c r="W258" i="28"/>
  <c r="AB257" i="28"/>
  <c r="AE257" i="28" s="1"/>
  <c r="AF261" i="28" s="1"/>
  <c r="AG261" i="28" s="1"/>
  <c r="Z257" i="28"/>
  <c r="D277" i="28"/>
  <c r="AA260" i="28"/>
  <c r="V260" i="28"/>
  <c r="Y262" i="28"/>
  <c r="AH260" i="28"/>
  <c r="X266" i="28"/>
  <c r="V255" i="27"/>
  <c r="R256" i="27"/>
  <c r="AA255" i="27"/>
  <c r="Y257" i="27"/>
  <c r="AD257" i="27" s="1"/>
  <c r="U258" i="27"/>
  <c r="G272" i="27"/>
  <c r="K277" i="27" s="1"/>
  <c r="E272" i="27"/>
  <c r="I277" i="27" s="1"/>
  <c r="F272" i="27"/>
  <c r="J277" i="27" s="1"/>
  <c r="H272" i="27"/>
  <c r="L277" i="27" s="1"/>
  <c r="D274" i="27"/>
  <c r="C274" i="27" s="1"/>
  <c r="AH255" i="27"/>
  <c r="AI246" i="27" s="1"/>
  <c r="X261" i="27"/>
  <c r="AC261" i="27" s="1"/>
  <c r="T262" i="27"/>
  <c r="W253" i="27"/>
  <c r="S254" i="27"/>
  <c r="AB252" i="27"/>
  <c r="AE252" i="27" s="1"/>
  <c r="AF256" i="27" s="1"/>
  <c r="AG256" i="27" s="1"/>
  <c r="Z252" i="27"/>
  <c r="C273" i="27"/>
  <c r="U264" i="26"/>
  <c r="Y263" i="26"/>
  <c r="AD263" i="26" s="1"/>
  <c r="AE257" i="26"/>
  <c r="R259" i="26"/>
  <c r="V258" i="26"/>
  <c r="AA258" i="26"/>
  <c r="D276" i="26"/>
  <c r="C276" i="26" s="1"/>
  <c r="C275" i="26"/>
  <c r="W258" i="26"/>
  <c r="AB258" i="26" s="1"/>
  <c r="S259" i="26"/>
  <c r="Z257" i="26"/>
  <c r="X262" i="26"/>
  <c r="AC262" i="26" s="1"/>
  <c r="T263" i="26"/>
  <c r="AH263" i="24"/>
  <c r="AI231" i="24" s="1"/>
  <c r="V260" i="24"/>
  <c r="Z260" i="24" s="1"/>
  <c r="R261" i="24"/>
  <c r="AA260" i="24"/>
  <c r="AE260" i="24" s="1"/>
  <c r="AF264" i="24" s="1"/>
  <c r="AG264" i="24" s="1"/>
  <c r="U262" i="24"/>
  <c r="Y261" i="24"/>
  <c r="AD261" i="24" s="1"/>
  <c r="S261" i="24"/>
  <c r="W261" i="24" s="1"/>
  <c r="AB261" i="24" s="1"/>
  <c r="G275" i="24"/>
  <c r="K280" i="24" s="1"/>
  <c r="F275" i="24"/>
  <c r="J280" i="24" s="1"/>
  <c r="E275" i="24"/>
  <c r="I280" i="24" s="1"/>
  <c r="H275" i="24"/>
  <c r="L280" i="24" s="1"/>
  <c r="D276" i="24"/>
  <c r="C276" i="24" s="1"/>
  <c r="X262" i="24"/>
  <c r="AC262" i="24" s="1"/>
  <c r="T263" i="24"/>
  <c r="S264" i="28" l="1"/>
  <c r="U265" i="28"/>
  <c r="AD262" i="28"/>
  <c r="AM262" i="28"/>
  <c r="AC266" i="28"/>
  <c r="AI226" i="28"/>
  <c r="D278" i="28"/>
  <c r="C278" i="28" s="1"/>
  <c r="C277" i="28"/>
  <c r="W259" i="28"/>
  <c r="V261" i="28"/>
  <c r="AA261" i="28"/>
  <c r="AB258" i="28"/>
  <c r="AE258" i="28" s="1"/>
  <c r="AF262" i="28" s="1"/>
  <c r="AG262" i="28" s="1"/>
  <c r="Z258" i="28"/>
  <c r="Y263" i="28"/>
  <c r="AH261" i="28"/>
  <c r="O268" i="28"/>
  <c r="T268" i="28" s="1"/>
  <c r="X267" i="28"/>
  <c r="AH256" i="27"/>
  <c r="AI247" i="27" s="1"/>
  <c r="W254" i="27"/>
  <c r="S255" i="27"/>
  <c r="U259" i="27"/>
  <c r="Y258" i="27"/>
  <c r="AD258" i="27" s="1"/>
  <c r="V256" i="27"/>
  <c r="R257" i="27"/>
  <c r="AA256" i="27"/>
  <c r="T263" i="27"/>
  <c r="X262" i="27"/>
  <c r="AC262" i="27" s="1"/>
  <c r="AB253" i="27"/>
  <c r="AE253" i="27" s="1"/>
  <c r="AF257" i="27" s="1"/>
  <c r="AG257" i="27" s="1"/>
  <c r="Z253" i="27"/>
  <c r="E274" i="27"/>
  <c r="I279" i="27" s="1"/>
  <c r="G274" i="27"/>
  <c r="K279" i="27" s="1"/>
  <c r="F274" i="27"/>
  <c r="J279" i="27" s="1"/>
  <c r="H274" i="27"/>
  <c r="L279" i="27" s="1"/>
  <c r="D275" i="27"/>
  <c r="C275" i="27" s="1"/>
  <c r="H273" i="27"/>
  <c r="L278" i="27" s="1"/>
  <c r="E273" i="27"/>
  <c r="I278" i="27" s="1"/>
  <c r="F273" i="27"/>
  <c r="J278" i="27" s="1"/>
  <c r="G273" i="27"/>
  <c r="K278" i="27" s="1"/>
  <c r="D277" i="26"/>
  <c r="C277" i="26" s="1"/>
  <c r="AE258" i="26"/>
  <c r="H275" i="26"/>
  <c r="L290" i="26" s="1"/>
  <c r="G275" i="26"/>
  <c r="K290" i="26" s="1"/>
  <c r="E275" i="26"/>
  <c r="I290" i="26" s="1"/>
  <c r="F275" i="26"/>
  <c r="J290" i="26" s="1"/>
  <c r="Z258" i="26"/>
  <c r="W259" i="26"/>
  <c r="AB259" i="26" s="1"/>
  <c r="S260" i="26"/>
  <c r="V259" i="26"/>
  <c r="AA259" i="26"/>
  <c r="R260" i="26"/>
  <c r="T264" i="26"/>
  <c r="X263" i="26"/>
  <c r="AC263" i="26" s="1"/>
  <c r="E276" i="26"/>
  <c r="I291" i="26" s="1"/>
  <c r="H276" i="26"/>
  <c r="L291" i="26" s="1"/>
  <c r="G276" i="26"/>
  <c r="K291" i="26" s="1"/>
  <c r="F276" i="26"/>
  <c r="J291" i="26" s="1"/>
  <c r="P265" i="26"/>
  <c r="U265" i="26" s="1"/>
  <c r="Y264" i="26"/>
  <c r="AD264" i="26" s="1"/>
  <c r="AH264" i="24"/>
  <c r="Y262" i="24"/>
  <c r="AD262" i="24" s="1"/>
  <c r="U263" i="24"/>
  <c r="S262" i="24"/>
  <c r="W262" i="24" s="1"/>
  <c r="AB262" i="24" s="1"/>
  <c r="X263" i="24"/>
  <c r="AC263" i="24" s="1"/>
  <c r="T264" i="24"/>
  <c r="R262" i="24"/>
  <c r="AA261" i="24"/>
  <c r="AE261" i="24" s="1"/>
  <c r="AF265" i="24" s="1"/>
  <c r="AG265" i="24" s="1"/>
  <c r="V261" i="24"/>
  <c r="Z261" i="24" s="1"/>
  <c r="F276" i="24"/>
  <c r="J281" i="24" s="1"/>
  <c r="E276" i="24"/>
  <c r="I281" i="24" s="1"/>
  <c r="H276" i="24"/>
  <c r="L281" i="24" s="1"/>
  <c r="G276" i="24"/>
  <c r="K281" i="24" s="1"/>
  <c r="D277" i="24"/>
  <c r="C277" i="24" s="1"/>
  <c r="AI248" i="27" l="1"/>
  <c r="Z259" i="26"/>
  <c r="AE259" i="26"/>
  <c r="E277" i="28"/>
  <c r="I282" i="28" s="1"/>
  <c r="F277" i="28"/>
  <c r="J282" i="28" s="1"/>
  <c r="H277" i="28"/>
  <c r="G277" i="28"/>
  <c r="K282" i="28" s="1"/>
  <c r="E278" i="28"/>
  <c r="I283" i="28" s="1"/>
  <c r="F278" i="28"/>
  <c r="J283" i="28" s="1"/>
  <c r="G278" i="28"/>
  <c r="K283" i="28" s="1"/>
  <c r="H278" i="28"/>
  <c r="L283" i="28" s="1"/>
  <c r="U266" i="28"/>
  <c r="S265" i="28"/>
  <c r="AD263" i="28"/>
  <c r="AM263" i="28"/>
  <c r="AC267" i="28"/>
  <c r="AH262" i="28"/>
  <c r="AA262" i="28"/>
  <c r="V262" i="28"/>
  <c r="W260" i="28"/>
  <c r="AB259" i="28"/>
  <c r="AE259" i="28" s="1"/>
  <c r="AF263" i="28" s="1"/>
  <c r="AG263" i="28" s="1"/>
  <c r="Z259" i="28"/>
  <c r="O278" i="28"/>
  <c r="O272" i="28"/>
  <c r="O277" i="28"/>
  <c r="O269" i="28"/>
  <c r="T269" i="28" s="1"/>
  <c r="O274" i="28"/>
  <c r="O282" i="28"/>
  <c r="O280" i="28"/>
  <c r="O276" i="28"/>
  <c r="O275" i="28"/>
  <c r="O271" i="28"/>
  <c r="O273" i="28"/>
  <c r="O281" i="28"/>
  <c r="O270" i="28"/>
  <c r="O279" i="28"/>
  <c r="H21" i="28"/>
  <c r="L282" i="28"/>
  <c r="Y264" i="28"/>
  <c r="D279" i="28"/>
  <c r="C279" i="28" s="1"/>
  <c r="AH257" i="27"/>
  <c r="AI249" i="27" s="1"/>
  <c r="J19" i="27" s="1"/>
  <c r="G275" i="27"/>
  <c r="K280" i="27" s="1"/>
  <c r="H275" i="27"/>
  <c r="L280" i="27" s="1"/>
  <c r="E275" i="27"/>
  <c r="I280" i="27" s="1"/>
  <c r="F275" i="27"/>
  <c r="J280" i="27" s="1"/>
  <c r="AA257" i="27"/>
  <c r="V257" i="27"/>
  <c r="R258" i="27"/>
  <c r="Y259" i="27"/>
  <c r="AD259" i="27" s="1"/>
  <c r="U260" i="27"/>
  <c r="W255" i="27"/>
  <c r="S256" i="27"/>
  <c r="AB254" i="27"/>
  <c r="AE254" i="27" s="1"/>
  <c r="AF258" i="27" s="1"/>
  <c r="AG258" i="27" s="1"/>
  <c r="Z254" i="27"/>
  <c r="X263" i="27"/>
  <c r="AC263" i="27" s="1"/>
  <c r="T264" i="27"/>
  <c r="D276" i="27"/>
  <c r="C276" i="27" s="1"/>
  <c r="Y265" i="26"/>
  <c r="AD265" i="26" s="1"/>
  <c r="E277" i="26"/>
  <c r="I292" i="26" s="1"/>
  <c r="G277" i="26"/>
  <c r="K292" i="26" s="1"/>
  <c r="F277" i="26"/>
  <c r="J292" i="26" s="1"/>
  <c r="H277" i="26"/>
  <c r="L292" i="26" s="1"/>
  <c r="P278" i="26"/>
  <c r="P276" i="26"/>
  <c r="P274" i="26"/>
  <c r="P277" i="26"/>
  <c r="P271" i="26"/>
  <c r="P269" i="26"/>
  <c r="P267" i="26"/>
  <c r="P272" i="26"/>
  <c r="P273" i="26"/>
  <c r="P275" i="26"/>
  <c r="P266" i="26"/>
  <c r="U266" i="26" s="1"/>
  <c r="P279" i="26"/>
  <c r="P268" i="26"/>
  <c r="P270" i="26"/>
  <c r="G21" i="26"/>
  <c r="O265" i="26"/>
  <c r="T265" i="26" s="1"/>
  <c r="X264" i="26"/>
  <c r="AC264" i="26" s="1"/>
  <c r="W260" i="26"/>
  <c r="AB260" i="26" s="1"/>
  <c r="S261" i="26"/>
  <c r="V260" i="26"/>
  <c r="AA260" i="26"/>
  <c r="R261" i="26"/>
  <c r="D278" i="26"/>
  <c r="C278" i="26" s="1"/>
  <c r="AH265" i="24"/>
  <c r="AI232" i="24" s="1"/>
  <c r="S263" i="24"/>
  <c r="W263" i="24" s="1"/>
  <c r="AB263" i="24" s="1"/>
  <c r="Y263" i="24"/>
  <c r="AD263" i="24" s="1"/>
  <c r="U264" i="24"/>
  <c r="R263" i="24"/>
  <c r="V262" i="24"/>
  <c r="Z262" i="24" s="1"/>
  <c r="AA262" i="24"/>
  <c r="AE262" i="24" s="1"/>
  <c r="AF266" i="24" s="1"/>
  <c r="AG266" i="24" s="1"/>
  <c r="D278" i="24"/>
  <c r="C278" i="24" s="1"/>
  <c r="X264" i="24"/>
  <c r="AC264" i="24" s="1"/>
  <c r="O265" i="24"/>
  <c r="T265" i="24" s="1"/>
  <c r="H277" i="24"/>
  <c r="L282" i="24" s="1"/>
  <c r="G277" i="24"/>
  <c r="K282" i="24" s="1"/>
  <c r="F277" i="24"/>
  <c r="J282" i="24" s="1"/>
  <c r="E277" i="24"/>
  <c r="I282" i="24" s="1"/>
  <c r="AI250" i="27" l="1"/>
  <c r="E279" i="28"/>
  <c r="F279" i="28"/>
  <c r="J284" i="28" s="1"/>
  <c r="G279" i="28"/>
  <c r="K284" i="28" s="1"/>
  <c r="H279" i="28"/>
  <c r="L284" i="28" s="1"/>
  <c r="T270" i="28"/>
  <c r="T271" i="28" s="1"/>
  <c r="T272" i="28" s="1"/>
  <c r="T273" i="28" s="1"/>
  <c r="T274" i="28" s="1"/>
  <c r="T275" i="28" s="1"/>
  <c r="T276" i="28" s="1"/>
  <c r="T277" i="28" s="1"/>
  <c r="T278" i="28" s="1"/>
  <c r="T279" i="28" s="1"/>
  <c r="T280" i="28" s="1"/>
  <c r="T281" i="28" s="1"/>
  <c r="T282" i="28" s="1"/>
  <c r="S266" i="28"/>
  <c r="U267" i="28"/>
  <c r="AI227" i="28"/>
  <c r="AD264" i="28"/>
  <c r="AM264" i="28"/>
  <c r="AH263" i="28"/>
  <c r="W261" i="28"/>
  <c r="I284" i="28"/>
  <c r="AB260" i="28"/>
  <c r="AE260" i="28" s="1"/>
  <c r="AF264" i="28" s="1"/>
  <c r="AG264" i="28" s="1"/>
  <c r="Z260" i="28"/>
  <c r="D280" i="28"/>
  <c r="C280" i="28" s="1"/>
  <c r="X268" i="28"/>
  <c r="V263" i="28"/>
  <c r="AA263" i="28"/>
  <c r="Y265" i="28"/>
  <c r="AI251" i="27"/>
  <c r="E276" i="27"/>
  <c r="I281" i="27" s="1"/>
  <c r="H276" i="27"/>
  <c r="L281" i="27" s="1"/>
  <c r="F276" i="27"/>
  <c r="J281" i="27" s="1"/>
  <c r="G276" i="27"/>
  <c r="K281" i="27" s="1"/>
  <c r="AH258" i="27"/>
  <c r="R259" i="27"/>
  <c r="V258" i="27"/>
  <c r="AA258" i="27"/>
  <c r="O265" i="27"/>
  <c r="X264" i="27"/>
  <c r="AC264" i="27" s="1"/>
  <c r="W256" i="27"/>
  <c r="S257" i="27"/>
  <c r="AB255" i="27"/>
  <c r="AE255" i="27" s="1"/>
  <c r="AF259" i="27" s="1"/>
  <c r="AG259" i="27" s="1"/>
  <c r="Z255" i="27"/>
  <c r="D277" i="27"/>
  <c r="U261" i="27"/>
  <c r="Y260" i="27"/>
  <c r="AD260" i="27" s="1"/>
  <c r="AE260" i="26"/>
  <c r="Z260" i="26"/>
  <c r="U267" i="26"/>
  <c r="Y266" i="26"/>
  <c r="AD266" i="26" s="1"/>
  <c r="O277" i="26"/>
  <c r="O276" i="26"/>
  <c r="O271" i="26"/>
  <c r="O279" i="26"/>
  <c r="O274" i="26"/>
  <c r="O273" i="26"/>
  <c r="O278" i="26"/>
  <c r="O270" i="26"/>
  <c r="O272" i="26"/>
  <c r="O267" i="26"/>
  <c r="O269" i="26"/>
  <c r="O266" i="26"/>
  <c r="T266" i="26" s="1"/>
  <c r="O275" i="26"/>
  <c r="O268" i="26"/>
  <c r="F21" i="26"/>
  <c r="D279" i="26"/>
  <c r="C279" i="26" s="1"/>
  <c r="V261" i="26"/>
  <c r="R262" i="26"/>
  <c r="AA261" i="26"/>
  <c r="X265" i="26"/>
  <c r="AC265" i="26" s="1"/>
  <c r="W261" i="26"/>
  <c r="AB261" i="26" s="1"/>
  <c r="S262" i="26"/>
  <c r="E278" i="26"/>
  <c r="I293" i="26" s="1"/>
  <c r="H278" i="26"/>
  <c r="L293" i="26" s="1"/>
  <c r="G278" i="26"/>
  <c r="K293" i="26" s="1"/>
  <c r="F278" i="26"/>
  <c r="J293" i="26" s="1"/>
  <c r="H278" i="24"/>
  <c r="L283" i="24" s="1"/>
  <c r="G278" i="24"/>
  <c r="K283" i="24" s="1"/>
  <c r="F278" i="24"/>
  <c r="J283" i="24" s="1"/>
  <c r="E278" i="24"/>
  <c r="I283" i="24" s="1"/>
  <c r="AH266" i="24"/>
  <c r="R264" i="24"/>
  <c r="AA263" i="24"/>
  <c r="AE263" i="24" s="1"/>
  <c r="AF267" i="24" s="1"/>
  <c r="AG267" i="24" s="1"/>
  <c r="V263" i="24"/>
  <c r="Z263" i="24" s="1"/>
  <c r="Y264" i="24"/>
  <c r="AD264" i="24" s="1"/>
  <c r="S264" i="24"/>
  <c r="W264" i="24" s="1"/>
  <c r="AB264" i="24" s="1"/>
  <c r="P265" i="24"/>
  <c r="U265" i="24" s="1"/>
  <c r="D279" i="24"/>
  <c r="C279" i="24" s="1"/>
  <c r="X265" i="24"/>
  <c r="AC265" i="24" s="1"/>
  <c r="O275" i="24"/>
  <c r="O269" i="24"/>
  <c r="O274" i="24"/>
  <c r="O266" i="24"/>
  <c r="T266" i="24" s="1"/>
  <c r="O276" i="24"/>
  <c r="O271" i="24"/>
  <c r="O270" i="24"/>
  <c r="O268" i="24"/>
  <c r="O279" i="24"/>
  <c r="O278" i="24"/>
  <c r="O277" i="24"/>
  <c r="O273" i="24"/>
  <c r="O272" i="24"/>
  <c r="O267" i="24"/>
  <c r="F21" i="24"/>
  <c r="AE261" i="26" l="1"/>
  <c r="E280" i="28"/>
  <c r="I285" i="28" s="1"/>
  <c r="F280" i="28"/>
  <c r="J285" i="28" s="1"/>
  <c r="H280" i="28"/>
  <c r="L285" i="28" s="1"/>
  <c r="G280" i="28"/>
  <c r="K285" i="28" s="1"/>
  <c r="Z261" i="26"/>
  <c r="S267" i="28"/>
  <c r="AC268" i="28"/>
  <c r="AD265" i="28"/>
  <c r="AM265" i="28"/>
  <c r="AI228" i="28"/>
  <c r="AI229" i="28"/>
  <c r="AH264" i="28"/>
  <c r="D281" i="28"/>
  <c r="Y266" i="28"/>
  <c r="V264" i="28"/>
  <c r="AA264" i="28"/>
  <c r="W262" i="28"/>
  <c r="AB261" i="28"/>
  <c r="AE261" i="28" s="1"/>
  <c r="AF265" i="28" s="1"/>
  <c r="AG265" i="28" s="1"/>
  <c r="Z261" i="28"/>
  <c r="X269" i="28"/>
  <c r="AI252" i="27"/>
  <c r="AH259" i="27"/>
  <c r="Y261" i="27"/>
  <c r="AD261" i="27" s="1"/>
  <c r="U262" i="27"/>
  <c r="R260" i="27"/>
  <c r="AA259" i="27"/>
  <c r="V259" i="27"/>
  <c r="D278" i="27"/>
  <c r="C278" i="27" s="1"/>
  <c r="AB256" i="27"/>
  <c r="AE256" i="27" s="1"/>
  <c r="AF260" i="27" s="1"/>
  <c r="AG260" i="27" s="1"/>
  <c r="Z256" i="27"/>
  <c r="F21" i="27"/>
  <c r="O270" i="27"/>
  <c r="O276" i="27"/>
  <c r="O269" i="27"/>
  <c r="O275" i="27"/>
  <c r="O271" i="27"/>
  <c r="O274" i="27"/>
  <c r="O277" i="27"/>
  <c r="O273" i="27"/>
  <c r="O266" i="27"/>
  <c r="O268" i="27"/>
  <c r="O272" i="27"/>
  <c r="O267" i="27"/>
  <c r="O278" i="27"/>
  <c r="O279" i="27"/>
  <c r="C277" i="27"/>
  <c r="W257" i="27"/>
  <c r="S258" i="27"/>
  <c r="T265" i="27"/>
  <c r="T267" i="26"/>
  <c r="X266" i="26"/>
  <c r="AC266" i="26" s="1"/>
  <c r="R263" i="26"/>
  <c r="V262" i="26"/>
  <c r="AA262" i="26"/>
  <c r="D280" i="26"/>
  <c r="C280" i="26" s="1"/>
  <c r="W262" i="26"/>
  <c r="AB262" i="26" s="1"/>
  <c r="S263" i="26"/>
  <c r="G279" i="26"/>
  <c r="K294" i="26" s="1"/>
  <c r="H279" i="26"/>
  <c r="L294" i="26" s="1"/>
  <c r="F279" i="26"/>
  <c r="J294" i="26" s="1"/>
  <c r="E279" i="26"/>
  <c r="I294" i="26" s="1"/>
  <c r="U268" i="26"/>
  <c r="Y267" i="26"/>
  <c r="AD267" i="26" s="1"/>
  <c r="X266" i="24"/>
  <c r="AC266" i="24" s="1"/>
  <c r="T267" i="24"/>
  <c r="AH267" i="24"/>
  <c r="H279" i="24"/>
  <c r="L284" i="24" s="1"/>
  <c r="G279" i="24"/>
  <c r="K284" i="24" s="1"/>
  <c r="F279" i="24"/>
  <c r="J284" i="24" s="1"/>
  <c r="E279" i="24"/>
  <c r="I284" i="24" s="1"/>
  <c r="Y265" i="24"/>
  <c r="AD265" i="24" s="1"/>
  <c r="M265" i="24"/>
  <c r="R265" i="24" s="1"/>
  <c r="AA264" i="24"/>
  <c r="AE264" i="24" s="1"/>
  <c r="AF268" i="24" s="1"/>
  <c r="AG268" i="24" s="1"/>
  <c r="V264" i="24"/>
  <c r="Z264" i="24" s="1"/>
  <c r="AI233" i="24"/>
  <c r="AI234" i="24"/>
  <c r="D280" i="24"/>
  <c r="P275" i="24"/>
  <c r="P269" i="24"/>
  <c r="P274" i="24"/>
  <c r="P266" i="24"/>
  <c r="U266" i="24" s="1"/>
  <c r="P271" i="24"/>
  <c r="P270" i="24"/>
  <c r="P279" i="24"/>
  <c r="P278" i="24"/>
  <c r="P277" i="24"/>
  <c r="P273" i="24"/>
  <c r="P272" i="24"/>
  <c r="P267" i="24"/>
  <c r="P276" i="24"/>
  <c r="P268" i="24"/>
  <c r="G21" i="24"/>
  <c r="AI253" i="27" l="1"/>
  <c r="AD266" i="28"/>
  <c r="AM266" i="28"/>
  <c r="AC269" i="28"/>
  <c r="AH265" i="28"/>
  <c r="AI230" i="28" s="1"/>
  <c r="X270" i="28"/>
  <c r="P268" i="28"/>
  <c r="U268" i="28" s="1"/>
  <c r="Y267" i="28"/>
  <c r="D282" i="28"/>
  <c r="C282" i="28" s="1"/>
  <c r="C281" i="28"/>
  <c r="W263" i="28"/>
  <c r="AB262" i="28"/>
  <c r="AE262" i="28" s="1"/>
  <c r="AF266" i="28" s="1"/>
  <c r="AG266" i="28" s="1"/>
  <c r="Z262" i="28"/>
  <c r="AA265" i="28"/>
  <c r="V265" i="28"/>
  <c r="AH260" i="27"/>
  <c r="G278" i="27"/>
  <c r="K283" i="27" s="1"/>
  <c r="E278" i="27"/>
  <c r="I283" i="27" s="1"/>
  <c r="F278" i="27"/>
  <c r="J283" i="27" s="1"/>
  <c r="H278" i="27"/>
  <c r="L283" i="27" s="1"/>
  <c r="AB257" i="27"/>
  <c r="AE257" i="27" s="1"/>
  <c r="AF261" i="27" s="1"/>
  <c r="AG261" i="27" s="1"/>
  <c r="Z257" i="27"/>
  <c r="R261" i="27"/>
  <c r="AA260" i="27"/>
  <c r="V260" i="27"/>
  <c r="E277" i="27"/>
  <c r="I282" i="27" s="1"/>
  <c r="G277" i="27"/>
  <c r="K282" i="27" s="1"/>
  <c r="F277" i="27"/>
  <c r="J282" i="27" s="1"/>
  <c r="H277" i="27"/>
  <c r="L282" i="27" s="1"/>
  <c r="Y262" i="27"/>
  <c r="AD262" i="27" s="1"/>
  <c r="U263" i="27"/>
  <c r="W258" i="27"/>
  <c r="S259" i="27"/>
  <c r="D279" i="27"/>
  <c r="C279" i="27" s="1"/>
  <c r="T266" i="27"/>
  <c r="X265" i="27"/>
  <c r="AC265" i="27" s="1"/>
  <c r="W263" i="26"/>
  <c r="AB263" i="26" s="1"/>
  <c r="S264" i="26"/>
  <c r="E280" i="26"/>
  <c r="I295" i="26" s="1"/>
  <c r="F280" i="26"/>
  <c r="J295" i="26" s="1"/>
  <c r="H280" i="26"/>
  <c r="L295" i="26" s="1"/>
  <c r="G280" i="26"/>
  <c r="K295" i="26" s="1"/>
  <c r="D281" i="26"/>
  <c r="C281" i="26" s="1"/>
  <c r="AE262" i="26"/>
  <c r="Z262" i="26"/>
  <c r="V263" i="26"/>
  <c r="Z263" i="26" s="1"/>
  <c r="R264" i="26"/>
  <c r="AA263" i="26"/>
  <c r="U269" i="26"/>
  <c r="Y268" i="26"/>
  <c r="AD268" i="26" s="1"/>
  <c r="T268" i="26"/>
  <c r="X267" i="26"/>
  <c r="AC267" i="26" s="1"/>
  <c r="J18" i="24"/>
  <c r="V265" i="24"/>
  <c r="AA265" i="24"/>
  <c r="AH268" i="24"/>
  <c r="Y266" i="24"/>
  <c r="AD266" i="24" s="1"/>
  <c r="U267" i="24"/>
  <c r="D281" i="24"/>
  <c r="C281" i="24" s="1"/>
  <c r="C280" i="24"/>
  <c r="M274" i="24"/>
  <c r="M268" i="24"/>
  <c r="M272" i="24"/>
  <c r="M269" i="24"/>
  <c r="M277" i="24"/>
  <c r="M276" i="24"/>
  <c r="M275" i="24"/>
  <c r="M271" i="24"/>
  <c r="M266" i="24"/>
  <c r="M270" i="24"/>
  <c r="M279" i="24"/>
  <c r="M278" i="24"/>
  <c r="M273" i="24"/>
  <c r="M267" i="24"/>
  <c r="D21" i="24"/>
  <c r="N265" i="24"/>
  <c r="I20" i="24"/>
  <c r="X267" i="24"/>
  <c r="AC267" i="24" s="1"/>
  <c r="T268" i="24"/>
  <c r="AE263" i="26" l="1"/>
  <c r="AI254" i="27"/>
  <c r="E281" i="28"/>
  <c r="I286" i="28" s="1"/>
  <c r="F281" i="28"/>
  <c r="G281" i="28"/>
  <c r="K286" i="28" s="1"/>
  <c r="H281" i="28"/>
  <c r="L286" i="28" s="1"/>
  <c r="E282" i="28"/>
  <c r="I287" i="28" s="1"/>
  <c r="F282" i="28"/>
  <c r="J287" i="28" s="1"/>
  <c r="G282" i="28"/>
  <c r="K287" i="28" s="1"/>
  <c r="H282" i="28"/>
  <c r="L287" i="28" s="1"/>
  <c r="AD267" i="28"/>
  <c r="AM267" i="28"/>
  <c r="AC270" i="28"/>
  <c r="AI231" i="28"/>
  <c r="AH266" i="28"/>
  <c r="J286" i="28"/>
  <c r="Y268" i="28"/>
  <c r="P278" i="28"/>
  <c r="P272" i="28"/>
  <c r="P277" i="28"/>
  <c r="P269" i="28"/>
  <c r="U269" i="28" s="1"/>
  <c r="P274" i="28"/>
  <c r="P282" i="28"/>
  <c r="P279" i="28"/>
  <c r="P280" i="28"/>
  <c r="P275" i="28"/>
  <c r="P271" i="28"/>
  <c r="P273" i="28"/>
  <c r="P270" i="28"/>
  <c r="P281" i="28"/>
  <c r="P276" i="28"/>
  <c r="I21" i="28"/>
  <c r="X271" i="28"/>
  <c r="AA266" i="28"/>
  <c r="V266" i="28"/>
  <c r="D283" i="28"/>
  <c r="C283" i="28" s="1"/>
  <c r="W264" i="28"/>
  <c r="AB263" i="28"/>
  <c r="AE263" i="28" s="1"/>
  <c r="AF267" i="28" s="1"/>
  <c r="AG267" i="28" s="1"/>
  <c r="Z263" i="28"/>
  <c r="F279" i="27"/>
  <c r="J284" i="27" s="1"/>
  <c r="G279" i="27"/>
  <c r="K284" i="27" s="1"/>
  <c r="H279" i="27"/>
  <c r="L284" i="27" s="1"/>
  <c r="E279" i="27"/>
  <c r="I284" i="27" s="1"/>
  <c r="AH261" i="27"/>
  <c r="X266" i="27"/>
  <c r="AC266" i="27" s="1"/>
  <c r="T267" i="27"/>
  <c r="V261" i="27"/>
  <c r="R262" i="27"/>
  <c r="AA261" i="27"/>
  <c r="W259" i="27"/>
  <c r="S260" i="27"/>
  <c r="AB258" i="27"/>
  <c r="AE258" i="27" s="1"/>
  <c r="AF262" i="27" s="1"/>
  <c r="AG262" i="27" s="1"/>
  <c r="Z258" i="27"/>
  <c r="Y263" i="27"/>
  <c r="AD263" i="27" s="1"/>
  <c r="U264" i="27"/>
  <c r="D280" i="27"/>
  <c r="C280" i="27" s="1"/>
  <c r="E281" i="26"/>
  <c r="I296" i="26" s="1"/>
  <c r="H281" i="26"/>
  <c r="L296" i="26" s="1"/>
  <c r="G281" i="26"/>
  <c r="K296" i="26" s="1"/>
  <c r="F281" i="26"/>
  <c r="J296" i="26" s="1"/>
  <c r="D282" i="26"/>
  <c r="C282" i="26" s="1"/>
  <c r="T269" i="26"/>
  <c r="X268" i="26"/>
  <c r="AC268" i="26" s="1"/>
  <c r="V264" i="26"/>
  <c r="AA264" i="26"/>
  <c r="M265" i="26"/>
  <c r="Y269" i="26"/>
  <c r="AD269" i="26" s="1"/>
  <c r="U270" i="26"/>
  <c r="W264" i="26"/>
  <c r="AB264" i="26" s="1"/>
  <c r="H280" i="24"/>
  <c r="L285" i="24" s="1"/>
  <c r="G280" i="24"/>
  <c r="K285" i="24" s="1"/>
  <c r="E280" i="24"/>
  <c r="I285" i="24" s="1"/>
  <c r="F280" i="24"/>
  <c r="J285" i="24" s="1"/>
  <c r="D282" i="24"/>
  <c r="C282" i="24" s="1"/>
  <c r="Y267" i="24"/>
  <c r="AD267" i="24" s="1"/>
  <c r="U268" i="24"/>
  <c r="G281" i="24"/>
  <c r="K286" i="24" s="1"/>
  <c r="F281" i="24"/>
  <c r="J286" i="24" s="1"/>
  <c r="E281" i="24"/>
  <c r="I286" i="24" s="1"/>
  <c r="H281" i="24"/>
  <c r="L286" i="24" s="1"/>
  <c r="N274" i="24"/>
  <c r="Q274" i="24" s="1"/>
  <c r="N268" i="24"/>
  <c r="Q268" i="24" s="1"/>
  <c r="N277" i="24"/>
  <c r="Q277" i="24" s="1"/>
  <c r="N276" i="24"/>
  <c r="Q276" i="24" s="1"/>
  <c r="N275" i="24"/>
  <c r="Q275" i="24" s="1"/>
  <c r="N271" i="24"/>
  <c r="Q271" i="24" s="1"/>
  <c r="N266" i="24"/>
  <c r="Q266" i="24" s="1"/>
  <c r="N270" i="24"/>
  <c r="Q270" i="24" s="1"/>
  <c r="N269" i="24"/>
  <c r="Q269" i="24" s="1"/>
  <c r="N279" i="24"/>
  <c r="Q279" i="24" s="1"/>
  <c r="N278" i="24"/>
  <c r="Q278" i="24" s="1"/>
  <c r="N273" i="24"/>
  <c r="Q273" i="24" s="1"/>
  <c r="N272" i="24"/>
  <c r="Q272" i="24" s="1"/>
  <c r="N267" i="24"/>
  <c r="Q267" i="24" s="1"/>
  <c r="E21" i="24"/>
  <c r="S265" i="24"/>
  <c r="Q265" i="24"/>
  <c r="R266" i="24"/>
  <c r="X268" i="24"/>
  <c r="AC268" i="24" s="1"/>
  <c r="T269" i="24"/>
  <c r="AI255" i="27" l="1"/>
  <c r="AE264" i="26"/>
  <c r="Z264" i="26"/>
  <c r="I20" i="26" s="1"/>
  <c r="J20" i="26" s="1"/>
  <c r="E283" i="28"/>
  <c r="I288" i="28" s="1"/>
  <c r="F283" i="28"/>
  <c r="J288" i="28" s="1"/>
  <c r="H283" i="28"/>
  <c r="L288" i="28" s="1"/>
  <c r="G283" i="28"/>
  <c r="K288" i="28" s="1"/>
  <c r="U270" i="28"/>
  <c r="AC271" i="28"/>
  <c r="AD268" i="28"/>
  <c r="AI232" i="28"/>
  <c r="AH267" i="28"/>
  <c r="M268" i="28"/>
  <c r="R268" i="28" s="1"/>
  <c r="V267" i="28"/>
  <c r="AA267" i="28"/>
  <c r="X272" i="28"/>
  <c r="W265" i="28"/>
  <c r="Y269" i="28"/>
  <c r="AB264" i="28"/>
  <c r="AE264" i="28" s="1"/>
  <c r="AF268" i="28" s="1"/>
  <c r="AG268" i="28" s="1"/>
  <c r="Z264" i="28"/>
  <c r="D284" i="28"/>
  <c r="C284" i="28" s="1"/>
  <c r="H280" i="27"/>
  <c r="L285" i="27" s="1"/>
  <c r="G280" i="27"/>
  <c r="K285" i="27" s="1"/>
  <c r="E280" i="27"/>
  <c r="I285" i="27" s="1"/>
  <c r="F280" i="27"/>
  <c r="J285" i="27" s="1"/>
  <c r="AH262" i="27"/>
  <c r="R263" i="27"/>
  <c r="AA262" i="27"/>
  <c r="V262" i="27"/>
  <c r="X267" i="27"/>
  <c r="AC267" i="27" s="1"/>
  <c r="T268" i="27"/>
  <c r="P265" i="27"/>
  <c r="Y264" i="27"/>
  <c r="AD264" i="27" s="1"/>
  <c r="D281" i="27"/>
  <c r="C281" i="27" s="1"/>
  <c r="W260" i="27"/>
  <c r="S261" i="27"/>
  <c r="AB259" i="27"/>
  <c r="AE259" i="27" s="1"/>
  <c r="AF263" i="27" s="1"/>
  <c r="AG263" i="27" s="1"/>
  <c r="Z259" i="27"/>
  <c r="X269" i="26"/>
  <c r="AC269" i="26" s="1"/>
  <c r="T270" i="26"/>
  <c r="E282" i="26"/>
  <c r="I297" i="26" s="1"/>
  <c r="H282" i="26"/>
  <c r="L297" i="26" s="1"/>
  <c r="G282" i="26"/>
  <c r="K297" i="26" s="1"/>
  <c r="F282" i="26"/>
  <c r="J297" i="26" s="1"/>
  <c r="D283" i="26"/>
  <c r="C283" i="26" s="1"/>
  <c r="Y270" i="26"/>
  <c r="AD270" i="26" s="1"/>
  <c r="U271" i="26"/>
  <c r="M279" i="26"/>
  <c r="M278" i="26"/>
  <c r="M276" i="26"/>
  <c r="M275" i="26"/>
  <c r="M266" i="26"/>
  <c r="M273" i="26"/>
  <c r="M270" i="26"/>
  <c r="M267" i="26"/>
  <c r="M271" i="26"/>
  <c r="M274" i="26"/>
  <c r="M269" i="26"/>
  <c r="M272" i="26"/>
  <c r="M268" i="26"/>
  <c r="M277" i="26"/>
  <c r="D21" i="26"/>
  <c r="N265" i="26"/>
  <c r="Q265" i="26" s="1"/>
  <c r="R265" i="26"/>
  <c r="E282" i="24"/>
  <c r="I287" i="24" s="1"/>
  <c r="H282" i="24"/>
  <c r="L287" i="24" s="1"/>
  <c r="G282" i="24"/>
  <c r="K287" i="24" s="1"/>
  <c r="F282" i="24"/>
  <c r="J287" i="24" s="1"/>
  <c r="X269" i="24"/>
  <c r="AC269" i="24" s="1"/>
  <c r="T270" i="24"/>
  <c r="D283" i="24"/>
  <c r="C283" i="24" s="1"/>
  <c r="V266" i="24"/>
  <c r="AA266" i="24"/>
  <c r="R267" i="24"/>
  <c r="W265" i="24"/>
  <c r="S266" i="24"/>
  <c r="Y268" i="24"/>
  <c r="AD268" i="24" s="1"/>
  <c r="U269" i="24"/>
  <c r="AI256" i="27" l="1"/>
  <c r="E284" i="28"/>
  <c r="I289" i="28" s="1"/>
  <c r="F284" i="28"/>
  <c r="J289" i="28" s="1"/>
  <c r="G284" i="28"/>
  <c r="K289" i="28" s="1"/>
  <c r="H284" i="28"/>
  <c r="L289" i="28" s="1"/>
  <c r="U271" i="28"/>
  <c r="AD269" i="28"/>
  <c r="AI233" i="28"/>
  <c r="AC272" i="28"/>
  <c r="AH268" i="28"/>
  <c r="W266" i="28"/>
  <c r="D285" i="28"/>
  <c r="C285" i="28" s="1"/>
  <c r="AB265" i="28"/>
  <c r="AE265" i="28" s="1"/>
  <c r="AF269" i="28" s="1"/>
  <c r="AG269" i="28" s="1"/>
  <c r="Z265" i="28"/>
  <c r="X273" i="28"/>
  <c r="AA268" i="28"/>
  <c r="V268" i="28"/>
  <c r="M277" i="28"/>
  <c r="M271" i="28"/>
  <c r="M282" i="28"/>
  <c r="M275" i="28"/>
  <c r="M272" i="28"/>
  <c r="M280" i="28"/>
  <c r="M279" i="28"/>
  <c r="M273" i="28"/>
  <c r="M274" i="28"/>
  <c r="M269" i="28"/>
  <c r="R269" i="28" s="1"/>
  <c r="M281" i="28"/>
  <c r="M278" i="28"/>
  <c r="M276" i="28"/>
  <c r="M270" i="28"/>
  <c r="F21" i="28"/>
  <c r="N268" i="28"/>
  <c r="S268" i="28" s="1"/>
  <c r="Y270" i="28"/>
  <c r="AH263" i="27"/>
  <c r="H281" i="27"/>
  <c r="L286" i="27" s="1"/>
  <c r="E281" i="27"/>
  <c r="I286" i="27" s="1"/>
  <c r="F281" i="27"/>
  <c r="J286" i="27" s="1"/>
  <c r="G281" i="27"/>
  <c r="K286" i="27" s="1"/>
  <c r="X268" i="27"/>
  <c r="AC268" i="27" s="1"/>
  <c r="T269" i="27"/>
  <c r="R264" i="27"/>
  <c r="AA263" i="27"/>
  <c r="V263" i="27"/>
  <c r="W261" i="27"/>
  <c r="S262" i="27"/>
  <c r="G21" i="27"/>
  <c r="P269" i="27"/>
  <c r="P277" i="27"/>
  <c r="P278" i="27"/>
  <c r="P271" i="27"/>
  <c r="P274" i="27"/>
  <c r="P276" i="27"/>
  <c r="P273" i="27"/>
  <c r="P270" i="27"/>
  <c r="P272" i="27"/>
  <c r="P267" i="27"/>
  <c r="P266" i="27"/>
  <c r="P268" i="27"/>
  <c r="P279" i="27"/>
  <c r="P275" i="27"/>
  <c r="D282" i="27"/>
  <c r="C282" i="27" s="1"/>
  <c r="AB260" i="27"/>
  <c r="AE260" i="27" s="1"/>
  <c r="AF264" i="27" s="1"/>
  <c r="AG264" i="27" s="1"/>
  <c r="Z260" i="27"/>
  <c r="U265" i="27"/>
  <c r="H283" i="26"/>
  <c r="L298" i="26" s="1"/>
  <c r="G283" i="26"/>
  <c r="K298" i="26" s="1"/>
  <c r="E283" i="26"/>
  <c r="I298" i="26" s="1"/>
  <c r="F283" i="26"/>
  <c r="J298" i="26" s="1"/>
  <c r="Y271" i="26"/>
  <c r="AD271" i="26" s="1"/>
  <c r="U272" i="26"/>
  <c r="D284" i="26"/>
  <c r="R266" i="26"/>
  <c r="V265" i="26"/>
  <c r="AA265" i="26"/>
  <c r="N279" i="26"/>
  <c r="Q279" i="26" s="1"/>
  <c r="N278" i="26"/>
  <c r="Q278" i="26" s="1"/>
  <c r="N268" i="26"/>
  <c r="Q268" i="26" s="1"/>
  <c r="N269" i="26"/>
  <c r="Q269" i="26" s="1"/>
  <c r="N273" i="26"/>
  <c r="Q273" i="26" s="1"/>
  <c r="N276" i="26"/>
  <c r="Q276" i="26" s="1"/>
  <c r="N270" i="26"/>
  <c r="Q270" i="26" s="1"/>
  <c r="N272" i="26"/>
  <c r="Q272" i="26" s="1"/>
  <c r="N275" i="26"/>
  <c r="Q275" i="26" s="1"/>
  <c r="N274" i="26"/>
  <c r="Q274" i="26" s="1"/>
  <c r="N267" i="26"/>
  <c r="Q267" i="26" s="1"/>
  <c r="N277" i="26"/>
  <c r="Q277" i="26" s="1"/>
  <c r="N271" i="26"/>
  <c r="Q271" i="26" s="1"/>
  <c r="N266" i="26"/>
  <c r="Q266" i="26" s="1"/>
  <c r="E21" i="26"/>
  <c r="S265" i="26"/>
  <c r="T271" i="26"/>
  <c r="X270" i="26"/>
  <c r="AC270" i="26" s="1"/>
  <c r="H283" i="24"/>
  <c r="L288" i="24" s="1"/>
  <c r="G283" i="24"/>
  <c r="K288" i="24" s="1"/>
  <c r="F283" i="24"/>
  <c r="J288" i="24" s="1"/>
  <c r="E283" i="24"/>
  <c r="I288" i="24" s="1"/>
  <c r="AB265" i="24"/>
  <c r="AE265" i="24" s="1"/>
  <c r="AF269" i="24" s="1"/>
  <c r="AG269" i="24" s="1"/>
  <c r="Z265" i="24"/>
  <c r="T271" i="24"/>
  <c r="X270" i="24"/>
  <c r="AC270" i="24" s="1"/>
  <c r="R268" i="24"/>
  <c r="AA267" i="24"/>
  <c r="V267" i="24"/>
  <c r="Y269" i="24"/>
  <c r="AD269" i="24" s="1"/>
  <c r="U270" i="24"/>
  <c r="D284" i="24"/>
  <c r="C284" i="24" s="1"/>
  <c r="W266" i="24"/>
  <c r="AB266" i="24" s="1"/>
  <c r="AE266" i="24" s="1"/>
  <c r="AF270" i="24" s="1"/>
  <c r="S267" i="24"/>
  <c r="AI257" i="27" l="1"/>
  <c r="E285" i="28"/>
  <c r="I290" i="28" s="1"/>
  <c r="F285" i="28"/>
  <c r="J290" i="28" s="1"/>
  <c r="G285" i="28"/>
  <c r="K290" i="28" s="1"/>
  <c r="H285" i="28"/>
  <c r="L290" i="28" s="1"/>
  <c r="R270" i="28"/>
  <c r="R271" i="28" s="1"/>
  <c r="R272" i="28" s="1"/>
  <c r="R273" i="28" s="1"/>
  <c r="R274" i="28" s="1"/>
  <c r="R275" i="28" s="1"/>
  <c r="R276" i="28" s="1"/>
  <c r="R277" i="28" s="1"/>
  <c r="R278" i="28" s="1"/>
  <c r="R279" i="28" s="1"/>
  <c r="R280" i="28" s="1"/>
  <c r="R281" i="28" s="1"/>
  <c r="R282" i="28" s="1"/>
  <c r="U272" i="28"/>
  <c r="Q268" i="28"/>
  <c r="AC273" i="28"/>
  <c r="AD270" i="28"/>
  <c r="AI234" i="28"/>
  <c r="AH269" i="28"/>
  <c r="X274" i="28"/>
  <c r="D286" i="28"/>
  <c r="C286" i="28" s="1"/>
  <c r="W267" i="28"/>
  <c r="Y271" i="28"/>
  <c r="AB266" i="28"/>
  <c r="AE266" i="28" s="1"/>
  <c r="AF270" i="28" s="1"/>
  <c r="AG270" i="28" s="1"/>
  <c r="Z266" i="28"/>
  <c r="N277" i="28"/>
  <c r="Q277" i="28" s="1"/>
  <c r="N271" i="28"/>
  <c r="Q271" i="28" s="1"/>
  <c r="N280" i="28"/>
  <c r="Q280" i="28" s="1"/>
  <c r="N269" i="28"/>
  <c r="Q269" i="28" s="1"/>
  <c r="N282" i="28"/>
  <c r="Q282" i="28" s="1"/>
  <c r="N274" i="28"/>
  <c r="Q274" i="28" s="1"/>
  <c r="N281" i="28"/>
  <c r="Q281" i="28" s="1"/>
  <c r="N279" i="28"/>
  <c r="Q279" i="28" s="1"/>
  <c r="N275" i="28"/>
  <c r="Q275" i="28" s="1"/>
  <c r="N276" i="28"/>
  <c r="Q276" i="28" s="1"/>
  <c r="N278" i="28"/>
  <c r="Q278" i="28" s="1"/>
  <c r="N270" i="28"/>
  <c r="Q270" i="28" s="1"/>
  <c r="N273" i="28"/>
  <c r="Q273" i="28" s="1"/>
  <c r="N272" i="28"/>
  <c r="Q272" i="28" s="1"/>
  <c r="G21" i="28"/>
  <c r="AH264" i="27"/>
  <c r="E282" i="27"/>
  <c r="I287" i="27" s="1"/>
  <c r="F282" i="27"/>
  <c r="J287" i="27" s="1"/>
  <c r="G282" i="27"/>
  <c r="K287" i="27" s="1"/>
  <c r="H282" i="27"/>
  <c r="L287" i="27" s="1"/>
  <c r="U266" i="27"/>
  <c r="Y265" i="27"/>
  <c r="AD265" i="27" s="1"/>
  <c r="AA264" i="27"/>
  <c r="M265" i="27"/>
  <c r="R265" i="27" s="1"/>
  <c r="V264" i="27"/>
  <c r="T270" i="27"/>
  <c r="X269" i="27"/>
  <c r="AC269" i="27" s="1"/>
  <c r="W262" i="27"/>
  <c r="S263" i="27"/>
  <c r="D283" i="27"/>
  <c r="AB261" i="27"/>
  <c r="AE261" i="27" s="1"/>
  <c r="AF265" i="27" s="1"/>
  <c r="AG265" i="27" s="1"/>
  <c r="Z261" i="27"/>
  <c r="Y272" i="26"/>
  <c r="AD272" i="26" s="1"/>
  <c r="U273" i="26"/>
  <c r="V266" i="26"/>
  <c r="R267" i="26"/>
  <c r="AA266" i="26"/>
  <c r="W265" i="26"/>
  <c r="AB265" i="26" s="1"/>
  <c r="AE265" i="26" s="1"/>
  <c r="S266" i="26"/>
  <c r="D285" i="26"/>
  <c r="C285" i="26" s="1"/>
  <c r="X271" i="26"/>
  <c r="AC271" i="26" s="1"/>
  <c r="T272" i="26"/>
  <c r="C284" i="26"/>
  <c r="V268" i="24"/>
  <c r="R269" i="24"/>
  <c r="AA268" i="24"/>
  <c r="W267" i="24"/>
  <c r="AB267" i="24" s="1"/>
  <c r="AE267" i="24" s="1"/>
  <c r="AF271" i="24" s="1"/>
  <c r="S268" i="24"/>
  <c r="X271" i="24"/>
  <c r="AC271" i="24" s="1"/>
  <c r="T272" i="24"/>
  <c r="AG270" i="24"/>
  <c r="AH269" i="24"/>
  <c r="Z266" i="24"/>
  <c r="E284" i="24"/>
  <c r="I289" i="24" s="1"/>
  <c r="F284" i="24"/>
  <c r="J289" i="24" s="1"/>
  <c r="H284" i="24"/>
  <c r="L289" i="24" s="1"/>
  <c r="G284" i="24"/>
  <c r="K289" i="24" s="1"/>
  <c r="D285" i="24"/>
  <c r="C285" i="24" s="1"/>
  <c r="Y270" i="24"/>
  <c r="AD270" i="24" s="1"/>
  <c r="U271" i="24"/>
  <c r="AI258" i="27" l="1"/>
  <c r="E286" i="28"/>
  <c r="I291" i="28" s="1"/>
  <c r="F286" i="28"/>
  <c r="J291" i="28" s="1"/>
  <c r="H286" i="28"/>
  <c r="L291" i="28" s="1"/>
  <c r="G286" i="28"/>
  <c r="K291" i="28" s="1"/>
  <c r="S269" i="28"/>
  <c r="S270" i="28" s="1"/>
  <c r="S271" i="28" s="1"/>
  <c r="S272" i="28" s="1"/>
  <c r="U273" i="28"/>
  <c r="AC274" i="28"/>
  <c r="AI235" i="28"/>
  <c r="AD271" i="28"/>
  <c r="AH270" i="28"/>
  <c r="X275" i="28"/>
  <c r="Y272" i="28"/>
  <c r="AB267" i="28"/>
  <c r="AE267" i="28" s="1"/>
  <c r="AF271" i="28" s="1"/>
  <c r="AG271" i="28" s="1"/>
  <c r="Z267" i="28"/>
  <c r="D287" i="28"/>
  <c r="C287" i="28" s="1"/>
  <c r="W268" i="28"/>
  <c r="V269" i="28"/>
  <c r="AA269" i="28"/>
  <c r="AH265" i="27"/>
  <c r="D284" i="27"/>
  <c r="C283" i="27"/>
  <c r="AA265" i="27"/>
  <c r="V265" i="27"/>
  <c r="W263" i="27"/>
  <c r="S264" i="27"/>
  <c r="U267" i="27"/>
  <c r="Y266" i="27"/>
  <c r="AD266" i="27" s="1"/>
  <c r="AB262" i="27"/>
  <c r="AE262" i="27" s="1"/>
  <c r="AF266" i="27" s="1"/>
  <c r="AG266" i="27" s="1"/>
  <c r="Z262" i="27"/>
  <c r="X270" i="27"/>
  <c r="AC270" i="27" s="1"/>
  <c r="T271" i="27"/>
  <c r="D21" i="27"/>
  <c r="M269" i="27"/>
  <c r="M275" i="27"/>
  <c r="M268" i="27"/>
  <c r="M274" i="27"/>
  <c r="M277" i="27"/>
  <c r="M272" i="27"/>
  <c r="M266" i="27"/>
  <c r="R266" i="27" s="1"/>
  <c r="M270" i="27"/>
  <c r="M279" i="27"/>
  <c r="M278" i="27"/>
  <c r="M267" i="27"/>
  <c r="N265" i="27"/>
  <c r="M276" i="27"/>
  <c r="M271" i="27"/>
  <c r="M273" i="27"/>
  <c r="F285" i="26"/>
  <c r="J300" i="26" s="1"/>
  <c r="H285" i="26"/>
  <c r="L300" i="26" s="1"/>
  <c r="G285" i="26"/>
  <c r="K300" i="26" s="1"/>
  <c r="E285" i="26"/>
  <c r="I300" i="26" s="1"/>
  <c r="Z265" i="26"/>
  <c r="U274" i="26"/>
  <c r="Y273" i="26"/>
  <c r="AD273" i="26" s="1"/>
  <c r="W266" i="26"/>
  <c r="AB266" i="26" s="1"/>
  <c r="AE266" i="26" s="1"/>
  <c r="S267" i="26"/>
  <c r="G284" i="26"/>
  <c r="K299" i="26" s="1"/>
  <c r="H284" i="26"/>
  <c r="L299" i="26" s="1"/>
  <c r="F284" i="26"/>
  <c r="J299" i="26" s="1"/>
  <c r="E284" i="26"/>
  <c r="I299" i="26" s="1"/>
  <c r="X272" i="26"/>
  <c r="AC272" i="26" s="1"/>
  <c r="T273" i="26"/>
  <c r="D286" i="26"/>
  <c r="C286" i="26" s="1"/>
  <c r="R268" i="26"/>
  <c r="V267" i="26"/>
  <c r="AA267" i="26"/>
  <c r="F285" i="24"/>
  <c r="J290" i="24" s="1"/>
  <c r="E285" i="24"/>
  <c r="I290" i="24" s="1"/>
  <c r="G285" i="24"/>
  <c r="K290" i="24" s="1"/>
  <c r="H285" i="24"/>
  <c r="L290" i="24" s="1"/>
  <c r="U272" i="24"/>
  <c r="Y271" i="24"/>
  <c r="AD271" i="24" s="1"/>
  <c r="R270" i="24"/>
  <c r="AA269" i="24"/>
  <c r="V269" i="24"/>
  <c r="T273" i="24"/>
  <c r="X272" i="24"/>
  <c r="AC272" i="24" s="1"/>
  <c r="AG271" i="24"/>
  <c r="AH270" i="24"/>
  <c r="D286" i="24"/>
  <c r="C286" i="24" s="1"/>
  <c r="W268" i="24"/>
  <c r="AB268" i="24" s="1"/>
  <c r="AE268" i="24" s="1"/>
  <c r="AF272" i="24" s="1"/>
  <c r="S269" i="24"/>
  <c r="AI235" i="24"/>
  <c r="AI236" i="24"/>
  <c r="AI237" i="24"/>
  <c r="Z267" i="24"/>
  <c r="AI259" i="27" l="1"/>
  <c r="E287" i="28"/>
  <c r="I292" i="28" s="1"/>
  <c r="F287" i="28"/>
  <c r="G287" i="28"/>
  <c r="H287" i="28"/>
  <c r="S273" i="28"/>
  <c r="U274" i="28"/>
  <c r="AD272" i="28"/>
  <c r="AM272" i="28"/>
  <c r="AC275" i="28"/>
  <c r="AH271" i="28"/>
  <c r="V270" i="28"/>
  <c r="AA270" i="28"/>
  <c r="W269" i="28"/>
  <c r="AB268" i="28"/>
  <c r="AE268" i="28" s="1"/>
  <c r="AF272" i="28" s="1"/>
  <c r="AG272" i="28" s="1"/>
  <c r="Z268" i="28"/>
  <c r="Y273" i="28"/>
  <c r="X276" i="28"/>
  <c r="L292" i="28"/>
  <c r="K292" i="28"/>
  <c r="J292" i="28"/>
  <c r="D288" i="28"/>
  <c r="C288" i="28" s="1"/>
  <c r="C20" i="28"/>
  <c r="AH266" i="27"/>
  <c r="AI261" i="27" s="1"/>
  <c r="V266" i="27"/>
  <c r="AA266" i="27"/>
  <c r="R267" i="27"/>
  <c r="W264" i="27"/>
  <c r="S265" i="27"/>
  <c r="AB263" i="27"/>
  <c r="AE263" i="27" s="1"/>
  <c r="AF267" i="27" s="1"/>
  <c r="AG267" i="27" s="1"/>
  <c r="Z263" i="27"/>
  <c r="E21" i="27"/>
  <c r="N272" i="27"/>
  <c r="Q272" i="27" s="1"/>
  <c r="N277" i="27"/>
  <c r="Q277" i="27" s="1"/>
  <c r="N269" i="27"/>
  <c r="Q269" i="27" s="1"/>
  <c r="N271" i="27"/>
  <c r="Q271" i="27" s="1"/>
  <c r="N273" i="27"/>
  <c r="Q273" i="27" s="1"/>
  <c r="N266" i="27"/>
  <c r="Q266" i="27" s="1"/>
  <c r="N268" i="27"/>
  <c r="Q268" i="27" s="1"/>
  <c r="N275" i="27"/>
  <c r="Q275" i="27" s="1"/>
  <c r="N267" i="27"/>
  <c r="Q267" i="27" s="1"/>
  <c r="N276" i="27"/>
  <c r="Q276" i="27" s="1"/>
  <c r="N270" i="27"/>
  <c r="Q270" i="27" s="1"/>
  <c r="N274" i="27"/>
  <c r="Q274" i="27" s="1"/>
  <c r="N278" i="27"/>
  <c r="Q278" i="27" s="1"/>
  <c r="N279" i="27"/>
  <c r="Q279" i="27" s="1"/>
  <c r="Q265" i="27"/>
  <c r="E283" i="27"/>
  <c r="I288" i="27" s="1"/>
  <c r="H283" i="27"/>
  <c r="L288" i="27" s="1"/>
  <c r="F283" i="27"/>
  <c r="J288" i="27" s="1"/>
  <c r="G283" i="27"/>
  <c r="K288" i="27" s="1"/>
  <c r="D285" i="27"/>
  <c r="C284" i="27"/>
  <c r="Y267" i="27"/>
  <c r="AD267" i="27" s="1"/>
  <c r="U268" i="27"/>
  <c r="X271" i="27"/>
  <c r="AC271" i="27" s="1"/>
  <c r="T272" i="27"/>
  <c r="G286" i="26"/>
  <c r="K301" i="26" s="1"/>
  <c r="F286" i="26"/>
  <c r="J301" i="26" s="1"/>
  <c r="E286" i="26"/>
  <c r="I301" i="26" s="1"/>
  <c r="H286" i="26"/>
  <c r="L301" i="26" s="1"/>
  <c r="V268" i="26"/>
  <c r="AA268" i="26"/>
  <c r="R269" i="26"/>
  <c r="Y274" i="26"/>
  <c r="AD274" i="26" s="1"/>
  <c r="U275" i="26"/>
  <c r="D287" i="26"/>
  <c r="C287" i="26" s="1"/>
  <c r="X273" i="26"/>
  <c r="AC273" i="26" s="1"/>
  <c r="T274" i="26"/>
  <c r="Z266" i="26"/>
  <c r="W267" i="26"/>
  <c r="AB267" i="26" s="1"/>
  <c r="AE267" i="26" s="1"/>
  <c r="S268" i="26"/>
  <c r="H286" i="24"/>
  <c r="L291" i="24" s="1"/>
  <c r="G286" i="24"/>
  <c r="K291" i="24" s="1"/>
  <c r="F286" i="24"/>
  <c r="J291" i="24" s="1"/>
  <c r="E286" i="24"/>
  <c r="I291" i="24" s="1"/>
  <c r="V270" i="24"/>
  <c r="R271" i="24"/>
  <c r="AA270" i="24"/>
  <c r="X273" i="24"/>
  <c r="AC273" i="24" s="1"/>
  <c r="T274" i="24"/>
  <c r="D287" i="24"/>
  <c r="U273" i="24"/>
  <c r="Y272" i="24"/>
  <c r="AD272" i="24" s="1"/>
  <c r="AI239" i="24"/>
  <c r="AI238" i="24"/>
  <c r="AI240" i="24"/>
  <c r="W269" i="24"/>
  <c r="AB269" i="24" s="1"/>
  <c r="AE269" i="24" s="1"/>
  <c r="AF273" i="24" s="1"/>
  <c r="S270" i="24"/>
  <c r="AG272" i="24"/>
  <c r="AH271" i="24"/>
  <c r="Z268" i="24"/>
  <c r="AI260" i="27" l="1"/>
  <c r="E288" i="28"/>
  <c r="I293" i="28" s="1"/>
  <c r="F288" i="28"/>
  <c r="J293" i="28" s="1"/>
  <c r="G288" i="28"/>
  <c r="K293" i="28" s="1"/>
  <c r="H288" i="28"/>
  <c r="L293" i="28" s="1"/>
  <c r="U275" i="28"/>
  <c r="S274" i="28"/>
  <c r="AB269" i="28"/>
  <c r="AE269" i="28" s="1"/>
  <c r="AF273" i="28" s="1"/>
  <c r="AG273" i="28" s="1"/>
  <c r="AC276" i="28"/>
  <c r="AD273" i="28"/>
  <c r="AM273" i="28"/>
  <c r="AI236" i="28"/>
  <c r="AI237" i="28"/>
  <c r="AH272" i="28"/>
  <c r="D289" i="28"/>
  <c r="C289" i="28" s="1"/>
  <c r="W270" i="28"/>
  <c r="Z269" i="28"/>
  <c r="X277" i="28"/>
  <c r="V271" i="28"/>
  <c r="AA271" i="28"/>
  <c r="Y274" i="28"/>
  <c r="AH267" i="27"/>
  <c r="AI262" i="27" s="1"/>
  <c r="W265" i="27"/>
  <c r="S266" i="27"/>
  <c r="AB264" i="27"/>
  <c r="AE264" i="27" s="1"/>
  <c r="AF268" i="27" s="1"/>
  <c r="AG268" i="27" s="1"/>
  <c r="Z264" i="27"/>
  <c r="V267" i="27"/>
  <c r="R268" i="27"/>
  <c r="AA267" i="27"/>
  <c r="Y268" i="27"/>
  <c r="AD268" i="27" s="1"/>
  <c r="U269" i="27"/>
  <c r="G284" i="27"/>
  <c r="K289" i="27" s="1"/>
  <c r="E284" i="27"/>
  <c r="I289" i="27" s="1"/>
  <c r="F284" i="27"/>
  <c r="J289" i="27" s="1"/>
  <c r="H284" i="27"/>
  <c r="L289" i="27" s="1"/>
  <c r="T273" i="27"/>
  <c r="X272" i="27"/>
  <c r="AC272" i="27" s="1"/>
  <c r="D286" i="27"/>
  <c r="C286" i="27" s="1"/>
  <c r="C285" i="27"/>
  <c r="G287" i="26"/>
  <c r="K302" i="26" s="1"/>
  <c r="F287" i="26"/>
  <c r="J302" i="26" s="1"/>
  <c r="E287" i="26"/>
  <c r="I302" i="26" s="1"/>
  <c r="H287" i="26"/>
  <c r="L302" i="26" s="1"/>
  <c r="Y275" i="26"/>
  <c r="AD275" i="26" s="1"/>
  <c r="U276" i="26"/>
  <c r="T275" i="26"/>
  <c r="X274" i="26"/>
  <c r="AC274" i="26" s="1"/>
  <c r="Z267" i="26"/>
  <c r="AA269" i="26"/>
  <c r="V269" i="26"/>
  <c r="R270" i="26"/>
  <c r="W268" i="26"/>
  <c r="AB268" i="26" s="1"/>
  <c r="AE268" i="26" s="1"/>
  <c r="S269" i="26"/>
  <c r="D288" i="26"/>
  <c r="C288" i="26" s="1"/>
  <c r="D288" i="24"/>
  <c r="C288" i="24" s="1"/>
  <c r="W270" i="24"/>
  <c r="AB270" i="24" s="1"/>
  <c r="AE270" i="24" s="1"/>
  <c r="AF274" i="24" s="1"/>
  <c r="S271" i="24"/>
  <c r="C287" i="24"/>
  <c r="AH272" i="24"/>
  <c r="AG273" i="24"/>
  <c r="AA271" i="24"/>
  <c r="V271" i="24"/>
  <c r="R272" i="24"/>
  <c r="Z269" i="24"/>
  <c r="T275" i="24"/>
  <c r="X274" i="24"/>
  <c r="AC274" i="24" s="1"/>
  <c r="U274" i="24"/>
  <c r="Y273" i="24"/>
  <c r="AD273" i="24" s="1"/>
  <c r="E289" i="28" l="1"/>
  <c r="I294" i="28" s="1"/>
  <c r="F289" i="28"/>
  <c r="J294" i="28" s="1"/>
  <c r="H289" i="28"/>
  <c r="L294" i="28" s="1"/>
  <c r="G289" i="28"/>
  <c r="K294" i="28" s="1"/>
  <c r="Z268" i="26"/>
  <c r="S275" i="28"/>
  <c r="U276" i="28"/>
  <c r="AC277" i="28"/>
  <c r="AB270" i="28"/>
  <c r="AE270" i="28" s="1"/>
  <c r="AF274" i="28" s="1"/>
  <c r="AG274" i="28" s="1"/>
  <c r="AD274" i="28"/>
  <c r="AM274" i="28"/>
  <c r="D18" i="28"/>
  <c r="Y275" i="28"/>
  <c r="D290" i="28"/>
  <c r="C290" i="28" s="1"/>
  <c r="Z270" i="28"/>
  <c r="AA272" i="28"/>
  <c r="V272" i="28"/>
  <c r="X278" i="28"/>
  <c r="W271" i="28"/>
  <c r="AH273" i="28"/>
  <c r="F286" i="27"/>
  <c r="J291" i="27" s="1"/>
  <c r="G286" i="27"/>
  <c r="K291" i="27" s="1"/>
  <c r="E286" i="27"/>
  <c r="I291" i="27" s="1"/>
  <c r="H286" i="27"/>
  <c r="L291" i="27" s="1"/>
  <c r="AH268" i="27"/>
  <c r="AI263" i="27" s="1"/>
  <c r="I20" i="27"/>
  <c r="G285" i="27"/>
  <c r="K290" i="27" s="1"/>
  <c r="E285" i="27"/>
  <c r="I290" i="27" s="1"/>
  <c r="F285" i="27"/>
  <c r="J290" i="27" s="1"/>
  <c r="H285" i="27"/>
  <c r="L290" i="27" s="1"/>
  <c r="W266" i="27"/>
  <c r="S267" i="27"/>
  <c r="V268" i="27"/>
  <c r="AA268" i="27"/>
  <c r="R269" i="27"/>
  <c r="AB265" i="27"/>
  <c r="AE265" i="27" s="1"/>
  <c r="AF269" i="27" s="1"/>
  <c r="AG269" i="27" s="1"/>
  <c r="Z265" i="27"/>
  <c r="D287" i="27"/>
  <c r="X273" i="27"/>
  <c r="AC273" i="27" s="1"/>
  <c r="T274" i="27"/>
  <c r="Y269" i="27"/>
  <c r="AD269" i="27" s="1"/>
  <c r="U270" i="27"/>
  <c r="G288" i="26"/>
  <c r="K303" i="26" s="1"/>
  <c r="H288" i="26"/>
  <c r="L303" i="26" s="1"/>
  <c r="F288" i="26"/>
  <c r="J303" i="26" s="1"/>
  <c r="E288" i="26"/>
  <c r="I303" i="26" s="1"/>
  <c r="V270" i="26"/>
  <c r="R271" i="26"/>
  <c r="AA270" i="26"/>
  <c r="D289" i="26"/>
  <c r="C289" i="26" s="1"/>
  <c r="T276" i="26"/>
  <c r="X275" i="26"/>
  <c r="AC275" i="26" s="1"/>
  <c r="U277" i="26"/>
  <c r="Y276" i="26"/>
  <c r="AD276" i="26" s="1"/>
  <c r="W269" i="26"/>
  <c r="AB269" i="26" s="1"/>
  <c r="AE269" i="26" s="1"/>
  <c r="S270" i="26"/>
  <c r="E288" i="24"/>
  <c r="I293" i="24" s="1"/>
  <c r="H288" i="24"/>
  <c r="L293" i="24" s="1"/>
  <c r="F288" i="24"/>
  <c r="J293" i="24" s="1"/>
  <c r="G288" i="24"/>
  <c r="K293" i="24" s="1"/>
  <c r="Y274" i="24"/>
  <c r="AD274" i="24" s="1"/>
  <c r="U275" i="24"/>
  <c r="AH273" i="24"/>
  <c r="AG274" i="24"/>
  <c r="V272" i="24"/>
  <c r="AA272" i="24"/>
  <c r="R273" i="24"/>
  <c r="H287" i="24"/>
  <c r="L292" i="24" s="1"/>
  <c r="G287" i="24"/>
  <c r="K292" i="24" s="1"/>
  <c r="F287" i="24"/>
  <c r="J292" i="24" s="1"/>
  <c r="E287" i="24"/>
  <c r="I292" i="24" s="1"/>
  <c r="W271" i="24"/>
  <c r="AB271" i="24" s="1"/>
  <c r="AE271" i="24" s="1"/>
  <c r="AF275" i="24" s="1"/>
  <c r="S272" i="24"/>
  <c r="T276" i="24"/>
  <c r="X275" i="24"/>
  <c r="AC275" i="24" s="1"/>
  <c r="D289" i="24"/>
  <c r="C289" i="24" s="1"/>
  <c r="Z270" i="24"/>
  <c r="Z269" i="26" l="1"/>
  <c r="E290" i="28"/>
  <c r="I295" i="28" s="1"/>
  <c r="F290" i="28"/>
  <c r="J295" i="28" s="1"/>
  <c r="G290" i="28"/>
  <c r="K295" i="28" s="1"/>
  <c r="H290" i="28"/>
  <c r="L295" i="28" s="1"/>
  <c r="S276" i="28"/>
  <c r="U277" i="28"/>
  <c r="AI238" i="28"/>
  <c r="AB271" i="28"/>
  <c r="AE271" i="28" s="1"/>
  <c r="AF275" i="28" s="1"/>
  <c r="AG275" i="28" s="1"/>
  <c r="AC278" i="28"/>
  <c r="AD275" i="28"/>
  <c r="AM275" i="28"/>
  <c r="Z271" i="28"/>
  <c r="D291" i="28"/>
  <c r="C291" i="28" s="1"/>
  <c r="W272" i="28"/>
  <c r="Y276" i="28"/>
  <c r="AH274" i="28"/>
  <c r="X279" i="28"/>
  <c r="V273" i="28"/>
  <c r="AA273" i="28"/>
  <c r="AH269" i="27"/>
  <c r="AI264" i="27" s="1"/>
  <c r="J20" i="27" s="1"/>
  <c r="D288" i="27"/>
  <c r="C287" i="27"/>
  <c r="AA269" i="27"/>
  <c r="V269" i="27"/>
  <c r="R270" i="27"/>
  <c r="W267" i="27"/>
  <c r="S268" i="27"/>
  <c r="U271" i="27"/>
  <c r="Y270" i="27"/>
  <c r="AD270" i="27" s="1"/>
  <c r="AB266" i="27"/>
  <c r="AE266" i="27" s="1"/>
  <c r="AF270" i="27" s="1"/>
  <c r="AG270" i="27" s="1"/>
  <c r="Z266" i="27"/>
  <c r="X274" i="27"/>
  <c r="AC274" i="27" s="1"/>
  <c r="T275" i="27"/>
  <c r="H289" i="26"/>
  <c r="L304" i="26" s="1"/>
  <c r="G289" i="26"/>
  <c r="K304" i="26" s="1"/>
  <c r="E289" i="26"/>
  <c r="I304" i="26" s="1"/>
  <c r="F289" i="26"/>
  <c r="J304" i="26" s="1"/>
  <c r="D290" i="26"/>
  <c r="C290" i="26" s="1"/>
  <c r="V271" i="26"/>
  <c r="R272" i="26"/>
  <c r="AA271" i="26"/>
  <c r="W270" i="26"/>
  <c r="AB270" i="26" s="1"/>
  <c r="AE270" i="26" s="1"/>
  <c r="S271" i="26"/>
  <c r="T277" i="26"/>
  <c r="X276" i="26"/>
  <c r="AC276" i="26" s="1"/>
  <c r="U278" i="26"/>
  <c r="Y277" i="26"/>
  <c r="AD277" i="26" s="1"/>
  <c r="F289" i="24"/>
  <c r="J294" i="24" s="1"/>
  <c r="H289" i="24"/>
  <c r="L294" i="24" s="1"/>
  <c r="G289" i="24"/>
  <c r="K294" i="24" s="1"/>
  <c r="E289" i="24"/>
  <c r="I294" i="24" s="1"/>
  <c r="AG275" i="24"/>
  <c r="AH274" i="24"/>
  <c r="Y275" i="24"/>
  <c r="AD275" i="24" s="1"/>
  <c r="U276" i="24"/>
  <c r="AA273" i="24"/>
  <c r="V273" i="24"/>
  <c r="R274" i="24"/>
  <c r="Z271" i="24"/>
  <c r="D290" i="24"/>
  <c r="T277" i="24"/>
  <c r="X276" i="24"/>
  <c r="AC276" i="24" s="1"/>
  <c r="W272" i="24"/>
  <c r="AB272" i="24" s="1"/>
  <c r="AE272" i="24" s="1"/>
  <c r="AF276" i="24" s="1"/>
  <c r="S273" i="24"/>
  <c r="E291" i="28" l="1"/>
  <c r="I296" i="28" s="1"/>
  <c r="F291" i="28"/>
  <c r="J296" i="28" s="1"/>
  <c r="G291" i="28"/>
  <c r="K296" i="28" s="1"/>
  <c r="H291" i="28"/>
  <c r="L296" i="28" s="1"/>
  <c r="S277" i="28"/>
  <c r="U278" i="28"/>
  <c r="AB272" i="28"/>
  <c r="AE272" i="28" s="1"/>
  <c r="AF276" i="28" s="1"/>
  <c r="AG276" i="28" s="1"/>
  <c r="AC279" i="28"/>
  <c r="AD276" i="28"/>
  <c r="AM276" i="28"/>
  <c r="AI239" i="28"/>
  <c r="AI241" i="28"/>
  <c r="Z272" i="28"/>
  <c r="W273" i="28"/>
  <c r="D292" i="28"/>
  <c r="C292" i="28" s="1"/>
  <c r="AA274" i="28"/>
  <c r="V274" i="28"/>
  <c r="AH275" i="28"/>
  <c r="Y277" i="28"/>
  <c r="X280" i="28"/>
  <c r="AH270" i="27"/>
  <c r="AB267" i="27"/>
  <c r="AE267" i="27" s="1"/>
  <c r="AF271" i="27" s="1"/>
  <c r="AG271" i="27" s="1"/>
  <c r="Z267" i="27"/>
  <c r="AA270" i="27"/>
  <c r="V270" i="27"/>
  <c r="R271" i="27"/>
  <c r="W268" i="27"/>
  <c r="S269" i="27"/>
  <c r="E287" i="27"/>
  <c r="I292" i="27" s="1"/>
  <c r="F287" i="27"/>
  <c r="J292" i="27" s="1"/>
  <c r="G287" i="27"/>
  <c r="K292" i="27" s="1"/>
  <c r="H287" i="27"/>
  <c r="L292" i="27" s="1"/>
  <c r="D289" i="27"/>
  <c r="C289" i="27" s="1"/>
  <c r="C288" i="27"/>
  <c r="X275" i="27"/>
  <c r="AC275" i="27" s="1"/>
  <c r="T276" i="27"/>
  <c r="U272" i="27"/>
  <c r="Y271" i="27"/>
  <c r="AD271" i="27" s="1"/>
  <c r="H290" i="26"/>
  <c r="L305" i="26" s="1"/>
  <c r="E290" i="26"/>
  <c r="I305" i="26" s="1"/>
  <c r="F290" i="26"/>
  <c r="J305" i="26" s="1"/>
  <c r="G290" i="26"/>
  <c r="K305" i="26" s="1"/>
  <c r="V272" i="26"/>
  <c r="AA272" i="26"/>
  <c r="R273" i="26"/>
  <c r="D291" i="26"/>
  <c r="W271" i="26"/>
  <c r="AB271" i="26" s="1"/>
  <c r="AE271" i="26" s="1"/>
  <c r="S272" i="26"/>
  <c r="Y278" i="26"/>
  <c r="AD278" i="26" s="1"/>
  <c r="U279" i="26"/>
  <c r="T278" i="26"/>
  <c r="X277" i="26"/>
  <c r="AC277" i="26" s="1"/>
  <c r="Z270" i="26"/>
  <c r="Z272" i="24"/>
  <c r="X277" i="24"/>
  <c r="AC277" i="24" s="1"/>
  <c r="T278" i="24"/>
  <c r="V274" i="24"/>
  <c r="AA274" i="24"/>
  <c r="R275" i="24"/>
  <c r="AG276" i="24"/>
  <c r="AH275" i="24"/>
  <c r="W273" i="24"/>
  <c r="AB273" i="24" s="1"/>
  <c r="AE273" i="24" s="1"/>
  <c r="AF277" i="24" s="1"/>
  <c r="S274" i="24"/>
  <c r="D291" i="24"/>
  <c r="C291" i="24" s="1"/>
  <c r="C290" i="24"/>
  <c r="Y276" i="24"/>
  <c r="AD276" i="24" s="1"/>
  <c r="U277" i="24"/>
  <c r="E292" i="28" l="1"/>
  <c r="I297" i="28" s="1"/>
  <c r="F292" i="28"/>
  <c r="H292" i="28"/>
  <c r="L297" i="28" s="1"/>
  <c r="G292" i="28"/>
  <c r="K297" i="28" s="1"/>
  <c r="S278" i="28"/>
  <c r="U279" i="28"/>
  <c r="AI242" i="28"/>
  <c r="AB273" i="28"/>
  <c r="AE273" i="28" s="1"/>
  <c r="AF277" i="28" s="1"/>
  <c r="AG277" i="28" s="1"/>
  <c r="AC280" i="28"/>
  <c r="AD277" i="28"/>
  <c r="AM277" i="28"/>
  <c r="AI240" i="28"/>
  <c r="Z273" i="28"/>
  <c r="J297" i="28"/>
  <c r="D293" i="28"/>
  <c r="C293" i="28" s="1"/>
  <c r="W274" i="28"/>
  <c r="X281" i="28"/>
  <c r="AH276" i="28"/>
  <c r="Y278" i="28"/>
  <c r="V275" i="28"/>
  <c r="AA275" i="28"/>
  <c r="AH271" i="27"/>
  <c r="E289" i="27"/>
  <c r="I294" i="27" s="1"/>
  <c r="F289" i="27"/>
  <c r="J294" i="27" s="1"/>
  <c r="G289" i="27"/>
  <c r="K294" i="27" s="1"/>
  <c r="H289" i="27"/>
  <c r="L294" i="27" s="1"/>
  <c r="U273" i="27"/>
  <c r="Y272" i="27"/>
  <c r="AD272" i="27" s="1"/>
  <c r="AB268" i="27"/>
  <c r="AE268" i="27" s="1"/>
  <c r="AF272" i="27" s="1"/>
  <c r="AG272" i="27" s="1"/>
  <c r="Z268" i="27"/>
  <c r="V271" i="27"/>
  <c r="AA271" i="27"/>
  <c r="R272" i="27"/>
  <c r="W269" i="27"/>
  <c r="S270" i="27"/>
  <c r="T277" i="27"/>
  <c r="X276" i="27"/>
  <c r="AC276" i="27" s="1"/>
  <c r="E288" i="27"/>
  <c r="I293" i="27" s="1"/>
  <c r="F288" i="27"/>
  <c r="J293" i="27" s="1"/>
  <c r="G288" i="27"/>
  <c r="K293" i="27" s="1"/>
  <c r="H288" i="27"/>
  <c r="L293" i="27" s="1"/>
  <c r="D290" i="27"/>
  <c r="C290" i="27" s="1"/>
  <c r="V273" i="26"/>
  <c r="R274" i="26"/>
  <c r="AA273" i="26"/>
  <c r="D292" i="26"/>
  <c r="C292" i="26" s="1"/>
  <c r="Z271" i="26"/>
  <c r="T279" i="26"/>
  <c r="X278" i="26"/>
  <c r="AC278" i="26" s="1"/>
  <c r="W272" i="26"/>
  <c r="AB272" i="26" s="1"/>
  <c r="AE272" i="26" s="1"/>
  <c r="S273" i="26"/>
  <c r="P280" i="26"/>
  <c r="U280" i="26" s="1"/>
  <c r="Y279" i="26"/>
  <c r="AD279" i="26" s="1"/>
  <c r="C291" i="26"/>
  <c r="R276" i="24"/>
  <c r="AA275" i="24"/>
  <c r="V275" i="24"/>
  <c r="AH276" i="24"/>
  <c r="AG277" i="24"/>
  <c r="U278" i="24"/>
  <c r="Y277" i="24"/>
  <c r="AD277" i="24" s="1"/>
  <c r="D292" i="24"/>
  <c r="C292" i="24" s="1"/>
  <c r="T279" i="24"/>
  <c r="X278" i="24"/>
  <c r="AC278" i="24" s="1"/>
  <c r="Z273" i="24"/>
  <c r="F290" i="24"/>
  <c r="J295" i="24" s="1"/>
  <c r="E290" i="24"/>
  <c r="I295" i="24" s="1"/>
  <c r="H290" i="24"/>
  <c r="L295" i="24" s="1"/>
  <c r="G290" i="24"/>
  <c r="K295" i="24" s="1"/>
  <c r="H291" i="24"/>
  <c r="L296" i="24" s="1"/>
  <c r="G291" i="24"/>
  <c r="K296" i="24" s="1"/>
  <c r="F291" i="24"/>
  <c r="J296" i="24" s="1"/>
  <c r="E291" i="24"/>
  <c r="I296" i="24" s="1"/>
  <c r="W274" i="24"/>
  <c r="AB274" i="24" s="1"/>
  <c r="AE274" i="24" s="1"/>
  <c r="AF278" i="24" s="1"/>
  <c r="S275" i="24"/>
  <c r="E293" i="28" l="1"/>
  <c r="I298" i="28" s="1"/>
  <c r="F293" i="28"/>
  <c r="J298" i="28" s="1"/>
  <c r="G293" i="28"/>
  <c r="K298" i="28" s="1"/>
  <c r="H293" i="28"/>
  <c r="L298" i="28" s="1"/>
  <c r="S279" i="28"/>
  <c r="U280" i="28"/>
  <c r="AC281" i="28"/>
  <c r="AL281" i="28"/>
  <c r="AB274" i="28"/>
  <c r="AE274" i="28" s="1"/>
  <c r="AF278" i="28" s="1"/>
  <c r="AG278" i="28" s="1"/>
  <c r="AD278" i="28"/>
  <c r="AM278" i="28"/>
  <c r="AI243" i="28"/>
  <c r="Y279" i="28"/>
  <c r="W275" i="28"/>
  <c r="D294" i="28"/>
  <c r="AH277" i="28"/>
  <c r="V276" i="28"/>
  <c r="AA276" i="28"/>
  <c r="Z274" i="28"/>
  <c r="X282" i="28"/>
  <c r="O283" i="28"/>
  <c r="T283" i="28" s="1"/>
  <c r="G290" i="27"/>
  <c r="K295" i="27" s="1"/>
  <c r="E290" i="27"/>
  <c r="I295" i="27" s="1"/>
  <c r="F290" i="27"/>
  <c r="J295" i="27" s="1"/>
  <c r="H290" i="27"/>
  <c r="L295" i="27" s="1"/>
  <c r="AH272" i="27"/>
  <c r="U274" i="27"/>
  <c r="Y273" i="27"/>
  <c r="AD273" i="27" s="1"/>
  <c r="W270" i="27"/>
  <c r="S271" i="27"/>
  <c r="AB269" i="27"/>
  <c r="AE269" i="27" s="1"/>
  <c r="AF273" i="27" s="1"/>
  <c r="AG273" i="27" s="1"/>
  <c r="Z269" i="27"/>
  <c r="D291" i="27"/>
  <c r="C291" i="27" s="1"/>
  <c r="AA272" i="27"/>
  <c r="R273" i="27"/>
  <c r="V272" i="27"/>
  <c r="X277" i="27"/>
  <c r="AC277" i="27" s="1"/>
  <c r="T278" i="27"/>
  <c r="G292" i="26"/>
  <c r="K307" i="26" s="1"/>
  <c r="F292" i="26"/>
  <c r="J307" i="26" s="1"/>
  <c r="E292" i="26"/>
  <c r="I307" i="26" s="1"/>
  <c r="H292" i="26"/>
  <c r="L307" i="26" s="1"/>
  <c r="E291" i="26"/>
  <c r="I306" i="26" s="1"/>
  <c r="G291" i="26"/>
  <c r="K306" i="26" s="1"/>
  <c r="F291" i="26"/>
  <c r="J306" i="26" s="1"/>
  <c r="H291" i="26"/>
  <c r="L306" i="26" s="1"/>
  <c r="D293" i="26"/>
  <c r="C293" i="26" s="1"/>
  <c r="O280" i="26"/>
  <c r="X279" i="26"/>
  <c r="AC279" i="26" s="1"/>
  <c r="Y280" i="26"/>
  <c r="AD280" i="26" s="1"/>
  <c r="W273" i="26"/>
  <c r="AB273" i="26" s="1"/>
  <c r="AE273" i="26" s="1"/>
  <c r="S274" i="26"/>
  <c r="R275" i="26"/>
  <c r="V274" i="26"/>
  <c r="AA274" i="26"/>
  <c r="Z272" i="26"/>
  <c r="P293" i="26"/>
  <c r="P291" i="26"/>
  <c r="P288" i="26"/>
  <c r="P286" i="26"/>
  <c r="P282" i="26"/>
  <c r="P287" i="26"/>
  <c r="P284" i="26"/>
  <c r="P283" i="26"/>
  <c r="P290" i="26"/>
  <c r="P289" i="26"/>
  <c r="P292" i="26"/>
  <c r="P285" i="26"/>
  <c r="P294" i="26"/>
  <c r="P281" i="26"/>
  <c r="U281" i="26" s="1"/>
  <c r="G22" i="26"/>
  <c r="AI241" i="24"/>
  <c r="AI242" i="24"/>
  <c r="Z274" i="24"/>
  <c r="F292" i="24"/>
  <c r="J297" i="24" s="1"/>
  <c r="E292" i="24"/>
  <c r="I297" i="24" s="1"/>
  <c r="H292" i="24"/>
  <c r="L297" i="24" s="1"/>
  <c r="G292" i="24"/>
  <c r="K297" i="24" s="1"/>
  <c r="Y278" i="24"/>
  <c r="AD278" i="24" s="1"/>
  <c r="U279" i="24"/>
  <c r="AG278" i="24"/>
  <c r="AH277" i="24"/>
  <c r="D293" i="24"/>
  <c r="C293" i="24" s="1"/>
  <c r="W275" i="24"/>
  <c r="AB275" i="24" s="1"/>
  <c r="AE275" i="24" s="1"/>
  <c r="AF279" i="24" s="1"/>
  <c r="S276" i="24"/>
  <c r="V276" i="24"/>
  <c r="R277" i="24"/>
  <c r="AA276" i="24"/>
  <c r="O280" i="24"/>
  <c r="T280" i="24" s="1"/>
  <c r="X279" i="24"/>
  <c r="AC279" i="24" s="1"/>
  <c r="U281" i="28" l="1"/>
  <c r="S280" i="28"/>
  <c r="AD279" i="28"/>
  <c r="AM279" i="28"/>
  <c r="AB275" i="28"/>
  <c r="AE275" i="28" s="1"/>
  <c r="AF279" i="28" s="1"/>
  <c r="AG279" i="28" s="1"/>
  <c r="AC282" i="28"/>
  <c r="AL282" i="28"/>
  <c r="D295" i="28"/>
  <c r="C294" i="28"/>
  <c r="W276" i="28"/>
  <c r="AA277" i="28"/>
  <c r="V277" i="28"/>
  <c r="Y280" i="28"/>
  <c r="Z275" i="28"/>
  <c r="O295" i="28"/>
  <c r="O290" i="28"/>
  <c r="O284" i="28"/>
  <c r="T284" i="28" s="1"/>
  <c r="O292" i="28"/>
  <c r="O289" i="28"/>
  <c r="O285" i="28"/>
  <c r="O288" i="28"/>
  <c r="O294" i="28"/>
  <c r="O293" i="28"/>
  <c r="O297" i="28"/>
  <c r="O296" i="28"/>
  <c r="O287" i="28"/>
  <c r="O291" i="28"/>
  <c r="O286" i="28"/>
  <c r="H22" i="28"/>
  <c r="AH278" i="28"/>
  <c r="G291" i="27"/>
  <c r="K296" i="27" s="1"/>
  <c r="E291" i="27"/>
  <c r="I296" i="27" s="1"/>
  <c r="F291" i="27"/>
  <c r="J296" i="27" s="1"/>
  <c r="H291" i="27"/>
  <c r="L296" i="27" s="1"/>
  <c r="AH273" i="27"/>
  <c r="AI265" i="27" s="1"/>
  <c r="T279" i="27"/>
  <c r="X278" i="27"/>
  <c r="AC278" i="27" s="1"/>
  <c r="Y274" i="27"/>
  <c r="AD274" i="27" s="1"/>
  <c r="U275" i="27"/>
  <c r="D292" i="27"/>
  <c r="C292" i="27" s="1"/>
  <c r="R274" i="27"/>
  <c r="V273" i="27"/>
  <c r="AA273" i="27"/>
  <c r="W271" i="27"/>
  <c r="S272" i="27"/>
  <c r="AB270" i="27"/>
  <c r="AE270" i="27" s="1"/>
  <c r="AF274" i="27" s="1"/>
  <c r="AG274" i="27" s="1"/>
  <c r="Z270" i="27"/>
  <c r="Y281" i="26"/>
  <c r="AD281" i="26" s="1"/>
  <c r="U282" i="26"/>
  <c r="O293" i="26"/>
  <c r="O288" i="26"/>
  <c r="O286" i="26"/>
  <c r="O290" i="26"/>
  <c r="O287" i="26"/>
  <c r="O285" i="26"/>
  <c r="O289" i="26"/>
  <c r="O292" i="26"/>
  <c r="O283" i="26"/>
  <c r="O282" i="26"/>
  <c r="O281" i="26"/>
  <c r="O291" i="26"/>
  <c r="O294" i="26"/>
  <c r="O284" i="26"/>
  <c r="F22" i="26"/>
  <c r="H293" i="26"/>
  <c r="L308" i="26" s="1"/>
  <c r="G293" i="26"/>
  <c r="K308" i="26" s="1"/>
  <c r="F293" i="26"/>
  <c r="J308" i="26" s="1"/>
  <c r="E293" i="26"/>
  <c r="I308" i="26" s="1"/>
  <c r="D294" i="26"/>
  <c r="V275" i="26"/>
  <c r="R276" i="26"/>
  <c r="AA275" i="26"/>
  <c r="W274" i="26"/>
  <c r="AB274" i="26" s="1"/>
  <c r="AE274" i="26" s="1"/>
  <c r="S275" i="26"/>
  <c r="Z273" i="26"/>
  <c r="T280" i="26"/>
  <c r="AI245" i="24"/>
  <c r="AH278" i="24"/>
  <c r="AI243" i="24" s="1"/>
  <c r="AG279" i="24"/>
  <c r="X280" i="24"/>
  <c r="AC280" i="24" s="1"/>
  <c r="Y279" i="24"/>
  <c r="AD279" i="24" s="1"/>
  <c r="P280" i="24"/>
  <c r="U280" i="24" s="1"/>
  <c r="Z275" i="24"/>
  <c r="W276" i="24"/>
  <c r="AB276" i="24" s="1"/>
  <c r="AE276" i="24" s="1"/>
  <c r="AF280" i="24" s="1"/>
  <c r="S277" i="24"/>
  <c r="F293" i="24"/>
  <c r="J298" i="24" s="1"/>
  <c r="E293" i="24"/>
  <c r="I298" i="24" s="1"/>
  <c r="H293" i="24"/>
  <c r="L298" i="24" s="1"/>
  <c r="G293" i="24"/>
  <c r="K298" i="24" s="1"/>
  <c r="D294" i="24"/>
  <c r="C294" i="24" s="1"/>
  <c r="AA277" i="24"/>
  <c r="V277" i="24"/>
  <c r="R278" i="24"/>
  <c r="O284" i="24"/>
  <c r="O285" i="24"/>
  <c r="O290" i="24"/>
  <c r="O287" i="24"/>
  <c r="O292" i="24"/>
  <c r="O289" i="24"/>
  <c r="O291" i="24"/>
  <c r="O282" i="24"/>
  <c r="O293" i="24"/>
  <c r="O294" i="24"/>
  <c r="O288" i="24"/>
  <c r="O286" i="24"/>
  <c r="O281" i="24"/>
  <c r="T281" i="24" s="1"/>
  <c r="O283" i="24"/>
  <c r="F22" i="24"/>
  <c r="T285" i="28" l="1"/>
  <c r="T286" i="28" s="1"/>
  <c r="T287" i="28" s="1"/>
  <c r="T288" i="28" s="1"/>
  <c r="T289" i="28" s="1"/>
  <c r="T290" i="28" s="1"/>
  <c r="T291" i="28" s="1"/>
  <c r="T292" i="28" s="1"/>
  <c r="T293" i="28" s="1"/>
  <c r="T294" i="28" s="1"/>
  <c r="T295" i="28" s="1"/>
  <c r="T296" i="28" s="1"/>
  <c r="T297" i="28" s="1"/>
  <c r="AI266" i="27"/>
  <c r="Z274" i="26"/>
  <c r="E294" i="28"/>
  <c r="I299" i="28" s="1"/>
  <c r="F294" i="28"/>
  <c r="J299" i="28" s="1"/>
  <c r="G294" i="28"/>
  <c r="K299" i="28" s="1"/>
  <c r="H294" i="28"/>
  <c r="L299" i="28" s="1"/>
  <c r="S281" i="28"/>
  <c r="U282" i="28"/>
  <c r="AB276" i="28"/>
  <c r="AE276" i="28" s="1"/>
  <c r="AF280" i="28" s="1"/>
  <c r="AG280" i="28" s="1"/>
  <c r="AD280" i="28"/>
  <c r="AM280" i="28"/>
  <c r="Z276" i="28"/>
  <c r="X283" i="28"/>
  <c r="W277" i="28"/>
  <c r="AH279" i="28"/>
  <c r="D296" i="28"/>
  <c r="C296" i="28" s="1"/>
  <c r="Y281" i="28"/>
  <c r="C295" i="28"/>
  <c r="AA278" i="28"/>
  <c r="V278" i="28"/>
  <c r="AI246" i="24"/>
  <c r="AI244" i="24"/>
  <c r="E292" i="27"/>
  <c r="I297" i="27" s="1"/>
  <c r="F292" i="27"/>
  <c r="J297" i="27" s="1"/>
  <c r="G292" i="27"/>
  <c r="K297" i="27" s="1"/>
  <c r="H292" i="27"/>
  <c r="L297" i="27" s="1"/>
  <c r="AH274" i="27"/>
  <c r="AI267" i="27" s="1"/>
  <c r="Y275" i="27"/>
  <c r="AD275" i="27" s="1"/>
  <c r="U276" i="27"/>
  <c r="W272" i="27"/>
  <c r="S273" i="27"/>
  <c r="AB271" i="27"/>
  <c r="AE271" i="27" s="1"/>
  <c r="AF275" i="27" s="1"/>
  <c r="AG275" i="27" s="1"/>
  <c r="Z271" i="27"/>
  <c r="O280" i="27"/>
  <c r="X279" i="27"/>
  <c r="AC279" i="27" s="1"/>
  <c r="V274" i="27"/>
  <c r="AA274" i="27"/>
  <c r="R275" i="27"/>
  <c r="D293" i="27"/>
  <c r="C293" i="27" s="1"/>
  <c r="X280" i="26"/>
  <c r="AC280" i="26" s="1"/>
  <c r="T281" i="26"/>
  <c r="W275" i="26"/>
  <c r="AB275" i="26" s="1"/>
  <c r="AE275" i="26" s="1"/>
  <c r="S276" i="26"/>
  <c r="AA276" i="26"/>
  <c r="R277" i="26"/>
  <c r="V276" i="26"/>
  <c r="D295" i="26"/>
  <c r="C295" i="26" s="1"/>
  <c r="U283" i="26"/>
  <c r="Y282" i="26"/>
  <c r="AD282" i="26" s="1"/>
  <c r="C294" i="26"/>
  <c r="T282" i="24"/>
  <c r="X281" i="24"/>
  <c r="AC281" i="24" s="1"/>
  <c r="H294" i="24"/>
  <c r="L299" i="24" s="1"/>
  <c r="F294" i="24"/>
  <c r="J299" i="24" s="1"/>
  <c r="G294" i="24"/>
  <c r="K299" i="24" s="1"/>
  <c r="E294" i="24"/>
  <c r="I299" i="24" s="1"/>
  <c r="Y280" i="24"/>
  <c r="AD280" i="24" s="1"/>
  <c r="D295" i="24"/>
  <c r="C295" i="24" s="1"/>
  <c r="P292" i="24"/>
  <c r="P293" i="24"/>
  <c r="P284" i="24"/>
  <c r="P285" i="24"/>
  <c r="P290" i="24"/>
  <c r="P287" i="24"/>
  <c r="P289" i="24"/>
  <c r="P291" i="24"/>
  <c r="P282" i="24"/>
  <c r="P294" i="24"/>
  <c r="P288" i="24"/>
  <c r="P286" i="24"/>
  <c r="P281" i="24"/>
  <c r="U281" i="24" s="1"/>
  <c r="P283" i="24"/>
  <c r="G22" i="24"/>
  <c r="AG280" i="24"/>
  <c r="AH279" i="24"/>
  <c r="AI249" i="24" s="1"/>
  <c r="R279" i="24"/>
  <c r="V278" i="24"/>
  <c r="AA278" i="24"/>
  <c r="W277" i="24"/>
  <c r="AB277" i="24" s="1"/>
  <c r="AE277" i="24" s="1"/>
  <c r="AF281" i="24" s="1"/>
  <c r="S278" i="24"/>
  <c r="Z276" i="24"/>
  <c r="AI268" i="27" l="1"/>
  <c r="E295" i="28"/>
  <c r="I300" i="28" s="1"/>
  <c r="F295" i="28"/>
  <c r="J300" i="28" s="1"/>
  <c r="H295" i="28"/>
  <c r="L300" i="28" s="1"/>
  <c r="G295" i="28"/>
  <c r="K300" i="28" s="1"/>
  <c r="E296" i="28"/>
  <c r="I301" i="28" s="1"/>
  <c r="F296" i="28"/>
  <c r="J301" i="28" s="1"/>
  <c r="G296" i="28"/>
  <c r="K301" i="28" s="1"/>
  <c r="H296" i="28"/>
  <c r="L301" i="28" s="1"/>
  <c r="Z275" i="26"/>
  <c r="S282" i="28"/>
  <c r="AB277" i="28"/>
  <c r="AE277" i="28" s="1"/>
  <c r="AF281" i="28" s="1"/>
  <c r="AG281" i="28" s="1"/>
  <c r="AC283" i="28"/>
  <c r="AD281" i="28"/>
  <c r="AM281" i="28"/>
  <c r="AI244" i="28"/>
  <c r="AI245" i="28"/>
  <c r="AI246" i="28"/>
  <c r="Z277" i="28"/>
  <c r="AH280" i="28"/>
  <c r="W278" i="28"/>
  <c r="P283" i="28"/>
  <c r="U283" i="28" s="1"/>
  <c r="Y282" i="28"/>
  <c r="D297" i="28"/>
  <c r="C297" i="28" s="1"/>
  <c r="X284" i="28"/>
  <c r="AA279" i="28"/>
  <c r="V279" i="28"/>
  <c r="AI247" i="24"/>
  <c r="AI248" i="24"/>
  <c r="E293" i="27"/>
  <c r="I298" i="27" s="1"/>
  <c r="F293" i="27"/>
  <c r="J298" i="27" s="1"/>
  <c r="G293" i="27"/>
  <c r="K298" i="27" s="1"/>
  <c r="H293" i="27"/>
  <c r="L298" i="27" s="1"/>
  <c r="W273" i="27"/>
  <c r="S274" i="27"/>
  <c r="D294" i="27"/>
  <c r="AB272" i="27"/>
  <c r="AE272" i="27" s="1"/>
  <c r="AF276" i="27" s="1"/>
  <c r="AG276" i="27" s="1"/>
  <c r="Z272" i="27"/>
  <c r="AA275" i="27"/>
  <c r="R276" i="27"/>
  <c r="V275" i="27"/>
  <c r="Y276" i="27"/>
  <c r="AD276" i="27" s="1"/>
  <c r="U277" i="27"/>
  <c r="F22" i="27"/>
  <c r="O282" i="27"/>
  <c r="O288" i="27"/>
  <c r="O294" i="27"/>
  <c r="O283" i="27"/>
  <c r="O289" i="27"/>
  <c r="O290" i="27"/>
  <c r="O293" i="27"/>
  <c r="O284" i="27"/>
  <c r="O281" i="27"/>
  <c r="O291" i="27"/>
  <c r="O292" i="27"/>
  <c r="O285" i="27"/>
  <c r="O286" i="27"/>
  <c r="O287" i="27"/>
  <c r="AH275" i="27"/>
  <c r="AI270" i="27" s="1"/>
  <c r="T280" i="27"/>
  <c r="E295" i="26"/>
  <c r="I310" i="26" s="1"/>
  <c r="G295" i="26"/>
  <c r="K310" i="26" s="1"/>
  <c r="F295" i="26"/>
  <c r="J310" i="26" s="1"/>
  <c r="H295" i="26"/>
  <c r="L310" i="26" s="1"/>
  <c r="V277" i="26"/>
  <c r="AA277" i="26"/>
  <c r="R278" i="26"/>
  <c r="D296" i="26"/>
  <c r="C296" i="26" s="1"/>
  <c r="W276" i="26"/>
  <c r="AB276" i="26" s="1"/>
  <c r="AE276" i="26" s="1"/>
  <c r="S277" i="26"/>
  <c r="F294" i="26"/>
  <c r="J309" i="26" s="1"/>
  <c r="E294" i="26"/>
  <c r="I309" i="26" s="1"/>
  <c r="H294" i="26"/>
  <c r="L309" i="26" s="1"/>
  <c r="G294" i="26"/>
  <c r="K309" i="26" s="1"/>
  <c r="T282" i="26"/>
  <c r="X281" i="26"/>
  <c r="AC281" i="26" s="1"/>
  <c r="Y283" i="26"/>
  <c r="AD283" i="26" s="1"/>
  <c r="U284" i="26"/>
  <c r="Z277" i="24"/>
  <c r="D296" i="24"/>
  <c r="AA279" i="24"/>
  <c r="M280" i="24"/>
  <c r="R280" i="24" s="1"/>
  <c r="V279" i="24"/>
  <c r="U282" i="24"/>
  <c r="Y281" i="24"/>
  <c r="AD281" i="24" s="1"/>
  <c r="AG281" i="24"/>
  <c r="AH280" i="24"/>
  <c r="W278" i="24"/>
  <c r="AB278" i="24" s="1"/>
  <c r="AE278" i="24" s="1"/>
  <c r="AF282" i="24" s="1"/>
  <c r="S279" i="24"/>
  <c r="H295" i="24"/>
  <c r="L300" i="24" s="1"/>
  <c r="F295" i="24"/>
  <c r="J300" i="24" s="1"/>
  <c r="G295" i="24"/>
  <c r="K300" i="24" s="1"/>
  <c r="E295" i="24"/>
  <c r="I300" i="24" s="1"/>
  <c r="X282" i="24"/>
  <c r="AC282" i="24" s="1"/>
  <c r="T283" i="24"/>
  <c r="AI269" i="27" l="1"/>
  <c r="E297" i="28"/>
  <c r="I302" i="28" s="1"/>
  <c r="F297" i="28"/>
  <c r="J302" i="28" s="1"/>
  <c r="G297" i="28"/>
  <c r="K302" i="28" s="1"/>
  <c r="H297" i="28"/>
  <c r="L302" i="28" s="1"/>
  <c r="AD282" i="28"/>
  <c r="AM282" i="28"/>
  <c r="AC284" i="28"/>
  <c r="AB278" i="28"/>
  <c r="AE278" i="28" s="1"/>
  <c r="AF282" i="28" s="1"/>
  <c r="AG282" i="28" s="1"/>
  <c r="AI250" i="28"/>
  <c r="AI247" i="28"/>
  <c r="AI248" i="28"/>
  <c r="AI249" i="28"/>
  <c r="AI251" i="28"/>
  <c r="Y283" i="28"/>
  <c r="D298" i="28"/>
  <c r="C298" i="28" s="1"/>
  <c r="P295" i="28"/>
  <c r="P290" i="28"/>
  <c r="P284" i="28"/>
  <c r="U284" i="28" s="1"/>
  <c r="P291" i="28"/>
  <c r="P297" i="28"/>
  <c r="P288" i="28"/>
  <c r="P294" i="28"/>
  <c r="P296" i="28"/>
  <c r="P293" i="28"/>
  <c r="P287" i="28"/>
  <c r="P285" i="28"/>
  <c r="P286" i="28"/>
  <c r="P289" i="28"/>
  <c r="P292" i="28"/>
  <c r="I22" i="28"/>
  <c r="W279" i="28"/>
  <c r="AA280" i="28"/>
  <c r="V280" i="28"/>
  <c r="X285" i="28"/>
  <c r="Z278" i="28"/>
  <c r="AH281" i="28"/>
  <c r="J19" i="24"/>
  <c r="X280" i="27"/>
  <c r="AC280" i="27" s="1"/>
  <c r="T281" i="27"/>
  <c r="AA276" i="27"/>
  <c r="V276" i="27"/>
  <c r="R277" i="27"/>
  <c r="D295" i="27"/>
  <c r="C294" i="27"/>
  <c r="W274" i="27"/>
  <c r="S275" i="27"/>
  <c r="AB273" i="27"/>
  <c r="AE273" i="27" s="1"/>
  <c r="AF277" i="27" s="1"/>
  <c r="AG277" i="27" s="1"/>
  <c r="Z273" i="27"/>
  <c r="Y277" i="27"/>
  <c r="AD277" i="27" s="1"/>
  <c r="U278" i="27"/>
  <c r="AH276" i="27"/>
  <c r="AI271" i="27" s="1"/>
  <c r="G296" i="26"/>
  <c r="K311" i="26" s="1"/>
  <c r="F296" i="26"/>
  <c r="J311" i="26" s="1"/>
  <c r="H296" i="26"/>
  <c r="L311" i="26" s="1"/>
  <c r="E296" i="26"/>
  <c r="I311" i="26" s="1"/>
  <c r="AA278" i="26"/>
  <c r="R279" i="26"/>
  <c r="V278" i="26"/>
  <c r="X282" i="26"/>
  <c r="AC282" i="26" s="1"/>
  <c r="T283" i="26"/>
  <c r="Z276" i="26"/>
  <c r="U285" i="26"/>
  <c r="Y284" i="26"/>
  <c r="AD284" i="26" s="1"/>
  <c r="D297" i="26"/>
  <c r="C297" i="26" s="1"/>
  <c r="W277" i="26"/>
  <c r="AB277" i="26" s="1"/>
  <c r="AE277" i="26" s="1"/>
  <c r="S278" i="26"/>
  <c r="U283" i="24"/>
  <c r="Y282" i="24"/>
  <c r="AD282" i="24" s="1"/>
  <c r="V280" i="24"/>
  <c r="AA280" i="24"/>
  <c r="W279" i="24"/>
  <c r="AB279" i="24" s="1"/>
  <c r="AE279" i="24" s="1"/>
  <c r="AF283" i="24" s="1"/>
  <c r="M293" i="24"/>
  <c r="M289" i="24"/>
  <c r="M283" i="24"/>
  <c r="M284" i="24"/>
  <c r="M288" i="24"/>
  <c r="M291" i="24"/>
  <c r="M290" i="24"/>
  <c r="M282" i="24"/>
  <c r="M285" i="24"/>
  <c r="M292" i="24"/>
  <c r="M294" i="24"/>
  <c r="M287" i="24"/>
  <c r="M286" i="24"/>
  <c r="M281" i="24"/>
  <c r="R281" i="24" s="1"/>
  <c r="D22" i="24"/>
  <c r="N280" i="24"/>
  <c r="S280" i="24" s="1"/>
  <c r="Z278" i="24"/>
  <c r="D297" i="24"/>
  <c r="C297" i="24" s="1"/>
  <c r="X283" i="24"/>
  <c r="AC283" i="24" s="1"/>
  <c r="T284" i="24"/>
  <c r="AH281" i="24"/>
  <c r="AG282" i="24"/>
  <c r="C296" i="24"/>
  <c r="Z277" i="26" l="1"/>
  <c r="E298" i="28"/>
  <c r="I303" i="28" s="1"/>
  <c r="F298" i="28"/>
  <c r="J303" i="28" s="1"/>
  <c r="G298" i="28"/>
  <c r="K303" i="28" s="1"/>
  <c r="H298" i="28"/>
  <c r="L303" i="28" s="1"/>
  <c r="U285" i="28"/>
  <c r="AC285" i="28"/>
  <c r="AD283" i="28"/>
  <c r="AM283" i="28"/>
  <c r="AB279" i="28"/>
  <c r="AE279" i="28" s="1"/>
  <c r="AF283" i="28" s="1"/>
  <c r="AG283" i="28" s="1"/>
  <c r="Z279" i="28"/>
  <c r="Y284" i="28"/>
  <c r="X286" i="28"/>
  <c r="D299" i="28"/>
  <c r="C299" i="28" s="1"/>
  <c r="V281" i="28"/>
  <c r="AA281" i="28"/>
  <c r="AH282" i="28"/>
  <c r="W280" i="28"/>
  <c r="Z279" i="24"/>
  <c r="W275" i="27"/>
  <c r="S276" i="27"/>
  <c r="AB274" i="27"/>
  <c r="AE274" i="27" s="1"/>
  <c r="AF278" i="27" s="1"/>
  <c r="AG278" i="27" s="1"/>
  <c r="Z274" i="27"/>
  <c r="H294" i="27"/>
  <c r="L299" i="27" s="1"/>
  <c r="E294" i="27"/>
  <c r="I299" i="27" s="1"/>
  <c r="F294" i="27"/>
  <c r="J299" i="27" s="1"/>
  <c r="G294" i="27"/>
  <c r="K299" i="27" s="1"/>
  <c r="D296" i="27"/>
  <c r="C295" i="27"/>
  <c r="AA277" i="27"/>
  <c r="R278" i="27"/>
  <c r="V277" i="27"/>
  <c r="X281" i="27"/>
  <c r="AC281" i="27" s="1"/>
  <c r="T282" i="27"/>
  <c r="AH277" i="27"/>
  <c r="AI272" i="27" s="1"/>
  <c r="U279" i="27"/>
  <c r="Y278" i="27"/>
  <c r="AD278" i="27" s="1"/>
  <c r="X283" i="26"/>
  <c r="AC283" i="26" s="1"/>
  <c r="T284" i="26"/>
  <c r="V279" i="26"/>
  <c r="AA279" i="26"/>
  <c r="M280" i="26"/>
  <c r="R280" i="26" s="1"/>
  <c r="D298" i="26"/>
  <c r="C298" i="26" s="1"/>
  <c r="W278" i="26"/>
  <c r="AB278" i="26" s="1"/>
  <c r="AE278" i="26" s="1"/>
  <c r="S279" i="26"/>
  <c r="Y285" i="26"/>
  <c r="AD285" i="26" s="1"/>
  <c r="U286" i="26"/>
  <c r="H297" i="26"/>
  <c r="L312" i="26" s="1"/>
  <c r="G297" i="26"/>
  <c r="K312" i="26" s="1"/>
  <c r="F297" i="26"/>
  <c r="J312" i="26" s="1"/>
  <c r="E297" i="26"/>
  <c r="I312" i="26" s="1"/>
  <c r="H297" i="24"/>
  <c r="L302" i="24" s="1"/>
  <c r="G297" i="24"/>
  <c r="K302" i="24" s="1"/>
  <c r="F297" i="24"/>
  <c r="J302" i="24" s="1"/>
  <c r="E297" i="24"/>
  <c r="I302" i="24" s="1"/>
  <c r="AH282" i="24"/>
  <c r="AG283" i="24"/>
  <c r="X284" i="24"/>
  <c r="AC284" i="24" s="1"/>
  <c r="T285" i="24"/>
  <c r="W280" i="24"/>
  <c r="AB280" i="24" s="1"/>
  <c r="AE280" i="24" s="1"/>
  <c r="AF284" i="24" s="1"/>
  <c r="V281" i="24"/>
  <c r="AA281" i="24"/>
  <c r="R282" i="24"/>
  <c r="F296" i="24"/>
  <c r="J301" i="24" s="1"/>
  <c r="E296" i="24"/>
  <c r="I301" i="24" s="1"/>
  <c r="H296" i="24"/>
  <c r="L301" i="24" s="1"/>
  <c r="G296" i="24"/>
  <c r="K301" i="24" s="1"/>
  <c r="I21" i="24"/>
  <c r="N291" i="24"/>
  <c r="Q291" i="24" s="1"/>
  <c r="N292" i="24"/>
  <c r="Q292" i="24" s="1"/>
  <c r="N293" i="24"/>
  <c r="Q293" i="24" s="1"/>
  <c r="N289" i="24"/>
  <c r="Q289" i="24" s="1"/>
  <c r="N283" i="24"/>
  <c r="Q283" i="24" s="1"/>
  <c r="N284" i="24"/>
  <c r="Q284" i="24" s="1"/>
  <c r="N290" i="24"/>
  <c r="Q290" i="24" s="1"/>
  <c r="N282" i="24"/>
  <c r="Q282" i="24" s="1"/>
  <c r="N294" i="24"/>
  <c r="Q294" i="24" s="1"/>
  <c r="N288" i="24"/>
  <c r="Q288" i="24" s="1"/>
  <c r="N287" i="24"/>
  <c r="Q287" i="24" s="1"/>
  <c r="N286" i="24"/>
  <c r="Q286" i="24" s="1"/>
  <c r="N281" i="24"/>
  <c r="S281" i="24" s="1"/>
  <c r="N285" i="24"/>
  <c r="Q285" i="24" s="1"/>
  <c r="E22" i="24"/>
  <c r="Q280" i="24"/>
  <c r="Y283" i="24"/>
  <c r="AD283" i="24" s="1"/>
  <c r="U284" i="24"/>
  <c r="D298" i="24"/>
  <c r="C298" i="24" s="1"/>
  <c r="E299" i="28" l="1"/>
  <c r="I304" i="28" s="1"/>
  <c r="F299" i="28"/>
  <c r="J304" i="28" s="1"/>
  <c r="G299" i="28"/>
  <c r="K304" i="28" s="1"/>
  <c r="H299" i="28"/>
  <c r="L304" i="28" s="1"/>
  <c r="U286" i="28"/>
  <c r="AC286" i="28"/>
  <c r="AB280" i="28"/>
  <c r="AE280" i="28" s="1"/>
  <c r="AF284" i="28" s="1"/>
  <c r="AG284" i="28" s="1"/>
  <c r="AD284" i="28"/>
  <c r="AM284" i="28"/>
  <c r="W281" i="28"/>
  <c r="X287" i="28"/>
  <c r="AH283" i="28"/>
  <c r="D300" i="28"/>
  <c r="M283" i="28"/>
  <c r="R283" i="28" s="1"/>
  <c r="AA282" i="28"/>
  <c r="V282" i="28"/>
  <c r="Y285" i="28"/>
  <c r="Z280" i="28"/>
  <c r="Y279" i="27"/>
  <c r="AD279" i="27" s="1"/>
  <c r="P280" i="27"/>
  <c r="E295" i="27"/>
  <c r="I300" i="27" s="1"/>
  <c r="F295" i="27"/>
  <c r="J300" i="27" s="1"/>
  <c r="G295" i="27"/>
  <c r="K300" i="27" s="1"/>
  <c r="H295" i="27"/>
  <c r="L300" i="27" s="1"/>
  <c r="D297" i="27"/>
  <c r="C296" i="27"/>
  <c r="X282" i="27"/>
  <c r="AC282" i="27" s="1"/>
  <c r="T283" i="27"/>
  <c r="W276" i="27"/>
  <c r="S277" i="27"/>
  <c r="AH278" i="27"/>
  <c r="AI273" i="27" s="1"/>
  <c r="R279" i="27"/>
  <c r="AA278" i="27"/>
  <c r="V278" i="27"/>
  <c r="AB275" i="27"/>
  <c r="AE275" i="27" s="1"/>
  <c r="AF279" i="27" s="1"/>
  <c r="AG279" i="27" s="1"/>
  <c r="Z275" i="27"/>
  <c r="F298" i="26"/>
  <c r="J313" i="26" s="1"/>
  <c r="E298" i="26"/>
  <c r="I313" i="26" s="1"/>
  <c r="H298" i="26"/>
  <c r="L313" i="26" s="1"/>
  <c r="G298" i="26"/>
  <c r="K313" i="26" s="1"/>
  <c r="W279" i="26"/>
  <c r="AB279" i="26" s="1"/>
  <c r="AE279" i="26" s="1"/>
  <c r="AA280" i="26"/>
  <c r="V280" i="26"/>
  <c r="M289" i="26"/>
  <c r="M287" i="26"/>
  <c r="M285" i="26"/>
  <c r="M283" i="26"/>
  <c r="M291" i="26"/>
  <c r="M293" i="26"/>
  <c r="M290" i="26"/>
  <c r="M281" i="26"/>
  <c r="R281" i="26" s="1"/>
  <c r="M292" i="26"/>
  <c r="M288" i="26"/>
  <c r="M294" i="26"/>
  <c r="M284" i="26"/>
  <c r="M286" i="26"/>
  <c r="M282" i="26"/>
  <c r="D22" i="26"/>
  <c r="N280" i="26"/>
  <c r="Q280" i="26" s="1"/>
  <c r="U287" i="26"/>
  <c r="Y286" i="26"/>
  <c r="AD286" i="26" s="1"/>
  <c r="X284" i="26"/>
  <c r="AC284" i="26" s="1"/>
  <c r="T285" i="26"/>
  <c r="D299" i="26"/>
  <c r="C299" i="26" s="1"/>
  <c r="Z278" i="26"/>
  <c r="W281" i="24"/>
  <c r="AB281" i="24" s="1"/>
  <c r="AE281" i="24" s="1"/>
  <c r="AF285" i="24" s="1"/>
  <c r="S282" i="24"/>
  <c r="E298" i="24"/>
  <c r="I303" i="24" s="1"/>
  <c r="F298" i="24"/>
  <c r="J303" i="24" s="1"/>
  <c r="H298" i="24"/>
  <c r="L303" i="24" s="1"/>
  <c r="G298" i="24"/>
  <c r="K303" i="24" s="1"/>
  <c r="R283" i="24"/>
  <c r="AA282" i="24"/>
  <c r="V282" i="24"/>
  <c r="AG284" i="24"/>
  <c r="AH283" i="24"/>
  <c r="T286" i="24"/>
  <c r="X285" i="24"/>
  <c r="AC285" i="24" s="1"/>
  <c r="Y284" i="24"/>
  <c r="AD284" i="24" s="1"/>
  <c r="U285" i="24"/>
  <c r="Q281" i="24"/>
  <c r="Z280" i="24"/>
  <c r="D299" i="24"/>
  <c r="C299" i="24" s="1"/>
  <c r="S280" i="26" l="1"/>
  <c r="W280" i="26" s="1"/>
  <c r="U287" i="28"/>
  <c r="AB281" i="28"/>
  <c r="AE281" i="28" s="1"/>
  <c r="AF285" i="28" s="1"/>
  <c r="AG285" i="28" s="1"/>
  <c r="AD285" i="28"/>
  <c r="AM285" i="28"/>
  <c r="AC287" i="28"/>
  <c r="Z281" i="28"/>
  <c r="X288" i="28"/>
  <c r="W282" i="28"/>
  <c r="Z282" i="28" s="1"/>
  <c r="Y286" i="28"/>
  <c r="M289" i="28"/>
  <c r="M295" i="28"/>
  <c r="M294" i="28"/>
  <c r="M285" i="28"/>
  <c r="M290" i="28"/>
  <c r="M293" i="28"/>
  <c r="M284" i="28"/>
  <c r="R284" i="28" s="1"/>
  <c r="M291" i="28"/>
  <c r="M288" i="28"/>
  <c r="M297" i="28"/>
  <c r="M292" i="28"/>
  <c r="M287" i="28"/>
  <c r="M286" i="28"/>
  <c r="M296" i="28"/>
  <c r="F22" i="28"/>
  <c r="N283" i="28"/>
  <c r="S283" i="28" s="1"/>
  <c r="D301" i="28"/>
  <c r="C301" i="28" s="1"/>
  <c r="C300" i="28"/>
  <c r="AA283" i="28"/>
  <c r="V283" i="28"/>
  <c r="AH284" i="28"/>
  <c r="Z281" i="24"/>
  <c r="AH279" i="27"/>
  <c r="AI274" i="27" s="1"/>
  <c r="D298" i="27"/>
  <c r="AA279" i="27"/>
  <c r="M280" i="27"/>
  <c r="V279" i="27"/>
  <c r="C297" i="27"/>
  <c r="W277" i="27"/>
  <c r="S278" i="27"/>
  <c r="G22" i="27"/>
  <c r="P281" i="27"/>
  <c r="P282" i="27"/>
  <c r="P284" i="27"/>
  <c r="P287" i="27"/>
  <c r="P283" i="27"/>
  <c r="P293" i="27"/>
  <c r="P294" i="27"/>
  <c r="P288" i="27"/>
  <c r="P290" i="27"/>
  <c r="P291" i="27"/>
  <c r="P292" i="27"/>
  <c r="P285" i="27"/>
  <c r="P286" i="27"/>
  <c r="P289" i="27"/>
  <c r="H296" i="27"/>
  <c r="L301" i="27" s="1"/>
  <c r="E296" i="27"/>
  <c r="I301" i="27" s="1"/>
  <c r="F296" i="27"/>
  <c r="J301" i="27" s="1"/>
  <c r="G296" i="27"/>
  <c r="K301" i="27" s="1"/>
  <c r="AB276" i="27"/>
  <c r="AE276" i="27" s="1"/>
  <c r="AF280" i="27" s="1"/>
  <c r="AG280" i="27" s="1"/>
  <c r="Z276" i="27"/>
  <c r="T284" i="27"/>
  <c r="X283" i="27"/>
  <c r="AC283" i="27" s="1"/>
  <c r="U280" i="27"/>
  <c r="G299" i="26"/>
  <c r="K314" i="26" s="1"/>
  <c r="H299" i="26"/>
  <c r="L314" i="26" s="1"/>
  <c r="F299" i="26"/>
  <c r="J314" i="26" s="1"/>
  <c r="E299" i="26"/>
  <c r="I314" i="26" s="1"/>
  <c r="V281" i="26"/>
  <c r="AA281" i="26"/>
  <c r="R282" i="26"/>
  <c r="Y287" i="26"/>
  <c r="AD287" i="26" s="1"/>
  <c r="U288" i="26"/>
  <c r="Z279" i="26"/>
  <c r="I21" i="26" s="1"/>
  <c r="J21" i="26" s="1"/>
  <c r="D300" i="26"/>
  <c r="C300" i="26" s="1"/>
  <c r="N292" i="26"/>
  <c r="Q292" i="26" s="1"/>
  <c r="N291" i="26"/>
  <c r="Q291" i="26" s="1"/>
  <c r="N293" i="26"/>
  <c r="Q293" i="26" s="1"/>
  <c r="N290" i="26"/>
  <c r="Q290" i="26" s="1"/>
  <c r="N285" i="26"/>
  <c r="Q285" i="26" s="1"/>
  <c r="N288" i="26"/>
  <c r="Q288" i="26" s="1"/>
  <c r="N283" i="26"/>
  <c r="Q283" i="26" s="1"/>
  <c r="N287" i="26"/>
  <c r="Q287" i="26" s="1"/>
  <c r="N284" i="26"/>
  <c r="Q284" i="26" s="1"/>
  <c r="N282" i="26"/>
  <c r="Q282" i="26" s="1"/>
  <c r="N286" i="26"/>
  <c r="Q286" i="26" s="1"/>
  <c r="N281" i="26"/>
  <c r="N289" i="26"/>
  <c r="Q289" i="26" s="1"/>
  <c r="N294" i="26"/>
  <c r="Q294" i="26" s="1"/>
  <c r="E22" i="26"/>
  <c r="T286" i="26"/>
  <c r="X285" i="26"/>
  <c r="AC285" i="26" s="1"/>
  <c r="G299" i="24"/>
  <c r="K304" i="24" s="1"/>
  <c r="H299" i="24"/>
  <c r="L304" i="24" s="1"/>
  <c r="F299" i="24"/>
  <c r="J304" i="24" s="1"/>
  <c r="E299" i="24"/>
  <c r="I304" i="24" s="1"/>
  <c r="AG285" i="24"/>
  <c r="AH284" i="24"/>
  <c r="U286" i="24"/>
  <c r="Y285" i="24"/>
  <c r="AD285" i="24" s="1"/>
  <c r="R284" i="24"/>
  <c r="AA283" i="24"/>
  <c r="V283" i="24"/>
  <c r="W282" i="24"/>
  <c r="AB282" i="24" s="1"/>
  <c r="AE282" i="24" s="1"/>
  <c r="AF286" i="24" s="1"/>
  <c r="S283" i="24"/>
  <c r="D300" i="24"/>
  <c r="C300" i="24" s="1"/>
  <c r="T287" i="24"/>
  <c r="X286" i="24"/>
  <c r="AC286" i="24" s="1"/>
  <c r="AB280" i="26" l="1"/>
  <c r="AE280" i="26" s="1"/>
  <c r="Z280" i="26"/>
  <c r="S281" i="26"/>
  <c r="S282" i="26" s="1"/>
  <c r="R285" i="28"/>
  <c r="R286" i="28" s="1"/>
  <c r="R287" i="28" s="1"/>
  <c r="R288" i="28" s="1"/>
  <c r="R289" i="28" s="1"/>
  <c r="R290" i="28" s="1"/>
  <c r="R291" i="28" s="1"/>
  <c r="R292" i="28" s="1"/>
  <c r="R293" i="28" s="1"/>
  <c r="R294" i="28" s="1"/>
  <c r="R295" i="28" s="1"/>
  <c r="R296" i="28" s="1"/>
  <c r="R297" i="28" s="1"/>
  <c r="E300" i="28"/>
  <c r="I305" i="28" s="1"/>
  <c r="F300" i="28"/>
  <c r="J305" i="28" s="1"/>
  <c r="G300" i="28"/>
  <c r="K305" i="28" s="1"/>
  <c r="H300" i="28"/>
  <c r="L305" i="28" s="1"/>
  <c r="E301" i="28"/>
  <c r="I306" i="28" s="1"/>
  <c r="F301" i="28"/>
  <c r="J306" i="28" s="1"/>
  <c r="G301" i="28"/>
  <c r="K306" i="28" s="1"/>
  <c r="H301" i="28"/>
  <c r="L306" i="28" s="1"/>
  <c r="U288" i="28"/>
  <c r="AC288" i="28"/>
  <c r="AD286" i="28"/>
  <c r="AM286" i="28"/>
  <c r="AB282" i="28"/>
  <c r="AE282" i="28" s="1"/>
  <c r="AF286" i="28" s="1"/>
  <c r="AG286" i="28" s="1"/>
  <c r="W283" i="28"/>
  <c r="Q283" i="28"/>
  <c r="AA284" i="28"/>
  <c r="V284" i="28"/>
  <c r="Y287" i="28"/>
  <c r="C21" i="28"/>
  <c r="D302" i="28"/>
  <c r="C302" i="28" s="1"/>
  <c r="X289" i="28"/>
  <c r="N289" i="28"/>
  <c r="Q289" i="28" s="1"/>
  <c r="N295" i="28"/>
  <c r="Q295" i="28" s="1"/>
  <c r="N290" i="28"/>
  <c r="Q290" i="28" s="1"/>
  <c r="N296" i="28"/>
  <c r="Q296" i="28" s="1"/>
  <c r="N293" i="28"/>
  <c r="Q293" i="28" s="1"/>
  <c r="N287" i="28"/>
  <c r="Q287" i="28" s="1"/>
  <c r="N284" i="28"/>
  <c r="S284" i="28" s="1"/>
  <c r="N285" i="28"/>
  <c r="Q285" i="28" s="1"/>
  <c r="N288" i="28"/>
  <c r="Q288" i="28" s="1"/>
  <c r="N291" i="28"/>
  <c r="Q291" i="28" s="1"/>
  <c r="N294" i="28"/>
  <c r="Q294" i="28" s="1"/>
  <c r="N297" i="28"/>
  <c r="Q297" i="28" s="1"/>
  <c r="N286" i="28"/>
  <c r="Q286" i="28" s="1"/>
  <c r="N292" i="28"/>
  <c r="Q292" i="28" s="1"/>
  <c r="G22" i="28"/>
  <c r="AH285" i="28"/>
  <c r="AH280" i="27"/>
  <c r="AI275" i="27" s="1"/>
  <c r="W278" i="27"/>
  <c r="S279" i="27"/>
  <c r="W279" i="27" s="1"/>
  <c r="AB279" i="27" s="1"/>
  <c r="AE279" i="27" s="1"/>
  <c r="AF283" i="27" s="1"/>
  <c r="D22" i="27"/>
  <c r="M281" i="27"/>
  <c r="M287" i="27"/>
  <c r="M293" i="27"/>
  <c r="M282" i="27"/>
  <c r="M288" i="27"/>
  <c r="M294" i="27"/>
  <c r="N280" i="27"/>
  <c r="Q280" i="27" s="1"/>
  <c r="M285" i="27"/>
  <c r="M286" i="27"/>
  <c r="M289" i="27"/>
  <c r="M290" i="27"/>
  <c r="M284" i="27"/>
  <c r="M283" i="27"/>
  <c r="M291" i="27"/>
  <c r="M292" i="27"/>
  <c r="T285" i="27"/>
  <c r="X284" i="27"/>
  <c r="AC284" i="27" s="1"/>
  <c r="Y280" i="27"/>
  <c r="AD280" i="27" s="1"/>
  <c r="U281" i="27"/>
  <c r="E297" i="27"/>
  <c r="I302" i="27" s="1"/>
  <c r="F297" i="27"/>
  <c r="J302" i="27" s="1"/>
  <c r="G297" i="27"/>
  <c r="K302" i="27" s="1"/>
  <c r="H297" i="27"/>
  <c r="L302" i="27" s="1"/>
  <c r="R280" i="27"/>
  <c r="D299" i="27"/>
  <c r="C299" i="27" s="1"/>
  <c r="C298" i="27"/>
  <c r="AB277" i="27"/>
  <c r="AE277" i="27" s="1"/>
  <c r="AF281" i="27" s="1"/>
  <c r="AG281" i="27" s="1"/>
  <c r="Z277" i="27"/>
  <c r="Q281" i="26"/>
  <c r="W281" i="26"/>
  <c r="AB281" i="26" s="1"/>
  <c r="AE281" i="26" s="1"/>
  <c r="H300" i="26"/>
  <c r="L315" i="26" s="1"/>
  <c r="F300" i="26"/>
  <c r="J315" i="26" s="1"/>
  <c r="E300" i="26"/>
  <c r="I315" i="26" s="1"/>
  <c r="G300" i="26"/>
  <c r="K315" i="26" s="1"/>
  <c r="U289" i="26"/>
  <c r="Y288" i="26"/>
  <c r="AD288" i="26" s="1"/>
  <c r="AA282" i="26"/>
  <c r="V282" i="26"/>
  <c r="R283" i="26"/>
  <c r="T287" i="26"/>
  <c r="X286" i="26"/>
  <c r="AC286" i="26" s="1"/>
  <c r="D301" i="26"/>
  <c r="C301" i="26" s="1"/>
  <c r="G300" i="24"/>
  <c r="K305" i="24" s="1"/>
  <c r="F300" i="24"/>
  <c r="J305" i="24" s="1"/>
  <c r="H300" i="24"/>
  <c r="L305" i="24" s="1"/>
  <c r="E300" i="24"/>
  <c r="I305" i="24" s="1"/>
  <c r="W283" i="24"/>
  <c r="AB283" i="24" s="1"/>
  <c r="AE283" i="24" s="1"/>
  <c r="AF287" i="24" s="1"/>
  <c r="S284" i="24"/>
  <c r="AH285" i="24"/>
  <c r="AG286" i="24"/>
  <c r="U287" i="24"/>
  <c r="Y286" i="24"/>
  <c r="AD286" i="24" s="1"/>
  <c r="R285" i="24"/>
  <c r="AA284" i="24"/>
  <c r="V284" i="24"/>
  <c r="Z282" i="24"/>
  <c r="D301" i="24"/>
  <c r="T288" i="24"/>
  <c r="X287" i="24"/>
  <c r="AC287" i="24" s="1"/>
  <c r="Z281" i="26" l="1"/>
  <c r="E302" i="28"/>
  <c r="I307" i="28" s="1"/>
  <c r="F302" i="28"/>
  <c r="J307" i="28" s="1"/>
  <c r="G302" i="28"/>
  <c r="H302" i="28"/>
  <c r="L307" i="28" s="1"/>
  <c r="S285" i="28"/>
  <c r="S286" i="28" s="1"/>
  <c r="S287" i="28" s="1"/>
  <c r="S288" i="28" s="1"/>
  <c r="U289" i="28"/>
  <c r="AB283" i="28"/>
  <c r="AE283" i="28" s="1"/>
  <c r="AF287" i="28" s="1"/>
  <c r="AG287" i="28" s="1"/>
  <c r="AC289" i="28"/>
  <c r="AD287" i="28"/>
  <c r="AM287" i="28"/>
  <c r="Z283" i="28"/>
  <c r="Q284" i="28"/>
  <c r="W284" i="28"/>
  <c r="AA285" i="28"/>
  <c r="V285" i="28"/>
  <c r="D303" i="28"/>
  <c r="AH286" i="28"/>
  <c r="K307" i="28"/>
  <c r="Y288" i="28"/>
  <c r="X290" i="28"/>
  <c r="AI250" i="24"/>
  <c r="AI251" i="24"/>
  <c r="Z279" i="27"/>
  <c r="S280" i="27"/>
  <c r="W280" i="27" s="1"/>
  <c r="AB280" i="27" s="1"/>
  <c r="E299" i="27"/>
  <c r="I304" i="27" s="1"/>
  <c r="F299" i="27"/>
  <c r="J304" i="27" s="1"/>
  <c r="H299" i="27"/>
  <c r="L304" i="27" s="1"/>
  <c r="G299" i="27"/>
  <c r="K304" i="27" s="1"/>
  <c r="AH281" i="27"/>
  <c r="AI276" i="27" s="1"/>
  <c r="V280" i="27"/>
  <c r="AA280" i="27"/>
  <c r="R281" i="27"/>
  <c r="T286" i="27"/>
  <c r="X285" i="27"/>
  <c r="AC285" i="27" s="1"/>
  <c r="Y281" i="27"/>
  <c r="AD281" i="27" s="1"/>
  <c r="U282" i="27"/>
  <c r="AB278" i="27"/>
  <c r="AE278" i="27" s="1"/>
  <c r="AF282" i="27" s="1"/>
  <c r="AG282" i="27" s="1"/>
  <c r="Z278" i="27"/>
  <c r="D300" i="27"/>
  <c r="C300" i="27" s="1"/>
  <c r="E298" i="27"/>
  <c r="I303" i="27" s="1"/>
  <c r="F298" i="27"/>
  <c r="J303" i="27" s="1"/>
  <c r="G298" i="27"/>
  <c r="K303" i="27" s="1"/>
  <c r="H298" i="27"/>
  <c r="L303" i="27" s="1"/>
  <c r="E22" i="27"/>
  <c r="N290" i="27"/>
  <c r="Q290" i="27" s="1"/>
  <c r="N293" i="27"/>
  <c r="Q293" i="27" s="1"/>
  <c r="N281" i="27"/>
  <c r="N283" i="27"/>
  <c r="Q283" i="27" s="1"/>
  <c r="N282" i="27"/>
  <c r="Q282" i="27" s="1"/>
  <c r="N291" i="27"/>
  <c r="Q291" i="27" s="1"/>
  <c r="N292" i="27"/>
  <c r="Q292" i="27" s="1"/>
  <c r="N285" i="27"/>
  <c r="Q285" i="27" s="1"/>
  <c r="N286" i="27"/>
  <c r="Q286" i="27" s="1"/>
  <c r="N288" i="27"/>
  <c r="Q288" i="27" s="1"/>
  <c r="N287" i="27"/>
  <c r="Q287" i="27" s="1"/>
  <c r="N289" i="27"/>
  <c r="Q289" i="27" s="1"/>
  <c r="N284" i="27"/>
  <c r="Q284" i="27" s="1"/>
  <c r="N294" i="27"/>
  <c r="Q294" i="27" s="1"/>
  <c r="H301" i="26"/>
  <c r="L316" i="26" s="1"/>
  <c r="G301" i="26"/>
  <c r="K316" i="26" s="1"/>
  <c r="E301" i="26"/>
  <c r="I316" i="26" s="1"/>
  <c r="F301" i="26"/>
  <c r="J316" i="26" s="1"/>
  <c r="U290" i="26"/>
  <c r="Y289" i="26"/>
  <c r="AD289" i="26" s="1"/>
  <c r="D302" i="26"/>
  <c r="C302" i="26" s="1"/>
  <c r="X287" i="26"/>
  <c r="AC287" i="26" s="1"/>
  <c r="T288" i="26"/>
  <c r="W282" i="26"/>
  <c r="AB282" i="26" s="1"/>
  <c r="AE282" i="26" s="1"/>
  <c r="S283" i="26"/>
  <c r="V283" i="26"/>
  <c r="R284" i="26"/>
  <c r="AA283" i="26"/>
  <c r="U288" i="24"/>
  <c r="Y287" i="24"/>
  <c r="AD287" i="24" s="1"/>
  <c r="AG287" i="24"/>
  <c r="AH286" i="24"/>
  <c r="W284" i="24"/>
  <c r="AB284" i="24" s="1"/>
  <c r="AE284" i="24" s="1"/>
  <c r="AF288" i="24" s="1"/>
  <c r="S285" i="24"/>
  <c r="Z283" i="24"/>
  <c r="D302" i="24"/>
  <c r="R286" i="24"/>
  <c r="AA285" i="24"/>
  <c r="V285" i="24"/>
  <c r="T289" i="24"/>
  <c r="X288" i="24"/>
  <c r="AC288" i="24" s="1"/>
  <c r="C301" i="24"/>
  <c r="S289" i="28" l="1"/>
  <c r="U290" i="28"/>
  <c r="AC290" i="28"/>
  <c r="AD288" i="28"/>
  <c r="AM288" i="28"/>
  <c r="AB284" i="28"/>
  <c r="AE284" i="28" s="1"/>
  <c r="AF288" i="28" s="1"/>
  <c r="AG288" i="28" s="1"/>
  <c r="Z284" i="28"/>
  <c r="AH287" i="28"/>
  <c r="D304" i="28"/>
  <c r="C304" i="28" s="1"/>
  <c r="X291" i="28"/>
  <c r="C303" i="28"/>
  <c r="Y289" i="28"/>
  <c r="V286" i="28"/>
  <c r="AA286" i="28"/>
  <c r="W285" i="28"/>
  <c r="Z280" i="27"/>
  <c r="AE280" i="27"/>
  <c r="AF284" i="27" s="1"/>
  <c r="AI252" i="24"/>
  <c r="AI254" i="24"/>
  <c r="AI253" i="24"/>
  <c r="AI255" i="24"/>
  <c r="S281" i="27"/>
  <c r="W281" i="27" s="1"/>
  <c r="AB281" i="27" s="1"/>
  <c r="I21" i="27"/>
  <c r="AG283" i="27"/>
  <c r="AH282" i="27"/>
  <c r="AI277" i="27" s="1"/>
  <c r="E300" i="27"/>
  <c r="I305" i="27" s="1"/>
  <c r="H300" i="27"/>
  <c r="L305" i="27" s="1"/>
  <c r="F300" i="27"/>
  <c r="J305" i="27" s="1"/>
  <c r="G300" i="27"/>
  <c r="K305" i="27" s="1"/>
  <c r="V281" i="27"/>
  <c r="R282" i="27"/>
  <c r="AA281" i="27"/>
  <c r="D301" i="27"/>
  <c r="Q281" i="27"/>
  <c r="Y282" i="27"/>
  <c r="AD282" i="27" s="1"/>
  <c r="U283" i="27"/>
  <c r="T287" i="27"/>
  <c r="X286" i="27"/>
  <c r="AC286" i="27" s="1"/>
  <c r="Z282" i="26"/>
  <c r="U291" i="26"/>
  <c r="Y290" i="26"/>
  <c r="AD290" i="26" s="1"/>
  <c r="H302" i="26"/>
  <c r="L317" i="26" s="1"/>
  <c r="G302" i="26"/>
  <c r="K317" i="26" s="1"/>
  <c r="F302" i="26"/>
  <c r="J317" i="26" s="1"/>
  <c r="E302" i="26"/>
  <c r="I317" i="26" s="1"/>
  <c r="D303" i="26"/>
  <c r="C303" i="26" s="1"/>
  <c r="R285" i="26"/>
  <c r="V284" i="26"/>
  <c r="AA284" i="26"/>
  <c r="W283" i="26"/>
  <c r="AB283" i="26" s="1"/>
  <c r="AE283" i="26" s="1"/>
  <c r="S284" i="26"/>
  <c r="X288" i="26"/>
  <c r="AC288" i="26" s="1"/>
  <c r="T289" i="26"/>
  <c r="W285" i="24"/>
  <c r="AB285" i="24" s="1"/>
  <c r="AE285" i="24" s="1"/>
  <c r="AF289" i="24" s="1"/>
  <c r="S286" i="24"/>
  <c r="AH287" i="24"/>
  <c r="AG288" i="24"/>
  <c r="H301" i="24"/>
  <c r="L306" i="24" s="1"/>
  <c r="G301" i="24"/>
  <c r="K306" i="24" s="1"/>
  <c r="F301" i="24"/>
  <c r="J306" i="24" s="1"/>
  <c r="E301" i="24"/>
  <c r="I306" i="24" s="1"/>
  <c r="AA286" i="24"/>
  <c r="R287" i="24"/>
  <c r="V286" i="24"/>
  <c r="D303" i="24"/>
  <c r="X289" i="24"/>
  <c r="AC289" i="24" s="1"/>
  <c r="T290" i="24"/>
  <c r="Z284" i="24"/>
  <c r="C302" i="24"/>
  <c r="Y288" i="24"/>
  <c r="AD288" i="24" s="1"/>
  <c r="U289" i="24"/>
  <c r="E303" i="28" l="1"/>
  <c r="I308" i="28" s="1"/>
  <c r="F303" i="28"/>
  <c r="J308" i="28" s="1"/>
  <c r="G303" i="28"/>
  <c r="K308" i="28" s="1"/>
  <c r="H303" i="28"/>
  <c r="L308" i="28" s="1"/>
  <c r="E304" i="28"/>
  <c r="I309" i="28" s="1"/>
  <c r="F304" i="28"/>
  <c r="J309" i="28" s="1"/>
  <c r="G304" i="28"/>
  <c r="K309" i="28" s="1"/>
  <c r="H304" i="28"/>
  <c r="L309" i="28" s="1"/>
  <c r="S290" i="28"/>
  <c r="U291" i="28"/>
  <c r="AI252" i="28"/>
  <c r="D19" i="28" s="1"/>
  <c r="AB285" i="28"/>
  <c r="AE285" i="28" s="1"/>
  <c r="AF289" i="28" s="1"/>
  <c r="AG289" i="28" s="1"/>
  <c r="AD289" i="28"/>
  <c r="AM289" i="28"/>
  <c r="AC291" i="28"/>
  <c r="Z285" i="28"/>
  <c r="X292" i="28"/>
  <c r="D305" i="28"/>
  <c r="C305" i="28" s="1"/>
  <c r="W286" i="28"/>
  <c r="AH288" i="28"/>
  <c r="V287" i="28"/>
  <c r="AA287" i="28"/>
  <c r="Y290" i="28"/>
  <c r="S282" i="27"/>
  <c r="W282" i="27" s="1"/>
  <c r="AB282" i="27" s="1"/>
  <c r="AE281" i="27"/>
  <c r="AF285" i="27" s="1"/>
  <c r="Z281" i="27"/>
  <c r="Z285" i="24"/>
  <c r="AI257" i="24"/>
  <c r="AI256" i="24"/>
  <c r="D302" i="27"/>
  <c r="C301" i="27"/>
  <c r="AA282" i="27"/>
  <c r="R283" i="27"/>
  <c r="V282" i="27"/>
  <c r="Y283" i="27"/>
  <c r="AD283" i="27" s="1"/>
  <c r="U284" i="27"/>
  <c r="T288" i="27"/>
  <c r="X287" i="27"/>
  <c r="AC287" i="27" s="1"/>
  <c r="AG284" i="27"/>
  <c r="AH283" i="27"/>
  <c r="AI278" i="27" s="1"/>
  <c r="E303" i="26"/>
  <c r="I318" i="26" s="1"/>
  <c r="G303" i="26"/>
  <c r="K318" i="26" s="1"/>
  <c r="F303" i="26"/>
  <c r="J318" i="26" s="1"/>
  <c r="H303" i="26"/>
  <c r="L318" i="26" s="1"/>
  <c r="W284" i="26"/>
  <c r="AB284" i="26" s="1"/>
  <c r="AE284" i="26" s="1"/>
  <c r="S285" i="26"/>
  <c r="D304" i="26"/>
  <c r="C304" i="26" s="1"/>
  <c r="Z283" i="26"/>
  <c r="V285" i="26"/>
  <c r="AA285" i="26"/>
  <c r="R286" i="26"/>
  <c r="U292" i="26"/>
  <c r="Y291" i="26"/>
  <c r="AD291" i="26" s="1"/>
  <c r="X289" i="26"/>
  <c r="AC289" i="26" s="1"/>
  <c r="T290" i="26"/>
  <c r="AH288" i="24"/>
  <c r="AG289" i="24"/>
  <c r="D304" i="24"/>
  <c r="W286" i="24"/>
  <c r="AB286" i="24" s="1"/>
  <c r="AE286" i="24" s="1"/>
  <c r="AF290" i="24" s="1"/>
  <c r="S287" i="24"/>
  <c r="E302" i="24"/>
  <c r="I307" i="24" s="1"/>
  <c r="H302" i="24"/>
  <c r="L307" i="24" s="1"/>
  <c r="G302" i="24"/>
  <c r="K307" i="24" s="1"/>
  <c r="F302" i="24"/>
  <c r="J307" i="24" s="1"/>
  <c r="T291" i="24"/>
  <c r="X290" i="24"/>
  <c r="AC290" i="24" s="1"/>
  <c r="C303" i="24"/>
  <c r="Y289" i="24"/>
  <c r="AD289" i="24" s="1"/>
  <c r="U290" i="24"/>
  <c r="V287" i="24"/>
  <c r="AA287" i="24"/>
  <c r="R288" i="24"/>
  <c r="S283" i="27" l="1"/>
  <c r="W283" i="27" s="1"/>
  <c r="AB283" i="27" s="1"/>
  <c r="Z282" i="27"/>
  <c r="Z284" i="26"/>
  <c r="AE282" i="27"/>
  <c r="AF286" i="27" s="1"/>
  <c r="E305" i="28"/>
  <c r="I310" i="28" s="1"/>
  <c r="F305" i="28"/>
  <c r="J310" i="28" s="1"/>
  <c r="G305" i="28"/>
  <c r="K310" i="28" s="1"/>
  <c r="H305" i="28"/>
  <c r="L310" i="28" s="1"/>
  <c r="S291" i="28"/>
  <c r="U292" i="28"/>
  <c r="AI255" i="28"/>
  <c r="AI254" i="28"/>
  <c r="AI253" i="28"/>
  <c r="AC292" i="28"/>
  <c r="AB286" i="28"/>
  <c r="AE286" i="28" s="1"/>
  <c r="AF290" i="28" s="1"/>
  <c r="AG290" i="28" s="1"/>
  <c r="AD290" i="28"/>
  <c r="AM290" i="28"/>
  <c r="Z286" i="28"/>
  <c r="D306" i="28"/>
  <c r="C306" i="28" s="1"/>
  <c r="Y291" i="28"/>
  <c r="V288" i="28"/>
  <c r="AA288" i="28"/>
  <c r="X293" i="28"/>
  <c r="AH289" i="28"/>
  <c r="W287" i="28"/>
  <c r="AI258" i="24"/>
  <c r="AI259" i="24"/>
  <c r="AI260" i="24"/>
  <c r="X288" i="27"/>
  <c r="AC288" i="27" s="1"/>
  <c r="T289" i="27"/>
  <c r="S284" i="27"/>
  <c r="W284" i="27" s="1"/>
  <c r="AB284" i="27" s="1"/>
  <c r="U285" i="27"/>
  <c r="Y284" i="27"/>
  <c r="AD284" i="27" s="1"/>
  <c r="AA283" i="27"/>
  <c r="AE283" i="27" s="1"/>
  <c r="AF287" i="27" s="1"/>
  <c r="V283" i="27"/>
  <c r="Z283" i="27" s="1"/>
  <c r="R284" i="27"/>
  <c r="F301" i="27"/>
  <c r="J306" i="27" s="1"/>
  <c r="G301" i="27"/>
  <c r="K306" i="27" s="1"/>
  <c r="E301" i="27"/>
  <c r="I306" i="27" s="1"/>
  <c r="H301" i="27"/>
  <c r="L306" i="27" s="1"/>
  <c r="D303" i="27"/>
  <c r="AG285" i="27"/>
  <c r="AH284" i="27"/>
  <c r="AI279" i="27" s="1"/>
  <c r="J21" i="27" s="1"/>
  <c r="C302" i="27"/>
  <c r="D305" i="26"/>
  <c r="C305" i="26" s="1"/>
  <c r="W285" i="26"/>
  <c r="AB285" i="26" s="1"/>
  <c r="AE285" i="26" s="1"/>
  <c r="S286" i="26"/>
  <c r="AA286" i="26"/>
  <c r="V286" i="26"/>
  <c r="R287" i="26"/>
  <c r="T291" i="26"/>
  <c r="X290" i="26"/>
  <c r="AC290" i="26" s="1"/>
  <c r="U293" i="26"/>
  <c r="Y292" i="26"/>
  <c r="AD292" i="26" s="1"/>
  <c r="H304" i="26"/>
  <c r="L319" i="26" s="1"/>
  <c r="F304" i="26"/>
  <c r="J319" i="26" s="1"/>
  <c r="G304" i="26"/>
  <c r="K319" i="26" s="1"/>
  <c r="E304" i="26"/>
  <c r="I319" i="26" s="1"/>
  <c r="W287" i="24"/>
  <c r="AB287" i="24" s="1"/>
  <c r="AE287" i="24" s="1"/>
  <c r="AF291" i="24" s="1"/>
  <c r="S288" i="24"/>
  <c r="D305" i="24"/>
  <c r="Z286" i="24"/>
  <c r="C304" i="24"/>
  <c r="AG290" i="24"/>
  <c r="AH289" i="24"/>
  <c r="U291" i="24"/>
  <c r="Y290" i="24"/>
  <c r="AD290" i="24" s="1"/>
  <c r="G303" i="24"/>
  <c r="K308" i="24" s="1"/>
  <c r="F303" i="24"/>
  <c r="J308" i="24" s="1"/>
  <c r="E303" i="24"/>
  <c r="I308" i="24" s="1"/>
  <c r="H303" i="24"/>
  <c r="L308" i="24" s="1"/>
  <c r="X291" i="24"/>
  <c r="AC291" i="24" s="1"/>
  <c r="T292" i="24"/>
  <c r="V288" i="24"/>
  <c r="R289" i="24"/>
  <c r="AA288" i="24"/>
  <c r="E306" i="28" l="1"/>
  <c r="I311" i="28" s="1"/>
  <c r="F306" i="28"/>
  <c r="J311" i="28" s="1"/>
  <c r="G306" i="28"/>
  <c r="K311" i="28" s="1"/>
  <c r="H306" i="28"/>
  <c r="L311" i="28" s="1"/>
  <c r="U293" i="28"/>
  <c r="S292" i="28"/>
  <c r="AI256" i="28"/>
  <c r="AI258" i="28"/>
  <c r="AI257" i="28"/>
  <c r="AC293" i="28"/>
  <c r="AB287" i="28"/>
  <c r="AE287" i="28" s="1"/>
  <c r="AF291" i="28" s="1"/>
  <c r="AG291" i="28" s="1"/>
  <c r="AD291" i="28"/>
  <c r="AM291" i="28"/>
  <c r="V289" i="28"/>
  <c r="AA289" i="28"/>
  <c r="Y292" i="28"/>
  <c r="Z287" i="28"/>
  <c r="W288" i="28"/>
  <c r="AH290" i="28"/>
  <c r="D307" i="28"/>
  <c r="C307" i="28" s="1"/>
  <c r="X294" i="28"/>
  <c r="AI261" i="24"/>
  <c r="AI262" i="24"/>
  <c r="AI263" i="24"/>
  <c r="R285" i="27"/>
  <c r="V284" i="27"/>
  <c r="Z284" i="27" s="1"/>
  <c r="AA284" i="27"/>
  <c r="AE284" i="27" s="1"/>
  <c r="AF288" i="27" s="1"/>
  <c r="AG286" i="27"/>
  <c r="AH285" i="27"/>
  <c r="S285" i="27"/>
  <c r="W285" i="27" s="1"/>
  <c r="AB285" i="27" s="1"/>
  <c r="U286" i="27"/>
  <c r="Y285" i="27"/>
  <c r="AD285" i="27" s="1"/>
  <c r="T290" i="27"/>
  <c r="X289" i="27"/>
  <c r="AC289" i="27" s="1"/>
  <c r="H302" i="27"/>
  <c r="L307" i="27" s="1"/>
  <c r="F302" i="27"/>
  <c r="J307" i="27" s="1"/>
  <c r="G302" i="27"/>
  <c r="K307" i="27" s="1"/>
  <c r="E302" i="27"/>
  <c r="I307" i="27" s="1"/>
  <c r="D304" i="27"/>
  <c r="C303" i="27"/>
  <c r="F305" i="26"/>
  <c r="J320" i="26" s="1"/>
  <c r="E305" i="26"/>
  <c r="I320" i="26" s="1"/>
  <c r="H305" i="26"/>
  <c r="L320" i="26" s="1"/>
  <c r="G305" i="26"/>
  <c r="K320" i="26" s="1"/>
  <c r="U294" i="26"/>
  <c r="Y293" i="26"/>
  <c r="AD293" i="26" s="1"/>
  <c r="V287" i="26"/>
  <c r="AA287" i="26"/>
  <c r="R288" i="26"/>
  <c r="X291" i="26"/>
  <c r="AC291" i="26" s="1"/>
  <c r="T292" i="26"/>
  <c r="D306" i="26"/>
  <c r="C306" i="26" s="1"/>
  <c r="Z285" i="26"/>
  <c r="W286" i="26"/>
  <c r="AB286" i="26" s="1"/>
  <c r="AE286" i="26" s="1"/>
  <c r="S287" i="26"/>
  <c r="Y291" i="24"/>
  <c r="AD291" i="24" s="1"/>
  <c r="U292" i="24"/>
  <c r="AA289" i="24"/>
  <c r="R290" i="24"/>
  <c r="V289" i="24"/>
  <c r="AH290" i="24"/>
  <c r="AG291" i="24"/>
  <c r="T293" i="24"/>
  <c r="X292" i="24"/>
  <c r="AC292" i="24" s="1"/>
  <c r="E304" i="24"/>
  <c r="I309" i="24" s="1"/>
  <c r="H304" i="24"/>
  <c r="L309" i="24" s="1"/>
  <c r="G304" i="24"/>
  <c r="K309" i="24" s="1"/>
  <c r="F304" i="24"/>
  <c r="J309" i="24" s="1"/>
  <c r="D306" i="24"/>
  <c r="C305" i="24"/>
  <c r="W288" i="24"/>
  <c r="AB288" i="24" s="1"/>
  <c r="AE288" i="24" s="1"/>
  <c r="AF292" i="24" s="1"/>
  <c r="S289" i="24"/>
  <c r="Z287" i="24"/>
  <c r="E307" i="28" l="1"/>
  <c r="I312" i="28" s="1"/>
  <c r="F307" i="28"/>
  <c r="J312" i="28" s="1"/>
  <c r="G307" i="28"/>
  <c r="K312" i="28" s="1"/>
  <c r="H307" i="28"/>
  <c r="L312" i="28" s="1"/>
  <c r="S293" i="28"/>
  <c r="U294" i="28"/>
  <c r="AI261" i="28"/>
  <c r="AI260" i="28"/>
  <c r="AI259" i="28"/>
  <c r="AB288" i="28"/>
  <c r="AE288" i="28" s="1"/>
  <c r="AF292" i="28" s="1"/>
  <c r="AG292" i="28" s="1"/>
  <c r="AC294" i="28"/>
  <c r="AD292" i="28"/>
  <c r="AM292" i="28"/>
  <c r="W289" i="28"/>
  <c r="Y293" i="28"/>
  <c r="X295" i="28"/>
  <c r="Z288" i="28"/>
  <c r="AH291" i="28"/>
  <c r="AA290" i="28"/>
  <c r="V290" i="28"/>
  <c r="D308" i="28"/>
  <c r="C308" i="28" s="1"/>
  <c r="AI264" i="24"/>
  <c r="J20" i="24" s="1"/>
  <c r="AI265" i="24"/>
  <c r="AI266" i="24"/>
  <c r="T291" i="27"/>
  <c r="X290" i="27"/>
  <c r="AC290" i="27" s="1"/>
  <c r="S286" i="27"/>
  <c r="W286" i="27" s="1"/>
  <c r="AB286" i="27" s="1"/>
  <c r="U287" i="27"/>
  <c r="Y286" i="27"/>
  <c r="AD286" i="27" s="1"/>
  <c r="AH286" i="27"/>
  <c r="AG287" i="27"/>
  <c r="F303" i="27"/>
  <c r="J308" i="27" s="1"/>
  <c r="G303" i="27"/>
  <c r="K308" i="27" s="1"/>
  <c r="H303" i="27"/>
  <c r="L308" i="27" s="1"/>
  <c r="E303" i="27"/>
  <c r="I308" i="27" s="1"/>
  <c r="D305" i="27"/>
  <c r="C304" i="27"/>
  <c r="AA285" i="27"/>
  <c r="AE285" i="27" s="1"/>
  <c r="AF289" i="27" s="1"/>
  <c r="R286" i="27"/>
  <c r="V285" i="27"/>
  <c r="Z285" i="27" s="1"/>
  <c r="G306" i="26"/>
  <c r="K321" i="26" s="1"/>
  <c r="H306" i="26"/>
  <c r="L321" i="26" s="1"/>
  <c r="E306" i="26"/>
  <c r="I321" i="26" s="1"/>
  <c r="F306" i="26"/>
  <c r="J321" i="26" s="1"/>
  <c r="W287" i="26"/>
  <c r="AB287" i="26" s="1"/>
  <c r="AE287" i="26" s="1"/>
  <c r="S288" i="26"/>
  <c r="P295" i="26"/>
  <c r="U295" i="26" s="1"/>
  <c r="Y294" i="26"/>
  <c r="AD294" i="26" s="1"/>
  <c r="Z286" i="26"/>
  <c r="AA288" i="26"/>
  <c r="R289" i="26"/>
  <c r="V288" i="26"/>
  <c r="D307" i="26"/>
  <c r="C307" i="26" s="1"/>
  <c r="X292" i="26"/>
  <c r="AC292" i="26" s="1"/>
  <c r="T293" i="26"/>
  <c r="Z288" i="24"/>
  <c r="T294" i="24"/>
  <c r="X293" i="24"/>
  <c r="AC293" i="24" s="1"/>
  <c r="AG292" i="24"/>
  <c r="AH291" i="24"/>
  <c r="V290" i="24"/>
  <c r="R291" i="24"/>
  <c r="AA290" i="24"/>
  <c r="D307" i="24"/>
  <c r="C307" i="24" s="1"/>
  <c r="C306" i="24"/>
  <c r="U293" i="24"/>
  <c r="Y292" i="24"/>
  <c r="AD292" i="24" s="1"/>
  <c r="W289" i="24"/>
  <c r="AB289" i="24" s="1"/>
  <c r="AE289" i="24" s="1"/>
  <c r="AF293" i="24" s="1"/>
  <c r="S290" i="24"/>
  <c r="G305" i="24"/>
  <c r="K310" i="24" s="1"/>
  <c r="E305" i="24"/>
  <c r="I310" i="24" s="1"/>
  <c r="H305" i="24"/>
  <c r="L310" i="24" s="1"/>
  <c r="F305" i="24"/>
  <c r="J310" i="24" s="1"/>
  <c r="E308" i="28" l="1"/>
  <c r="I313" i="28" s="1"/>
  <c r="F308" i="28"/>
  <c r="J313" i="28" s="1"/>
  <c r="G308" i="28"/>
  <c r="K313" i="28" s="1"/>
  <c r="H308" i="28"/>
  <c r="L313" i="28" s="1"/>
  <c r="S294" i="28"/>
  <c r="U295" i="28"/>
  <c r="AI262" i="28"/>
  <c r="AI263" i="28"/>
  <c r="AI264" i="28"/>
  <c r="AB289" i="28"/>
  <c r="AE289" i="28" s="1"/>
  <c r="AF293" i="28" s="1"/>
  <c r="AG293" i="28" s="1"/>
  <c r="Z289" i="28"/>
  <c r="AC295" i="28"/>
  <c r="AD293" i="28"/>
  <c r="AM293" i="28"/>
  <c r="D309" i="28"/>
  <c r="C309" i="28" s="1"/>
  <c r="X296" i="28"/>
  <c r="Y294" i="28"/>
  <c r="V291" i="28"/>
  <c r="AA291" i="28"/>
  <c r="AH292" i="28"/>
  <c r="W290" i="28"/>
  <c r="AI268" i="24"/>
  <c r="AI267" i="24"/>
  <c r="AI269" i="24"/>
  <c r="AH287" i="27"/>
  <c r="AG288" i="27"/>
  <c r="E304" i="27"/>
  <c r="I309" i="27" s="1"/>
  <c r="F304" i="27"/>
  <c r="J309" i="27" s="1"/>
  <c r="G304" i="27"/>
  <c r="K309" i="27" s="1"/>
  <c r="H304" i="27"/>
  <c r="L309" i="27" s="1"/>
  <c r="Y287" i="27"/>
  <c r="AD287" i="27" s="1"/>
  <c r="S287" i="27"/>
  <c r="W287" i="27" s="1"/>
  <c r="AB287" i="27" s="1"/>
  <c r="U288" i="27"/>
  <c r="V286" i="27"/>
  <c r="Z286" i="27" s="1"/>
  <c r="R287" i="27"/>
  <c r="AA286" i="27"/>
  <c r="AE286" i="27" s="1"/>
  <c r="AF290" i="27" s="1"/>
  <c r="D306" i="27"/>
  <c r="C305" i="27"/>
  <c r="X291" i="27"/>
  <c r="AC291" i="27" s="1"/>
  <c r="T292" i="27"/>
  <c r="G307" i="26"/>
  <c r="K322" i="26" s="1"/>
  <c r="H307" i="26"/>
  <c r="L322" i="26" s="1"/>
  <c r="F307" i="26"/>
  <c r="J322" i="26" s="1"/>
  <c r="E307" i="26"/>
  <c r="I322" i="26" s="1"/>
  <c r="T294" i="26"/>
  <c r="X293" i="26"/>
  <c r="AC293" i="26" s="1"/>
  <c r="P305" i="26"/>
  <c r="P303" i="26"/>
  <c r="P301" i="26"/>
  <c r="P299" i="26"/>
  <c r="P297" i="26"/>
  <c r="P306" i="26"/>
  <c r="P302" i="26"/>
  <c r="P307" i="26"/>
  <c r="P298" i="26"/>
  <c r="P300" i="26"/>
  <c r="P308" i="26"/>
  <c r="P309" i="26"/>
  <c r="P304" i="26"/>
  <c r="P296" i="26"/>
  <c r="U296" i="26" s="1"/>
  <c r="G23" i="26"/>
  <c r="Z287" i="26"/>
  <c r="W288" i="26"/>
  <c r="AB288" i="26" s="1"/>
  <c r="AE288" i="26" s="1"/>
  <c r="S289" i="26"/>
  <c r="R290" i="26"/>
  <c r="V289" i="26"/>
  <c r="AA289" i="26"/>
  <c r="Y295" i="26"/>
  <c r="AD295" i="26" s="1"/>
  <c r="D308" i="26"/>
  <c r="C308" i="26" s="1"/>
  <c r="D308" i="24"/>
  <c r="C308" i="24" s="1"/>
  <c r="Z289" i="24"/>
  <c r="H307" i="24"/>
  <c r="L312" i="24" s="1"/>
  <c r="G307" i="24"/>
  <c r="K312" i="24" s="1"/>
  <c r="F307" i="24"/>
  <c r="J312" i="24" s="1"/>
  <c r="E307" i="24"/>
  <c r="I312" i="24" s="1"/>
  <c r="W290" i="24"/>
  <c r="AB290" i="24" s="1"/>
  <c r="AE290" i="24" s="1"/>
  <c r="AF294" i="24" s="1"/>
  <c r="S291" i="24"/>
  <c r="U294" i="24"/>
  <c r="Y293" i="24"/>
  <c r="AD293" i="24" s="1"/>
  <c r="AH292" i="24"/>
  <c r="AG293" i="24"/>
  <c r="AA291" i="24"/>
  <c r="R292" i="24"/>
  <c r="V291" i="24"/>
  <c r="X294" i="24"/>
  <c r="AC294" i="24" s="1"/>
  <c r="O295" i="24"/>
  <c r="G306" i="24"/>
  <c r="K311" i="24" s="1"/>
  <c r="F306" i="24"/>
  <c r="J311" i="24" s="1"/>
  <c r="E306" i="24"/>
  <c r="I311" i="24" s="1"/>
  <c r="H306" i="24"/>
  <c r="L311" i="24" s="1"/>
  <c r="E309" i="28" l="1"/>
  <c r="I314" i="28" s="1"/>
  <c r="F309" i="28"/>
  <c r="J314" i="28" s="1"/>
  <c r="G309" i="28"/>
  <c r="K314" i="28" s="1"/>
  <c r="H309" i="28"/>
  <c r="L314" i="28" s="1"/>
  <c r="S295" i="28"/>
  <c r="U296" i="28"/>
  <c r="AD294" i="28"/>
  <c r="AM294" i="28"/>
  <c r="AC296" i="28"/>
  <c r="AB290" i="28"/>
  <c r="AE290" i="28" s="1"/>
  <c r="AF294" i="28" s="1"/>
  <c r="AG294" i="28" s="1"/>
  <c r="Y295" i="28"/>
  <c r="Z290" i="28"/>
  <c r="O298" i="28"/>
  <c r="T298" i="28" s="1"/>
  <c r="X297" i="28"/>
  <c r="AH293" i="28"/>
  <c r="V292" i="28"/>
  <c r="AA292" i="28"/>
  <c r="W291" i="28"/>
  <c r="D310" i="28"/>
  <c r="C310" i="28" s="1"/>
  <c r="AI271" i="24"/>
  <c r="AI270" i="24"/>
  <c r="Y288" i="27"/>
  <c r="AD288" i="27" s="1"/>
  <c r="U289" i="27"/>
  <c r="S288" i="27"/>
  <c r="W288" i="27" s="1"/>
  <c r="AB288" i="27" s="1"/>
  <c r="T293" i="27"/>
  <c r="X292" i="27"/>
  <c r="AC292" i="27" s="1"/>
  <c r="E305" i="27"/>
  <c r="I310" i="27" s="1"/>
  <c r="F305" i="27"/>
  <c r="J310" i="27" s="1"/>
  <c r="G305" i="27"/>
  <c r="K310" i="27" s="1"/>
  <c r="H305" i="27"/>
  <c r="L310" i="27" s="1"/>
  <c r="D307" i="27"/>
  <c r="C307" i="27" s="1"/>
  <c r="AH288" i="27"/>
  <c r="AG289" i="27"/>
  <c r="C306" i="27"/>
  <c r="R288" i="27"/>
  <c r="V287" i="27"/>
  <c r="Z287" i="27" s="1"/>
  <c r="AA287" i="27"/>
  <c r="AE287" i="27" s="1"/>
  <c r="AF291" i="27" s="1"/>
  <c r="Y296" i="26"/>
  <c r="AD296" i="26" s="1"/>
  <c r="U297" i="26"/>
  <c r="G308" i="26"/>
  <c r="K323" i="26" s="1"/>
  <c r="F308" i="26"/>
  <c r="J323" i="26" s="1"/>
  <c r="E308" i="26"/>
  <c r="I323" i="26" s="1"/>
  <c r="H308" i="26"/>
  <c r="L323" i="26" s="1"/>
  <c r="D309" i="26"/>
  <c r="C309" i="26" s="1"/>
  <c r="X294" i="26"/>
  <c r="AC294" i="26" s="1"/>
  <c r="O295" i="26"/>
  <c r="Z288" i="26"/>
  <c r="V290" i="26"/>
  <c r="R291" i="26"/>
  <c r="AA290" i="26"/>
  <c r="W289" i="26"/>
  <c r="AB289" i="26" s="1"/>
  <c r="AE289" i="26" s="1"/>
  <c r="S290" i="26"/>
  <c r="P295" i="24"/>
  <c r="U295" i="24" s="1"/>
  <c r="Y294" i="24"/>
  <c r="AD294" i="24" s="1"/>
  <c r="W291" i="24"/>
  <c r="AB291" i="24" s="1"/>
  <c r="AE291" i="24" s="1"/>
  <c r="AF295" i="24" s="1"/>
  <c r="S292" i="24"/>
  <c r="AG294" i="24"/>
  <c r="AH293" i="24"/>
  <c r="Z290" i="24"/>
  <c r="O309" i="24"/>
  <c r="O303" i="24"/>
  <c r="O304" i="24"/>
  <c r="O300" i="24"/>
  <c r="O305" i="24"/>
  <c r="O298" i="24"/>
  <c r="O307" i="24"/>
  <c r="O308" i="24"/>
  <c r="O306" i="24"/>
  <c r="O299" i="24"/>
  <c r="O297" i="24"/>
  <c r="O302" i="24"/>
  <c r="O301" i="24"/>
  <c r="O296" i="24"/>
  <c r="F23" i="24"/>
  <c r="R293" i="24"/>
  <c r="AA292" i="24"/>
  <c r="V292" i="24"/>
  <c r="F308" i="24"/>
  <c r="J313" i="24" s="1"/>
  <c r="E308" i="24"/>
  <c r="I313" i="24" s="1"/>
  <c r="H308" i="24"/>
  <c r="L313" i="24" s="1"/>
  <c r="G308" i="24"/>
  <c r="K313" i="24" s="1"/>
  <c r="T295" i="24"/>
  <c r="D309" i="24"/>
  <c r="E310" i="28" l="1"/>
  <c r="I315" i="28" s="1"/>
  <c r="F310" i="28"/>
  <c r="J315" i="28" s="1"/>
  <c r="G310" i="28"/>
  <c r="K315" i="28" s="1"/>
  <c r="H310" i="28"/>
  <c r="L315" i="28" s="1"/>
  <c r="S296" i="28"/>
  <c r="U297" i="28"/>
  <c r="AD295" i="28"/>
  <c r="AM295" i="28"/>
  <c r="AB291" i="28"/>
  <c r="AE291" i="28" s="1"/>
  <c r="AF295" i="28" s="1"/>
  <c r="AG295" i="28" s="1"/>
  <c r="AC297" i="28"/>
  <c r="Z291" i="28"/>
  <c r="AH294" i="28"/>
  <c r="W292" i="28"/>
  <c r="X298" i="28"/>
  <c r="O312" i="28"/>
  <c r="O306" i="28"/>
  <c r="O300" i="28"/>
  <c r="O307" i="28"/>
  <c r="O303" i="28"/>
  <c r="O311" i="28"/>
  <c r="O310" i="28"/>
  <c r="O304" i="28"/>
  <c r="O299" i="28"/>
  <c r="T299" i="28" s="1"/>
  <c r="O308" i="28"/>
  <c r="O305" i="28"/>
  <c r="O309" i="28"/>
  <c r="O302" i="28"/>
  <c r="O301" i="28"/>
  <c r="H23" i="28"/>
  <c r="V293" i="28"/>
  <c r="AA293" i="28"/>
  <c r="D311" i="28"/>
  <c r="C311" i="28" s="1"/>
  <c r="Y296" i="28"/>
  <c r="Z291" i="24"/>
  <c r="AI272" i="24"/>
  <c r="AI273" i="24"/>
  <c r="F307" i="27"/>
  <c r="J312" i="27" s="1"/>
  <c r="G307" i="27"/>
  <c r="K312" i="27" s="1"/>
  <c r="E307" i="27"/>
  <c r="I312" i="27" s="1"/>
  <c r="H307" i="27"/>
  <c r="L312" i="27" s="1"/>
  <c r="T294" i="27"/>
  <c r="X293" i="27"/>
  <c r="AC293" i="27" s="1"/>
  <c r="E306" i="27"/>
  <c r="I311" i="27" s="1"/>
  <c r="F306" i="27"/>
  <c r="J311" i="27" s="1"/>
  <c r="G306" i="27"/>
  <c r="K311" i="27" s="1"/>
  <c r="H306" i="27"/>
  <c r="L311" i="27" s="1"/>
  <c r="S289" i="27"/>
  <c r="W289" i="27" s="1"/>
  <c r="AB289" i="27" s="1"/>
  <c r="U290" i="27"/>
  <c r="Y289" i="27"/>
  <c r="AD289" i="27" s="1"/>
  <c r="AH289" i="27"/>
  <c r="AG290" i="27"/>
  <c r="AA288" i="27"/>
  <c r="AE288" i="27" s="1"/>
  <c r="AF292" i="27" s="1"/>
  <c r="R289" i="27"/>
  <c r="V288" i="27"/>
  <c r="Z288" i="27" s="1"/>
  <c r="D308" i="27"/>
  <c r="E309" i="26"/>
  <c r="I324" i="26" s="1"/>
  <c r="H309" i="26"/>
  <c r="L324" i="26" s="1"/>
  <c r="G309" i="26"/>
  <c r="K324" i="26" s="1"/>
  <c r="F309" i="26"/>
  <c r="J324" i="26" s="1"/>
  <c r="D310" i="26"/>
  <c r="C310" i="26" s="1"/>
  <c r="O309" i="26"/>
  <c r="O299" i="26"/>
  <c r="O306" i="26"/>
  <c r="O305" i="26"/>
  <c r="O298" i="26"/>
  <c r="O308" i="26"/>
  <c r="O303" i="26"/>
  <c r="O307" i="26"/>
  <c r="O300" i="26"/>
  <c r="O297" i="26"/>
  <c r="O301" i="26"/>
  <c r="O304" i="26"/>
  <c r="O296" i="26"/>
  <c r="O302" i="26"/>
  <c r="F23" i="26"/>
  <c r="AA291" i="26"/>
  <c r="R292" i="26"/>
  <c r="V291" i="26"/>
  <c r="T295" i="26"/>
  <c r="W290" i="26"/>
  <c r="AB290" i="26" s="1"/>
  <c r="AE290" i="26" s="1"/>
  <c r="S291" i="26"/>
  <c r="Z289" i="26"/>
  <c r="Y297" i="26"/>
  <c r="AD297" i="26" s="1"/>
  <c r="U298" i="26"/>
  <c r="T296" i="24"/>
  <c r="X295" i="24"/>
  <c r="AC295" i="24" s="1"/>
  <c r="AG295" i="24"/>
  <c r="AH294" i="24"/>
  <c r="W292" i="24"/>
  <c r="AB292" i="24" s="1"/>
  <c r="AE292" i="24" s="1"/>
  <c r="AF296" i="24" s="1"/>
  <c r="S293" i="24"/>
  <c r="Y295" i="24"/>
  <c r="AD295" i="24" s="1"/>
  <c r="D310" i="24"/>
  <c r="R294" i="24"/>
  <c r="AA293" i="24"/>
  <c r="V293" i="24"/>
  <c r="C309" i="24"/>
  <c r="P309" i="24"/>
  <c r="P300" i="24"/>
  <c r="P305" i="24"/>
  <c r="P298" i="24"/>
  <c r="P302" i="24"/>
  <c r="P306" i="24"/>
  <c r="P299" i="24"/>
  <c r="P296" i="24"/>
  <c r="U296" i="24" s="1"/>
  <c r="P304" i="24"/>
  <c r="P307" i="24"/>
  <c r="P303" i="24"/>
  <c r="P301" i="24"/>
  <c r="P308" i="24"/>
  <c r="P297" i="24"/>
  <c r="G23" i="24"/>
  <c r="AI280" i="27" l="1"/>
  <c r="T300" i="28"/>
  <c r="T301" i="28" s="1"/>
  <c r="E311" i="28"/>
  <c r="I316" i="28" s="1"/>
  <c r="F311" i="28"/>
  <c r="J316" i="28" s="1"/>
  <c r="G311" i="28"/>
  <c r="K316" i="28" s="1"/>
  <c r="H311" i="28"/>
  <c r="L316" i="28" s="1"/>
  <c r="T302" i="28"/>
  <c r="T303" i="28" s="1"/>
  <c r="T304" i="28" s="1"/>
  <c r="T305" i="28" s="1"/>
  <c r="T306" i="28" s="1"/>
  <c r="T307" i="28" s="1"/>
  <c r="T308" i="28" s="1"/>
  <c r="T309" i="28" s="1"/>
  <c r="T310" i="28" s="1"/>
  <c r="T311" i="28" s="1"/>
  <c r="T312" i="28" s="1"/>
  <c r="S297" i="28"/>
  <c r="AD296" i="28"/>
  <c r="AM296" i="28"/>
  <c r="AC298" i="28"/>
  <c r="AB292" i="28"/>
  <c r="AE292" i="28" s="1"/>
  <c r="AF296" i="28" s="1"/>
  <c r="AG296" i="28" s="1"/>
  <c r="Z292" i="28"/>
  <c r="Y297" i="28"/>
  <c r="P298" i="28"/>
  <c r="U298" i="28" s="1"/>
  <c r="D312" i="28"/>
  <c r="C312" i="28" s="1"/>
  <c r="X299" i="28"/>
  <c r="W293" i="28"/>
  <c r="AH295" i="28"/>
  <c r="V294" i="28"/>
  <c r="AA294" i="28"/>
  <c r="AI275" i="24"/>
  <c r="AI274" i="24"/>
  <c r="S290" i="27"/>
  <c r="W290" i="27" s="1"/>
  <c r="AB290" i="27" s="1"/>
  <c r="U291" i="27"/>
  <c r="Y290" i="27"/>
  <c r="AD290" i="27" s="1"/>
  <c r="D309" i="27"/>
  <c r="C308" i="27"/>
  <c r="O295" i="27"/>
  <c r="T295" i="27" s="1"/>
  <c r="X294" i="27"/>
  <c r="AC294" i="27" s="1"/>
  <c r="AG291" i="27"/>
  <c r="AH290" i="27"/>
  <c r="AI281" i="27" s="1"/>
  <c r="AA289" i="27"/>
  <c r="AE289" i="27" s="1"/>
  <c r="AF293" i="27" s="1"/>
  <c r="V289" i="27"/>
  <c r="Z289" i="27" s="1"/>
  <c r="R290" i="27"/>
  <c r="G310" i="26"/>
  <c r="K325" i="26" s="1"/>
  <c r="F310" i="26"/>
  <c r="J325" i="26" s="1"/>
  <c r="E310" i="26"/>
  <c r="I325" i="26" s="1"/>
  <c r="H310" i="26"/>
  <c r="L325" i="26" s="1"/>
  <c r="V292" i="26"/>
  <c r="AA292" i="26"/>
  <c r="R293" i="26"/>
  <c r="U299" i="26"/>
  <c r="Y298" i="26"/>
  <c r="AD298" i="26" s="1"/>
  <c r="W291" i="26"/>
  <c r="AB291" i="26" s="1"/>
  <c r="AE291" i="26" s="1"/>
  <c r="S292" i="26"/>
  <c r="D311" i="26"/>
  <c r="Z290" i="26"/>
  <c r="T296" i="26"/>
  <c r="X295" i="26"/>
  <c r="AC295" i="26" s="1"/>
  <c r="W293" i="24"/>
  <c r="AB293" i="24" s="1"/>
  <c r="AE293" i="24" s="1"/>
  <c r="AF297" i="24" s="1"/>
  <c r="S294" i="24"/>
  <c r="Z292" i="24"/>
  <c r="AH295" i="24"/>
  <c r="AI276" i="24" s="1"/>
  <c r="AG296" i="24"/>
  <c r="V294" i="24"/>
  <c r="M295" i="24"/>
  <c r="R295" i="24" s="1"/>
  <c r="AA294" i="24"/>
  <c r="E309" i="24"/>
  <c r="I314" i="24" s="1"/>
  <c r="G309" i="24"/>
  <c r="K314" i="24" s="1"/>
  <c r="F309" i="24"/>
  <c r="J314" i="24" s="1"/>
  <c r="H309" i="24"/>
  <c r="L314" i="24" s="1"/>
  <c r="D311" i="24"/>
  <c r="C311" i="24" s="1"/>
  <c r="X296" i="24"/>
  <c r="AC296" i="24" s="1"/>
  <c r="T297" i="24"/>
  <c r="U297" i="24"/>
  <c r="Y296" i="24"/>
  <c r="AD296" i="24" s="1"/>
  <c r="C310" i="24"/>
  <c r="E312" i="28" l="1"/>
  <c r="I317" i="28" s="1"/>
  <c r="F312" i="28"/>
  <c r="J317" i="28" s="1"/>
  <c r="G312" i="28"/>
  <c r="K317" i="28" s="1"/>
  <c r="H312" i="28"/>
  <c r="L317" i="28" s="1"/>
  <c r="AB293" i="28"/>
  <c r="AE293" i="28" s="1"/>
  <c r="AF297" i="28" s="1"/>
  <c r="AG297" i="28" s="1"/>
  <c r="AC299" i="28"/>
  <c r="AD297" i="28"/>
  <c r="AM297" i="28"/>
  <c r="AA295" i="28"/>
  <c r="V295" i="28"/>
  <c r="D313" i="28"/>
  <c r="C313" i="28" s="1"/>
  <c r="P307" i="28"/>
  <c r="P301" i="28"/>
  <c r="P306" i="28"/>
  <c r="P303" i="28"/>
  <c r="P312" i="28"/>
  <c r="P300" i="28"/>
  <c r="P302" i="28"/>
  <c r="P299" i="28"/>
  <c r="U299" i="28" s="1"/>
  <c r="P308" i="28"/>
  <c r="P305" i="28"/>
  <c r="P311" i="28"/>
  <c r="P304" i="28"/>
  <c r="P309" i="28"/>
  <c r="P310" i="28"/>
  <c r="I23" i="28"/>
  <c r="AH296" i="28"/>
  <c r="Z293" i="28"/>
  <c r="W294" i="28"/>
  <c r="X300" i="28"/>
  <c r="Z293" i="24"/>
  <c r="F23" i="27"/>
  <c r="O299" i="27"/>
  <c r="O305" i="27"/>
  <c r="O296" i="27"/>
  <c r="T296" i="27" s="1"/>
  <c r="O307" i="27"/>
  <c r="O302" i="27"/>
  <c r="O297" i="27"/>
  <c r="O308" i="27"/>
  <c r="O298" i="27"/>
  <c r="O306" i="27"/>
  <c r="O309" i="27"/>
  <c r="O301" i="27"/>
  <c r="O304" i="27"/>
  <c r="O300" i="27"/>
  <c r="O303" i="27"/>
  <c r="H308" i="27"/>
  <c r="L313" i="27" s="1"/>
  <c r="G308" i="27"/>
  <c r="K313" i="27" s="1"/>
  <c r="E308" i="27"/>
  <c r="I313" i="27" s="1"/>
  <c r="F308" i="27"/>
  <c r="J313" i="27" s="1"/>
  <c r="D310" i="27"/>
  <c r="C309" i="27"/>
  <c r="AG292" i="27"/>
  <c r="AH291" i="27"/>
  <c r="AI282" i="27" s="1"/>
  <c r="R291" i="27"/>
  <c r="V290" i="27"/>
  <c r="Z290" i="27" s="1"/>
  <c r="AA290" i="27"/>
  <c r="AE290" i="27" s="1"/>
  <c r="AF294" i="27" s="1"/>
  <c r="S291" i="27"/>
  <c r="W291" i="27" s="1"/>
  <c r="AB291" i="27" s="1"/>
  <c r="U292" i="27"/>
  <c r="Y291" i="27"/>
  <c r="AD291" i="27" s="1"/>
  <c r="X295" i="27"/>
  <c r="AC295" i="27" s="1"/>
  <c r="U300" i="26"/>
  <c r="Y299" i="26"/>
  <c r="AD299" i="26" s="1"/>
  <c r="X296" i="26"/>
  <c r="AC296" i="26" s="1"/>
  <c r="T297" i="26"/>
  <c r="Z291" i="26"/>
  <c r="D312" i="26"/>
  <c r="AA293" i="26"/>
  <c r="V293" i="26"/>
  <c r="R294" i="26"/>
  <c r="C311" i="26"/>
  <c r="W292" i="26"/>
  <c r="AB292" i="26" s="1"/>
  <c r="AE292" i="26" s="1"/>
  <c r="S293" i="26"/>
  <c r="V295" i="24"/>
  <c r="AA295" i="24"/>
  <c r="G311" i="24"/>
  <c r="K316" i="24" s="1"/>
  <c r="E311" i="24"/>
  <c r="I316" i="24" s="1"/>
  <c r="H311" i="24"/>
  <c r="L316" i="24" s="1"/>
  <c r="F311" i="24"/>
  <c r="J316" i="24" s="1"/>
  <c r="G310" i="24"/>
  <c r="K315" i="24" s="1"/>
  <c r="E310" i="24"/>
  <c r="I315" i="24" s="1"/>
  <c r="H310" i="24"/>
  <c r="L315" i="24" s="1"/>
  <c r="F310" i="24"/>
  <c r="J315" i="24" s="1"/>
  <c r="Y297" i="24"/>
  <c r="AD297" i="24" s="1"/>
  <c r="U298" i="24"/>
  <c r="X297" i="24"/>
  <c r="AC297" i="24" s="1"/>
  <c r="T298" i="24"/>
  <c r="AH296" i="24"/>
  <c r="AG297" i="24"/>
  <c r="W294" i="24"/>
  <c r="AB294" i="24" s="1"/>
  <c r="AE294" i="24" s="1"/>
  <c r="AF298" i="24" s="1"/>
  <c r="M308" i="24"/>
  <c r="M302" i="24"/>
  <c r="M309" i="24"/>
  <c r="M303" i="24"/>
  <c r="M306" i="24"/>
  <c r="M297" i="24"/>
  <c r="M300" i="24"/>
  <c r="M305" i="24"/>
  <c r="M299" i="24"/>
  <c r="M296" i="24"/>
  <c r="R296" i="24" s="1"/>
  <c r="M307" i="24"/>
  <c r="M301" i="24"/>
  <c r="M304" i="24"/>
  <c r="M298" i="24"/>
  <c r="D23" i="24"/>
  <c r="N295" i="24"/>
  <c r="Q295" i="24" s="1"/>
  <c r="D312" i="24"/>
  <c r="C312" i="24" s="1"/>
  <c r="E313" i="28" l="1"/>
  <c r="I318" i="28" s="1"/>
  <c r="F313" i="28"/>
  <c r="J318" i="28" s="1"/>
  <c r="G313" i="28"/>
  <c r="K318" i="28" s="1"/>
  <c r="H313" i="28"/>
  <c r="L318" i="28" s="1"/>
  <c r="U300" i="28"/>
  <c r="AC300" i="28"/>
  <c r="AB294" i="28"/>
  <c r="AE294" i="28" s="1"/>
  <c r="AF298" i="28" s="1"/>
  <c r="AG298" i="28" s="1"/>
  <c r="X301" i="28"/>
  <c r="D314" i="28"/>
  <c r="C314" i="28" s="1"/>
  <c r="AA296" i="28"/>
  <c r="V296" i="28"/>
  <c r="AH297" i="28"/>
  <c r="Z294" i="28"/>
  <c r="Y298" i="28"/>
  <c r="W295" i="28"/>
  <c r="AI277" i="24"/>
  <c r="AI278" i="24"/>
  <c r="E309" i="27"/>
  <c r="I314" i="27" s="1"/>
  <c r="G309" i="27"/>
  <c r="K314" i="27" s="1"/>
  <c r="H309" i="27"/>
  <c r="L314" i="27" s="1"/>
  <c r="F309" i="27"/>
  <c r="J314" i="27" s="1"/>
  <c r="AH292" i="27"/>
  <c r="AG293" i="27"/>
  <c r="D311" i="27"/>
  <c r="C311" i="27" s="1"/>
  <c r="C310" i="27"/>
  <c r="S292" i="27"/>
  <c r="W292" i="27" s="1"/>
  <c r="AB292" i="27" s="1"/>
  <c r="U293" i="27"/>
  <c r="Y292" i="27"/>
  <c r="AD292" i="27" s="1"/>
  <c r="T297" i="27"/>
  <c r="X296" i="27"/>
  <c r="AC296" i="27" s="1"/>
  <c r="R292" i="27"/>
  <c r="V291" i="27"/>
  <c r="Z291" i="27" s="1"/>
  <c r="AA291" i="27"/>
  <c r="AE291" i="27" s="1"/>
  <c r="AF295" i="27" s="1"/>
  <c r="Z292" i="26"/>
  <c r="D313" i="26"/>
  <c r="C313" i="26" s="1"/>
  <c r="C312" i="26"/>
  <c r="W293" i="26"/>
  <c r="AB293" i="26" s="1"/>
  <c r="AE293" i="26" s="1"/>
  <c r="S294" i="26"/>
  <c r="E311" i="26"/>
  <c r="I326" i="26" s="1"/>
  <c r="H311" i="26"/>
  <c r="L326" i="26" s="1"/>
  <c r="G311" i="26"/>
  <c r="K326" i="26" s="1"/>
  <c r="F311" i="26"/>
  <c r="J326" i="26" s="1"/>
  <c r="X297" i="26"/>
  <c r="AC297" i="26" s="1"/>
  <c r="T298" i="26"/>
  <c r="V294" i="26"/>
  <c r="M295" i="26"/>
  <c r="AA294" i="26"/>
  <c r="U301" i="26"/>
  <c r="Y300" i="26"/>
  <c r="AD300" i="26" s="1"/>
  <c r="S295" i="24"/>
  <c r="W295" i="24" s="1"/>
  <c r="AB295" i="24" s="1"/>
  <c r="AE295" i="24" s="1"/>
  <c r="AF299" i="24" s="1"/>
  <c r="V296" i="24"/>
  <c r="AA296" i="24"/>
  <c r="R297" i="24"/>
  <c r="G312" i="24"/>
  <c r="K317" i="24" s="1"/>
  <c r="H312" i="24"/>
  <c r="L317" i="24" s="1"/>
  <c r="F312" i="24"/>
  <c r="J317" i="24" s="1"/>
  <c r="E312" i="24"/>
  <c r="I317" i="24" s="1"/>
  <c r="AG298" i="24"/>
  <c r="AH297" i="24"/>
  <c r="X298" i="24"/>
  <c r="AC298" i="24" s="1"/>
  <c r="T299" i="24"/>
  <c r="U299" i="24"/>
  <c r="Y298" i="24"/>
  <c r="AD298" i="24" s="1"/>
  <c r="D313" i="24"/>
  <c r="C313" i="24" s="1"/>
  <c r="N308" i="24"/>
  <c r="Q308" i="24" s="1"/>
  <c r="N303" i="24"/>
  <c r="Q303" i="24" s="1"/>
  <c r="N297" i="24"/>
  <c r="Q297" i="24" s="1"/>
  <c r="N300" i="24"/>
  <c r="Q300" i="24" s="1"/>
  <c r="N305" i="24"/>
  <c r="Q305" i="24" s="1"/>
  <c r="N299" i="24"/>
  <c r="Q299" i="24" s="1"/>
  <c r="N296" i="24"/>
  <c r="Q296" i="24" s="1"/>
  <c r="N307" i="24"/>
  <c r="Q307" i="24" s="1"/>
  <c r="N309" i="24"/>
  <c r="Q309" i="24" s="1"/>
  <c r="N298" i="24"/>
  <c r="Q298" i="24" s="1"/>
  <c r="N301" i="24"/>
  <c r="Q301" i="24" s="1"/>
  <c r="N304" i="24"/>
  <c r="Q304" i="24" s="1"/>
  <c r="N302" i="24"/>
  <c r="Q302" i="24" s="1"/>
  <c r="N306" i="24"/>
  <c r="Q306" i="24" s="1"/>
  <c r="E23" i="24"/>
  <c r="Z294" i="24"/>
  <c r="AI283" i="27" l="1"/>
  <c r="AI284" i="27"/>
  <c r="E314" i="28"/>
  <c r="I319" i="28" s="1"/>
  <c r="F314" i="28"/>
  <c r="J319" i="28" s="1"/>
  <c r="G314" i="28"/>
  <c r="K319" i="28" s="1"/>
  <c r="H314" i="28"/>
  <c r="L319" i="28" s="1"/>
  <c r="U301" i="28"/>
  <c r="AC301" i="28"/>
  <c r="AB295" i="28"/>
  <c r="AE295" i="28" s="1"/>
  <c r="AF299" i="28" s="1"/>
  <c r="AG299" i="28" s="1"/>
  <c r="AD298" i="28"/>
  <c r="W296" i="28"/>
  <c r="Z295" i="28"/>
  <c r="D315" i="28"/>
  <c r="X302" i="28"/>
  <c r="Y299" i="28"/>
  <c r="AH298" i="28"/>
  <c r="M298" i="28"/>
  <c r="R298" i="28" s="1"/>
  <c r="AA297" i="28"/>
  <c r="V297" i="28"/>
  <c r="AI279" i="24"/>
  <c r="J21" i="24" s="1"/>
  <c r="AI280" i="24"/>
  <c r="E310" i="27"/>
  <c r="I315" i="27" s="1"/>
  <c r="G310" i="27"/>
  <c r="K315" i="27" s="1"/>
  <c r="H310" i="27"/>
  <c r="L315" i="27" s="1"/>
  <c r="F310" i="27"/>
  <c r="J315" i="27" s="1"/>
  <c r="Y293" i="27"/>
  <c r="AD293" i="27" s="1"/>
  <c r="U294" i="27"/>
  <c r="S293" i="27"/>
  <c r="W293" i="27" s="1"/>
  <c r="AB293" i="27" s="1"/>
  <c r="D312" i="27"/>
  <c r="C312" i="27" s="1"/>
  <c r="H311" i="27"/>
  <c r="L316" i="27" s="1"/>
  <c r="E311" i="27"/>
  <c r="I316" i="27" s="1"/>
  <c r="F311" i="27"/>
  <c r="J316" i="27" s="1"/>
  <c r="G311" i="27"/>
  <c r="K316" i="27" s="1"/>
  <c r="AG294" i="27"/>
  <c r="AH293" i="27"/>
  <c r="V292" i="27"/>
  <c r="Z292" i="27" s="1"/>
  <c r="AA292" i="27"/>
  <c r="AE292" i="27" s="1"/>
  <c r="AF296" i="27" s="1"/>
  <c r="R293" i="27"/>
  <c r="T298" i="27"/>
  <c r="X297" i="27"/>
  <c r="AC297" i="27" s="1"/>
  <c r="E313" i="26"/>
  <c r="I328" i="26" s="1"/>
  <c r="F313" i="26"/>
  <c r="J328" i="26" s="1"/>
  <c r="H313" i="26"/>
  <c r="L328" i="26" s="1"/>
  <c r="G313" i="26"/>
  <c r="K328" i="26" s="1"/>
  <c r="W294" i="26"/>
  <c r="AB294" i="26" s="1"/>
  <c r="AE294" i="26" s="1"/>
  <c r="G312" i="26"/>
  <c r="K327" i="26" s="1"/>
  <c r="F312" i="26"/>
  <c r="J327" i="26" s="1"/>
  <c r="E312" i="26"/>
  <c r="I327" i="26" s="1"/>
  <c r="H312" i="26"/>
  <c r="L327" i="26" s="1"/>
  <c r="M309" i="26"/>
  <c r="M307" i="26"/>
  <c r="M303" i="26"/>
  <c r="M296" i="26"/>
  <c r="M306" i="26"/>
  <c r="M297" i="26"/>
  <c r="M299" i="26"/>
  <c r="M308" i="26"/>
  <c r="M301" i="26"/>
  <c r="M300" i="26"/>
  <c r="M302" i="26"/>
  <c r="M298" i="26"/>
  <c r="M305" i="26"/>
  <c r="M304" i="26"/>
  <c r="D23" i="26"/>
  <c r="N295" i="26"/>
  <c r="Q295" i="26" s="1"/>
  <c r="D314" i="26"/>
  <c r="C314" i="26" s="1"/>
  <c r="R295" i="26"/>
  <c r="Y301" i="26"/>
  <c r="AD301" i="26" s="1"/>
  <c r="U302" i="26"/>
  <c r="T299" i="26"/>
  <c r="X298" i="26"/>
  <c r="AC298" i="26" s="1"/>
  <c r="Z293" i="26"/>
  <c r="F313" i="24"/>
  <c r="J318" i="24" s="1"/>
  <c r="E313" i="24"/>
  <c r="I318" i="24" s="1"/>
  <c r="G313" i="24"/>
  <c r="K318" i="24" s="1"/>
  <c r="H313" i="24"/>
  <c r="L318" i="24" s="1"/>
  <c r="AH298" i="24"/>
  <c r="AG299" i="24"/>
  <c r="D314" i="24"/>
  <c r="C314" i="24" s="1"/>
  <c r="U300" i="24"/>
  <c r="Y299" i="24"/>
  <c r="AD299" i="24" s="1"/>
  <c r="S296" i="24"/>
  <c r="X299" i="24"/>
  <c r="AC299" i="24" s="1"/>
  <c r="T300" i="24"/>
  <c r="AA297" i="24"/>
  <c r="R298" i="24"/>
  <c r="V297" i="24"/>
  <c r="Z295" i="24"/>
  <c r="I22" i="24"/>
  <c r="AI285" i="27" l="1"/>
  <c r="Z294" i="26"/>
  <c r="U302" i="28"/>
  <c r="AB296" i="28"/>
  <c r="AE296" i="28" s="1"/>
  <c r="AF300" i="28" s="1"/>
  <c r="AG300" i="28" s="1"/>
  <c r="AD299" i="28"/>
  <c r="AC302" i="28"/>
  <c r="Z296" i="28"/>
  <c r="X303" i="28"/>
  <c r="D316" i="28"/>
  <c r="V298" i="28"/>
  <c r="AA298" i="28"/>
  <c r="C315" i="28"/>
  <c r="M311" i="28"/>
  <c r="M305" i="28"/>
  <c r="M299" i="28"/>
  <c r="R299" i="28" s="1"/>
  <c r="M312" i="28"/>
  <c r="M306" i="28"/>
  <c r="M300" i="28"/>
  <c r="M310" i="28"/>
  <c r="M304" i="28"/>
  <c r="M301" i="28"/>
  <c r="M308" i="28"/>
  <c r="M303" i="28"/>
  <c r="M309" i="28"/>
  <c r="M302" i="28"/>
  <c r="M307" i="28"/>
  <c r="F23" i="28"/>
  <c r="N298" i="28"/>
  <c r="S298" i="28" s="1"/>
  <c r="AH299" i="28"/>
  <c r="W297" i="28"/>
  <c r="Y300" i="28"/>
  <c r="AI281" i="24"/>
  <c r="E312" i="27"/>
  <c r="I317" i="27" s="1"/>
  <c r="F312" i="27"/>
  <c r="J317" i="27" s="1"/>
  <c r="G312" i="27"/>
  <c r="K317" i="27" s="1"/>
  <c r="H312" i="27"/>
  <c r="L317" i="27" s="1"/>
  <c r="X298" i="27"/>
  <c r="AC298" i="27" s="1"/>
  <c r="T299" i="27"/>
  <c r="Y294" i="27"/>
  <c r="AD294" i="27" s="1"/>
  <c r="P295" i="27"/>
  <c r="S294" i="27"/>
  <c r="W294" i="27" s="1"/>
  <c r="AB294" i="27" s="1"/>
  <c r="D313" i="27"/>
  <c r="C313" i="27" s="1"/>
  <c r="AH294" i="27"/>
  <c r="AG295" i="27"/>
  <c r="V293" i="27"/>
  <c r="Z293" i="27" s="1"/>
  <c r="AA293" i="27"/>
  <c r="AE293" i="27" s="1"/>
  <c r="AF297" i="27" s="1"/>
  <c r="R294" i="27"/>
  <c r="I22" i="26"/>
  <c r="J22" i="26" s="1"/>
  <c r="X299" i="26"/>
  <c r="AC299" i="26" s="1"/>
  <c r="T300" i="26"/>
  <c r="V295" i="26"/>
  <c r="R296" i="26"/>
  <c r="AA295" i="26"/>
  <c r="S295" i="26"/>
  <c r="D315" i="26"/>
  <c r="C315" i="26" s="1"/>
  <c r="G314" i="26"/>
  <c r="K329" i="26" s="1"/>
  <c r="F314" i="26"/>
  <c r="J329" i="26" s="1"/>
  <c r="E314" i="26"/>
  <c r="I329" i="26" s="1"/>
  <c r="H314" i="26"/>
  <c r="L329" i="26" s="1"/>
  <c r="U303" i="26"/>
  <c r="Y302" i="26"/>
  <c r="AD302" i="26" s="1"/>
  <c r="N296" i="26"/>
  <c r="Q296" i="26" s="1"/>
  <c r="N309" i="26"/>
  <c r="Q309" i="26" s="1"/>
  <c r="N299" i="26"/>
  <c r="Q299" i="26" s="1"/>
  <c r="N302" i="26"/>
  <c r="Q302" i="26" s="1"/>
  <c r="N308" i="26"/>
  <c r="Q308" i="26" s="1"/>
  <c r="N301" i="26"/>
  <c r="Q301" i="26" s="1"/>
  <c r="N307" i="26"/>
  <c r="Q307" i="26" s="1"/>
  <c r="N306" i="26"/>
  <c r="Q306" i="26" s="1"/>
  <c r="N300" i="26"/>
  <c r="Q300" i="26" s="1"/>
  <c r="N297" i="26"/>
  <c r="Q297" i="26" s="1"/>
  <c r="N305" i="26"/>
  <c r="Q305" i="26" s="1"/>
  <c r="N298" i="26"/>
  <c r="Q298" i="26" s="1"/>
  <c r="N303" i="26"/>
  <c r="Q303" i="26" s="1"/>
  <c r="N304" i="26"/>
  <c r="Q304" i="26" s="1"/>
  <c r="E23" i="26"/>
  <c r="H314" i="24"/>
  <c r="L319" i="24" s="1"/>
  <c r="G314" i="24"/>
  <c r="K319" i="24" s="1"/>
  <c r="F314" i="24"/>
  <c r="J319" i="24" s="1"/>
  <c r="E314" i="24"/>
  <c r="I319" i="24" s="1"/>
  <c r="U301" i="24"/>
  <c r="Y300" i="24"/>
  <c r="AD300" i="24" s="1"/>
  <c r="AH299" i="24"/>
  <c r="D315" i="24"/>
  <c r="C315" i="24" s="1"/>
  <c r="AA298" i="24"/>
  <c r="R299" i="24"/>
  <c r="V298" i="24"/>
  <c r="W296" i="24"/>
  <c r="S297" i="24"/>
  <c r="T301" i="24"/>
  <c r="X300" i="24"/>
  <c r="AC300" i="24" s="1"/>
  <c r="AI286" i="27" l="1"/>
  <c r="E315" i="28"/>
  <c r="I320" i="28" s="1"/>
  <c r="F315" i="28"/>
  <c r="J320" i="28" s="1"/>
  <c r="G315" i="28"/>
  <c r="K320" i="28" s="1"/>
  <c r="H315" i="28"/>
  <c r="L320" i="28" s="1"/>
  <c r="R300" i="28"/>
  <c r="R301" i="28" s="1"/>
  <c r="R302" i="28" s="1"/>
  <c r="R303" i="28" s="1"/>
  <c r="R304" i="28" s="1"/>
  <c r="R305" i="28" s="1"/>
  <c r="R306" i="28" s="1"/>
  <c r="R307" i="28" s="1"/>
  <c r="R308" i="28" s="1"/>
  <c r="R309" i="28" s="1"/>
  <c r="R310" i="28" s="1"/>
  <c r="R311" i="28" s="1"/>
  <c r="R312" i="28" s="1"/>
  <c r="U303" i="28"/>
  <c r="AB297" i="28"/>
  <c r="AE297" i="28" s="1"/>
  <c r="AF301" i="28" s="1"/>
  <c r="AG301" i="28" s="1"/>
  <c r="AC303" i="28"/>
  <c r="AD300" i="28"/>
  <c r="Q298" i="28"/>
  <c r="Y301" i="28"/>
  <c r="Z297" i="28"/>
  <c r="W298" i="28"/>
  <c r="V299" i="28"/>
  <c r="AA299" i="28"/>
  <c r="AH300" i="28"/>
  <c r="D317" i="28"/>
  <c r="N312" i="28"/>
  <c r="Q312" i="28" s="1"/>
  <c r="N306" i="28"/>
  <c r="Q306" i="28" s="1"/>
  <c r="N300" i="28"/>
  <c r="Q300" i="28" s="1"/>
  <c r="N303" i="28"/>
  <c r="Q303" i="28" s="1"/>
  <c r="N301" i="28"/>
  <c r="Q301" i="28" s="1"/>
  <c r="N310" i="28"/>
  <c r="Q310" i="28" s="1"/>
  <c r="N304" i="28"/>
  <c r="Q304" i="28" s="1"/>
  <c r="N299" i="28"/>
  <c r="S299" i="28" s="1"/>
  <c r="N308" i="28"/>
  <c r="Q308" i="28" s="1"/>
  <c r="N305" i="28"/>
  <c r="Q305" i="28" s="1"/>
  <c r="N311" i="28"/>
  <c r="Q311" i="28" s="1"/>
  <c r="N309" i="28"/>
  <c r="Q309" i="28" s="1"/>
  <c r="N307" i="28"/>
  <c r="Q307" i="28" s="1"/>
  <c r="N302" i="28"/>
  <c r="Q302" i="28" s="1"/>
  <c r="G23" i="28"/>
  <c r="C316" i="28"/>
  <c r="X304" i="28"/>
  <c r="F313" i="27"/>
  <c r="J318" i="27" s="1"/>
  <c r="G313" i="27"/>
  <c r="K318" i="27" s="1"/>
  <c r="E313" i="27"/>
  <c r="I318" i="27" s="1"/>
  <c r="H313" i="27"/>
  <c r="L318" i="27" s="1"/>
  <c r="D314" i="27"/>
  <c r="G23" i="27"/>
  <c r="P300" i="27"/>
  <c r="P306" i="27"/>
  <c r="P301" i="27"/>
  <c r="P304" i="27"/>
  <c r="P296" i="27"/>
  <c r="P299" i="27"/>
  <c r="P302" i="27"/>
  <c r="P297" i="27"/>
  <c r="P305" i="27"/>
  <c r="P303" i="27"/>
  <c r="P298" i="27"/>
  <c r="P309" i="27"/>
  <c r="P307" i="27"/>
  <c r="P308" i="27"/>
  <c r="U295" i="27"/>
  <c r="X299" i="27"/>
  <c r="AC299" i="27" s="1"/>
  <c r="T300" i="27"/>
  <c r="AA294" i="27"/>
  <c r="AE294" i="27" s="1"/>
  <c r="AF298" i="27" s="1"/>
  <c r="V294" i="27"/>
  <c r="Z294" i="27" s="1"/>
  <c r="M295" i="27"/>
  <c r="AG296" i="27"/>
  <c r="AH295" i="27"/>
  <c r="E315" i="26"/>
  <c r="I330" i="26" s="1"/>
  <c r="G315" i="26"/>
  <c r="K330" i="26" s="1"/>
  <c r="H315" i="26"/>
  <c r="L330" i="26" s="1"/>
  <c r="F315" i="26"/>
  <c r="J330" i="26" s="1"/>
  <c r="W295" i="26"/>
  <c r="AB295" i="26" s="1"/>
  <c r="AE295" i="26" s="1"/>
  <c r="S296" i="26"/>
  <c r="U304" i="26"/>
  <c r="Y303" i="26"/>
  <c r="AD303" i="26" s="1"/>
  <c r="V296" i="26"/>
  <c r="AA296" i="26"/>
  <c r="R297" i="26"/>
  <c r="T301" i="26"/>
  <c r="X300" i="26"/>
  <c r="AC300" i="26" s="1"/>
  <c r="D316" i="26"/>
  <c r="C316" i="26" s="1"/>
  <c r="E315" i="24"/>
  <c r="I320" i="24" s="1"/>
  <c r="H315" i="24"/>
  <c r="L320" i="24" s="1"/>
  <c r="G315" i="24"/>
  <c r="K320" i="24" s="1"/>
  <c r="F315" i="24"/>
  <c r="J320" i="24" s="1"/>
  <c r="D316" i="24"/>
  <c r="C316" i="24" s="1"/>
  <c r="Y301" i="24"/>
  <c r="AD301" i="24" s="1"/>
  <c r="U302" i="24"/>
  <c r="W297" i="24"/>
  <c r="S298" i="24"/>
  <c r="X301" i="24"/>
  <c r="AC301" i="24" s="1"/>
  <c r="T302" i="24"/>
  <c r="AB296" i="24"/>
  <c r="AE296" i="24" s="1"/>
  <c r="AF300" i="24" s="1"/>
  <c r="AG300" i="24" s="1"/>
  <c r="Z296" i="24"/>
  <c r="V299" i="24"/>
  <c r="R300" i="24"/>
  <c r="AA299" i="24"/>
  <c r="AI287" i="27" l="1"/>
  <c r="E316" i="28"/>
  <c r="I321" i="28" s="1"/>
  <c r="F316" i="28"/>
  <c r="J321" i="28" s="1"/>
  <c r="G316" i="28"/>
  <c r="K321" i="28" s="1"/>
  <c r="H316" i="28"/>
  <c r="L321" i="28" s="1"/>
  <c r="S300" i="28"/>
  <c r="S301" i="28" s="1"/>
  <c r="S302" i="28" s="1"/>
  <c r="S303" i="28" s="1"/>
  <c r="U304" i="28"/>
  <c r="AI265" i="28"/>
  <c r="AB298" i="28"/>
  <c r="AE298" i="28" s="1"/>
  <c r="AF302" i="28" s="1"/>
  <c r="AG302" i="28" s="1"/>
  <c r="AC304" i="28"/>
  <c r="AD301" i="28"/>
  <c r="Q299" i="28"/>
  <c r="Z298" i="28"/>
  <c r="W299" i="28"/>
  <c r="AH301" i="28"/>
  <c r="X305" i="28"/>
  <c r="C22" i="28"/>
  <c r="D318" i="28"/>
  <c r="C318" i="28" s="1"/>
  <c r="AA300" i="28"/>
  <c r="V300" i="28"/>
  <c r="C317" i="28"/>
  <c r="Y302" i="28"/>
  <c r="X300" i="27"/>
  <c r="AC300" i="27" s="1"/>
  <c r="T301" i="27"/>
  <c r="U296" i="27"/>
  <c r="Y295" i="27"/>
  <c r="AD295" i="27" s="1"/>
  <c r="D315" i="27"/>
  <c r="C314" i="27"/>
  <c r="AH296" i="27"/>
  <c r="AG297" i="27"/>
  <c r="I22" i="27"/>
  <c r="D23" i="27"/>
  <c r="M298" i="27"/>
  <c r="M304" i="27"/>
  <c r="M307" i="27"/>
  <c r="M299" i="27"/>
  <c r="M302" i="27"/>
  <c r="M297" i="27"/>
  <c r="M305" i="27"/>
  <c r="M308" i="27"/>
  <c r="M300" i="27"/>
  <c r="M303" i="27"/>
  <c r="M306" i="27"/>
  <c r="M309" i="27"/>
  <c r="N295" i="27"/>
  <c r="Q295" i="27" s="1"/>
  <c r="M301" i="27"/>
  <c r="M296" i="27"/>
  <c r="R295" i="27"/>
  <c r="U305" i="26"/>
  <c r="Y304" i="26"/>
  <c r="AD304" i="26" s="1"/>
  <c r="W296" i="26"/>
  <c r="AB296" i="26" s="1"/>
  <c r="AE296" i="26" s="1"/>
  <c r="S297" i="26"/>
  <c r="R298" i="26"/>
  <c r="V297" i="26"/>
  <c r="AA297" i="26"/>
  <c r="G316" i="26"/>
  <c r="K331" i="26" s="1"/>
  <c r="F316" i="26"/>
  <c r="J331" i="26" s="1"/>
  <c r="E316" i="26"/>
  <c r="I331" i="26" s="1"/>
  <c r="H316" i="26"/>
  <c r="L331" i="26" s="1"/>
  <c r="D317" i="26"/>
  <c r="C317" i="26" s="1"/>
  <c r="X301" i="26"/>
  <c r="AC301" i="26" s="1"/>
  <c r="T302" i="26"/>
  <c r="Z295" i="26"/>
  <c r="W298" i="24"/>
  <c r="S299" i="24"/>
  <c r="AB297" i="24"/>
  <c r="AE297" i="24" s="1"/>
  <c r="AF301" i="24" s="1"/>
  <c r="AG301" i="24" s="1"/>
  <c r="Z297" i="24"/>
  <c r="G316" i="24"/>
  <c r="K321" i="24" s="1"/>
  <c r="E316" i="24"/>
  <c r="I321" i="24" s="1"/>
  <c r="F316" i="24"/>
  <c r="J321" i="24" s="1"/>
  <c r="H316" i="24"/>
  <c r="L321" i="24" s="1"/>
  <c r="Y302" i="24"/>
  <c r="AD302" i="24" s="1"/>
  <c r="U303" i="24"/>
  <c r="AH300" i="24"/>
  <c r="AI282" i="24" s="1"/>
  <c r="AA300" i="24"/>
  <c r="R301" i="24"/>
  <c r="V300" i="24"/>
  <c r="D317" i="24"/>
  <c r="C317" i="24" s="1"/>
  <c r="T303" i="24"/>
  <c r="X302" i="24"/>
  <c r="AC302" i="24" s="1"/>
  <c r="AI288" i="27" l="1"/>
  <c r="E318" i="28"/>
  <c r="I323" i="28" s="1"/>
  <c r="F318" i="28"/>
  <c r="J323" i="28" s="1"/>
  <c r="G318" i="28"/>
  <c r="K323" i="28" s="1"/>
  <c r="H318" i="28"/>
  <c r="L323" i="28" s="1"/>
  <c r="E317" i="28"/>
  <c r="I322" i="28" s="1"/>
  <c r="F317" i="28"/>
  <c r="J322" i="28" s="1"/>
  <c r="G317" i="28"/>
  <c r="K322" i="28" s="1"/>
  <c r="H317" i="28"/>
  <c r="L322" i="28" s="1"/>
  <c r="U305" i="28"/>
  <c r="S304" i="28"/>
  <c r="AC305" i="28"/>
  <c r="AB299" i="28"/>
  <c r="AE299" i="28" s="1"/>
  <c r="AF303" i="28" s="1"/>
  <c r="AG303" i="28" s="1"/>
  <c r="AD302" i="28"/>
  <c r="Z299" i="28"/>
  <c r="AI266" i="28"/>
  <c r="AI267" i="28"/>
  <c r="AH302" i="28"/>
  <c r="Y303" i="28"/>
  <c r="AA301" i="28"/>
  <c r="V301" i="28"/>
  <c r="D319" i="28"/>
  <c r="C319" i="28" s="1"/>
  <c r="W300" i="28"/>
  <c r="X306" i="28"/>
  <c r="AH297" i="27"/>
  <c r="AI289" i="27" s="1"/>
  <c r="AG298" i="27"/>
  <c r="H314" i="27"/>
  <c r="L319" i="27" s="1"/>
  <c r="E314" i="27"/>
  <c r="I319" i="27" s="1"/>
  <c r="F314" i="27"/>
  <c r="J319" i="27" s="1"/>
  <c r="G314" i="27"/>
  <c r="K319" i="27" s="1"/>
  <c r="D316" i="27"/>
  <c r="C316" i="27" s="1"/>
  <c r="C315" i="27"/>
  <c r="Y296" i="27"/>
  <c r="AD296" i="27" s="1"/>
  <c r="U297" i="27"/>
  <c r="S295" i="27"/>
  <c r="W295" i="27" s="1"/>
  <c r="AB295" i="27" s="1"/>
  <c r="V295" i="27"/>
  <c r="R296" i="27"/>
  <c r="AA295" i="27"/>
  <c r="T302" i="27"/>
  <c r="X301" i="27"/>
  <c r="AC301" i="27" s="1"/>
  <c r="E23" i="27"/>
  <c r="N299" i="27"/>
  <c r="Q299" i="27" s="1"/>
  <c r="N305" i="27"/>
  <c r="Q305" i="27" s="1"/>
  <c r="N307" i="27"/>
  <c r="Q307" i="27" s="1"/>
  <c r="N302" i="27"/>
  <c r="Q302" i="27" s="1"/>
  <c r="N297" i="27"/>
  <c r="Q297" i="27" s="1"/>
  <c r="N308" i="27"/>
  <c r="Q308" i="27" s="1"/>
  <c r="N300" i="27"/>
  <c r="Q300" i="27" s="1"/>
  <c r="N303" i="27"/>
  <c r="Q303" i="27" s="1"/>
  <c r="N306" i="27"/>
  <c r="Q306" i="27" s="1"/>
  <c r="N309" i="27"/>
  <c r="Q309" i="27" s="1"/>
  <c r="N301" i="27"/>
  <c r="Q301" i="27" s="1"/>
  <c r="N304" i="27"/>
  <c r="Q304" i="27" s="1"/>
  <c r="N296" i="27"/>
  <c r="Q296" i="27" s="1"/>
  <c r="N298" i="27"/>
  <c r="Q298" i="27" s="1"/>
  <c r="V298" i="26"/>
  <c r="AA298" i="26"/>
  <c r="R299" i="26"/>
  <c r="W297" i="26"/>
  <c r="AB297" i="26" s="1"/>
  <c r="AE297" i="26" s="1"/>
  <c r="S298" i="26"/>
  <c r="E317" i="26"/>
  <c r="I332" i="26" s="1"/>
  <c r="H317" i="26"/>
  <c r="L332" i="26" s="1"/>
  <c r="F317" i="26"/>
  <c r="J332" i="26" s="1"/>
  <c r="G317" i="26"/>
  <c r="K332" i="26" s="1"/>
  <c r="Y305" i="26"/>
  <c r="AD305" i="26" s="1"/>
  <c r="U306" i="26"/>
  <c r="D318" i="26"/>
  <c r="C318" i="26" s="1"/>
  <c r="T303" i="26"/>
  <c r="X302" i="26"/>
  <c r="AC302" i="26" s="1"/>
  <c r="Z296" i="26"/>
  <c r="G317" i="24"/>
  <c r="K322" i="24" s="1"/>
  <c r="H317" i="24"/>
  <c r="L322" i="24" s="1"/>
  <c r="F317" i="24"/>
  <c r="J322" i="24" s="1"/>
  <c r="E317" i="24"/>
  <c r="I322" i="24" s="1"/>
  <c r="R302" i="24"/>
  <c r="V301" i="24"/>
  <c r="AA301" i="24"/>
  <c r="T304" i="24"/>
  <c r="X303" i="24"/>
  <c r="AC303" i="24" s="1"/>
  <c r="AH301" i="24"/>
  <c r="W299" i="24"/>
  <c r="S300" i="24"/>
  <c r="D318" i="24"/>
  <c r="C318" i="24" s="1"/>
  <c r="Y303" i="24"/>
  <c r="AD303" i="24" s="1"/>
  <c r="U304" i="24"/>
  <c r="AB298" i="24"/>
  <c r="AE298" i="24" s="1"/>
  <c r="AF302" i="24" s="1"/>
  <c r="AG302" i="24" s="1"/>
  <c r="Z298" i="24"/>
  <c r="AI290" i="27" l="1"/>
  <c r="E319" i="28"/>
  <c r="I324" i="28" s="1"/>
  <c r="F319" i="28"/>
  <c r="J324" i="28" s="1"/>
  <c r="G319" i="28"/>
  <c r="K324" i="28" s="1"/>
  <c r="H319" i="28"/>
  <c r="L324" i="28" s="1"/>
  <c r="D20" i="28"/>
  <c r="U306" i="28"/>
  <c r="S305" i="28"/>
  <c r="AD303" i="28"/>
  <c r="AC306" i="28"/>
  <c r="AB300" i="28"/>
  <c r="AE300" i="28" s="1"/>
  <c r="AF304" i="28" s="1"/>
  <c r="AG304" i="28" s="1"/>
  <c r="W301" i="28"/>
  <c r="AH303" i="28"/>
  <c r="D320" i="28"/>
  <c r="C320" i="28" s="1"/>
  <c r="Z300" i="28"/>
  <c r="V302" i="28"/>
  <c r="AA302" i="28"/>
  <c r="Y304" i="28"/>
  <c r="X307" i="28"/>
  <c r="Z295" i="27"/>
  <c r="E316" i="27"/>
  <c r="I321" i="27" s="1"/>
  <c r="F316" i="27"/>
  <c r="J321" i="27" s="1"/>
  <c r="G316" i="27"/>
  <c r="K321" i="27" s="1"/>
  <c r="H316" i="27"/>
  <c r="L321" i="27" s="1"/>
  <c r="V296" i="27"/>
  <c r="AA296" i="27"/>
  <c r="R297" i="27"/>
  <c r="E315" i="27"/>
  <c r="I320" i="27" s="1"/>
  <c r="F315" i="27"/>
  <c r="J320" i="27" s="1"/>
  <c r="H315" i="27"/>
  <c r="L320" i="27" s="1"/>
  <c r="G315" i="27"/>
  <c r="K320" i="27" s="1"/>
  <c r="D317" i="27"/>
  <c r="Y297" i="27"/>
  <c r="AD297" i="27" s="1"/>
  <c r="U298" i="27"/>
  <c r="S296" i="27"/>
  <c r="W296" i="27" s="1"/>
  <c r="AB296" i="27" s="1"/>
  <c r="AH298" i="27"/>
  <c r="T303" i="27"/>
  <c r="X302" i="27"/>
  <c r="AC302" i="27" s="1"/>
  <c r="AE295" i="27"/>
  <c r="AF299" i="27" s="1"/>
  <c r="AG299" i="27" s="1"/>
  <c r="W298" i="26"/>
  <c r="AB298" i="26" s="1"/>
  <c r="AE298" i="26" s="1"/>
  <c r="S299" i="26"/>
  <c r="T304" i="26"/>
  <c r="X303" i="26"/>
  <c r="AC303" i="26" s="1"/>
  <c r="AA299" i="26"/>
  <c r="R300" i="26"/>
  <c r="V299" i="26"/>
  <c r="G318" i="26"/>
  <c r="K333" i="26" s="1"/>
  <c r="F318" i="26"/>
  <c r="J333" i="26" s="1"/>
  <c r="E318" i="26"/>
  <c r="I333" i="26" s="1"/>
  <c r="H318" i="26"/>
  <c r="L333" i="26" s="1"/>
  <c r="D319" i="26"/>
  <c r="C319" i="26" s="1"/>
  <c r="U307" i="26"/>
  <c r="Y306" i="26"/>
  <c r="AD306" i="26" s="1"/>
  <c r="Z297" i="26"/>
  <c r="AH302" i="24"/>
  <c r="H318" i="24"/>
  <c r="L323" i="24" s="1"/>
  <c r="G318" i="24"/>
  <c r="K323" i="24" s="1"/>
  <c r="F318" i="24"/>
  <c r="J323" i="24" s="1"/>
  <c r="E318" i="24"/>
  <c r="I323" i="24" s="1"/>
  <c r="Y304" i="24"/>
  <c r="AD304" i="24" s="1"/>
  <c r="U305" i="24"/>
  <c r="R303" i="24"/>
  <c r="AA302" i="24"/>
  <c r="V302" i="24"/>
  <c r="W300" i="24"/>
  <c r="S301" i="24"/>
  <c r="AB299" i="24"/>
  <c r="AE299" i="24" s="1"/>
  <c r="AF303" i="24" s="1"/>
  <c r="AG303" i="24" s="1"/>
  <c r="Z299" i="24"/>
  <c r="X304" i="24"/>
  <c r="AC304" i="24" s="1"/>
  <c r="T305" i="24"/>
  <c r="D319" i="24"/>
  <c r="C319" i="24" s="1"/>
  <c r="AI283" i="24" l="1"/>
  <c r="AI291" i="27"/>
  <c r="Z298" i="26"/>
  <c r="E320" i="28"/>
  <c r="I325" i="28" s="1"/>
  <c r="F320" i="28"/>
  <c r="J325" i="28" s="1"/>
  <c r="G320" i="28"/>
  <c r="K325" i="28" s="1"/>
  <c r="H320" i="28"/>
  <c r="L325" i="28" s="1"/>
  <c r="S306" i="28"/>
  <c r="U307" i="28"/>
  <c r="AB301" i="28"/>
  <c r="AE301" i="28" s="1"/>
  <c r="AF305" i="28" s="1"/>
  <c r="AG305" i="28" s="1"/>
  <c r="AD304" i="28"/>
  <c r="Z301" i="28"/>
  <c r="AC307" i="28"/>
  <c r="AI268" i="28"/>
  <c r="X308" i="28"/>
  <c r="AH304" i="28"/>
  <c r="W302" i="28"/>
  <c r="D321" i="28"/>
  <c r="Y305" i="28"/>
  <c r="V303" i="28"/>
  <c r="AA303" i="28"/>
  <c r="AH299" i="27"/>
  <c r="AI292" i="27" s="1"/>
  <c r="V297" i="27"/>
  <c r="AA297" i="27"/>
  <c r="R298" i="27"/>
  <c r="AE296" i="27"/>
  <c r="AF300" i="27" s="1"/>
  <c r="AG300" i="27" s="1"/>
  <c r="X303" i="27"/>
  <c r="AC303" i="27" s="1"/>
  <c r="T304" i="27"/>
  <c r="Z296" i="27"/>
  <c r="D318" i="27"/>
  <c r="C318" i="27" s="1"/>
  <c r="S297" i="27"/>
  <c r="W297" i="27" s="1"/>
  <c r="AB297" i="27" s="1"/>
  <c r="C317" i="27"/>
  <c r="Y298" i="27"/>
  <c r="AD298" i="27" s="1"/>
  <c r="U299" i="27"/>
  <c r="E319" i="26"/>
  <c r="I334" i="26" s="1"/>
  <c r="F319" i="26"/>
  <c r="J334" i="26" s="1"/>
  <c r="H319" i="26"/>
  <c r="L334" i="26" s="1"/>
  <c r="G319" i="26"/>
  <c r="K334" i="26" s="1"/>
  <c r="V300" i="26"/>
  <c r="R301" i="26"/>
  <c r="AA300" i="26"/>
  <c r="Y307" i="26"/>
  <c r="AD307" i="26" s="1"/>
  <c r="U308" i="26"/>
  <c r="X304" i="26"/>
  <c r="AC304" i="26" s="1"/>
  <c r="T305" i="26"/>
  <c r="D320" i="26"/>
  <c r="C320" i="26" s="1"/>
  <c r="W299" i="26"/>
  <c r="AB299" i="26" s="1"/>
  <c r="AE299" i="26" s="1"/>
  <c r="S300" i="26"/>
  <c r="AH303" i="24"/>
  <c r="D320" i="24"/>
  <c r="U306" i="24"/>
  <c r="Y305" i="24"/>
  <c r="AD305" i="24" s="1"/>
  <c r="T306" i="24"/>
  <c r="X305" i="24"/>
  <c r="AC305" i="24" s="1"/>
  <c r="W301" i="24"/>
  <c r="S302" i="24"/>
  <c r="AB300" i="24"/>
  <c r="AE300" i="24" s="1"/>
  <c r="AF304" i="24" s="1"/>
  <c r="AG304" i="24" s="1"/>
  <c r="Z300" i="24"/>
  <c r="H319" i="24"/>
  <c r="L324" i="24" s="1"/>
  <c r="E319" i="24"/>
  <c r="I324" i="24" s="1"/>
  <c r="G319" i="24"/>
  <c r="K324" i="24" s="1"/>
  <c r="F319" i="24"/>
  <c r="J324" i="24" s="1"/>
  <c r="AA303" i="24"/>
  <c r="V303" i="24"/>
  <c r="R304" i="24"/>
  <c r="AI284" i="24" l="1"/>
  <c r="U308" i="28"/>
  <c r="S307" i="28"/>
  <c r="AB302" i="28"/>
  <c r="AE302" i="28" s="1"/>
  <c r="AF306" i="28" s="1"/>
  <c r="AG306" i="28" s="1"/>
  <c r="AC308" i="28"/>
  <c r="AD305" i="28"/>
  <c r="AI269" i="28"/>
  <c r="AI271" i="28"/>
  <c r="AI270" i="28"/>
  <c r="W303" i="28"/>
  <c r="Y306" i="28"/>
  <c r="AH305" i="28"/>
  <c r="V304" i="28"/>
  <c r="AA304" i="28"/>
  <c r="Z302" i="28"/>
  <c r="X309" i="28"/>
  <c r="D322" i="28"/>
  <c r="C321" i="28"/>
  <c r="E318" i="27"/>
  <c r="I323" i="27" s="1"/>
  <c r="G318" i="27"/>
  <c r="K323" i="27" s="1"/>
  <c r="H318" i="27"/>
  <c r="L323" i="27" s="1"/>
  <c r="F318" i="27"/>
  <c r="J323" i="27" s="1"/>
  <c r="AH300" i="27"/>
  <c r="AI293" i="27" s="1"/>
  <c r="D319" i="27"/>
  <c r="X304" i="27"/>
  <c r="AC304" i="27" s="1"/>
  <c r="T305" i="27"/>
  <c r="V298" i="27"/>
  <c r="R299" i="27"/>
  <c r="AA298" i="27"/>
  <c r="AE297" i="27"/>
  <c r="AF301" i="27" s="1"/>
  <c r="AG301" i="27" s="1"/>
  <c r="Z297" i="27"/>
  <c r="Y299" i="27"/>
  <c r="AD299" i="27" s="1"/>
  <c r="U300" i="27"/>
  <c r="S298" i="27"/>
  <c r="W298" i="27" s="1"/>
  <c r="AB298" i="27" s="1"/>
  <c r="H317" i="27"/>
  <c r="L322" i="27" s="1"/>
  <c r="E317" i="27"/>
  <c r="I322" i="27" s="1"/>
  <c r="F317" i="27"/>
  <c r="J322" i="27" s="1"/>
  <c r="G317" i="27"/>
  <c r="K322" i="27" s="1"/>
  <c r="G320" i="26"/>
  <c r="K335" i="26" s="1"/>
  <c r="F320" i="26"/>
  <c r="J335" i="26" s="1"/>
  <c r="E320" i="26"/>
  <c r="I335" i="26" s="1"/>
  <c r="H320" i="26"/>
  <c r="L335" i="26" s="1"/>
  <c r="R302" i="26"/>
  <c r="AA301" i="26"/>
  <c r="V301" i="26"/>
  <c r="Z299" i="26"/>
  <c r="D321" i="26"/>
  <c r="C321" i="26" s="1"/>
  <c r="Y308" i="26"/>
  <c r="AD308" i="26" s="1"/>
  <c r="U309" i="26"/>
  <c r="X305" i="26"/>
  <c r="AC305" i="26" s="1"/>
  <c r="T306" i="26"/>
  <c r="W300" i="26"/>
  <c r="AB300" i="26" s="1"/>
  <c r="AE300" i="26" s="1"/>
  <c r="S301" i="26"/>
  <c r="AH304" i="24"/>
  <c r="W302" i="24"/>
  <c r="S303" i="24"/>
  <c r="AA304" i="24"/>
  <c r="R305" i="24"/>
  <c r="V304" i="24"/>
  <c r="AB301" i="24"/>
  <c r="AE301" i="24" s="1"/>
  <c r="AF305" i="24" s="1"/>
  <c r="AG305" i="24" s="1"/>
  <c r="Z301" i="24"/>
  <c r="T307" i="24"/>
  <c r="X306" i="24"/>
  <c r="AC306" i="24" s="1"/>
  <c r="U307" i="24"/>
  <c r="Y306" i="24"/>
  <c r="AD306" i="24" s="1"/>
  <c r="D321" i="24"/>
  <c r="C321" i="24" s="1"/>
  <c r="C320" i="24"/>
  <c r="AI285" i="24" l="1"/>
  <c r="E321" i="28"/>
  <c r="I326" i="28" s="1"/>
  <c r="F321" i="28"/>
  <c r="J326" i="28" s="1"/>
  <c r="G321" i="28"/>
  <c r="K326" i="28" s="1"/>
  <c r="H321" i="28"/>
  <c r="L326" i="28" s="1"/>
  <c r="U309" i="28"/>
  <c r="S308" i="28"/>
  <c r="AD306" i="28"/>
  <c r="AB303" i="28"/>
  <c r="AE303" i="28" s="1"/>
  <c r="AF307" i="28" s="1"/>
  <c r="AG307" i="28" s="1"/>
  <c r="AC309" i="28"/>
  <c r="Z303" i="28"/>
  <c r="AI272" i="28"/>
  <c r="AI274" i="28"/>
  <c r="AI273" i="28"/>
  <c r="AA305" i="28"/>
  <c r="V305" i="28"/>
  <c r="AH306" i="28"/>
  <c r="D323" i="28"/>
  <c r="C323" i="28" s="1"/>
  <c r="Y307" i="28"/>
  <c r="C322" i="28"/>
  <c r="X310" i="28"/>
  <c r="W304" i="28"/>
  <c r="X305" i="27"/>
  <c r="AC305" i="27" s="1"/>
  <c r="T306" i="27"/>
  <c r="D320" i="27"/>
  <c r="C320" i="27" s="1"/>
  <c r="C319" i="27"/>
  <c r="AH301" i="27"/>
  <c r="AI294" i="27" s="1"/>
  <c r="J22" i="27" s="1"/>
  <c r="S299" i="27"/>
  <c r="W299" i="27" s="1"/>
  <c r="AB299" i="27" s="1"/>
  <c r="AE298" i="27"/>
  <c r="AF302" i="27" s="1"/>
  <c r="AG302" i="27" s="1"/>
  <c r="Y300" i="27"/>
  <c r="AD300" i="27" s="1"/>
  <c r="U301" i="27"/>
  <c r="AA299" i="27"/>
  <c r="V299" i="27"/>
  <c r="R300" i="27"/>
  <c r="Z298" i="27"/>
  <c r="D322" i="26"/>
  <c r="C322" i="26" s="1"/>
  <c r="E321" i="26"/>
  <c r="I336" i="26" s="1"/>
  <c r="H321" i="26"/>
  <c r="L336" i="26" s="1"/>
  <c r="G321" i="26"/>
  <c r="K336" i="26" s="1"/>
  <c r="F321" i="26"/>
  <c r="J336" i="26" s="1"/>
  <c r="Z300" i="26"/>
  <c r="W301" i="26"/>
  <c r="AB301" i="26" s="1"/>
  <c r="AE301" i="26" s="1"/>
  <c r="S302" i="26"/>
  <c r="V302" i="26"/>
  <c r="AA302" i="26"/>
  <c r="R303" i="26"/>
  <c r="X306" i="26"/>
  <c r="AC306" i="26" s="1"/>
  <c r="T307" i="26"/>
  <c r="Y309" i="26"/>
  <c r="AD309" i="26" s="1"/>
  <c r="P310" i="26"/>
  <c r="U310" i="26" s="1"/>
  <c r="AH305" i="24"/>
  <c r="R306" i="24"/>
  <c r="V305" i="24"/>
  <c r="AA305" i="24"/>
  <c r="E320" i="24"/>
  <c r="I325" i="24" s="1"/>
  <c r="H320" i="24"/>
  <c r="L325" i="24" s="1"/>
  <c r="G320" i="24"/>
  <c r="K325" i="24" s="1"/>
  <c r="F320" i="24"/>
  <c r="J325" i="24" s="1"/>
  <c r="W303" i="24"/>
  <c r="S304" i="24"/>
  <c r="D322" i="24"/>
  <c r="C322" i="24" s="1"/>
  <c r="AB302" i="24"/>
  <c r="AE302" i="24" s="1"/>
  <c r="AF306" i="24" s="1"/>
  <c r="AG306" i="24" s="1"/>
  <c r="Z302" i="24"/>
  <c r="X307" i="24"/>
  <c r="AC307" i="24" s="1"/>
  <c r="T308" i="24"/>
  <c r="E321" i="24"/>
  <c r="I326" i="24" s="1"/>
  <c r="H321" i="24"/>
  <c r="L326" i="24" s="1"/>
  <c r="G321" i="24"/>
  <c r="K326" i="24" s="1"/>
  <c r="F321" i="24"/>
  <c r="J326" i="24" s="1"/>
  <c r="U308" i="24"/>
  <c r="Y307" i="24"/>
  <c r="AD307" i="24" s="1"/>
  <c r="AI295" i="27" l="1"/>
  <c r="E322" i="28"/>
  <c r="I327" i="28" s="1"/>
  <c r="F322" i="28"/>
  <c r="J327" i="28" s="1"/>
  <c r="G322" i="28"/>
  <c r="K327" i="28" s="1"/>
  <c r="H322" i="28"/>
  <c r="L327" i="28" s="1"/>
  <c r="E323" i="28"/>
  <c r="I328" i="28" s="1"/>
  <c r="F323" i="28"/>
  <c r="J328" i="28" s="1"/>
  <c r="G323" i="28"/>
  <c r="K328" i="28" s="1"/>
  <c r="H323" i="28"/>
  <c r="L328" i="28" s="1"/>
  <c r="Z301" i="26"/>
  <c r="S309" i="28"/>
  <c r="U310" i="28"/>
  <c r="AD307" i="28"/>
  <c r="AB304" i="28"/>
  <c r="AE304" i="28" s="1"/>
  <c r="AF308" i="28" s="1"/>
  <c r="AG308" i="28" s="1"/>
  <c r="AC310" i="28"/>
  <c r="AI275" i="28"/>
  <c r="AI276" i="28"/>
  <c r="X311" i="28"/>
  <c r="D324" i="28"/>
  <c r="C324" i="28" s="1"/>
  <c r="AH307" i="28"/>
  <c r="Z304" i="28"/>
  <c r="AA306" i="28"/>
  <c r="V306" i="28"/>
  <c r="Y308" i="28"/>
  <c r="W305" i="28"/>
  <c r="AH302" i="27"/>
  <c r="R301" i="27"/>
  <c r="V300" i="27"/>
  <c r="AA300" i="27"/>
  <c r="F319" i="27"/>
  <c r="J324" i="27" s="1"/>
  <c r="G319" i="27"/>
  <c r="K324" i="27" s="1"/>
  <c r="E319" i="27"/>
  <c r="I324" i="27" s="1"/>
  <c r="H319" i="27"/>
  <c r="L324" i="27" s="1"/>
  <c r="Z299" i="27"/>
  <c r="D321" i="27"/>
  <c r="AE299" i="27"/>
  <c r="AF303" i="27" s="1"/>
  <c r="AG303" i="27" s="1"/>
  <c r="H320" i="27"/>
  <c r="L325" i="27" s="1"/>
  <c r="E320" i="27"/>
  <c r="I325" i="27" s="1"/>
  <c r="F320" i="27"/>
  <c r="J325" i="27" s="1"/>
  <c r="G320" i="27"/>
  <c r="K325" i="27" s="1"/>
  <c r="S300" i="27"/>
  <c r="W300" i="27" s="1"/>
  <c r="AB300" i="27" s="1"/>
  <c r="X306" i="27"/>
  <c r="AC306" i="27" s="1"/>
  <c r="T307" i="27"/>
  <c r="U302" i="27"/>
  <c r="Y301" i="27"/>
  <c r="AD301" i="27" s="1"/>
  <c r="Y310" i="26"/>
  <c r="AD310" i="26" s="1"/>
  <c r="G322" i="26"/>
  <c r="K337" i="26" s="1"/>
  <c r="F322" i="26"/>
  <c r="J337" i="26" s="1"/>
  <c r="E322" i="26"/>
  <c r="I337" i="26" s="1"/>
  <c r="H322" i="26"/>
  <c r="L337" i="26" s="1"/>
  <c r="W302" i="26"/>
  <c r="AB302" i="26" s="1"/>
  <c r="AE302" i="26" s="1"/>
  <c r="S303" i="26"/>
  <c r="X307" i="26"/>
  <c r="AC307" i="26" s="1"/>
  <c r="T308" i="26"/>
  <c r="P324" i="26"/>
  <c r="P318" i="26"/>
  <c r="P312" i="26"/>
  <c r="P322" i="26"/>
  <c r="P320" i="26"/>
  <c r="P314" i="26"/>
  <c r="P315" i="26"/>
  <c r="P319" i="26"/>
  <c r="P313" i="26"/>
  <c r="P323" i="26"/>
  <c r="P321" i="26"/>
  <c r="P311" i="26"/>
  <c r="U311" i="26" s="1"/>
  <c r="P316" i="26"/>
  <c r="P317" i="26"/>
  <c r="G24" i="26"/>
  <c r="R304" i="26"/>
  <c r="AA303" i="26"/>
  <c r="V303" i="26"/>
  <c r="D323" i="26"/>
  <c r="G322" i="24"/>
  <c r="K327" i="24" s="1"/>
  <c r="F322" i="24"/>
  <c r="J327" i="24" s="1"/>
  <c r="E322" i="24"/>
  <c r="I327" i="24" s="1"/>
  <c r="H322" i="24"/>
  <c r="L327" i="24" s="1"/>
  <c r="AH306" i="24"/>
  <c r="AI286" i="24" s="1"/>
  <c r="T309" i="24"/>
  <c r="X308" i="24"/>
  <c r="AC308" i="24" s="1"/>
  <c r="AA306" i="24"/>
  <c r="V306" i="24"/>
  <c r="R307" i="24"/>
  <c r="D323" i="24"/>
  <c r="C323" i="24" s="1"/>
  <c r="W304" i="24"/>
  <c r="S305" i="24"/>
  <c r="AB303" i="24"/>
  <c r="AE303" i="24" s="1"/>
  <c r="AF307" i="24" s="1"/>
  <c r="AG307" i="24" s="1"/>
  <c r="Z303" i="24"/>
  <c r="Y308" i="24"/>
  <c r="AD308" i="24" s="1"/>
  <c r="U309" i="24"/>
  <c r="AI296" i="27" l="1"/>
  <c r="E324" i="28"/>
  <c r="I329" i="28" s="1"/>
  <c r="F324" i="28"/>
  <c r="J329" i="28" s="1"/>
  <c r="G324" i="28"/>
  <c r="K329" i="28" s="1"/>
  <c r="H324" i="28"/>
  <c r="L329" i="28" s="1"/>
  <c r="U311" i="28"/>
  <c r="S310" i="28"/>
  <c r="AD308" i="28"/>
  <c r="AM308" i="28"/>
  <c r="AC311" i="28"/>
  <c r="AB305" i="28"/>
  <c r="AE305" i="28" s="1"/>
  <c r="AF309" i="28" s="1"/>
  <c r="AG309" i="28" s="1"/>
  <c r="Z305" i="28"/>
  <c r="AH308" i="28"/>
  <c r="D325" i="28"/>
  <c r="C325" i="28" s="1"/>
  <c r="Y309" i="28"/>
  <c r="AA307" i="28"/>
  <c r="V307" i="28"/>
  <c r="O313" i="28"/>
  <c r="T313" i="28" s="1"/>
  <c r="X312" i="28"/>
  <c r="W306" i="28"/>
  <c r="S301" i="27"/>
  <c r="W301" i="27" s="1"/>
  <c r="AB301" i="27" s="1"/>
  <c r="AH303" i="27"/>
  <c r="T308" i="27"/>
  <c r="X307" i="27"/>
  <c r="AC307" i="27" s="1"/>
  <c r="U303" i="27"/>
  <c r="Y302" i="27"/>
  <c r="AD302" i="27" s="1"/>
  <c r="Z300" i="27"/>
  <c r="V301" i="27"/>
  <c r="R302" i="27"/>
  <c r="AA301" i="27"/>
  <c r="AE300" i="27"/>
  <c r="AF304" i="27" s="1"/>
  <c r="AG304" i="27" s="1"/>
  <c r="D322" i="27"/>
  <c r="C321" i="27"/>
  <c r="Z302" i="26"/>
  <c r="Y311" i="26"/>
  <c r="AD311" i="26" s="1"/>
  <c r="U312" i="26"/>
  <c r="W303" i="26"/>
  <c r="AB303" i="26" s="1"/>
  <c r="AE303" i="26" s="1"/>
  <c r="S304" i="26"/>
  <c r="D324" i="26"/>
  <c r="C324" i="26" s="1"/>
  <c r="X308" i="26"/>
  <c r="AC308" i="26" s="1"/>
  <c r="T309" i="26"/>
  <c r="V304" i="26"/>
  <c r="R305" i="26"/>
  <c r="AA304" i="26"/>
  <c r="C323" i="26"/>
  <c r="H323" i="24"/>
  <c r="L328" i="24" s="1"/>
  <c r="G323" i="24"/>
  <c r="K328" i="24" s="1"/>
  <c r="F323" i="24"/>
  <c r="J328" i="24" s="1"/>
  <c r="E323" i="24"/>
  <c r="I328" i="24" s="1"/>
  <c r="AH307" i="24"/>
  <c r="Y309" i="24"/>
  <c r="AD309" i="24" s="1"/>
  <c r="P310" i="24"/>
  <c r="O310" i="24"/>
  <c r="T310" i="24" s="1"/>
  <c r="X309" i="24"/>
  <c r="AC309" i="24" s="1"/>
  <c r="W305" i="24"/>
  <c r="S306" i="24"/>
  <c r="D324" i="24"/>
  <c r="C324" i="24" s="1"/>
  <c r="V307" i="24"/>
  <c r="R308" i="24"/>
  <c r="AA307" i="24"/>
  <c r="AB304" i="24"/>
  <c r="AE304" i="24" s="1"/>
  <c r="AF308" i="24" s="1"/>
  <c r="AG308" i="24" s="1"/>
  <c r="Z304" i="24"/>
  <c r="AI287" i="24" l="1"/>
  <c r="AI297" i="27"/>
  <c r="Z303" i="26"/>
  <c r="E325" i="28"/>
  <c r="I330" i="28" s="1"/>
  <c r="F325" i="28"/>
  <c r="J330" i="28" s="1"/>
  <c r="G325" i="28"/>
  <c r="K330" i="28" s="1"/>
  <c r="H325" i="28"/>
  <c r="L330" i="28" s="1"/>
  <c r="U312" i="28"/>
  <c r="S311" i="28"/>
  <c r="AD309" i="28"/>
  <c r="AM309" i="28"/>
  <c r="AB306" i="28"/>
  <c r="AE306" i="28" s="1"/>
  <c r="AF310" i="28" s="1"/>
  <c r="AG310" i="28" s="1"/>
  <c r="AC312" i="28"/>
  <c r="Z306" i="28"/>
  <c r="D326" i="28"/>
  <c r="W307" i="28"/>
  <c r="AH309" i="28"/>
  <c r="AA308" i="28"/>
  <c r="V308" i="28"/>
  <c r="O326" i="28"/>
  <c r="O320" i="28"/>
  <c r="O314" i="28"/>
  <c r="T314" i="28" s="1"/>
  <c r="O322" i="28"/>
  <c r="O316" i="28"/>
  <c r="O324" i="28"/>
  <c r="O318" i="28"/>
  <c r="O327" i="28"/>
  <c r="O325" i="28"/>
  <c r="O315" i="28"/>
  <c r="O319" i="28"/>
  <c r="O317" i="28"/>
  <c r="O323" i="28"/>
  <c r="O321" i="28"/>
  <c r="H24" i="28"/>
  <c r="Y310" i="28"/>
  <c r="Z301" i="27"/>
  <c r="S302" i="27"/>
  <c r="W302" i="27" s="1"/>
  <c r="AB302" i="27" s="1"/>
  <c r="AE301" i="27"/>
  <c r="AF305" i="27" s="1"/>
  <c r="AG305" i="27" s="1"/>
  <c r="AH304" i="27"/>
  <c r="AI298" i="27" s="1"/>
  <c r="X308" i="27"/>
  <c r="AC308" i="27" s="1"/>
  <c r="T309" i="27"/>
  <c r="AA302" i="27"/>
  <c r="V302" i="27"/>
  <c r="R303" i="27"/>
  <c r="D323" i="27"/>
  <c r="C322" i="27"/>
  <c r="Y303" i="27"/>
  <c r="AD303" i="27" s="1"/>
  <c r="U304" i="27"/>
  <c r="F321" i="27"/>
  <c r="J326" i="27" s="1"/>
  <c r="G321" i="27"/>
  <c r="K326" i="27" s="1"/>
  <c r="H321" i="27"/>
  <c r="L326" i="27" s="1"/>
  <c r="E321" i="27"/>
  <c r="I326" i="27" s="1"/>
  <c r="W304" i="26"/>
  <c r="AB304" i="26" s="1"/>
  <c r="AE304" i="26" s="1"/>
  <c r="S305" i="26"/>
  <c r="X309" i="26"/>
  <c r="AC309" i="26" s="1"/>
  <c r="O310" i="26"/>
  <c r="E323" i="26"/>
  <c r="I338" i="26" s="1"/>
  <c r="G323" i="26"/>
  <c r="K338" i="26" s="1"/>
  <c r="F323" i="26"/>
  <c r="J338" i="26" s="1"/>
  <c r="H323" i="26"/>
  <c r="L338" i="26" s="1"/>
  <c r="G324" i="26"/>
  <c r="K339" i="26" s="1"/>
  <c r="F324" i="26"/>
  <c r="J339" i="26" s="1"/>
  <c r="E324" i="26"/>
  <c r="I339" i="26" s="1"/>
  <c r="H324" i="26"/>
  <c r="L339" i="26" s="1"/>
  <c r="Y312" i="26"/>
  <c r="AD312" i="26" s="1"/>
  <c r="U313" i="26"/>
  <c r="D325" i="26"/>
  <c r="C325" i="26" s="1"/>
  <c r="R306" i="26"/>
  <c r="V305" i="26"/>
  <c r="AA305" i="26"/>
  <c r="X310" i="24"/>
  <c r="AC310" i="24" s="1"/>
  <c r="AH308" i="24"/>
  <c r="AI288" i="24" s="1"/>
  <c r="P321" i="24"/>
  <c r="P322" i="24"/>
  <c r="P314" i="24"/>
  <c r="P311" i="24"/>
  <c r="P319" i="24"/>
  <c r="P316" i="24"/>
  <c r="P315" i="24"/>
  <c r="P323" i="24"/>
  <c r="P317" i="24"/>
  <c r="P318" i="24"/>
  <c r="P313" i="24"/>
  <c r="P312" i="24"/>
  <c r="P320" i="24"/>
  <c r="P324" i="24"/>
  <c r="G24" i="24"/>
  <c r="W306" i="24"/>
  <c r="S307" i="24"/>
  <c r="O320" i="24"/>
  <c r="O314" i="24"/>
  <c r="O321" i="24"/>
  <c r="O315" i="24"/>
  <c r="O322" i="24"/>
  <c r="O311" i="24"/>
  <c r="T311" i="24" s="1"/>
  <c r="O319" i="24"/>
  <c r="O316" i="24"/>
  <c r="O317" i="24"/>
  <c r="O323" i="24"/>
  <c r="O318" i="24"/>
  <c r="O313" i="24"/>
  <c r="O312" i="24"/>
  <c r="O324" i="24"/>
  <c r="F24" i="24"/>
  <c r="R309" i="24"/>
  <c r="AA308" i="24"/>
  <c r="V308" i="24"/>
  <c r="U310" i="24"/>
  <c r="D325" i="24"/>
  <c r="C325" i="24" s="1"/>
  <c r="AB305" i="24"/>
  <c r="AE305" i="24" s="1"/>
  <c r="AF309" i="24" s="1"/>
  <c r="AG309" i="24" s="1"/>
  <c r="Z305" i="24"/>
  <c r="H324" i="24"/>
  <c r="L329" i="24" s="1"/>
  <c r="G324" i="24"/>
  <c r="K329" i="24" s="1"/>
  <c r="F324" i="24"/>
  <c r="J329" i="24" s="1"/>
  <c r="E324" i="24"/>
  <c r="I329" i="24" s="1"/>
  <c r="T315" i="28" l="1"/>
  <c r="T316" i="28" s="1"/>
  <c r="T317" i="28" s="1"/>
  <c r="T318" i="28" s="1"/>
  <c r="T319" i="28" s="1"/>
  <c r="T320" i="28" s="1"/>
  <c r="T321" i="28" s="1"/>
  <c r="T322" i="28" s="1"/>
  <c r="T323" i="28" s="1"/>
  <c r="T324" i="28" s="1"/>
  <c r="T325" i="28" s="1"/>
  <c r="T326" i="28" s="1"/>
  <c r="T327" i="28" s="1"/>
  <c r="Z304" i="26"/>
  <c r="S312" i="28"/>
  <c r="AB307" i="28"/>
  <c r="AE307" i="28" s="1"/>
  <c r="AF311" i="28" s="1"/>
  <c r="AG311" i="28" s="1"/>
  <c r="AD310" i="28"/>
  <c r="AM310" i="28"/>
  <c r="Z307" i="28"/>
  <c r="Y311" i="28"/>
  <c r="X313" i="28"/>
  <c r="AH310" i="28"/>
  <c r="W308" i="28"/>
  <c r="AA309" i="28"/>
  <c r="V309" i="28"/>
  <c r="D327" i="28"/>
  <c r="C327" i="28" s="1"/>
  <c r="C326" i="28"/>
  <c r="S303" i="27"/>
  <c r="W303" i="27" s="1"/>
  <c r="AB303" i="27" s="1"/>
  <c r="Z302" i="27"/>
  <c r="AE302" i="27"/>
  <c r="AF306" i="27" s="1"/>
  <c r="AG306" i="27" s="1"/>
  <c r="D324" i="27"/>
  <c r="C324" i="27" s="1"/>
  <c r="C323" i="27"/>
  <c r="V303" i="27"/>
  <c r="R304" i="27"/>
  <c r="AA303" i="27"/>
  <c r="O310" i="27"/>
  <c r="T310" i="27" s="1"/>
  <c r="X309" i="27"/>
  <c r="AC309" i="27" s="1"/>
  <c r="E322" i="27"/>
  <c r="I327" i="27" s="1"/>
  <c r="F322" i="27"/>
  <c r="J327" i="27" s="1"/>
  <c r="G322" i="27"/>
  <c r="K327" i="27" s="1"/>
  <c r="H322" i="27"/>
  <c r="L327" i="27" s="1"/>
  <c r="Y304" i="27"/>
  <c r="AD304" i="27" s="1"/>
  <c r="U305" i="27"/>
  <c r="AH305" i="27"/>
  <c r="E325" i="26"/>
  <c r="F325" i="26"/>
  <c r="G325" i="26"/>
  <c r="H325" i="26"/>
  <c r="D326" i="26"/>
  <c r="O324" i="26"/>
  <c r="O311" i="26"/>
  <c r="O322" i="26"/>
  <c r="O316" i="26"/>
  <c r="O320" i="26"/>
  <c r="O312" i="26"/>
  <c r="O313" i="26"/>
  <c r="O323" i="26"/>
  <c r="O319" i="26"/>
  <c r="O314" i="26"/>
  <c r="O317" i="26"/>
  <c r="O321" i="26"/>
  <c r="O315" i="26"/>
  <c r="O318" i="26"/>
  <c r="F24" i="26"/>
  <c r="Y313" i="26"/>
  <c r="AD313" i="26" s="1"/>
  <c r="U314" i="26"/>
  <c r="T310" i="26"/>
  <c r="W305" i="26"/>
  <c r="AB305" i="26" s="1"/>
  <c r="AE305" i="26" s="1"/>
  <c r="S306" i="26"/>
  <c r="R307" i="26"/>
  <c r="AA306" i="26"/>
  <c r="V306" i="26"/>
  <c r="AH309" i="24"/>
  <c r="X311" i="24"/>
  <c r="AC311" i="24" s="1"/>
  <c r="T312" i="24"/>
  <c r="W307" i="24"/>
  <c r="S308" i="24"/>
  <c r="E325" i="24"/>
  <c r="I330" i="24" s="1"/>
  <c r="H325" i="24"/>
  <c r="L330" i="24" s="1"/>
  <c r="G325" i="24"/>
  <c r="K330" i="24" s="1"/>
  <c r="F325" i="24"/>
  <c r="J330" i="24" s="1"/>
  <c r="AB306" i="24"/>
  <c r="AE306" i="24" s="1"/>
  <c r="AF310" i="24" s="1"/>
  <c r="AG310" i="24" s="1"/>
  <c r="Z306" i="24"/>
  <c r="U311" i="24"/>
  <c r="Y310" i="24"/>
  <c r="AD310" i="24" s="1"/>
  <c r="D326" i="24"/>
  <c r="C326" i="24" s="1"/>
  <c r="AA309" i="24"/>
  <c r="M310" i="24"/>
  <c r="V309" i="24"/>
  <c r="AI299" i="27" l="1"/>
  <c r="E326" i="28"/>
  <c r="I331" i="28" s="1"/>
  <c r="F326" i="28"/>
  <c r="J331" i="28" s="1"/>
  <c r="G326" i="28"/>
  <c r="K331" i="28" s="1"/>
  <c r="H326" i="28"/>
  <c r="L331" i="28" s="1"/>
  <c r="E327" i="28"/>
  <c r="I332" i="28" s="1"/>
  <c r="F327" i="28"/>
  <c r="J332" i="28" s="1"/>
  <c r="G327" i="28"/>
  <c r="K332" i="28" s="1"/>
  <c r="H327" i="28"/>
  <c r="L332" i="28" s="1"/>
  <c r="AC313" i="28"/>
  <c r="AD311" i="28"/>
  <c r="AM311" i="28"/>
  <c r="AB308" i="28"/>
  <c r="AE308" i="28" s="1"/>
  <c r="AF312" i="28" s="1"/>
  <c r="AG312" i="28" s="1"/>
  <c r="X314" i="28"/>
  <c r="AH311" i="28"/>
  <c r="Z308" i="28"/>
  <c r="P313" i="28"/>
  <c r="U313" i="28" s="1"/>
  <c r="Y312" i="28"/>
  <c r="W309" i="28"/>
  <c r="D328" i="28"/>
  <c r="V310" i="28"/>
  <c r="AA310" i="28"/>
  <c r="AE303" i="27"/>
  <c r="AF307" i="27" s="1"/>
  <c r="AG307" i="27" s="1"/>
  <c r="S304" i="27"/>
  <c r="W304" i="27" s="1"/>
  <c r="AB304" i="27" s="1"/>
  <c r="Z303" i="27"/>
  <c r="X310" i="27"/>
  <c r="AC310" i="27" s="1"/>
  <c r="E324" i="27"/>
  <c r="I329" i="27" s="1"/>
  <c r="F324" i="27"/>
  <c r="J329" i="27" s="1"/>
  <c r="G324" i="27"/>
  <c r="K329" i="27" s="1"/>
  <c r="H324" i="27"/>
  <c r="L329" i="27" s="1"/>
  <c r="Y305" i="27"/>
  <c r="AD305" i="27" s="1"/>
  <c r="U306" i="27"/>
  <c r="V304" i="27"/>
  <c r="AA304" i="27"/>
  <c r="R305" i="27"/>
  <c r="E323" i="27"/>
  <c r="I328" i="27" s="1"/>
  <c r="F323" i="27"/>
  <c r="J328" i="27" s="1"/>
  <c r="G323" i="27"/>
  <c r="K328" i="27" s="1"/>
  <c r="H323" i="27"/>
  <c r="L328" i="27" s="1"/>
  <c r="F24" i="27"/>
  <c r="O311" i="27"/>
  <c r="T311" i="27" s="1"/>
  <c r="O317" i="27"/>
  <c r="O323" i="27"/>
  <c r="O313" i="27"/>
  <c r="O316" i="27"/>
  <c r="O314" i="27"/>
  <c r="O319" i="27"/>
  <c r="O315" i="27"/>
  <c r="O318" i="27"/>
  <c r="O322" i="27"/>
  <c r="O324" i="27"/>
  <c r="O321" i="27"/>
  <c r="O320" i="27"/>
  <c r="O312" i="27"/>
  <c r="AH306" i="27"/>
  <c r="D325" i="27"/>
  <c r="C325" i="27" s="1"/>
  <c r="D327" i="26"/>
  <c r="C327" i="26" s="1"/>
  <c r="W306" i="26"/>
  <c r="AB306" i="26" s="1"/>
  <c r="AE306" i="26" s="1"/>
  <c r="S307" i="26"/>
  <c r="Z305" i="26"/>
  <c r="X310" i="26"/>
  <c r="AC310" i="26" s="1"/>
  <c r="T311" i="26"/>
  <c r="Y314" i="26"/>
  <c r="AD314" i="26" s="1"/>
  <c r="U315" i="26"/>
  <c r="R308" i="26"/>
  <c r="AA307" i="26"/>
  <c r="V307" i="26"/>
  <c r="C326" i="26"/>
  <c r="AH310" i="24"/>
  <c r="F326" i="24"/>
  <c r="J331" i="24" s="1"/>
  <c r="E326" i="24"/>
  <c r="I331" i="24" s="1"/>
  <c r="H326" i="24"/>
  <c r="L331" i="24" s="1"/>
  <c r="G326" i="24"/>
  <c r="K331" i="24" s="1"/>
  <c r="M319" i="24"/>
  <c r="M313" i="24"/>
  <c r="M320" i="24"/>
  <c r="M314" i="24"/>
  <c r="M321" i="24"/>
  <c r="M324" i="24"/>
  <c r="M317" i="24"/>
  <c r="M322" i="24"/>
  <c r="M311" i="24"/>
  <c r="M323" i="24"/>
  <c r="M315" i="24"/>
  <c r="M316" i="24"/>
  <c r="M318" i="24"/>
  <c r="M312" i="24"/>
  <c r="D24" i="24"/>
  <c r="N310" i="24"/>
  <c r="W308" i="24"/>
  <c r="S309" i="24"/>
  <c r="AB307" i="24"/>
  <c r="AE307" i="24" s="1"/>
  <c r="AF311" i="24" s="1"/>
  <c r="AG311" i="24" s="1"/>
  <c r="Z307" i="24"/>
  <c r="D327" i="24"/>
  <c r="C327" i="24" s="1"/>
  <c r="U312" i="24"/>
  <c r="Y311" i="24"/>
  <c r="AD311" i="24" s="1"/>
  <c r="T313" i="24"/>
  <c r="X312" i="24"/>
  <c r="AC312" i="24" s="1"/>
  <c r="R310" i="24"/>
  <c r="AI289" i="24" l="1"/>
  <c r="AI300" i="27"/>
  <c r="Z306" i="26"/>
  <c r="S305" i="27"/>
  <c r="W305" i="27" s="1"/>
  <c r="AB305" i="27" s="1"/>
  <c r="AC314" i="28"/>
  <c r="AB309" i="28"/>
  <c r="AE309" i="28" s="1"/>
  <c r="AF313" i="28" s="1"/>
  <c r="AG313" i="28" s="1"/>
  <c r="AD312" i="28"/>
  <c r="AM312" i="28"/>
  <c r="Z309" i="28"/>
  <c r="Y313" i="28"/>
  <c r="D329" i="28"/>
  <c r="C329" i="28" s="1"/>
  <c r="C328" i="28"/>
  <c r="P323" i="28"/>
  <c r="P317" i="28"/>
  <c r="P324" i="28"/>
  <c r="P318" i="28"/>
  <c r="P325" i="28"/>
  <c r="P319" i="28"/>
  <c r="P327" i="28"/>
  <c r="P320" i="28"/>
  <c r="P316" i="28"/>
  <c r="P326" i="28"/>
  <c r="P315" i="28"/>
  <c r="P321" i="28"/>
  <c r="P314" i="28"/>
  <c r="U314" i="28" s="1"/>
  <c r="P322" i="28"/>
  <c r="I24" i="28"/>
  <c r="W310" i="28"/>
  <c r="AH312" i="28"/>
  <c r="V311" i="28"/>
  <c r="AA311" i="28"/>
  <c r="X315" i="28"/>
  <c r="AE304" i="27"/>
  <c r="AF308" i="27" s="1"/>
  <c r="AG308" i="27" s="1"/>
  <c r="Z304" i="27"/>
  <c r="F325" i="27"/>
  <c r="J330" i="27" s="1"/>
  <c r="G325" i="27"/>
  <c r="K330" i="27" s="1"/>
  <c r="E325" i="27"/>
  <c r="I330" i="27" s="1"/>
  <c r="H325" i="27"/>
  <c r="L330" i="27" s="1"/>
  <c r="X311" i="27"/>
  <c r="AC311" i="27" s="1"/>
  <c r="T312" i="27"/>
  <c r="Y306" i="27"/>
  <c r="AD306" i="27" s="1"/>
  <c r="U307" i="27"/>
  <c r="AH307" i="27"/>
  <c r="AI302" i="27" s="1"/>
  <c r="D326" i="27"/>
  <c r="AA305" i="27"/>
  <c r="V305" i="27"/>
  <c r="R306" i="27"/>
  <c r="Y315" i="26"/>
  <c r="AD315" i="26" s="1"/>
  <c r="U316" i="26"/>
  <c r="G326" i="26"/>
  <c r="F326" i="26"/>
  <c r="E326" i="26"/>
  <c r="H326" i="26"/>
  <c r="W307" i="26"/>
  <c r="AB307" i="26" s="1"/>
  <c r="AE307" i="26" s="1"/>
  <c r="S308" i="26"/>
  <c r="E327" i="26"/>
  <c r="F327" i="26"/>
  <c r="H327" i="26"/>
  <c r="G327" i="26"/>
  <c r="X311" i="26"/>
  <c r="AC311" i="26" s="1"/>
  <c r="T312" i="26"/>
  <c r="R309" i="26"/>
  <c r="V308" i="26"/>
  <c r="AA308" i="26"/>
  <c r="D328" i="26"/>
  <c r="C328" i="26" s="1"/>
  <c r="AH311" i="24"/>
  <c r="AI290" i="24" s="1"/>
  <c r="E327" i="24"/>
  <c r="I332" i="24" s="1"/>
  <c r="H327" i="24"/>
  <c r="L332" i="24" s="1"/>
  <c r="G327" i="24"/>
  <c r="K332" i="24" s="1"/>
  <c r="F327" i="24"/>
  <c r="J332" i="24" s="1"/>
  <c r="T314" i="24"/>
  <c r="X313" i="24"/>
  <c r="AC313" i="24" s="1"/>
  <c r="N320" i="24"/>
  <c r="Q320" i="24" s="1"/>
  <c r="N321" i="24"/>
  <c r="Q321" i="24" s="1"/>
  <c r="N324" i="24"/>
  <c r="Q324" i="24" s="1"/>
  <c r="N317" i="24"/>
  <c r="Q317" i="24" s="1"/>
  <c r="N314" i="24"/>
  <c r="Q314" i="24" s="1"/>
  <c r="N322" i="24"/>
  <c r="Q322" i="24" s="1"/>
  <c r="N313" i="24"/>
  <c r="Q313" i="24" s="1"/>
  <c r="N319" i="24"/>
  <c r="Q319" i="24" s="1"/>
  <c r="N315" i="24"/>
  <c r="Q315" i="24" s="1"/>
  <c r="N316" i="24"/>
  <c r="Q316" i="24" s="1"/>
  <c r="N323" i="24"/>
  <c r="Q323" i="24" s="1"/>
  <c r="N311" i="24"/>
  <c r="Q311" i="24" s="1"/>
  <c r="N312" i="24"/>
  <c r="Q312" i="24" s="1"/>
  <c r="N318" i="24"/>
  <c r="Q318" i="24" s="1"/>
  <c r="E24" i="24"/>
  <c r="Q310" i="24"/>
  <c r="Y312" i="24"/>
  <c r="AD312" i="24" s="1"/>
  <c r="U313" i="24"/>
  <c r="D328" i="24"/>
  <c r="C328" i="24" s="1"/>
  <c r="W309" i="24"/>
  <c r="S310" i="24"/>
  <c r="V310" i="24"/>
  <c r="R311" i="24"/>
  <c r="AA310" i="24"/>
  <c r="AB308" i="24"/>
  <c r="AE308" i="24" s="1"/>
  <c r="AF312" i="24" s="1"/>
  <c r="AG312" i="24" s="1"/>
  <c r="Z308" i="24"/>
  <c r="AI301" i="27" l="1"/>
  <c r="S306" i="27"/>
  <c r="W306" i="27" s="1"/>
  <c r="AB306" i="27" s="1"/>
  <c r="Z305" i="27"/>
  <c r="AE305" i="27"/>
  <c r="AF309" i="27" s="1"/>
  <c r="AG309" i="27" s="1"/>
  <c r="Z307" i="26"/>
  <c r="E328" i="28"/>
  <c r="I333" i="28" s="1"/>
  <c r="F328" i="28"/>
  <c r="J333" i="28" s="1"/>
  <c r="G328" i="28"/>
  <c r="K333" i="28" s="1"/>
  <c r="H328" i="28"/>
  <c r="L333" i="28" s="1"/>
  <c r="E329" i="28"/>
  <c r="I334" i="28" s="1"/>
  <c r="F329" i="28"/>
  <c r="J334" i="28" s="1"/>
  <c r="G329" i="28"/>
  <c r="K334" i="28" s="1"/>
  <c r="H329" i="28"/>
  <c r="L334" i="28" s="1"/>
  <c r="U315" i="28"/>
  <c r="AI277" i="28"/>
  <c r="AI278" i="28"/>
  <c r="AI283" i="28"/>
  <c r="AD313" i="28"/>
  <c r="AB310" i="28"/>
  <c r="AE310" i="28" s="1"/>
  <c r="AF314" i="28" s="1"/>
  <c r="AG314" i="28" s="1"/>
  <c r="AC315" i="28"/>
  <c r="Y314" i="28"/>
  <c r="Z310" i="28"/>
  <c r="AA312" i="28"/>
  <c r="M313" i="28"/>
  <c r="R313" i="28" s="1"/>
  <c r="V312" i="28"/>
  <c r="D330" i="28"/>
  <c r="AH313" i="28"/>
  <c r="X316" i="28"/>
  <c r="W311" i="28"/>
  <c r="AH308" i="27"/>
  <c r="AI303" i="27" s="1"/>
  <c r="X312" i="27"/>
  <c r="AC312" i="27" s="1"/>
  <c r="T313" i="27"/>
  <c r="S307" i="27"/>
  <c r="W307" i="27" s="1"/>
  <c r="AB307" i="27" s="1"/>
  <c r="U308" i="27"/>
  <c r="Y307" i="27"/>
  <c r="AD307" i="27" s="1"/>
  <c r="D327" i="27"/>
  <c r="C327" i="27" s="1"/>
  <c r="R307" i="27"/>
  <c r="V306" i="27"/>
  <c r="Z306" i="27" s="1"/>
  <c r="AA306" i="27"/>
  <c r="AE306" i="27" s="1"/>
  <c r="AF310" i="27" s="1"/>
  <c r="C326" i="27"/>
  <c r="W308" i="26"/>
  <c r="AB308" i="26" s="1"/>
  <c r="AE308" i="26" s="1"/>
  <c r="S309" i="26"/>
  <c r="M310" i="26"/>
  <c r="AA309" i="26"/>
  <c r="V309" i="26"/>
  <c r="X312" i="26"/>
  <c r="AC312" i="26" s="1"/>
  <c r="T313" i="26"/>
  <c r="D329" i="26"/>
  <c r="C329" i="26" s="1"/>
  <c r="G328" i="26"/>
  <c r="F328" i="26"/>
  <c r="E328" i="26"/>
  <c r="H328" i="26"/>
  <c r="U317" i="26"/>
  <c r="Y316" i="26"/>
  <c r="AD316" i="26" s="1"/>
  <c r="AH312" i="24"/>
  <c r="AA311" i="24"/>
  <c r="V311" i="24"/>
  <c r="R312" i="24"/>
  <c r="D329" i="24"/>
  <c r="C329" i="24" s="1"/>
  <c r="T315" i="24"/>
  <c r="X314" i="24"/>
  <c r="AC314" i="24" s="1"/>
  <c r="Y313" i="24"/>
  <c r="AD313" i="24" s="1"/>
  <c r="U314" i="24"/>
  <c r="G328" i="24"/>
  <c r="K333" i="24" s="1"/>
  <c r="F328" i="24"/>
  <c r="J333" i="24" s="1"/>
  <c r="E328" i="24"/>
  <c r="I333" i="24" s="1"/>
  <c r="H328" i="24"/>
  <c r="L333" i="24" s="1"/>
  <c r="W310" i="24"/>
  <c r="AB310" i="24" s="1"/>
  <c r="AE310" i="24" s="1"/>
  <c r="AF314" i="24" s="1"/>
  <c r="S311" i="24"/>
  <c r="AB309" i="24"/>
  <c r="AE309" i="24" s="1"/>
  <c r="AF313" i="24" s="1"/>
  <c r="AG313" i="24" s="1"/>
  <c r="Z309" i="24"/>
  <c r="AI291" i="24" l="1"/>
  <c r="Z310" i="24"/>
  <c r="U316" i="28"/>
  <c r="AI279" i="28"/>
  <c r="AI280" i="28"/>
  <c r="AI281" i="28"/>
  <c r="AI284" i="28"/>
  <c r="AI286" i="28"/>
  <c r="AI285" i="28"/>
  <c r="AB311" i="28"/>
  <c r="AE311" i="28" s="1"/>
  <c r="AF315" i="28" s="1"/>
  <c r="AG315" i="28" s="1"/>
  <c r="AC316" i="28"/>
  <c r="AD314" i="28"/>
  <c r="Z311" i="28"/>
  <c r="V313" i="28"/>
  <c r="AA313" i="28"/>
  <c r="X317" i="28"/>
  <c r="AH314" i="28"/>
  <c r="D331" i="28"/>
  <c r="C331" i="28" s="1"/>
  <c r="C330" i="28"/>
  <c r="M325" i="28"/>
  <c r="M319" i="28"/>
  <c r="M327" i="28"/>
  <c r="M321" i="28"/>
  <c r="M315" i="28"/>
  <c r="M323" i="28"/>
  <c r="M317" i="28"/>
  <c r="M318" i="28"/>
  <c r="M326" i="28"/>
  <c r="M324" i="28"/>
  <c r="M320" i="28"/>
  <c r="M316" i="28"/>
  <c r="M314" i="28"/>
  <c r="R314" i="28" s="1"/>
  <c r="M322" i="28"/>
  <c r="F24" i="28"/>
  <c r="N313" i="28"/>
  <c r="S313" i="28" s="1"/>
  <c r="W312" i="28"/>
  <c r="Y315" i="28"/>
  <c r="E327" i="27"/>
  <c r="I332" i="27" s="1"/>
  <c r="F327" i="27"/>
  <c r="J332" i="27" s="1"/>
  <c r="G327" i="27"/>
  <c r="K332" i="27" s="1"/>
  <c r="H327" i="27"/>
  <c r="L332" i="27" s="1"/>
  <c r="D328" i="27"/>
  <c r="T314" i="27"/>
  <c r="X313" i="27"/>
  <c r="AC313" i="27" s="1"/>
  <c r="Y308" i="27"/>
  <c r="AD308" i="27" s="1"/>
  <c r="U309" i="27"/>
  <c r="S308" i="27"/>
  <c r="W308" i="27" s="1"/>
  <c r="AB308" i="27" s="1"/>
  <c r="H326" i="27"/>
  <c r="L331" i="27" s="1"/>
  <c r="E326" i="27"/>
  <c r="I331" i="27" s="1"/>
  <c r="F326" i="27"/>
  <c r="J331" i="27" s="1"/>
  <c r="G326" i="27"/>
  <c r="K331" i="27" s="1"/>
  <c r="AA307" i="27"/>
  <c r="AE307" i="27" s="1"/>
  <c r="AF311" i="27" s="1"/>
  <c r="R308" i="27"/>
  <c r="V307" i="27"/>
  <c r="Z307" i="27" s="1"/>
  <c r="AH309" i="27"/>
  <c r="AI304" i="27" s="1"/>
  <c r="AG310" i="27"/>
  <c r="X313" i="26"/>
  <c r="AC313" i="26" s="1"/>
  <c r="T314" i="26"/>
  <c r="D330" i="26"/>
  <c r="C330" i="26" s="1"/>
  <c r="Y317" i="26"/>
  <c r="AD317" i="26" s="1"/>
  <c r="U318" i="26"/>
  <c r="M323" i="26"/>
  <c r="M321" i="26"/>
  <c r="M319" i="26"/>
  <c r="M317" i="26"/>
  <c r="M315" i="26"/>
  <c r="M313" i="26"/>
  <c r="M311" i="26"/>
  <c r="M322" i="26"/>
  <c r="M314" i="26"/>
  <c r="M320" i="26"/>
  <c r="M324" i="26"/>
  <c r="M316" i="26"/>
  <c r="M312" i="26"/>
  <c r="M318" i="26"/>
  <c r="D24" i="26"/>
  <c r="N310" i="26"/>
  <c r="Q310" i="26" s="1"/>
  <c r="R310" i="26"/>
  <c r="E329" i="26"/>
  <c r="F329" i="26"/>
  <c r="H329" i="26"/>
  <c r="G329" i="26"/>
  <c r="W309" i="26"/>
  <c r="AB309" i="26" s="1"/>
  <c r="AE309" i="26" s="1"/>
  <c r="Z308" i="26"/>
  <c r="AH313" i="24"/>
  <c r="AG314" i="24"/>
  <c r="H329" i="24"/>
  <c r="L334" i="24" s="1"/>
  <c r="G329" i="24"/>
  <c r="K334" i="24" s="1"/>
  <c r="F329" i="24"/>
  <c r="J334" i="24" s="1"/>
  <c r="E329" i="24"/>
  <c r="I334" i="24" s="1"/>
  <c r="T316" i="24"/>
  <c r="X315" i="24"/>
  <c r="AC315" i="24" s="1"/>
  <c r="W311" i="24"/>
  <c r="AB311" i="24" s="1"/>
  <c r="AE311" i="24" s="1"/>
  <c r="AF315" i="24" s="1"/>
  <c r="S312" i="24"/>
  <c r="D330" i="24"/>
  <c r="C330" i="24" s="1"/>
  <c r="V312" i="24"/>
  <c r="AA312" i="24"/>
  <c r="R313" i="24"/>
  <c r="I23" i="24"/>
  <c r="Y314" i="24"/>
  <c r="AD314" i="24" s="1"/>
  <c r="U315" i="24"/>
  <c r="E330" i="28" l="1"/>
  <c r="I335" i="28" s="1"/>
  <c r="F330" i="28"/>
  <c r="J335" i="28" s="1"/>
  <c r="G330" i="28"/>
  <c r="H330" i="28"/>
  <c r="E331" i="28"/>
  <c r="F331" i="28"/>
  <c r="J336" i="28" s="1"/>
  <c r="G331" i="28"/>
  <c r="K336" i="28" s="1"/>
  <c r="H331" i="28"/>
  <c r="L336" i="28" s="1"/>
  <c r="R315" i="28"/>
  <c r="R316" i="28" s="1"/>
  <c r="R317" i="28" s="1"/>
  <c r="R318" i="28" s="1"/>
  <c r="R319" i="28" s="1"/>
  <c r="R320" i="28" s="1"/>
  <c r="R321" i="28" s="1"/>
  <c r="R322" i="28" s="1"/>
  <c r="R323" i="28" s="1"/>
  <c r="R324" i="28" s="1"/>
  <c r="R325" i="28" s="1"/>
  <c r="R326" i="28" s="1"/>
  <c r="R327" i="28" s="1"/>
  <c r="U317" i="28"/>
  <c r="AI282" i="28"/>
  <c r="D21" i="28" s="1"/>
  <c r="AI287" i="28"/>
  <c r="AI288" i="28"/>
  <c r="AD315" i="28"/>
  <c r="AM315" i="28"/>
  <c r="AB312" i="28"/>
  <c r="AE312" i="28" s="1"/>
  <c r="AF316" i="28" s="1"/>
  <c r="AG316" i="28" s="1"/>
  <c r="AC317" i="28"/>
  <c r="I336" i="28"/>
  <c r="W313" i="28"/>
  <c r="Q313" i="28"/>
  <c r="D332" i="28"/>
  <c r="N322" i="28"/>
  <c r="Q322" i="28" s="1"/>
  <c r="N323" i="28"/>
  <c r="Q323" i="28" s="1"/>
  <c r="N317" i="28"/>
  <c r="Q317" i="28" s="1"/>
  <c r="N324" i="28"/>
  <c r="Q324" i="28" s="1"/>
  <c r="N318" i="28"/>
  <c r="Q318" i="28" s="1"/>
  <c r="N327" i="28"/>
  <c r="Q327" i="28" s="1"/>
  <c r="N325" i="28"/>
  <c r="Q325" i="28" s="1"/>
  <c r="N316" i="28"/>
  <c r="Q316" i="28" s="1"/>
  <c r="N326" i="28"/>
  <c r="Q326" i="28" s="1"/>
  <c r="N314" i="28"/>
  <c r="S314" i="28" s="1"/>
  <c r="N315" i="28"/>
  <c r="Q315" i="28" s="1"/>
  <c r="N320" i="28"/>
  <c r="Q320" i="28" s="1"/>
  <c r="N319" i="28"/>
  <c r="Q319" i="28" s="1"/>
  <c r="N321" i="28"/>
  <c r="Q321" i="28" s="1"/>
  <c r="G24" i="28"/>
  <c r="AH315" i="28"/>
  <c r="X318" i="28"/>
  <c r="Y316" i="28"/>
  <c r="K335" i="28"/>
  <c r="L335" i="28"/>
  <c r="Z312" i="28"/>
  <c r="S309" i="27"/>
  <c r="W309" i="27" s="1"/>
  <c r="AB309" i="27" s="1"/>
  <c r="Y309" i="27"/>
  <c r="AD309" i="27" s="1"/>
  <c r="P310" i="27"/>
  <c r="T315" i="27"/>
  <c r="X314" i="27"/>
  <c r="AC314" i="27" s="1"/>
  <c r="D329" i="27"/>
  <c r="R309" i="27"/>
  <c r="AA308" i="27"/>
  <c r="AE308" i="27" s="1"/>
  <c r="AF312" i="27" s="1"/>
  <c r="V308" i="27"/>
  <c r="Z308" i="27" s="1"/>
  <c r="C328" i="27"/>
  <c r="AG311" i="27"/>
  <c r="AH310" i="27"/>
  <c r="AI305" i="27" s="1"/>
  <c r="S310" i="26"/>
  <c r="W310" i="26" s="1"/>
  <c r="AB310" i="26" s="1"/>
  <c r="G330" i="26"/>
  <c r="F330" i="26"/>
  <c r="E330" i="26"/>
  <c r="H330" i="26"/>
  <c r="Z309" i="26"/>
  <c r="I23" i="26" s="1"/>
  <c r="J23" i="26" s="1"/>
  <c r="V310" i="26"/>
  <c r="AA310" i="26"/>
  <c r="R311" i="26"/>
  <c r="D331" i="26"/>
  <c r="Y318" i="26"/>
  <c r="AD318" i="26" s="1"/>
  <c r="U319" i="26"/>
  <c r="N313" i="26"/>
  <c r="Q313" i="26" s="1"/>
  <c r="N324" i="26"/>
  <c r="Q324" i="26" s="1"/>
  <c r="N311" i="26"/>
  <c r="N320" i="26"/>
  <c r="Q320" i="26" s="1"/>
  <c r="N318" i="26"/>
  <c r="Q318" i="26" s="1"/>
  <c r="N323" i="26"/>
  <c r="Q323" i="26" s="1"/>
  <c r="N322" i="26"/>
  <c r="Q322" i="26" s="1"/>
  <c r="N321" i="26"/>
  <c r="Q321" i="26" s="1"/>
  <c r="N319" i="26"/>
  <c r="Q319" i="26" s="1"/>
  <c r="N314" i="26"/>
  <c r="Q314" i="26" s="1"/>
  <c r="N315" i="26"/>
  <c r="Q315" i="26" s="1"/>
  <c r="N317" i="26"/>
  <c r="Q317" i="26" s="1"/>
  <c r="N312" i="26"/>
  <c r="Q312" i="26" s="1"/>
  <c r="N316" i="26"/>
  <c r="Q316" i="26" s="1"/>
  <c r="E24" i="26"/>
  <c r="X314" i="26"/>
  <c r="AC314" i="26" s="1"/>
  <c r="T315" i="26"/>
  <c r="H330" i="24"/>
  <c r="L335" i="24" s="1"/>
  <c r="G330" i="24"/>
  <c r="K335" i="24" s="1"/>
  <c r="E330" i="24"/>
  <c r="I335" i="24" s="1"/>
  <c r="F330" i="24"/>
  <c r="J335" i="24" s="1"/>
  <c r="T317" i="24"/>
  <c r="X316" i="24"/>
  <c r="AC316" i="24" s="1"/>
  <c r="W312" i="24"/>
  <c r="AB312" i="24" s="1"/>
  <c r="AE312" i="24" s="1"/>
  <c r="AF316" i="24" s="1"/>
  <c r="S313" i="24"/>
  <c r="Y315" i="24"/>
  <c r="AD315" i="24" s="1"/>
  <c r="U316" i="24"/>
  <c r="Z311" i="24"/>
  <c r="R314" i="24"/>
  <c r="V313" i="24"/>
  <c r="AA313" i="24"/>
  <c r="AH314" i="24"/>
  <c r="AG315" i="24"/>
  <c r="D331" i="24"/>
  <c r="C331" i="24" s="1"/>
  <c r="AI292" i="24" l="1"/>
  <c r="S315" i="28"/>
  <c r="S316" i="28" s="1"/>
  <c r="S311" i="26"/>
  <c r="S312" i="26" s="1"/>
  <c r="U318" i="28"/>
  <c r="S317" i="28"/>
  <c r="AI289" i="28"/>
  <c r="AI290" i="28"/>
  <c r="AI291" i="28"/>
  <c r="AB313" i="28"/>
  <c r="AE313" i="28" s="1"/>
  <c r="AF317" i="28" s="1"/>
  <c r="AG317" i="28" s="1"/>
  <c r="AD316" i="28"/>
  <c r="AM316" i="28"/>
  <c r="AC318" i="28"/>
  <c r="Q314" i="28"/>
  <c r="W314" i="28"/>
  <c r="D333" i="28"/>
  <c r="C333" i="28" s="1"/>
  <c r="C332" i="28"/>
  <c r="X319" i="28"/>
  <c r="AH316" i="28"/>
  <c r="C23" i="28"/>
  <c r="AA314" i="28"/>
  <c r="V314" i="28"/>
  <c r="Y317" i="28"/>
  <c r="Z313" i="28"/>
  <c r="E328" i="27"/>
  <c r="I333" i="27" s="1"/>
  <c r="F328" i="27"/>
  <c r="J333" i="27" s="1"/>
  <c r="G328" i="27"/>
  <c r="K333" i="27" s="1"/>
  <c r="H328" i="27"/>
  <c r="L333" i="27" s="1"/>
  <c r="V309" i="27"/>
  <c r="Z309" i="27" s="1"/>
  <c r="M310" i="27"/>
  <c r="R310" i="27" s="1"/>
  <c r="AA309" i="27"/>
  <c r="AE309" i="27" s="1"/>
  <c r="AF313" i="27" s="1"/>
  <c r="D330" i="27"/>
  <c r="C330" i="27" s="1"/>
  <c r="C329" i="27"/>
  <c r="X315" i="27"/>
  <c r="AC315" i="27" s="1"/>
  <c r="T316" i="27"/>
  <c r="G24" i="27"/>
  <c r="P312" i="27"/>
  <c r="P318" i="27"/>
  <c r="P324" i="27"/>
  <c r="P313" i="27"/>
  <c r="P316" i="27"/>
  <c r="P311" i="27"/>
  <c r="P319" i="27"/>
  <c r="P322" i="27"/>
  <c r="P314" i="27"/>
  <c r="P317" i="27"/>
  <c r="P315" i="27"/>
  <c r="P323" i="27"/>
  <c r="P321" i="27"/>
  <c r="P320" i="27"/>
  <c r="U310" i="27"/>
  <c r="AH311" i="27"/>
  <c r="AI306" i="27" s="1"/>
  <c r="AG312" i="27"/>
  <c r="W311" i="26"/>
  <c r="AB311" i="26" s="1"/>
  <c r="R312" i="26"/>
  <c r="AA311" i="26"/>
  <c r="V311" i="26"/>
  <c r="AE310" i="26"/>
  <c r="X315" i="26"/>
  <c r="AC315" i="26" s="1"/>
  <c r="T316" i="26"/>
  <c r="Z310" i="26"/>
  <c r="D332" i="26"/>
  <c r="C332" i="26" s="1"/>
  <c r="C331" i="26"/>
  <c r="Y319" i="26"/>
  <c r="AD319" i="26" s="1"/>
  <c r="U320" i="26"/>
  <c r="Q311" i="26"/>
  <c r="W313" i="24"/>
  <c r="AB313" i="24" s="1"/>
  <c r="AE313" i="24" s="1"/>
  <c r="AF317" i="24" s="1"/>
  <c r="S314" i="24"/>
  <c r="D332" i="24"/>
  <c r="AA314" i="24"/>
  <c r="R315" i="24"/>
  <c r="V314" i="24"/>
  <c r="U317" i="24"/>
  <c r="Y316" i="24"/>
  <c r="AD316" i="24" s="1"/>
  <c r="G331" i="24"/>
  <c r="K336" i="24" s="1"/>
  <c r="F331" i="24"/>
  <c r="J336" i="24" s="1"/>
  <c r="H331" i="24"/>
  <c r="L336" i="24" s="1"/>
  <c r="E331" i="24"/>
  <c r="I336" i="24" s="1"/>
  <c r="AG316" i="24"/>
  <c r="AH315" i="24"/>
  <c r="AI293" i="24" s="1"/>
  <c r="T318" i="24"/>
  <c r="X317" i="24"/>
  <c r="AC317" i="24" s="1"/>
  <c r="Z312" i="24"/>
  <c r="Z311" i="26" l="1"/>
  <c r="AE311" i="26"/>
  <c r="E332" i="28"/>
  <c r="I337" i="28" s="1"/>
  <c r="F332" i="28"/>
  <c r="J337" i="28" s="1"/>
  <c r="G332" i="28"/>
  <c r="K337" i="28" s="1"/>
  <c r="H332" i="28"/>
  <c r="L337" i="28" s="1"/>
  <c r="E333" i="28"/>
  <c r="I338" i="28" s="1"/>
  <c r="F333" i="28"/>
  <c r="J338" i="28" s="1"/>
  <c r="G333" i="28"/>
  <c r="K338" i="28" s="1"/>
  <c r="H333" i="28"/>
  <c r="L338" i="28" s="1"/>
  <c r="Z313" i="24"/>
  <c r="S318" i="28"/>
  <c r="U319" i="28"/>
  <c r="AI292" i="28"/>
  <c r="AI293" i="28"/>
  <c r="AC319" i="28"/>
  <c r="AD317" i="28"/>
  <c r="AM317" i="28"/>
  <c r="AB314" i="28"/>
  <c r="AE314" i="28" s="1"/>
  <c r="AF318" i="28" s="1"/>
  <c r="AG318" i="28" s="1"/>
  <c r="Z314" i="28"/>
  <c r="AH317" i="28"/>
  <c r="X320" i="28"/>
  <c r="Y318" i="28"/>
  <c r="D334" i="28"/>
  <c r="C334" i="28" s="1"/>
  <c r="V315" i="28"/>
  <c r="AA315" i="28"/>
  <c r="W315" i="28"/>
  <c r="G329" i="27"/>
  <c r="K334" i="27" s="1"/>
  <c r="H329" i="27"/>
  <c r="L334" i="27" s="1"/>
  <c r="E329" i="27"/>
  <c r="I334" i="27" s="1"/>
  <c r="F329" i="27"/>
  <c r="J334" i="27" s="1"/>
  <c r="E330" i="27"/>
  <c r="I335" i="27" s="1"/>
  <c r="F330" i="27"/>
  <c r="J335" i="27" s="1"/>
  <c r="G330" i="27"/>
  <c r="K335" i="27" s="1"/>
  <c r="H330" i="27"/>
  <c r="L335" i="27" s="1"/>
  <c r="D331" i="27"/>
  <c r="C331" i="27" s="1"/>
  <c r="V310" i="27"/>
  <c r="AA310" i="27"/>
  <c r="D24" i="27"/>
  <c r="M316" i="27"/>
  <c r="M322" i="27"/>
  <c r="N310" i="27"/>
  <c r="Q310" i="27" s="1"/>
  <c r="M317" i="27"/>
  <c r="M320" i="27"/>
  <c r="M312" i="27"/>
  <c r="M315" i="27"/>
  <c r="M311" i="27"/>
  <c r="R311" i="27" s="1"/>
  <c r="M313" i="27"/>
  <c r="M314" i="27"/>
  <c r="M318" i="27"/>
  <c r="M323" i="27"/>
  <c r="M324" i="27"/>
  <c r="M321" i="27"/>
  <c r="M319" i="27"/>
  <c r="I23" i="27"/>
  <c r="Y310" i="27"/>
  <c r="AD310" i="27" s="1"/>
  <c r="U311" i="27"/>
  <c r="AH312" i="27"/>
  <c r="AI307" i="27" s="1"/>
  <c r="AG313" i="27"/>
  <c r="X316" i="27"/>
  <c r="AC316" i="27" s="1"/>
  <c r="T317" i="27"/>
  <c r="E331" i="26"/>
  <c r="F331" i="26"/>
  <c r="H331" i="26"/>
  <c r="G331" i="26"/>
  <c r="D333" i="26"/>
  <c r="X316" i="26"/>
  <c r="AC316" i="26" s="1"/>
  <c r="T317" i="26"/>
  <c r="G332" i="26"/>
  <c r="F332" i="26"/>
  <c r="E332" i="26"/>
  <c r="H332" i="26"/>
  <c r="Y320" i="26"/>
  <c r="AD320" i="26" s="1"/>
  <c r="U321" i="26"/>
  <c r="V312" i="26"/>
  <c r="R313" i="26"/>
  <c r="AA312" i="26"/>
  <c r="W312" i="26"/>
  <c r="AB312" i="26" s="1"/>
  <c r="S313" i="26"/>
  <c r="U318" i="24"/>
  <c r="Y317" i="24"/>
  <c r="AD317" i="24" s="1"/>
  <c r="AA315" i="24"/>
  <c r="R316" i="24"/>
  <c r="V315" i="24"/>
  <c r="X318" i="24"/>
  <c r="AC318" i="24" s="1"/>
  <c r="T319" i="24"/>
  <c r="D333" i="24"/>
  <c r="C333" i="24" s="1"/>
  <c r="AG317" i="24"/>
  <c r="AH316" i="24"/>
  <c r="C332" i="24"/>
  <c r="W314" i="24"/>
  <c r="AB314" i="24" s="1"/>
  <c r="AE314" i="24" s="1"/>
  <c r="AF318" i="24" s="1"/>
  <c r="S315" i="24"/>
  <c r="AI294" i="24" l="1"/>
  <c r="J22" i="24" s="1"/>
  <c r="AI295" i="24"/>
  <c r="E334" i="28"/>
  <c r="I339" i="28" s="1"/>
  <c r="F334" i="28"/>
  <c r="J339" i="28" s="1"/>
  <c r="G334" i="28"/>
  <c r="K339" i="28" s="1"/>
  <c r="H334" i="28"/>
  <c r="L339" i="28" s="1"/>
  <c r="U320" i="28"/>
  <c r="S319" i="28"/>
  <c r="AI295" i="28"/>
  <c r="AI294" i="28"/>
  <c r="AC320" i="28"/>
  <c r="AB315" i="28"/>
  <c r="AE315" i="28" s="1"/>
  <c r="AF319" i="28" s="1"/>
  <c r="AG319" i="28" s="1"/>
  <c r="AD318" i="28"/>
  <c r="AM318" i="28"/>
  <c r="Y319" i="28"/>
  <c r="X321" i="28"/>
  <c r="AH318" i="28"/>
  <c r="W316" i="28"/>
  <c r="AA316" i="28"/>
  <c r="V316" i="28"/>
  <c r="D335" i="28"/>
  <c r="C335" i="28" s="1"/>
  <c r="Z315" i="28"/>
  <c r="S310" i="27"/>
  <c r="W310" i="27" s="1"/>
  <c r="AB310" i="27" s="1"/>
  <c r="AE310" i="27" s="1"/>
  <c r="AF314" i="27" s="1"/>
  <c r="AG314" i="27" s="1"/>
  <c r="AA311" i="27"/>
  <c r="V311" i="27"/>
  <c r="R312" i="27"/>
  <c r="D332" i="27"/>
  <c r="F331" i="27"/>
  <c r="J336" i="27" s="1"/>
  <c r="G331" i="27"/>
  <c r="K336" i="27" s="1"/>
  <c r="E331" i="27"/>
  <c r="I336" i="27" s="1"/>
  <c r="H331" i="27"/>
  <c r="L336" i="27" s="1"/>
  <c r="E24" i="27"/>
  <c r="N311" i="27"/>
  <c r="Q311" i="27" s="1"/>
  <c r="N317" i="27"/>
  <c r="Q317" i="27" s="1"/>
  <c r="N323" i="27"/>
  <c r="Q323" i="27" s="1"/>
  <c r="N313" i="27"/>
  <c r="Q313" i="27" s="1"/>
  <c r="N314" i="27"/>
  <c r="Q314" i="27" s="1"/>
  <c r="N320" i="27"/>
  <c r="Q320" i="27" s="1"/>
  <c r="N315" i="27"/>
  <c r="Q315" i="27" s="1"/>
  <c r="N318" i="27"/>
  <c r="Q318" i="27" s="1"/>
  <c r="N322" i="27"/>
  <c r="Q322" i="27" s="1"/>
  <c r="N324" i="27"/>
  <c r="Q324" i="27" s="1"/>
  <c r="N321" i="27"/>
  <c r="Q321" i="27" s="1"/>
  <c r="N316" i="27"/>
  <c r="Q316" i="27" s="1"/>
  <c r="N312" i="27"/>
  <c r="Q312" i="27" s="1"/>
  <c r="N319" i="27"/>
  <c r="Q319" i="27" s="1"/>
  <c r="X317" i="27"/>
  <c r="AC317" i="27" s="1"/>
  <c r="T318" i="27"/>
  <c r="Y311" i="27"/>
  <c r="AD311" i="27" s="1"/>
  <c r="U312" i="27"/>
  <c r="AH313" i="27"/>
  <c r="AI308" i="27" s="1"/>
  <c r="W313" i="26"/>
  <c r="AB313" i="26" s="1"/>
  <c r="S314" i="26"/>
  <c r="X317" i="26"/>
  <c r="AC317" i="26" s="1"/>
  <c r="T318" i="26"/>
  <c r="D334" i="26"/>
  <c r="C334" i="26" s="1"/>
  <c r="Z312" i="26"/>
  <c r="C333" i="26"/>
  <c r="R314" i="26"/>
  <c r="V313" i="26"/>
  <c r="AA313" i="26"/>
  <c r="Y321" i="26"/>
  <c r="AD321" i="26" s="1"/>
  <c r="U322" i="26"/>
  <c r="AE312" i="26"/>
  <c r="Z314" i="24"/>
  <c r="E333" i="24"/>
  <c r="I338" i="24" s="1"/>
  <c r="H333" i="24"/>
  <c r="L338" i="24" s="1"/>
  <c r="F333" i="24"/>
  <c r="J338" i="24" s="1"/>
  <c r="G333" i="24"/>
  <c r="K338" i="24" s="1"/>
  <c r="X319" i="24"/>
  <c r="AC319" i="24" s="1"/>
  <c r="T320" i="24"/>
  <c r="R317" i="24"/>
  <c r="AA316" i="24"/>
  <c r="V316" i="24"/>
  <c r="H332" i="24"/>
  <c r="L337" i="24" s="1"/>
  <c r="F332" i="24"/>
  <c r="J337" i="24" s="1"/>
  <c r="E332" i="24"/>
  <c r="I337" i="24" s="1"/>
  <c r="G332" i="24"/>
  <c r="K337" i="24" s="1"/>
  <c r="AG318" i="24"/>
  <c r="AH317" i="24"/>
  <c r="AI296" i="24" s="1"/>
  <c r="Y318" i="24"/>
  <c r="AD318" i="24" s="1"/>
  <c r="U319" i="24"/>
  <c r="W315" i="24"/>
  <c r="AB315" i="24" s="1"/>
  <c r="AE315" i="24" s="1"/>
  <c r="AF319" i="24" s="1"/>
  <c r="S316" i="24"/>
  <c r="D334" i="24"/>
  <c r="C334" i="24" s="1"/>
  <c r="E335" i="28" l="1"/>
  <c r="I340" i="28" s="1"/>
  <c r="F335" i="28"/>
  <c r="J340" i="28" s="1"/>
  <c r="G335" i="28"/>
  <c r="K340" i="28" s="1"/>
  <c r="H335" i="28"/>
  <c r="L340" i="28" s="1"/>
  <c r="AE313" i="26"/>
  <c r="Z313" i="26"/>
  <c r="U321" i="28"/>
  <c r="S320" i="28"/>
  <c r="AI298" i="28"/>
  <c r="AI296" i="28"/>
  <c r="AI297" i="28"/>
  <c r="AD319" i="28"/>
  <c r="AM319" i="28"/>
  <c r="Z316" i="28"/>
  <c r="AB316" i="28"/>
  <c r="AE316" i="28" s="1"/>
  <c r="AF320" i="28" s="1"/>
  <c r="AG320" i="28" s="1"/>
  <c r="AC321" i="28"/>
  <c r="W317" i="28"/>
  <c r="AH319" i="28"/>
  <c r="X322" i="28"/>
  <c r="Y320" i="28"/>
  <c r="D336" i="28"/>
  <c r="C336" i="28" s="1"/>
  <c r="AA317" i="28"/>
  <c r="V317" i="28"/>
  <c r="Z310" i="27"/>
  <c r="S311" i="27"/>
  <c r="W311" i="27" s="1"/>
  <c r="AB311" i="27" s="1"/>
  <c r="AE311" i="27" s="1"/>
  <c r="AF315" i="27" s="1"/>
  <c r="AG315" i="27" s="1"/>
  <c r="AH314" i="27"/>
  <c r="AI309" i="27" s="1"/>
  <c r="J23" i="27" s="1"/>
  <c r="D333" i="27"/>
  <c r="C332" i="27"/>
  <c r="R313" i="27"/>
  <c r="V312" i="27"/>
  <c r="AA312" i="27"/>
  <c r="Y312" i="27"/>
  <c r="AD312" i="27" s="1"/>
  <c r="U313" i="27"/>
  <c r="X318" i="27"/>
  <c r="AC318" i="27" s="1"/>
  <c r="T319" i="27"/>
  <c r="G334" i="26"/>
  <c r="F334" i="26"/>
  <c r="E334" i="26"/>
  <c r="H334" i="26"/>
  <c r="D335" i="26"/>
  <c r="C335" i="26" s="1"/>
  <c r="E333" i="26"/>
  <c r="H333" i="26"/>
  <c r="G333" i="26"/>
  <c r="F333" i="26"/>
  <c r="X318" i="26"/>
  <c r="AC318" i="26" s="1"/>
  <c r="T319" i="26"/>
  <c r="R315" i="26"/>
  <c r="V314" i="26"/>
  <c r="AA314" i="26"/>
  <c r="U323" i="26"/>
  <c r="Y322" i="26"/>
  <c r="AD322" i="26" s="1"/>
  <c r="W314" i="26"/>
  <c r="AB314" i="26" s="1"/>
  <c r="S315" i="26"/>
  <c r="Y319" i="24"/>
  <c r="AD319" i="24" s="1"/>
  <c r="U320" i="24"/>
  <c r="Z315" i="24"/>
  <c r="X320" i="24"/>
  <c r="AC320" i="24" s="1"/>
  <c r="T321" i="24"/>
  <c r="AH318" i="24"/>
  <c r="AG319" i="24"/>
  <c r="G334" i="24"/>
  <c r="K339" i="24" s="1"/>
  <c r="F334" i="24"/>
  <c r="J339" i="24" s="1"/>
  <c r="E334" i="24"/>
  <c r="I339" i="24" s="1"/>
  <c r="H334" i="24"/>
  <c r="L339" i="24" s="1"/>
  <c r="W316" i="24"/>
  <c r="AB316" i="24" s="1"/>
  <c r="AE316" i="24" s="1"/>
  <c r="AF320" i="24" s="1"/>
  <c r="S317" i="24"/>
  <c r="AA317" i="24"/>
  <c r="V317" i="24"/>
  <c r="R318" i="24"/>
  <c r="D335" i="24"/>
  <c r="C335" i="24" s="1"/>
  <c r="D22" i="28" l="1"/>
  <c r="E336" i="28"/>
  <c r="I341" i="28" s="1"/>
  <c r="F336" i="28"/>
  <c r="J341" i="28" s="1"/>
  <c r="G336" i="28"/>
  <c r="K341" i="28" s="1"/>
  <c r="H336" i="28"/>
  <c r="L341" i="28" s="1"/>
  <c r="S321" i="28"/>
  <c r="U322" i="28"/>
  <c r="AI299" i="28"/>
  <c r="AC322" i="28"/>
  <c r="AL322" i="28"/>
  <c r="AB317" i="28"/>
  <c r="AE317" i="28" s="1"/>
  <c r="AF321" i="28" s="1"/>
  <c r="AG321" i="28" s="1"/>
  <c r="AD320" i="28"/>
  <c r="AM320" i="28"/>
  <c r="Z317" i="28"/>
  <c r="Y321" i="28"/>
  <c r="X323" i="28"/>
  <c r="D337" i="28"/>
  <c r="C337" i="28" s="1"/>
  <c r="AA318" i="28"/>
  <c r="V318" i="28"/>
  <c r="AH320" i="28"/>
  <c r="W318" i="28"/>
  <c r="S312" i="27"/>
  <c r="W312" i="27" s="1"/>
  <c r="AB312" i="27" s="1"/>
  <c r="AE312" i="27" s="1"/>
  <c r="AF316" i="27" s="1"/>
  <c r="AG316" i="27" s="1"/>
  <c r="Z311" i="27"/>
  <c r="AH315" i="27"/>
  <c r="H332" i="27"/>
  <c r="L337" i="27" s="1"/>
  <c r="E332" i="27"/>
  <c r="I337" i="27" s="1"/>
  <c r="F332" i="27"/>
  <c r="J337" i="27" s="1"/>
  <c r="G332" i="27"/>
  <c r="K337" i="27" s="1"/>
  <c r="T320" i="27"/>
  <c r="X319" i="27"/>
  <c r="AC319" i="27" s="1"/>
  <c r="D334" i="27"/>
  <c r="C334" i="27" s="1"/>
  <c r="C333" i="27"/>
  <c r="V313" i="27"/>
  <c r="R314" i="27"/>
  <c r="AA313" i="27"/>
  <c r="U314" i="27"/>
  <c r="Y313" i="27"/>
  <c r="AD313" i="27" s="1"/>
  <c r="E335" i="26"/>
  <c r="G335" i="26"/>
  <c r="F335" i="26"/>
  <c r="H335" i="26"/>
  <c r="X319" i="26"/>
  <c r="AC319" i="26" s="1"/>
  <c r="T320" i="26"/>
  <c r="W315" i="26"/>
  <c r="AB315" i="26" s="1"/>
  <c r="S316" i="26"/>
  <c r="Y323" i="26"/>
  <c r="AD323" i="26" s="1"/>
  <c r="U324" i="26"/>
  <c r="D336" i="26"/>
  <c r="AE314" i="26"/>
  <c r="Z314" i="26"/>
  <c r="R316" i="26"/>
  <c r="AA315" i="26"/>
  <c r="V315" i="26"/>
  <c r="D336" i="24"/>
  <c r="C336" i="24" s="1"/>
  <c r="AH319" i="24"/>
  <c r="AI297" i="24" s="1"/>
  <c r="AG320" i="24"/>
  <c r="R319" i="24"/>
  <c r="V318" i="24"/>
  <c r="AA318" i="24"/>
  <c r="T322" i="24"/>
  <c r="X321" i="24"/>
  <c r="AC321" i="24" s="1"/>
  <c r="W317" i="24"/>
  <c r="AB317" i="24" s="1"/>
  <c r="AE317" i="24" s="1"/>
  <c r="AF321" i="24" s="1"/>
  <c r="S318" i="24"/>
  <c r="Y320" i="24"/>
  <c r="AD320" i="24" s="1"/>
  <c r="U321" i="24"/>
  <c r="H335" i="24"/>
  <c r="G335" i="24"/>
  <c r="F335" i="24"/>
  <c r="E335" i="24"/>
  <c r="Z316" i="24"/>
  <c r="E337" i="28" l="1"/>
  <c r="F337" i="28"/>
  <c r="J342" i="28" s="1"/>
  <c r="G337" i="28"/>
  <c r="K342" i="28" s="1"/>
  <c r="H337" i="28"/>
  <c r="L342" i="28" s="1"/>
  <c r="U323" i="28"/>
  <c r="S322" i="28"/>
  <c r="AI300" i="28"/>
  <c r="AD321" i="28"/>
  <c r="AM321" i="28"/>
  <c r="Z318" i="28"/>
  <c r="AB318" i="28"/>
  <c r="AE318" i="28" s="1"/>
  <c r="AF322" i="28" s="1"/>
  <c r="AG322" i="28" s="1"/>
  <c r="AC323" i="28"/>
  <c r="AL323" i="28"/>
  <c r="I342" i="28"/>
  <c r="AA319" i="28"/>
  <c r="V319" i="28"/>
  <c r="D338" i="28"/>
  <c r="C338" i="28" s="1"/>
  <c r="X324" i="28"/>
  <c r="AH321" i="28"/>
  <c r="Y322" i="28"/>
  <c r="W319" i="28"/>
  <c r="S313" i="27"/>
  <c r="W313" i="27" s="1"/>
  <c r="AB313" i="27" s="1"/>
  <c r="AE313" i="27" s="1"/>
  <c r="AF317" i="27" s="1"/>
  <c r="AG317" i="27" s="1"/>
  <c r="Z312" i="27"/>
  <c r="AH316" i="27"/>
  <c r="E334" i="27"/>
  <c r="I339" i="27" s="1"/>
  <c r="F334" i="27"/>
  <c r="J339" i="27" s="1"/>
  <c r="G334" i="27"/>
  <c r="K339" i="27" s="1"/>
  <c r="H334" i="27"/>
  <c r="L339" i="27" s="1"/>
  <c r="T321" i="27"/>
  <c r="X320" i="27"/>
  <c r="AC320" i="27" s="1"/>
  <c r="Y314" i="27"/>
  <c r="AD314" i="27" s="1"/>
  <c r="U315" i="27"/>
  <c r="V314" i="27"/>
  <c r="R315" i="27"/>
  <c r="AA314" i="27"/>
  <c r="E333" i="27"/>
  <c r="I338" i="27" s="1"/>
  <c r="F333" i="27"/>
  <c r="J338" i="27" s="1"/>
  <c r="G333" i="27"/>
  <c r="K338" i="27" s="1"/>
  <c r="H333" i="27"/>
  <c r="L338" i="27" s="1"/>
  <c r="D335" i="27"/>
  <c r="D337" i="26"/>
  <c r="X320" i="26"/>
  <c r="AC320" i="26" s="1"/>
  <c r="T321" i="26"/>
  <c r="Z315" i="26"/>
  <c r="W316" i="26"/>
  <c r="AB316" i="26" s="1"/>
  <c r="S317" i="26"/>
  <c r="Y324" i="26"/>
  <c r="AD324" i="26" s="1"/>
  <c r="P325" i="26"/>
  <c r="U325" i="26" s="1"/>
  <c r="AE315" i="26"/>
  <c r="AA316" i="26"/>
  <c r="R317" i="26"/>
  <c r="V316" i="26"/>
  <c r="C336" i="26"/>
  <c r="E336" i="24"/>
  <c r="H336" i="24"/>
  <c r="G336" i="24"/>
  <c r="F336" i="24"/>
  <c r="Z317" i="24"/>
  <c r="T323" i="24"/>
  <c r="X322" i="24"/>
  <c r="AC322" i="24" s="1"/>
  <c r="V319" i="24"/>
  <c r="R320" i="24"/>
  <c r="AA319" i="24"/>
  <c r="Y321" i="24"/>
  <c r="AD321" i="24" s="1"/>
  <c r="U322" i="24"/>
  <c r="AG321" i="24"/>
  <c r="AH320" i="24"/>
  <c r="AI298" i="24" s="1"/>
  <c r="W318" i="24"/>
  <c r="AB318" i="24" s="1"/>
  <c r="AE318" i="24" s="1"/>
  <c r="AF322" i="24" s="1"/>
  <c r="S319" i="24"/>
  <c r="D337" i="24"/>
  <c r="E338" i="28" l="1"/>
  <c r="F338" i="28"/>
  <c r="G338" i="28"/>
  <c r="H338" i="28"/>
  <c r="U324" i="28"/>
  <c r="S323" i="28"/>
  <c r="AC324" i="28"/>
  <c r="AL324" i="28"/>
  <c r="AB319" i="28"/>
  <c r="AE319" i="28" s="1"/>
  <c r="AF323" i="28" s="1"/>
  <c r="AG323" i="28" s="1"/>
  <c r="AD322" i="28"/>
  <c r="AM322" i="28"/>
  <c r="W320" i="28"/>
  <c r="Z319" i="28"/>
  <c r="AA320" i="28"/>
  <c r="V320" i="28"/>
  <c r="D339" i="28"/>
  <c r="C339" i="28" s="1"/>
  <c r="Y323" i="28"/>
  <c r="X325" i="28"/>
  <c r="AH322" i="28"/>
  <c r="S314" i="27"/>
  <c r="W314" i="27" s="1"/>
  <c r="AB314" i="27" s="1"/>
  <c r="AE314" i="27" s="1"/>
  <c r="AF318" i="27" s="1"/>
  <c r="AG318" i="27" s="1"/>
  <c r="Z313" i="27"/>
  <c r="AH317" i="27"/>
  <c r="Y315" i="27"/>
  <c r="AD315" i="27" s="1"/>
  <c r="U316" i="27"/>
  <c r="D336" i="27"/>
  <c r="C336" i="27" s="1"/>
  <c r="C335" i="27"/>
  <c r="X321" i="27"/>
  <c r="AC321" i="27" s="1"/>
  <c r="T322" i="27"/>
  <c r="V315" i="27"/>
  <c r="R316" i="27"/>
  <c r="AA315" i="27"/>
  <c r="P336" i="26"/>
  <c r="P330" i="26"/>
  <c r="P337" i="26"/>
  <c r="P335" i="26"/>
  <c r="P333" i="26"/>
  <c r="P334" i="26"/>
  <c r="P327" i="26"/>
  <c r="P332" i="26"/>
  <c r="P339" i="26"/>
  <c r="P331" i="26"/>
  <c r="P326" i="26"/>
  <c r="U326" i="26" s="1"/>
  <c r="P329" i="26"/>
  <c r="P338" i="26"/>
  <c r="P328" i="26"/>
  <c r="G25" i="26"/>
  <c r="W317" i="26"/>
  <c r="AB317" i="26" s="1"/>
  <c r="S318" i="26"/>
  <c r="Z316" i="26"/>
  <c r="X321" i="26"/>
  <c r="AC321" i="26" s="1"/>
  <c r="T322" i="26"/>
  <c r="R318" i="26"/>
  <c r="AA317" i="26"/>
  <c r="V317" i="26"/>
  <c r="Y325" i="26"/>
  <c r="AD325" i="26" s="1"/>
  <c r="AE316" i="26"/>
  <c r="D338" i="26"/>
  <c r="C338" i="26" s="1"/>
  <c r="G336" i="26"/>
  <c r="F336" i="26"/>
  <c r="E336" i="26"/>
  <c r="H336" i="26"/>
  <c r="C337" i="26"/>
  <c r="AA320" i="24"/>
  <c r="V320" i="24"/>
  <c r="R321" i="24"/>
  <c r="D338" i="24"/>
  <c r="C338" i="24" s="1"/>
  <c r="Z318" i="24"/>
  <c r="T324" i="24"/>
  <c r="X323" i="24"/>
  <c r="AC323" i="24" s="1"/>
  <c r="U323" i="24"/>
  <c r="Y322" i="24"/>
  <c r="AD322" i="24" s="1"/>
  <c r="W319" i="24"/>
  <c r="AB319" i="24" s="1"/>
  <c r="AE319" i="24" s="1"/>
  <c r="AF323" i="24" s="1"/>
  <c r="S320" i="24"/>
  <c r="AH321" i="24"/>
  <c r="AG322" i="24"/>
  <c r="C337" i="24"/>
  <c r="Z317" i="26" l="1"/>
  <c r="AE317" i="26"/>
  <c r="E339" i="28"/>
  <c r="F339" i="28"/>
  <c r="G339" i="28"/>
  <c r="H339" i="28"/>
  <c r="S324" i="28"/>
  <c r="U325" i="28"/>
  <c r="AI301" i="28"/>
  <c r="AC325" i="28"/>
  <c r="AL325" i="28"/>
  <c r="AB320" i="28"/>
  <c r="AE320" i="28" s="1"/>
  <c r="AF324" i="28" s="1"/>
  <c r="AG324" i="28" s="1"/>
  <c r="AD323" i="28"/>
  <c r="AM323" i="28"/>
  <c r="Z320" i="28"/>
  <c r="V321" i="28"/>
  <c r="AA321" i="28"/>
  <c r="AH323" i="28"/>
  <c r="W321" i="28"/>
  <c r="X326" i="28"/>
  <c r="D340" i="28"/>
  <c r="C340" i="28" s="1"/>
  <c r="Y324" i="28"/>
  <c r="S315" i="27"/>
  <c r="W315" i="27" s="1"/>
  <c r="AB315" i="27" s="1"/>
  <c r="AE315" i="27" s="1"/>
  <c r="AF319" i="27" s="1"/>
  <c r="AG319" i="27" s="1"/>
  <c r="Z314" i="27"/>
  <c r="AH318" i="27"/>
  <c r="E336" i="27"/>
  <c r="F336" i="27"/>
  <c r="G336" i="27"/>
  <c r="H336" i="27"/>
  <c r="E335" i="27"/>
  <c r="F335" i="27"/>
  <c r="G335" i="27"/>
  <c r="H335" i="27"/>
  <c r="D337" i="27"/>
  <c r="C337" i="27" s="1"/>
  <c r="Y316" i="27"/>
  <c r="AD316" i="27" s="1"/>
  <c r="U317" i="27"/>
  <c r="V316" i="27"/>
  <c r="R317" i="27"/>
  <c r="AA316" i="27"/>
  <c r="X322" i="27"/>
  <c r="AC322" i="27" s="1"/>
  <c r="T323" i="27"/>
  <c r="Y326" i="26"/>
  <c r="AD326" i="26" s="1"/>
  <c r="U327" i="26"/>
  <c r="R319" i="26"/>
  <c r="V318" i="26"/>
  <c r="AA318" i="26"/>
  <c r="W318" i="26"/>
  <c r="AB318" i="26" s="1"/>
  <c r="S319" i="26"/>
  <c r="X322" i="26"/>
  <c r="AC322" i="26" s="1"/>
  <c r="T323" i="26"/>
  <c r="E337" i="26"/>
  <c r="H337" i="26"/>
  <c r="F337" i="26"/>
  <c r="G337" i="26"/>
  <c r="G338" i="26"/>
  <c r="F338" i="26"/>
  <c r="E338" i="26"/>
  <c r="H338" i="26"/>
  <c r="D339" i="26"/>
  <c r="C339" i="26" s="1"/>
  <c r="Z319" i="24"/>
  <c r="H338" i="24"/>
  <c r="F338" i="24"/>
  <c r="E338" i="24"/>
  <c r="G338" i="24"/>
  <c r="X324" i="24"/>
  <c r="AC324" i="24" s="1"/>
  <c r="O325" i="24"/>
  <c r="G337" i="24"/>
  <c r="F337" i="24"/>
  <c r="E337" i="24"/>
  <c r="H337" i="24"/>
  <c r="D339" i="24"/>
  <c r="C339" i="24" s="1"/>
  <c r="W320" i="24"/>
  <c r="AB320" i="24" s="1"/>
  <c r="AE320" i="24" s="1"/>
  <c r="AF324" i="24" s="1"/>
  <c r="S321" i="24"/>
  <c r="R322" i="24"/>
  <c r="AA321" i="24"/>
  <c r="V321" i="24"/>
  <c r="U324" i="24"/>
  <c r="Y323" i="24"/>
  <c r="AD323" i="24" s="1"/>
  <c r="AG323" i="24"/>
  <c r="AH322" i="24"/>
  <c r="AI299" i="24" s="1"/>
  <c r="AI310" i="27" l="1"/>
  <c r="Z315" i="27"/>
  <c r="E340" i="28"/>
  <c r="F340" i="28"/>
  <c r="G340" i="28"/>
  <c r="H340" i="28"/>
  <c r="S325" i="28"/>
  <c r="U326" i="28"/>
  <c r="AI302" i="28"/>
  <c r="AC326" i="28"/>
  <c r="AL326" i="28"/>
  <c r="AB321" i="28"/>
  <c r="AE321" i="28" s="1"/>
  <c r="AF325" i="28" s="1"/>
  <c r="AG325" i="28" s="1"/>
  <c r="AD324" i="28"/>
  <c r="AM324" i="28"/>
  <c r="AH324" i="28"/>
  <c r="AI303" i="28" s="1"/>
  <c r="AA322" i="28"/>
  <c r="V322" i="28"/>
  <c r="Z321" i="28"/>
  <c r="O328" i="28"/>
  <c r="T328" i="28" s="1"/>
  <c r="X327" i="28"/>
  <c r="Y325" i="28"/>
  <c r="D341" i="28"/>
  <c r="C341" i="28" s="1"/>
  <c r="W322" i="28"/>
  <c r="S316" i="27"/>
  <c r="W316" i="27" s="1"/>
  <c r="AB316" i="27" s="1"/>
  <c r="AE316" i="27" s="1"/>
  <c r="AF320" i="27" s="1"/>
  <c r="AG320" i="27" s="1"/>
  <c r="Z320" i="24"/>
  <c r="AH319" i="27"/>
  <c r="D338" i="27"/>
  <c r="C338" i="27" s="1"/>
  <c r="F337" i="27"/>
  <c r="G337" i="27"/>
  <c r="H337" i="27"/>
  <c r="E337" i="27"/>
  <c r="AA317" i="27"/>
  <c r="V317" i="27"/>
  <c r="R318" i="27"/>
  <c r="Y317" i="27"/>
  <c r="AD317" i="27" s="1"/>
  <c r="U318" i="27"/>
  <c r="X323" i="27"/>
  <c r="AC323" i="27" s="1"/>
  <c r="T324" i="27"/>
  <c r="E339" i="26"/>
  <c r="F339" i="26"/>
  <c r="H339" i="26"/>
  <c r="G339" i="26"/>
  <c r="AE318" i="26"/>
  <c r="R320" i="26"/>
  <c r="V319" i="26"/>
  <c r="AA319" i="26"/>
  <c r="Y327" i="26"/>
  <c r="AD327" i="26" s="1"/>
  <c r="U328" i="26"/>
  <c r="W319" i="26"/>
  <c r="AB319" i="26" s="1"/>
  <c r="S320" i="26"/>
  <c r="X323" i="26"/>
  <c r="AC323" i="26" s="1"/>
  <c r="T324" i="26"/>
  <c r="Z318" i="26"/>
  <c r="P325" i="24"/>
  <c r="Y324" i="24"/>
  <c r="AD324" i="24" s="1"/>
  <c r="O335" i="24"/>
  <c r="O337" i="24"/>
  <c r="O338" i="24"/>
  <c r="O332" i="24"/>
  <c r="O326" i="24"/>
  <c r="O339" i="24"/>
  <c r="O333" i="24"/>
  <c r="O327" i="24"/>
  <c r="O334" i="24"/>
  <c r="O328" i="24"/>
  <c r="O336" i="24"/>
  <c r="O331" i="24"/>
  <c r="O330" i="24"/>
  <c r="O329" i="24"/>
  <c r="F25" i="24"/>
  <c r="R323" i="24"/>
  <c r="AA322" i="24"/>
  <c r="V322" i="24"/>
  <c r="T325" i="24"/>
  <c r="W321" i="24"/>
  <c r="AB321" i="24" s="1"/>
  <c r="AE321" i="24" s="1"/>
  <c r="AF325" i="24" s="1"/>
  <c r="S322" i="24"/>
  <c r="H339" i="24"/>
  <c r="G339" i="24"/>
  <c r="F339" i="24"/>
  <c r="E339" i="24"/>
  <c r="AG324" i="24"/>
  <c r="AH323" i="24"/>
  <c r="AI300" i="24" s="1"/>
  <c r="AI312" i="27" l="1"/>
  <c r="AI311" i="27"/>
  <c r="E341" i="28"/>
  <c r="F341" i="28"/>
  <c r="G341" i="28"/>
  <c r="H341" i="28"/>
  <c r="U327" i="28"/>
  <c r="S326" i="28"/>
  <c r="AB322" i="28"/>
  <c r="AE322" i="28" s="1"/>
  <c r="AF326" i="28" s="1"/>
  <c r="AG326" i="28" s="1"/>
  <c r="AC327" i="28"/>
  <c r="AL327" i="28"/>
  <c r="AD325" i="28"/>
  <c r="AM325" i="28"/>
  <c r="AH325" i="28"/>
  <c r="AI304" i="28" s="1"/>
  <c r="X328" i="28"/>
  <c r="O338" i="28"/>
  <c r="O332" i="28"/>
  <c r="O340" i="28"/>
  <c r="O334" i="28"/>
  <c r="O341" i="28"/>
  <c r="O335" i="28"/>
  <c r="O342" i="28"/>
  <c r="O336" i="28"/>
  <c r="O330" i="28"/>
  <c r="O329" i="28"/>
  <c r="T329" i="28" s="1"/>
  <c r="T330" i="28" s="1"/>
  <c r="O339" i="28"/>
  <c r="O333" i="28"/>
  <c r="O337" i="28"/>
  <c r="O331" i="28"/>
  <c r="H25" i="28"/>
  <c r="V323" i="28"/>
  <c r="AA323" i="28"/>
  <c r="Z322" i="28"/>
  <c r="D342" i="28"/>
  <c r="C342" i="28" s="1"/>
  <c r="Y326" i="28"/>
  <c r="W323" i="28"/>
  <c r="Z316" i="27"/>
  <c r="S317" i="27"/>
  <c r="W317" i="27" s="1"/>
  <c r="AB317" i="27" s="1"/>
  <c r="AE317" i="27" s="1"/>
  <c r="AF321" i="27" s="1"/>
  <c r="AG321" i="27" s="1"/>
  <c r="Z321" i="24"/>
  <c r="H338" i="27"/>
  <c r="E338" i="27"/>
  <c r="F338" i="27"/>
  <c r="G338" i="27"/>
  <c r="O325" i="27"/>
  <c r="T325" i="27" s="1"/>
  <c r="X324" i="27"/>
  <c r="AC324" i="27" s="1"/>
  <c r="U319" i="27"/>
  <c r="Y318" i="27"/>
  <c r="AD318" i="27" s="1"/>
  <c r="D339" i="27"/>
  <c r="C339" i="27" s="1"/>
  <c r="R319" i="27"/>
  <c r="V318" i="27"/>
  <c r="AA318" i="27"/>
  <c r="AH320" i="27"/>
  <c r="AE319" i="26"/>
  <c r="Z319" i="26"/>
  <c r="R321" i="26"/>
  <c r="AA320" i="26"/>
  <c r="V320" i="26"/>
  <c r="U329" i="26"/>
  <c r="Y328" i="26"/>
  <c r="AD328" i="26" s="1"/>
  <c r="X324" i="26"/>
  <c r="AC324" i="26" s="1"/>
  <c r="O325" i="26"/>
  <c r="T325" i="26" s="1"/>
  <c r="W320" i="26"/>
  <c r="AB320" i="26" s="1"/>
  <c r="S321" i="26"/>
  <c r="X325" i="24"/>
  <c r="AC325" i="24" s="1"/>
  <c r="T326" i="24"/>
  <c r="V323" i="24"/>
  <c r="R324" i="24"/>
  <c r="AA323" i="24"/>
  <c r="P336" i="24"/>
  <c r="P330" i="24"/>
  <c r="P337" i="24"/>
  <c r="P338" i="24"/>
  <c r="P339" i="24"/>
  <c r="P333" i="24"/>
  <c r="P327" i="24"/>
  <c r="P334" i="24"/>
  <c r="P328" i="24"/>
  <c r="P335" i="24"/>
  <c r="P332" i="24"/>
  <c r="P326" i="24"/>
  <c r="P329" i="24"/>
  <c r="P331" i="24"/>
  <c r="G25" i="24"/>
  <c r="AH324" i="24"/>
  <c r="AG325" i="24"/>
  <c r="W322" i="24"/>
  <c r="AB322" i="24" s="1"/>
  <c r="AE322" i="24" s="1"/>
  <c r="AF326" i="24" s="1"/>
  <c r="S323" i="24"/>
  <c r="U325" i="24"/>
  <c r="AI306" i="28" l="1"/>
  <c r="AI305" i="28"/>
  <c r="AI301" i="24"/>
  <c r="AI302" i="24"/>
  <c r="AI303" i="24"/>
  <c r="AI304" i="24"/>
  <c r="AI313" i="27"/>
  <c r="AI314" i="27"/>
  <c r="E342" i="28"/>
  <c r="F342" i="28"/>
  <c r="G342" i="28"/>
  <c r="H342" i="28"/>
  <c r="T331" i="28"/>
  <c r="T332" i="28" s="1"/>
  <c r="T333" i="28" s="1"/>
  <c r="T334" i="28" s="1"/>
  <c r="T335" i="28" s="1"/>
  <c r="T336" i="28" s="1"/>
  <c r="T337" i="28" s="1"/>
  <c r="T338" i="28" s="1"/>
  <c r="T339" i="28" s="1"/>
  <c r="T340" i="28" s="1"/>
  <c r="T341" i="28" s="1"/>
  <c r="T342" i="28" s="1"/>
  <c r="S318" i="27"/>
  <c r="W318" i="27" s="1"/>
  <c r="AB318" i="27" s="1"/>
  <c r="AE318" i="27" s="1"/>
  <c r="AF322" i="27" s="1"/>
  <c r="AG322" i="27" s="1"/>
  <c r="S327" i="28"/>
  <c r="AC328" i="28"/>
  <c r="AL328" i="28"/>
  <c r="AB323" i="28"/>
  <c r="AE323" i="28" s="1"/>
  <c r="AF327" i="28" s="1"/>
  <c r="AG327" i="28" s="1"/>
  <c r="AD326" i="28"/>
  <c r="AM326" i="28"/>
  <c r="X329" i="28"/>
  <c r="AH326" i="28"/>
  <c r="AI308" i="28" s="1"/>
  <c r="Y327" i="28"/>
  <c r="P328" i="28"/>
  <c r="U328" i="28" s="1"/>
  <c r="W324" i="28"/>
  <c r="Z323" i="28"/>
  <c r="AA324" i="28"/>
  <c r="V324" i="28"/>
  <c r="Z317" i="27"/>
  <c r="E339" i="27"/>
  <c r="F339" i="27"/>
  <c r="G339" i="27"/>
  <c r="H339" i="27"/>
  <c r="U320" i="27"/>
  <c r="Y319" i="27"/>
  <c r="AD319" i="27" s="1"/>
  <c r="AH321" i="27"/>
  <c r="AI316" i="27" s="1"/>
  <c r="F25" i="27"/>
  <c r="O329" i="27"/>
  <c r="O335" i="27"/>
  <c r="O330" i="27"/>
  <c r="O333" i="27"/>
  <c r="O328" i="27"/>
  <c r="O334" i="27"/>
  <c r="O339" i="27"/>
  <c r="O326" i="27"/>
  <c r="T326" i="27" s="1"/>
  <c r="O327" i="27"/>
  <c r="O331" i="27"/>
  <c r="O332" i="27"/>
  <c r="O337" i="27"/>
  <c r="O338" i="27"/>
  <c r="O336" i="27"/>
  <c r="X325" i="27"/>
  <c r="AC325" i="27" s="1"/>
  <c r="V319" i="27"/>
  <c r="AA319" i="27"/>
  <c r="R320" i="27"/>
  <c r="O339" i="26"/>
  <c r="O326" i="26"/>
  <c r="T326" i="26" s="1"/>
  <c r="O338" i="26"/>
  <c r="O335" i="26"/>
  <c r="O328" i="26"/>
  <c r="O332" i="26"/>
  <c r="O331" i="26"/>
  <c r="O329" i="26"/>
  <c r="O334" i="26"/>
  <c r="O330" i="26"/>
  <c r="O327" i="26"/>
  <c r="O333" i="26"/>
  <c r="O336" i="26"/>
  <c r="O337" i="26"/>
  <c r="F25" i="26"/>
  <c r="Y329" i="26"/>
  <c r="AD329" i="26" s="1"/>
  <c r="U330" i="26"/>
  <c r="Z320" i="26"/>
  <c r="X325" i="26"/>
  <c r="AC325" i="26" s="1"/>
  <c r="AE320" i="26"/>
  <c r="R322" i="26"/>
  <c r="AA321" i="26"/>
  <c r="V321" i="26"/>
  <c r="W321" i="26"/>
  <c r="AB321" i="26" s="1"/>
  <c r="S322" i="26"/>
  <c r="M325" i="24"/>
  <c r="R325" i="24" s="1"/>
  <c r="V324" i="24"/>
  <c r="AA324" i="24"/>
  <c r="Y325" i="24"/>
  <c r="AD325" i="24" s="1"/>
  <c r="U326" i="24"/>
  <c r="W323" i="24"/>
  <c r="AB323" i="24" s="1"/>
  <c r="AE323" i="24" s="1"/>
  <c r="AF327" i="24" s="1"/>
  <c r="S324" i="24"/>
  <c r="W324" i="24" s="1"/>
  <c r="AB324" i="24" s="1"/>
  <c r="X326" i="24"/>
  <c r="AC326" i="24" s="1"/>
  <c r="T327" i="24"/>
  <c r="AH325" i="24"/>
  <c r="AG326" i="24"/>
  <c r="Z322" i="24"/>
  <c r="AI305" i="24" l="1"/>
  <c r="AI306" i="24"/>
  <c r="AI307" i="24"/>
  <c r="AI307" i="28"/>
  <c r="AI315" i="27"/>
  <c r="Z321" i="26"/>
  <c r="S319" i="27"/>
  <c r="W319" i="27" s="1"/>
  <c r="AB319" i="27" s="1"/>
  <c r="AE319" i="27" s="1"/>
  <c r="AF323" i="27" s="1"/>
  <c r="AG323" i="27" s="1"/>
  <c r="AE321" i="26"/>
  <c r="Z318" i="27"/>
  <c r="AI309" i="28"/>
  <c r="AI310" i="28"/>
  <c r="AI311" i="28"/>
  <c r="AC329" i="28"/>
  <c r="AL329" i="28"/>
  <c r="AB324" i="28"/>
  <c r="AE324" i="28" s="1"/>
  <c r="AF328" i="28" s="1"/>
  <c r="AG328" i="28" s="1"/>
  <c r="AD327" i="28"/>
  <c r="AM327" i="28"/>
  <c r="Z324" i="28"/>
  <c r="P339" i="28"/>
  <c r="P333" i="28"/>
  <c r="P340" i="28"/>
  <c r="P334" i="28"/>
  <c r="P341" i="28"/>
  <c r="P335" i="28"/>
  <c r="P329" i="28"/>
  <c r="U329" i="28" s="1"/>
  <c r="P342" i="28"/>
  <c r="P336" i="28"/>
  <c r="P330" i="28"/>
  <c r="P337" i="28"/>
  <c r="P331" i="28"/>
  <c r="P338" i="28"/>
  <c r="P332" i="28"/>
  <c r="I25" i="28"/>
  <c r="AH327" i="28"/>
  <c r="V325" i="28"/>
  <c r="AA325" i="28"/>
  <c r="W325" i="28"/>
  <c r="X330" i="28"/>
  <c r="X326" i="27"/>
  <c r="AC326" i="27" s="1"/>
  <c r="T327" i="27"/>
  <c r="AA320" i="27"/>
  <c r="V320" i="27"/>
  <c r="R321" i="27"/>
  <c r="AH322" i="27"/>
  <c r="AI317" i="27" s="1"/>
  <c r="U321" i="27"/>
  <c r="Y320" i="27"/>
  <c r="AD320" i="27" s="1"/>
  <c r="R323" i="26"/>
  <c r="V322" i="26"/>
  <c r="AA322" i="26"/>
  <c r="T327" i="26"/>
  <c r="X326" i="26"/>
  <c r="AC326" i="26" s="1"/>
  <c r="U331" i="26"/>
  <c r="Y330" i="26"/>
  <c r="AD330" i="26" s="1"/>
  <c r="W322" i="26"/>
  <c r="AB322" i="26" s="1"/>
  <c r="S323" i="26"/>
  <c r="Z323" i="24"/>
  <c r="Y326" i="24"/>
  <c r="AD326" i="24" s="1"/>
  <c r="U327" i="24"/>
  <c r="AE324" i="24"/>
  <c r="AF328" i="24" s="1"/>
  <c r="V325" i="24"/>
  <c r="AA325" i="24"/>
  <c r="AG327" i="24"/>
  <c r="AH326" i="24"/>
  <c r="Z324" i="24"/>
  <c r="M326" i="24"/>
  <c r="R326" i="24" s="1"/>
  <c r="D25" i="24"/>
  <c r="N325" i="24"/>
  <c r="T328" i="24"/>
  <c r="X327" i="24"/>
  <c r="AC327" i="24" s="1"/>
  <c r="AI308" i="24" l="1"/>
  <c r="AI309" i="24"/>
  <c r="J23" i="24" s="1"/>
  <c r="AI310" i="24"/>
  <c r="Z319" i="27"/>
  <c r="S320" i="27"/>
  <c r="W320" i="27" s="1"/>
  <c r="AB320" i="27" s="1"/>
  <c r="AE320" i="27" s="1"/>
  <c r="AF324" i="27" s="1"/>
  <c r="AG324" i="27" s="1"/>
  <c r="U330" i="28"/>
  <c r="AI312" i="28"/>
  <c r="D23" i="28" s="1"/>
  <c r="AC330" i="28"/>
  <c r="AL330" i="28"/>
  <c r="AB325" i="28"/>
  <c r="AE325" i="28" s="1"/>
  <c r="AF329" i="28" s="1"/>
  <c r="AG329" i="28" s="1"/>
  <c r="W326" i="28"/>
  <c r="W327" i="28"/>
  <c r="AH328" i="28"/>
  <c r="Z325" i="28"/>
  <c r="Y328" i="28"/>
  <c r="AA326" i="28"/>
  <c r="V326" i="28"/>
  <c r="X331" i="28"/>
  <c r="U322" i="27"/>
  <c r="Y321" i="27"/>
  <c r="AD321" i="27" s="1"/>
  <c r="AH323" i="27"/>
  <c r="AI318" i="27" s="1"/>
  <c r="T328" i="27"/>
  <c r="X327" i="27"/>
  <c r="AC327" i="27" s="1"/>
  <c r="V321" i="27"/>
  <c r="R322" i="27"/>
  <c r="AA321" i="27"/>
  <c r="W323" i="26"/>
  <c r="AB323" i="26" s="1"/>
  <c r="S324" i="26"/>
  <c r="Y331" i="26"/>
  <c r="AD331" i="26" s="1"/>
  <c r="U332" i="26"/>
  <c r="X327" i="26"/>
  <c r="AC327" i="26" s="1"/>
  <c r="T328" i="26"/>
  <c r="AE322" i="26"/>
  <c r="Z322" i="26"/>
  <c r="R324" i="26"/>
  <c r="AA323" i="26"/>
  <c r="V323" i="26"/>
  <c r="AG328" i="24"/>
  <c r="AH327" i="24"/>
  <c r="AA326" i="24"/>
  <c r="V326" i="24"/>
  <c r="N335" i="24"/>
  <c r="N329" i="24"/>
  <c r="N336" i="24"/>
  <c r="N337" i="24"/>
  <c r="N338" i="24"/>
  <c r="N332" i="24"/>
  <c r="N326" i="24"/>
  <c r="Q326" i="24" s="1"/>
  <c r="N339" i="24"/>
  <c r="N333" i="24"/>
  <c r="N327" i="24"/>
  <c r="N331" i="24"/>
  <c r="N328" i="24"/>
  <c r="N330" i="24"/>
  <c r="N334" i="24"/>
  <c r="E25" i="24"/>
  <c r="S325" i="24"/>
  <c r="X328" i="24"/>
  <c r="AC328" i="24" s="1"/>
  <c r="T329" i="24"/>
  <c r="Q325" i="24"/>
  <c r="Y327" i="24"/>
  <c r="AD327" i="24" s="1"/>
  <c r="U328" i="24"/>
  <c r="M327" i="24"/>
  <c r="R327" i="24" s="1"/>
  <c r="I24" i="24"/>
  <c r="AI311" i="24" l="1"/>
  <c r="AI312" i="24"/>
  <c r="Z320" i="27"/>
  <c r="S321" i="27"/>
  <c r="W321" i="27" s="1"/>
  <c r="AB321" i="27" s="1"/>
  <c r="AE321" i="27" s="1"/>
  <c r="AF325" i="27" s="1"/>
  <c r="AG325" i="27" s="1"/>
  <c r="Z323" i="26"/>
  <c r="AE323" i="26"/>
  <c r="U331" i="28"/>
  <c r="AB326" i="28"/>
  <c r="AE326" i="28" s="1"/>
  <c r="AF330" i="28" s="1"/>
  <c r="AG330" i="28" s="1"/>
  <c r="AD328" i="28"/>
  <c r="AM328" i="28"/>
  <c r="AB327" i="28"/>
  <c r="AC331" i="28"/>
  <c r="AL331" i="28"/>
  <c r="Z326" i="28"/>
  <c r="AH329" i="28"/>
  <c r="V327" i="28"/>
  <c r="AA327" i="28"/>
  <c r="M328" i="28"/>
  <c r="R328" i="28" s="1"/>
  <c r="Y329" i="28"/>
  <c r="X332" i="28"/>
  <c r="Z321" i="27"/>
  <c r="AH324" i="27"/>
  <c r="AI319" i="27" s="1"/>
  <c r="X328" i="27"/>
  <c r="AC328" i="27" s="1"/>
  <c r="T329" i="27"/>
  <c r="R323" i="27"/>
  <c r="V322" i="27"/>
  <c r="AA322" i="27"/>
  <c r="Y322" i="27"/>
  <c r="AD322" i="27" s="1"/>
  <c r="S322" i="27"/>
  <c r="W322" i="27" s="1"/>
  <c r="AB322" i="27" s="1"/>
  <c r="U323" i="27"/>
  <c r="M325" i="26"/>
  <c r="R325" i="26" s="1"/>
  <c r="V324" i="26"/>
  <c r="AA324" i="26"/>
  <c r="X328" i="26"/>
  <c r="AC328" i="26" s="1"/>
  <c r="T329" i="26"/>
  <c r="W324" i="26"/>
  <c r="AB324" i="26" s="1"/>
  <c r="U333" i="26"/>
  <c r="Y332" i="26"/>
  <c r="AD332" i="26" s="1"/>
  <c r="AA327" i="24"/>
  <c r="V327" i="24"/>
  <c r="W325" i="24"/>
  <c r="S326" i="24"/>
  <c r="Q327" i="24"/>
  <c r="M328" i="24"/>
  <c r="T330" i="24"/>
  <c r="X329" i="24"/>
  <c r="AC329" i="24" s="1"/>
  <c r="U329" i="24"/>
  <c r="Y328" i="24"/>
  <c r="AD328" i="24" s="1"/>
  <c r="AH328" i="24"/>
  <c r="AI314" i="24" l="1"/>
  <c r="AI313" i="24"/>
  <c r="U332" i="28"/>
  <c r="Z327" i="28"/>
  <c r="C24" i="28" s="1"/>
  <c r="AJ327" i="28"/>
  <c r="AD329" i="28"/>
  <c r="AM329" i="28"/>
  <c r="AC332" i="28"/>
  <c r="AL332" i="28"/>
  <c r="AE327" i="28"/>
  <c r="AF331" i="28" s="1"/>
  <c r="AG331" i="28" s="1"/>
  <c r="Y330" i="28"/>
  <c r="M329" i="28"/>
  <c r="R329" i="28" s="1"/>
  <c r="F25" i="28"/>
  <c r="N328" i="28"/>
  <c r="S328" i="28" s="1"/>
  <c r="X333" i="28"/>
  <c r="AH330" i="28"/>
  <c r="AE322" i="27"/>
  <c r="AF326" i="27" s="1"/>
  <c r="AG326" i="27" s="1"/>
  <c r="Z322" i="27"/>
  <c r="T330" i="27"/>
  <c r="X329" i="27"/>
  <c r="AC329" i="27" s="1"/>
  <c r="AA323" i="27"/>
  <c r="R324" i="27"/>
  <c r="V323" i="27"/>
  <c r="Y323" i="27"/>
  <c r="AD323" i="27" s="1"/>
  <c r="U324" i="27"/>
  <c r="S323" i="27"/>
  <c r="W323" i="27" s="1"/>
  <c r="AB323" i="27" s="1"/>
  <c r="AH325" i="27"/>
  <c r="AI320" i="27" s="1"/>
  <c r="V325" i="26"/>
  <c r="AA325" i="26"/>
  <c r="Y333" i="26"/>
  <c r="AD333" i="26" s="1"/>
  <c r="U334" i="26"/>
  <c r="X329" i="26"/>
  <c r="AC329" i="26" s="1"/>
  <c r="T330" i="26"/>
  <c r="AE324" i="26"/>
  <c r="Z324" i="26"/>
  <c r="I24" i="26" s="1"/>
  <c r="J24" i="26" s="1"/>
  <c r="M326" i="26"/>
  <c r="D25" i="26"/>
  <c r="N325" i="26"/>
  <c r="Q325" i="26" s="1"/>
  <c r="W326" i="24"/>
  <c r="S327" i="24"/>
  <c r="AB325" i="24"/>
  <c r="AE325" i="24" s="1"/>
  <c r="AF329" i="24" s="1"/>
  <c r="AG329" i="24" s="1"/>
  <c r="Z325" i="24"/>
  <c r="Q328" i="24"/>
  <c r="M329" i="24"/>
  <c r="U330" i="24"/>
  <c r="Y329" i="24"/>
  <c r="AD329" i="24" s="1"/>
  <c r="X330" i="24"/>
  <c r="AC330" i="24" s="1"/>
  <c r="T331" i="24"/>
  <c r="R328" i="24"/>
  <c r="U333" i="28" l="1"/>
  <c r="AD330" i="28"/>
  <c r="AM330" i="28"/>
  <c r="AC333" i="28"/>
  <c r="AL333" i="28"/>
  <c r="N338" i="28"/>
  <c r="N332" i="28"/>
  <c r="N339" i="28"/>
  <c r="N333" i="28"/>
  <c r="N340" i="28"/>
  <c r="N334" i="28"/>
  <c r="N341" i="28"/>
  <c r="N335" i="28"/>
  <c r="N329" i="28"/>
  <c r="Q329" i="28" s="1"/>
  <c r="N342" i="28"/>
  <c r="N336" i="28"/>
  <c r="N330" i="28"/>
  <c r="N337" i="28"/>
  <c r="N331" i="28"/>
  <c r="G25" i="28"/>
  <c r="Q328" i="28"/>
  <c r="X334" i="28"/>
  <c r="M330" i="28"/>
  <c r="R330" i="28" s="1"/>
  <c r="AA328" i="28"/>
  <c r="V328" i="28"/>
  <c r="AJ328" i="28" s="1"/>
  <c r="AH331" i="28"/>
  <c r="Y331" i="28"/>
  <c r="AE323" i="27"/>
  <c r="AF327" i="27" s="1"/>
  <c r="AG327" i="27" s="1"/>
  <c r="Z323" i="27"/>
  <c r="P325" i="27"/>
  <c r="U325" i="27" s="1"/>
  <c r="S324" i="27"/>
  <c r="W324" i="27" s="1"/>
  <c r="AB324" i="27" s="1"/>
  <c r="Y324" i="27"/>
  <c r="AD324" i="27" s="1"/>
  <c r="AH326" i="27"/>
  <c r="AI321" i="27" s="1"/>
  <c r="T331" i="27"/>
  <c r="X330" i="27"/>
  <c r="AC330" i="27" s="1"/>
  <c r="AA324" i="27"/>
  <c r="M325" i="27"/>
  <c r="R325" i="27" s="1"/>
  <c r="V324" i="27"/>
  <c r="U335" i="26"/>
  <c r="Y334" i="26"/>
  <c r="AD334" i="26" s="1"/>
  <c r="T331" i="26"/>
  <c r="X330" i="26"/>
  <c r="AC330" i="26" s="1"/>
  <c r="M327" i="26"/>
  <c r="N338" i="26"/>
  <c r="N335" i="26"/>
  <c r="N333" i="26"/>
  <c r="N339" i="26"/>
  <c r="N328" i="26"/>
  <c r="N326" i="26"/>
  <c r="Q326" i="26" s="1"/>
  <c r="N337" i="26"/>
  <c r="N332" i="26"/>
  <c r="N329" i="26"/>
  <c r="N334" i="26"/>
  <c r="N331" i="26"/>
  <c r="N330" i="26"/>
  <c r="N327" i="26"/>
  <c r="N336" i="26"/>
  <c r="E25" i="26"/>
  <c r="S325" i="26"/>
  <c r="R326" i="26"/>
  <c r="AH329" i="24"/>
  <c r="R329" i="24"/>
  <c r="AA328" i="24"/>
  <c r="V328" i="24"/>
  <c r="W327" i="24"/>
  <c r="S328" i="24"/>
  <c r="U331" i="24"/>
  <c r="Y330" i="24"/>
  <c r="AD330" i="24" s="1"/>
  <c r="Q329" i="24"/>
  <c r="M330" i="24"/>
  <c r="T332" i="24"/>
  <c r="X331" i="24"/>
  <c r="AC331" i="24" s="1"/>
  <c r="AB326" i="24"/>
  <c r="AE326" i="24" s="1"/>
  <c r="AF330" i="24" s="1"/>
  <c r="AG330" i="24" s="1"/>
  <c r="Z326" i="24"/>
  <c r="AI316" i="24" l="1"/>
  <c r="AI315" i="24"/>
  <c r="S329" i="28"/>
  <c r="S330" i="28" s="1"/>
  <c r="S331" i="28" s="1"/>
  <c r="S332" i="28" s="1"/>
  <c r="S333" i="28" s="1"/>
  <c r="U334" i="28"/>
  <c r="AC334" i="28"/>
  <c r="AL334" i="28"/>
  <c r="AD331" i="28"/>
  <c r="AM331" i="28"/>
  <c r="AI313" i="28"/>
  <c r="AI314" i="28"/>
  <c r="AI315" i="28"/>
  <c r="AA329" i="28"/>
  <c r="V329" i="28"/>
  <c r="AJ329" i="28" s="1"/>
  <c r="X335" i="28"/>
  <c r="Y332" i="28"/>
  <c r="W328" i="28"/>
  <c r="M331" i="28"/>
  <c r="R331" i="28" s="1"/>
  <c r="Q330" i="28"/>
  <c r="AE324" i="27"/>
  <c r="AF328" i="27" s="1"/>
  <c r="AG328" i="27" s="1"/>
  <c r="Z324" i="27"/>
  <c r="I24" i="27" s="1"/>
  <c r="T332" i="27"/>
  <c r="X331" i="27"/>
  <c r="AC331" i="27" s="1"/>
  <c r="AH327" i="27"/>
  <c r="AI322" i="27" s="1"/>
  <c r="Y325" i="27"/>
  <c r="AD325" i="27" s="1"/>
  <c r="AA325" i="27"/>
  <c r="V325" i="27"/>
  <c r="G25" i="27"/>
  <c r="P330" i="27"/>
  <c r="P336" i="27"/>
  <c r="P338" i="27"/>
  <c r="P333" i="27"/>
  <c r="P328" i="27"/>
  <c r="P329" i="27"/>
  <c r="P339" i="27"/>
  <c r="P326" i="27"/>
  <c r="U326" i="27" s="1"/>
  <c r="P327" i="27"/>
  <c r="P331" i="27"/>
  <c r="P332" i="27"/>
  <c r="P335" i="27"/>
  <c r="P337" i="27"/>
  <c r="P334" i="27"/>
  <c r="D25" i="27"/>
  <c r="N325" i="27"/>
  <c r="S325" i="27" s="1"/>
  <c r="W325" i="27" s="1"/>
  <c r="AB325" i="27" s="1"/>
  <c r="M326" i="27"/>
  <c r="R326" i="27" s="1"/>
  <c r="Q327" i="26"/>
  <c r="M328" i="26"/>
  <c r="X331" i="26"/>
  <c r="AC331" i="26" s="1"/>
  <c r="T332" i="26"/>
  <c r="W325" i="26"/>
  <c r="S326" i="26"/>
  <c r="R327" i="26"/>
  <c r="AA326" i="26"/>
  <c r="V326" i="26"/>
  <c r="Y335" i="26"/>
  <c r="AD335" i="26" s="1"/>
  <c r="U336" i="26"/>
  <c r="AH330" i="24"/>
  <c r="W328" i="24"/>
  <c r="AB328" i="24" s="1"/>
  <c r="AE328" i="24" s="1"/>
  <c r="AF332" i="24" s="1"/>
  <c r="S329" i="24"/>
  <c r="R330" i="24"/>
  <c r="AA329" i="24"/>
  <c r="V329" i="24"/>
  <c r="X332" i="24"/>
  <c r="AC332" i="24" s="1"/>
  <c r="T333" i="24"/>
  <c r="U332" i="24"/>
  <c r="Y331" i="24"/>
  <c r="AD331" i="24" s="1"/>
  <c r="M331" i="24"/>
  <c r="Q330" i="24"/>
  <c r="AB327" i="24"/>
  <c r="AE327" i="24" s="1"/>
  <c r="AF331" i="24" s="1"/>
  <c r="AG331" i="24" s="1"/>
  <c r="Z327" i="24"/>
  <c r="AI317" i="24" l="1"/>
  <c r="AI318" i="24"/>
  <c r="Z328" i="24"/>
  <c r="U335" i="28"/>
  <c r="S334" i="28"/>
  <c r="AB328" i="28"/>
  <c r="AE328" i="28" s="1"/>
  <c r="AF332" i="28" s="1"/>
  <c r="AG332" i="28" s="1"/>
  <c r="AH332" i="28" s="1"/>
  <c r="AC335" i="28"/>
  <c r="AL335" i="28"/>
  <c r="AD332" i="28"/>
  <c r="AM332" i="28"/>
  <c r="Y333" i="28"/>
  <c r="W329" i="28"/>
  <c r="X336" i="28"/>
  <c r="Z328" i="28"/>
  <c r="Q331" i="28"/>
  <c r="M332" i="28"/>
  <c r="R332" i="28" s="1"/>
  <c r="V330" i="28"/>
  <c r="AJ330" i="28" s="1"/>
  <c r="AA330" i="28"/>
  <c r="Q325" i="27"/>
  <c r="Y326" i="27"/>
  <c r="AD326" i="27" s="1"/>
  <c r="U327" i="27"/>
  <c r="V326" i="27"/>
  <c r="AA326" i="27"/>
  <c r="AH328" i="27"/>
  <c r="AI323" i="27" s="1"/>
  <c r="Z325" i="27"/>
  <c r="AE325" i="27"/>
  <c r="AF329" i="27" s="1"/>
  <c r="AG329" i="27" s="1"/>
  <c r="M327" i="27"/>
  <c r="E25" i="27"/>
  <c r="N329" i="27"/>
  <c r="N335" i="27"/>
  <c r="N328" i="27"/>
  <c r="N339" i="27"/>
  <c r="N326" i="27"/>
  <c r="S326" i="27" s="1"/>
  <c r="W326" i="27" s="1"/>
  <c r="AB326" i="27" s="1"/>
  <c r="N327" i="27"/>
  <c r="N331" i="27"/>
  <c r="N332" i="27"/>
  <c r="N336" i="27"/>
  <c r="N337" i="27"/>
  <c r="N333" i="27"/>
  <c r="N330" i="27"/>
  <c r="N334" i="27"/>
  <c r="N338" i="27"/>
  <c r="T333" i="27"/>
  <c r="X332" i="27"/>
  <c r="AC332" i="27" s="1"/>
  <c r="X332" i="26"/>
  <c r="AC332" i="26" s="1"/>
  <c r="T333" i="26"/>
  <c r="Y336" i="26"/>
  <c r="AD336" i="26" s="1"/>
  <c r="U337" i="26"/>
  <c r="R328" i="26"/>
  <c r="V327" i="26"/>
  <c r="AA327" i="26"/>
  <c r="M329" i="26"/>
  <c r="Q328" i="26"/>
  <c r="W326" i="26"/>
  <c r="AB326" i="26" s="1"/>
  <c r="AE326" i="26" s="1"/>
  <c r="S327" i="26"/>
  <c r="AB325" i="26"/>
  <c r="AE325" i="26" s="1"/>
  <c r="Z325" i="26"/>
  <c r="AG332" i="24"/>
  <c r="AH331" i="24"/>
  <c r="X333" i="24"/>
  <c r="AC333" i="24" s="1"/>
  <c r="T334" i="24"/>
  <c r="R331" i="24"/>
  <c r="V330" i="24"/>
  <c r="AA330" i="24"/>
  <c r="W329" i="24"/>
  <c r="AB329" i="24" s="1"/>
  <c r="AE329" i="24" s="1"/>
  <c r="AF333" i="24" s="1"/>
  <c r="S330" i="24"/>
  <c r="M332" i="24"/>
  <c r="Q331" i="24"/>
  <c r="Y332" i="24"/>
  <c r="AD332" i="24" s="1"/>
  <c r="U333" i="24"/>
  <c r="AI320" i="24" l="1"/>
  <c r="AI319" i="24"/>
  <c r="Q326" i="27"/>
  <c r="U336" i="28"/>
  <c r="S335" i="28"/>
  <c r="AD333" i="28"/>
  <c r="AM333" i="28"/>
  <c r="AB329" i="28"/>
  <c r="AE329" i="28" s="1"/>
  <c r="AF333" i="28" s="1"/>
  <c r="AG333" i="28" s="1"/>
  <c r="AH333" i="28" s="1"/>
  <c r="AC336" i="28"/>
  <c r="AL336" i="28"/>
  <c r="AI316" i="28"/>
  <c r="X337" i="28"/>
  <c r="W330" i="28"/>
  <c r="Z329" i="28"/>
  <c r="Y334" i="28"/>
  <c r="AA331" i="28"/>
  <c r="V331" i="28"/>
  <c r="AJ331" i="28" s="1"/>
  <c r="M333" i="28"/>
  <c r="R333" i="28" s="1"/>
  <c r="Q332" i="28"/>
  <c r="AH329" i="27"/>
  <c r="AI324" i="27" s="1"/>
  <c r="J24" i="27" s="1"/>
  <c r="M328" i="27"/>
  <c r="Q327" i="27"/>
  <c r="AE326" i="27"/>
  <c r="AF330" i="27" s="1"/>
  <c r="AG330" i="27" s="1"/>
  <c r="Z326" i="27"/>
  <c r="T334" i="27"/>
  <c r="X333" i="27"/>
  <c r="AC333" i="27" s="1"/>
  <c r="R327" i="27"/>
  <c r="S327" i="27"/>
  <c r="W327" i="27" s="1"/>
  <c r="AB327" i="27" s="1"/>
  <c r="U328" i="27"/>
  <c r="Y327" i="27"/>
  <c r="AD327" i="27" s="1"/>
  <c r="Z326" i="26"/>
  <c r="Q329" i="26"/>
  <c r="M330" i="26"/>
  <c r="AA328" i="26"/>
  <c r="V328" i="26"/>
  <c r="R329" i="26"/>
  <c r="X333" i="26"/>
  <c r="AC333" i="26" s="1"/>
  <c r="T334" i="26"/>
  <c r="Y337" i="26"/>
  <c r="AD337" i="26" s="1"/>
  <c r="U338" i="26"/>
  <c r="W327" i="26"/>
  <c r="AB327" i="26" s="1"/>
  <c r="AE327" i="26" s="1"/>
  <c r="S328" i="26"/>
  <c r="V331" i="24"/>
  <c r="AA331" i="24"/>
  <c r="R332" i="24"/>
  <c r="U334" i="24"/>
  <c r="Y333" i="24"/>
  <c r="AD333" i="24" s="1"/>
  <c r="Z329" i="24"/>
  <c r="X334" i="24"/>
  <c r="AC334" i="24" s="1"/>
  <c r="T335" i="24"/>
  <c r="M333" i="24"/>
  <c r="Q332" i="24"/>
  <c r="AH332" i="24"/>
  <c r="AG333" i="24"/>
  <c r="W330" i="24"/>
  <c r="AB330" i="24" s="1"/>
  <c r="AE330" i="24" s="1"/>
  <c r="AF334" i="24" s="1"/>
  <c r="S331" i="24"/>
  <c r="AI322" i="24" l="1"/>
  <c r="AI321" i="24"/>
  <c r="Z327" i="26"/>
  <c r="S336" i="28"/>
  <c r="U337" i="28"/>
  <c r="AI317" i="28"/>
  <c r="AB330" i="28"/>
  <c r="AE330" i="28" s="1"/>
  <c r="AF334" i="28" s="1"/>
  <c r="AG334" i="28" s="1"/>
  <c r="AH334" i="28" s="1"/>
  <c r="AC337" i="28"/>
  <c r="AL337" i="28"/>
  <c r="AD334" i="28"/>
  <c r="AM334" i="28"/>
  <c r="X338" i="28"/>
  <c r="W331" i="28"/>
  <c r="Z331" i="28" s="1"/>
  <c r="Y335" i="28"/>
  <c r="Z330" i="28"/>
  <c r="Q333" i="28"/>
  <c r="M334" i="28"/>
  <c r="R334" i="28" s="1"/>
  <c r="AA332" i="28"/>
  <c r="V332" i="28"/>
  <c r="AJ332" i="28" s="1"/>
  <c r="AH330" i="27"/>
  <c r="AI325" i="27" s="1"/>
  <c r="V327" i="27"/>
  <c r="Z327" i="27" s="1"/>
  <c r="R328" i="27"/>
  <c r="AA327" i="27"/>
  <c r="AE327" i="27" s="1"/>
  <c r="AF331" i="27" s="1"/>
  <c r="AG331" i="27" s="1"/>
  <c r="M329" i="27"/>
  <c r="Q328" i="27"/>
  <c r="X334" i="27"/>
  <c r="AC334" i="27" s="1"/>
  <c r="T335" i="27"/>
  <c r="Y328" i="27"/>
  <c r="AD328" i="27" s="1"/>
  <c r="U329" i="27"/>
  <c r="S328" i="27"/>
  <c r="W328" i="27" s="1"/>
  <c r="AB328" i="27" s="1"/>
  <c r="U339" i="26"/>
  <c r="Y338" i="26"/>
  <c r="AD338" i="26" s="1"/>
  <c r="M331" i="26"/>
  <c r="Q330" i="26"/>
  <c r="X334" i="26"/>
  <c r="AC334" i="26" s="1"/>
  <c r="T335" i="26"/>
  <c r="R330" i="26"/>
  <c r="V329" i="26"/>
  <c r="AA329" i="26"/>
  <c r="W328" i="26"/>
  <c r="AB328" i="26" s="1"/>
  <c r="AE328" i="26" s="1"/>
  <c r="S329" i="26"/>
  <c r="T336" i="24"/>
  <c r="X335" i="24"/>
  <c r="AC335" i="24" s="1"/>
  <c r="Y334" i="24"/>
  <c r="AD334" i="24" s="1"/>
  <c r="U335" i="24"/>
  <c r="AA332" i="24"/>
  <c r="R333" i="24"/>
  <c r="V332" i="24"/>
  <c r="M334" i="24"/>
  <c r="Q333" i="24"/>
  <c r="W331" i="24"/>
  <c r="AB331" i="24" s="1"/>
  <c r="AE331" i="24" s="1"/>
  <c r="AF335" i="24" s="1"/>
  <c r="S332" i="24"/>
  <c r="Z330" i="24"/>
  <c r="AH333" i="24"/>
  <c r="AG334" i="24"/>
  <c r="AI323" i="24" l="1"/>
  <c r="AI324" i="24"/>
  <c r="J24" i="24" s="1"/>
  <c r="S337" i="28"/>
  <c r="U338" i="28"/>
  <c r="AI318" i="28"/>
  <c r="AD335" i="28"/>
  <c r="AM335" i="28"/>
  <c r="AC338" i="28"/>
  <c r="AL338" i="28"/>
  <c r="AB331" i="28"/>
  <c r="AE331" i="28" s="1"/>
  <c r="AF335" i="28" s="1"/>
  <c r="AG335" i="28" s="1"/>
  <c r="AH335" i="28" s="1"/>
  <c r="AI319" i="28"/>
  <c r="AI320" i="28"/>
  <c r="W332" i="28"/>
  <c r="Y336" i="28"/>
  <c r="V333" i="28"/>
  <c r="AJ333" i="28" s="1"/>
  <c r="AA333" i="28"/>
  <c r="X339" i="28"/>
  <c r="M335" i="28"/>
  <c r="R335" i="28" s="1"/>
  <c r="Q334" i="28"/>
  <c r="AH331" i="27"/>
  <c r="AI326" i="27" s="1"/>
  <c r="M330" i="27"/>
  <c r="Q329" i="27"/>
  <c r="T336" i="27"/>
  <c r="X335" i="27"/>
  <c r="AC335" i="27" s="1"/>
  <c r="R329" i="27"/>
  <c r="V328" i="27"/>
  <c r="Z328" i="27" s="1"/>
  <c r="AA328" i="27"/>
  <c r="AE328" i="27" s="1"/>
  <c r="AF332" i="27" s="1"/>
  <c r="AG332" i="27" s="1"/>
  <c r="S329" i="27"/>
  <c r="W329" i="27" s="1"/>
  <c r="AB329" i="27" s="1"/>
  <c r="U330" i="27"/>
  <c r="Y329" i="27"/>
  <c r="AD329" i="27" s="1"/>
  <c r="Z328" i="26"/>
  <c r="R331" i="26"/>
  <c r="AA330" i="26"/>
  <c r="V330" i="26"/>
  <c r="X335" i="26"/>
  <c r="AC335" i="26" s="1"/>
  <c r="T336" i="26"/>
  <c r="Q331" i="26"/>
  <c r="M332" i="26"/>
  <c r="W329" i="26"/>
  <c r="AB329" i="26" s="1"/>
  <c r="AE329" i="26" s="1"/>
  <c r="S330" i="26"/>
  <c r="Y339" i="26"/>
  <c r="Z331" i="24"/>
  <c r="Q334" i="24"/>
  <c r="M335" i="24"/>
  <c r="V333" i="24"/>
  <c r="R334" i="24"/>
  <c r="AA333" i="24"/>
  <c r="U336" i="24"/>
  <c r="Y335" i="24"/>
  <c r="AD335" i="24" s="1"/>
  <c r="AG335" i="24"/>
  <c r="AH334" i="24"/>
  <c r="W332" i="24"/>
  <c r="AB332" i="24" s="1"/>
  <c r="AE332" i="24" s="1"/>
  <c r="AF336" i="24" s="1"/>
  <c r="S333" i="24"/>
  <c r="X336" i="24"/>
  <c r="AC336" i="24" s="1"/>
  <c r="T337" i="24"/>
  <c r="AI325" i="24" l="1"/>
  <c r="U339" i="28"/>
  <c r="S338" i="28"/>
  <c r="AB332" i="28"/>
  <c r="AE332" i="28" s="1"/>
  <c r="AF336" i="28" s="1"/>
  <c r="AG336" i="28" s="1"/>
  <c r="AH336" i="28" s="1"/>
  <c r="AI321" i="28" s="1"/>
  <c r="AC339" i="28"/>
  <c r="AL339" i="28"/>
  <c r="AD336" i="28"/>
  <c r="AM336" i="28"/>
  <c r="Z332" i="28"/>
  <c r="AA334" i="28"/>
  <c r="V334" i="28"/>
  <c r="AJ334" i="28" s="1"/>
  <c r="Q335" i="28"/>
  <c r="M336" i="28"/>
  <c r="R336" i="28" s="1"/>
  <c r="X340" i="28"/>
  <c r="Y337" i="28"/>
  <c r="W333" i="28"/>
  <c r="Z332" i="24"/>
  <c r="AH332" i="27"/>
  <c r="AI327" i="27" s="1"/>
  <c r="T337" i="27"/>
  <c r="X336" i="27"/>
  <c r="AC336" i="27" s="1"/>
  <c r="Q330" i="27"/>
  <c r="M331" i="27"/>
  <c r="AA329" i="27"/>
  <c r="AE329" i="27" s="1"/>
  <c r="AF333" i="27" s="1"/>
  <c r="AG333" i="27" s="1"/>
  <c r="V329" i="27"/>
  <c r="Z329" i="27" s="1"/>
  <c r="R330" i="27"/>
  <c r="S330" i="27"/>
  <c r="W330" i="27" s="1"/>
  <c r="AB330" i="27" s="1"/>
  <c r="U331" i="27"/>
  <c r="Y330" i="27"/>
  <c r="AD330" i="27" s="1"/>
  <c r="AD339" i="26"/>
  <c r="W330" i="26"/>
  <c r="AB330" i="26" s="1"/>
  <c r="AE330" i="26" s="1"/>
  <c r="S331" i="26"/>
  <c r="Z329" i="26"/>
  <c r="T337" i="26"/>
  <c r="X336" i="26"/>
  <c r="AC336" i="26" s="1"/>
  <c r="M333" i="26"/>
  <c r="Q332" i="26"/>
  <c r="R332" i="26"/>
  <c r="V331" i="26"/>
  <c r="AA331" i="26"/>
  <c r="AG336" i="24"/>
  <c r="AH335" i="24"/>
  <c r="R335" i="24"/>
  <c r="AA334" i="24"/>
  <c r="V334" i="24"/>
  <c r="T338" i="24"/>
  <c r="X337" i="24"/>
  <c r="AC337" i="24" s="1"/>
  <c r="Y336" i="24"/>
  <c r="AD336" i="24" s="1"/>
  <c r="U337" i="24"/>
  <c r="W333" i="24"/>
  <c r="AB333" i="24" s="1"/>
  <c r="AE333" i="24" s="1"/>
  <c r="AF337" i="24" s="1"/>
  <c r="S334" i="24"/>
  <c r="M336" i="24"/>
  <c r="Q335" i="24"/>
  <c r="AI326" i="24" l="1"/>
  <c r="AI327" i="24"/>
  <c r="Z330" i="26"/>
  <c r="S339" i="28"/>
  <c r="U340" i="28"/>
  <c r="AB333" i="28"/>
  <c r="AE333" i="28" s="1"/>
  <c r="AF337" i="28" s="1"/>
  <c r="AG337" i="28" s="1"/>
  <c r="AH337" i="28" s="1"/>
  <c r="AC340" i="28"/>
  <c r="AL340" i="28"/>
  <c r="AD337" i="28"/>
  <c r="AM337" i="28"/>
  <c r="Z333" i="28"/>
  <c r="X342" i="28"/>
  <c r="X341" i="28"/>
  <c r="M337" i="28"/>
  <c r="R337" i="28" s="1"/>
  <c r="Q336" i="28"/>
  <c r="AA335" i="28"/>
  <c r="V335" i="28"/>
  <c r="AJ335" i="28" s="1"/>
  <c r="W334" i="28"/>
  <c r="Y338" i="28"/>
  <c r="AH333" i="27"/>
  <c r="AI328" i="27" s="1"/>
  <c r="R331" i="27"/>
  <c r="AA330" i="27"/>
  <c r="AE330" i="27" s="1"/>
  <c r="AF334" i="27" s="1"/>
  <c r="AG334" i="27" s="1"/>
  <c r="V330" i="27"/>
  <c r="Z330" i="27" s="1"/>
  <c r="T338" i="27"/>
  <c r="X337" i="27"/>
  <c r="AC337" i="27" s="1"/>
  <c r="Q331" i="27"/>
  <c r="M332" i="27"/>
  <c r="S331" i="27"/>
  <c r="W331" i="27" s="1"/>
  <c r="AB331" i="27" s="1"/>
  <c r="U332" i="27"/>
  <c r="Y331" i="27"/>
  <c r="AD331" i="27" s="1"/>
  <c r="R333" i="26"/>
  <c r="V332" i="26"/>
  <c r="AA332" i="26"/>
  <c r="Q333" i="26"/>
  <c r="M334" i="26"/>
  <c r="X337" i="26"/>
  <c r="AC337" i="26" s="1"/>
  <c r="T338" i="26"/>
  <c r="W331" i="26"/>
  <c r="Z331" i="26" s="1"/>
  <c r="S332" i="26"/>
  <c r="Z333" i="24"/>
  <c r="U338" i="24"/>
  <c r="Y337" i="24"/>
  <c r="AD337" i="24" s="1"/>
  <c r="AA335" i="24"/>
  <c r="V335" i="24"/>
  <c r="R336" i="24"/>
  <c r="T339" i="24"/>
  <c r="X339" i="24" s="1"/>
  <c r="AC339" i="24" s="1"/>
  <c r="X338" i="24"/>
  <c r="AC338" i="24" s="1"/>
  <c r="Q336" i="24"/>
  <c r="M337" i="24"/>
  <c r="AH336" i="24"/>
  <c r="AG337" i="24"/>
  <c r="W334" i="24"/>
  <c r="AB334" i="24" s="1"/>
  <c r="AE334" i="24" s="1"/>
  <c r="AF338" i="24" s="1"/>
  <c r="S335" i="24"/>
  <c r="AI328" i="24" l="1"/>
  <c r="AI329" i="24"/>
  <c r="U341" i="28"/>
  <c r="S340" i="28"/>
  <c r="AI322" i="28"/>
  <c r="AD338" i="28"/>
  <c r="AM338" i="28"/>
  <c r="AB334" i="28"/>
  <c r="AE334" i="28" s="1"/>
  <c r="AF338" i="28" s="1"/>
  <c r="AG338" i="28" s="1"/>
  <c r="AH338" i="28" s="1"/>
  <c r="AC341" i="28"/>
  <c r="AL341" i="28"/>
  <c r="AC342" i="28"/>
  <c r="AL342" i="28"/>
  <c r="AI323" i="28"/>
  <c r="AI324" i="28"/>
  <c r="Z334" i="28"/>
  <c r="Q337" i="28"/>
  <c r="M338" i="28"/>
  <c r="R338" i="28" s="1"/>
  <c r="W335" i="28"/>
  <c r="V336" i="28"/>
  <c r="AJ336" i="28" s="1"/>
  <c r="AA336" i="28"/>
  <c r="Y339" i="28"/>
  <c r="AH334" i="27"/>
  <c r="AI329" i="27" s="1"/>
  <c r="R332" i="27"/>
  <c r="V331" i="27"/>
  <c r="Z331" i="27" s="1"/>
  <c r="AA331" i="27"/>
  <c r="AE331" i="27" s="1"/>
  <c r="AF335" i="27" s="1"/>
  <c r="AG335" i="27" s="1"/>
  <c r="T339" i="27"/>
  <c r="X339" i="27" s="1"/>
  <c r="AC339" i="27" s="1"/>
  <c r="X338" i="27"/>
  <c r="AC338" i="27" s="1"/>
  <c r="M333" i="27"/>
  <c r="Q332" i="27"/>
  <c r="S332" i="27"/>
  <c r="W332" i="27" s="1"/>
  <c r="AB332" i="27" s="1"/>
  <c r="U333" i="27"/>
  <c r="Y332" i="27"/>
  <c r="AD332" i="27" s="1"/>
  <c r="AB331" i="26"/>
  <c r="AE331" i="26" s="1"/>
  <c r="M335" i="26"/>
  <c r="Q334" i="26"/>
  <c r="W332" i="26"/>
  <c r="AB332" i="26" s="1"/>
  <c r="AE332" i="26" s="1"/>
  <c r="S333" i="26"/>
  <c r="T339" i="26"/>
  <c r="X339" i="26" s="1"/>
  <c r="AC339" i="26" s="1"/>
  <c r="X338" i="26"/>
  <c r="AC338" i="26" s="1"/>
  <c r="R334" i="26"/>
  <c r="V333" i="26"/>
  <c r="AA333" i="26"/>
  <c r="R337" i="24"/>
  <c r="V336" i="24"/>
  <c r="AA336" i="24"/>
  <c r="M338" i="24"/>
  <c r="Q337" i="24"/>
  <c r="W335" i="24"/>
  <c r="AB335" i="24" s="1"/>
  <c r="AE335" i="24" s="1"/>
  <c r="AF339" i="24" s="1"/>
  <c r="S336" i="24"/>
  <c r="Z334" i="24"/>
  <c r="AG338" i="24"/>
  <c r="AH337" i="24"/>
  <c r="Y338" i="24"/>
  <c r="AD338" i="24" s="1"/>
  <c r="U339" i="24"/>
  <c r="AI330" i="24" l="1"/>
  <c r="AI331" i="24"/>
  <c r="Z332" i="26"/>
  <c r="U342" i="28"/>
  <c r="S341" i="28"/>
  <c r="AI328" i="28"/>
  <c r="AD339" i="28"/>
  <c r="AM339" i="28"/>
  <c r="AB335" i="28"/>
  <c r="AE335" i="28" s="1"/>
  <c r="AF339" i="28" s="1"/>
  <c r="AG339" i="28" s="1"/>
  <c r="AH339" i="28" s="1"/>
  <c r="AI325" i="28"/>
  <c r="V337" i="28"/>
  <c r="AJ337" i="28" s="1"/>
  <c r="AA337" i="28"/>
  <c r="W336" i="28"/>
  <c r="M339" i="28"/>
  <c r="R339" i="28" s="1"/>
  <c r="Q338" i="28"/>
  <c r="Z335" i="28"/>
  <c r="Y340" i="28"/>
  <c r="AH335" i="27"/>
  <c r="AI330" i="27" s="1"/>
  <c r="M334" i="27"/>
  <c r="Q333" i="27"/>
  <c r="V332" i="27"/>
  <c r="Z332" i="27" s="1"/>
  <c r="R333" i="27"/>
  <c r="AA332" i="27"/>
  <c r="AE332" i="27" s="1"/>
  <c r="AF336" i="27" s="1"/>
  <c r="AG336" i="27" s="1"/>
  <c r="S333" i="27"/>
  <c r="W333" i="27" s="1"/>
  <c r="AB333" i="27" s="1"/>
  <c r="U334" i="27"/>
  <c r="Y333" i="27"/>
  <c r="AD333" i="27" s="1"/>
  <c r="V334" i="26"/>
  <c r="R335" i="26"/>
  <c r="AA334" i="26"/>
  <c r="W333" i="26"/>
  <c r="Z333" i="26" s="1"/>
  <c r="S334" i="26"/>
  <c r="Q335" i="26"/>
  <c r="M336" i="26"/>
  <c r="Q338" i="24"/>
  <c r="M339" i="24"/>
  <c r="Q339" i="24" s="1"/>
  <c r="W336" i="24"/>
  <c r="AB336" i="24" s="1"/>
  <c r="AE336" i="24" s="1"/>
  <c r="S337" i="24"/>
  <c r="AG339" i="24"/>
  <c r="AH339" i="24" s="1"/>
  <c r="AH338" i="24"/>
  <c r="AI333" i="24" s="1"/>
  <c r="Z335" i="24"/>
  <c r="AI335" i="24" s="1"/>
  <c r="Y339" i="24"/>
  <c r="R338" i="24"/>
  <c r="AA337" i="24"/>
  <c r="V337" i="24"/>
  <c r="AI332" i="24" l="1"/>
  <c r="S342" i="28"/>
  <c r="AI330" i="28"/>
  <c r="AI329" i="28"/>
  <c r="AB336" i="28"/>
  <c r="AE336" i="28" s="1"/>
  <c r="AF340" i="28" s="1"/>
  <c r="AG340" i="28" s="1"/>
  <c r="AH340" i="28" s="1"/>
  <c r="AD340" i="28"/>
  <c r="AM340" i="28"/>
  <c r="Q339" i="28"/>
  <c r="M340" i="28"/>
  <c r="R340" i="28" s="1"/>
  <c r="Z336" i="28"/>
  <c r="W337" i="28"/>
  <c r="AA338" i="28"/>
  <c r="V338" i="28"/>
  <c r="AJ338" i="28" s="1"/>
  <c r="Y341" i="28"/>
  <c r="AH336" i="27"/>
  <c r="AI331" i="27" s="1"/>
  <c r="Y334" i="27"/>
  <c r="AD334" i="27" s="1"/>
  <c r="S334" i="27"/>
  <c r="W334" i="27" s="1"/>
  <c r="AB334" i="27" s="1"/>
  <c r="U335" i="27"/>
  <c r="V333" i="27"/>
  <c r="Z333" i="27" s="1"/>
  <c r="R334" i="27"/>
  <c r="AA333" i="27"/>
  <c r="AE333" i="27" s="1"/>
  <c r="AF337" i="27" s="1"/>
  <c r="AG337" i="27" s="1"/>
  <c r="M335" i="27"/>
  <c r="Q334" i="27"/>
  <c r="M337" i="26"/>
  <c r="Q336" i="26"/>
  <c r="W334" i="26"/>
  <c r="AB334" i="26" s="1"/>
  <c r="AE334" i="26" s="1"/>
  <c r="S335" i="26"/>
  <c r="AB333" i="26"/>
  <c r="AE333" i="26" s="1"/>
  <c r="R336" i="26"/>
  <c r="AA335" i="26"/>
  <c r="V335" i="26"/>
  <c r="Z334" i="26"/>
  <c r="Z336" i="24"/>
  <c r="AI336" i="24" s="1"/>
  <c r="AD339" i="24"/>
  <c r="W337" i="24"/>
  <c r="AB337" i="24" s="1"/>
  <c r="AE337" i="24" s="1"/>
  <c r="S338" i="24"/>
  <c r="R339" i="24"/>
  <c r="AA338" i="24"/>
  <c r="V338" i="24"/>
  <c r="AI334" i="24"/>
  <c r="AI331" i="28" l="1"/>
  <c r="AI326" i="28"/>
  <c r="AD341" i="28"/>
  <c r="AM341" i="28"/>
  <c r="AB337" i="28"/>
  <c r="AE337" i="28" s="1"/>
  <c r="AF341" i="28" s="1"/>
  <c r="AG341" i="28" s="1"/>
  <c r="AH341" i="28" s="1"/>
  <c r="AI327" i="28"/>
  <c r="D24" i="28" s="1"/>
  <c r="W338" i="28"/>
  <c r="V339" i="28"/>
  <c r="AJ339" i="28" s="1"/>
  <c r="AA339" i="28"/>
  <c r="M341" i="28"/>
  <c r="R341" i="28" s="1"/>
  <c r="Q340" i="28"/>
  <c r="Y342" i="28"/>
  <c r="Z337" i="28"/>
  <c r="AH337" i="27"/>
  <c r="AI332" i="27" s="1"/>
  <c r="R335" i="27"/>
  <c r="V334" i="27"/>
  <c r="Z334" i="27" s="1"/>
  <c r="AA334" i="27"/>
  <c r="AE334" i="27" s="1"/>
  <c r="AF338" i="27" s="1"/>
  <c r="AG338" i="27" s="1"/>
  <c r="M336" i="27"/>
  <c r="Q335" i="27"/>
  <c r="S335" i="27"/>
  <c r="W335" i="27" s="1"/>
  <c r="AB335" i="27" s="1"/>
  <c r="U336" i="27"/>
  <c r="Y335" i="27"/>
  <c r="AD335" i="27" s="1"/>
  <c r="AA336" i="26"/>
  <c r="V336" i="26"/>
  <c r="R337" i="26"/>
  <c r="W335" i="26"/>
  <c r="S336" i="26"/>
  <c r="Q337" i="26"/>
  <c r="M338" i="26"/>
  <c r="V339" i="24"/>
  <c r="AA339" i="24"/>
  <c r="W338" i="24"/>
  <c r="Z338" i="24" s="1"/>
  <c r="AI338" i="24" s="1"/>
  <c r="S339" i="24"/>
  <c r="W339" i="24" s="1"/>
  <c r="AB339" i="24" s="1"/>
  <c r="Z337" i="24"/>
  <c r="AI337" i="24" s="1"/>
  <c r="AK336" i="28" l="1"/>
  <c r="AI332" i="28"/>
  <c r="AK332" i="28"/>
  <c r="AK331" i="28"/>
  <c r="AM342" i="28"/>
  <c r="AB338" i="28"/>
  <c r="AE338" i="28" s="1"/>
  <c r="AF342" i="28" s="1"/>
  <c r="AG342" i="28" s="1"/>
  <c r="AH342" i="28" s="1"/>
  <c r="AK338" i="28"/>
  <c r="AI335" i="28"/>
  <c r="Z338" i="28"/>
  <c r="AI338" i="28" s="1"/>
  <c r="AI336" i="28"/>
  <c r="AI334" i="28"/>
  <c r="AA340" i="28"/>
  <c r="V340" i="28"/>
  <c r="AJ340" i="28" s="1"/>
  <c r="Q341" i="28"/>
  <c r="M342" i="28"/>
  <c r="Q342" i="28" s="1"/>
  <c r="W339" i="28"/>
  <c r="AD342" i="28"/>
  <c r="AH338" i="27"/>
  <c r="AI333" i="27" s="1"/>
  <c r="S336" i="27"/>
  <c r="W336" i="27" s="1"/>
  <c r="AB336" i="27" s="1"/>
  <c r="U337" i="27"/>
  <c r="Y336" i="27"/>
  <c r="AD336" i="27" s="1"/>
  <c r="Q336" i="27"/>
  <c r="M337" i="27"/>
  <c r="AA335" i="27"/>
  <c r="AE335" i="27" s="1"/>
  <c r="AF339" i="27" s="1"/>
  <c r="AG339" i="27" s="1"/>
  <c r="AH339" i="27" s="1"/>
  <c r="R336" i="27"/>
  <c r="V335" i="27"/>
  <c r="Z335" i="27" s="1"/>
  <c r="AI335" i="27" s="1"/>
  <c r="AB335" i="26"/>
  <c r="AE335" i="26" s="1"/>
  <c r="M339" i="26"/>
  <c r="Q339" i="26" s="1"/>
  <c r="Q338" i="26"/>
  <c r="R338" i="26"/>
  <c r="AA337" i="26"/>
  <c r="V337" i="26"/>
  <c r="W336" i="26"/>
  <c r="AB336" i="26" s="1"/>
  <c r="AE336" i="26" s="1"/>
  <c r="S337" i="26"/>
  <c r="Z335" i="26"/>
  <c r="AB338" i="24"/>
  <c r="AE338" i="24" s="1"/>
  <c r="M6" i="24"/>
  <c r="M8" i="24" s="1"/>
  <c r="AE339" i="24"/>
  <c r="Z339" i="24"/>
  <c r="M15" i="24" s="1"/>
  <c r="AM91" i="28" l="1"/>
  <c r="AM251" i="28"/>
  <c r="AM271" i="28"/>
  <c r="AM307" i="28"/>
  <c r="AL312" i="28"/>
  <c r="AL311" i="28"/>
  <c r="AJ324" i="28"/>
  <c r="AJ326" i="28"/>
  <c r="AJ325" i="28"/>
  <c r="AL295" i="28"/>
  <c r="AL297" i="28"/>
  <c r="AL296" i="28"/>
  <c r="AL301" i="28"/>
  <c r="AL302" i="28"/>
  <c r="AL303" i="28"/>
  <c r="AL306" i="28"/>
  <c r="AL304" i="28"/>
  <c r="AL308" i="28"/>
  <c r="AL305" i="28"/>
  <c r="AL307" i="28"/>
  <c r="AL309" i="28"/>
  <c r="AL310" i="28"/>
  <c r="AM306" i="28"/>
  <c r="AL286" i="28"/>
  <c r="AL285" i="28"/>
  <c r="AL290" i="28"/>
  <c r="AL291" i="28"/>
  <c r="AL294" i="28"/>
  <c r="AL292" i="28"/>
  <c r="AL293" i="28"/>
  <c r="AM302" i="28"/>
  <c r="AM303" i="28"/>
  <c r="AM305" i="28"/>
  <c r="AM304" i="28"/>
  <c r="AM300" i="28"/>
  <c r="AM301" i="28"/>
  <c r="AL317" i="28"/>
  <c r="AL318" i="28"/>
  <c r="AL320" i="28"/>
  <c r="AL319" i="28"/>
  <c r="AJ320" i="28"/>
  <c r="AL321" i="28"/>
  <c r="AJ321" i="28"/>
  <c r="AJ317" i="28"/>
  <c r="AJ319" i="28"/>
  <c r="AJ318" i="28"/>
  <c r="AJ323" i="28"/>
  <c r="AJ322" i="28"/>
  <c r="AL284" i="28"/>
  <c r="AL283" i="28"/>
  <c r="AL287" i="28"/>
  <c r="AL288" i="28"/>
  <c r="AL289" i="28"/>
  <c r="AM249" i="28"/>
  <c r="AM248" i="28"/>
  <c r="AM250" i="28"/>
  <c r="AM89" i="28"/>
  <c r="AM88" i="28"/>
  <c r="AM90" i="28"/>
  <c r="AM247" i="28"/>
  <c r="AM268" i="28"/>
  <c r="AM270" i="28"/>
  <c r="AM269" i="28"/>
  <c r="AL298" i="28"/>
  <c r="AL299" i="28"/>
  <c r="AM299" i="28"/>
  <c r="AL300" i="28"/>
  <c r="AM298" i="28"/>
  <c r="R342" i="28"/>
  <c r="AM75" i="28"/>
  <c r="AM77" i="28"/>
  <c r="AM76" i="28"/>
  <c r="AL101" i="28"/>
  <c r="AL107" i="28"/>
  <c r="AL102" i="28"/>
  <c r="AL103" i="28"/>
  <c r="AL105" i="28"/>
  <c r="AL104" i="28"/>
  <c r="AL106" i="28"/>
  <c r="AL108" i="28"/>
  <c r="AM111" i="28"/>
  <c r="AL109" i="28"/>
  <c r="AL110" i="28"/>
  <c r="AM109" i="28"/>
  <c r="AM108" i="28"/>
  <c r="AL111" i="28"/>
  <c r="AL115" i="28"/>
  <c r="AL113" i="28"/>
  <c r="AM110" i="28"/>
  <c r="AL112" i="28"/>
  <c r="AL114" i="28"/>
  <c r="AM116" i="28"/>
  <c r="AM112" i="28"/>
  <c r="AM117" i="28"/>
  <c r="AM113" i="28"/>
  <c r="AL117" i="28"/>
  <c r="AM115" i="28"/>
  <c r="AM114" i="28"/>
  <c r="AL116" i="28"/>
  <c r="AL140" i="28"/>
  <c r="AL139" i="28"/>
  <c r="AM148" i="28"/>
  <c r="AM149" i="28"/>
  <c r="AM150" i="28"/>
  <c r="AM151" i="28"/>
  <c r="AM152" i="28"/>
  <c r="AM153" i="28"/>
  <c r="AM156" i="28"/>
  <c r="AM155" i="28"/>
  <c r="AM154" i="28"/>
  <c r="AM157" i="28"/>
  <c r="AM159" i="28"/>
  <c r="AM161" i="28"/>
  <c r="AM158" i="28"/>
  <c r="AM160" i="28"/>
  <c r="AM162" i="28"/>
  <c r="AM180" i="28"/>
  <c r="AM181" i="28"/>
  <c r="AM183" i="28"/>
  <c r="AM185" i="28"/>
  <c r="AM182" i="28"/>
  <c r="AM186" i="28"/>
  <c r="AM184" i="28"/>
  <c r="AM190" i="28"/>
  <c r="AM187" i="28"/>
  <c r="AM188" i="28"/>
  <c r="AM189" i="28"/>
  <c r="AM192" i="28"/>
  <c r="AM191" i="28"/>
  <c r="AM204" i="28"/>
  <c r="AM205" i="28"/>
  <c r="AM206" i="28"/>
  <c r="AM207" i="28"/>
  <c r="AM234" i="28"/>
  <c r="AM236" i="28"/>
  <c r="AM233" i="28"/>
  <c r="AM235" i="28"/>
  <c r="AM237" i="28"/>
  <c r="AM239" i="28"/>
  <c r="AM238" i="28"/>
  <c r="AM240" i="28"/>
  <c r="AM241" i="28"/>
  <c r="AM242" i="28"/>
  <c r="AM243" i="28"/>
  <c r="AM245" i="28"/>
  <c r="AM244" i="28"/>
  <c r="AL253" i="28"/>
  <c r="AM246" i="28"/>
  <c r="AL255" i="28"/>
  <c r="AL254" i="28"/>
  <c r="AL256" i="28"/>
  <c r="AL257" i="28"/>
  <c r="AL259" i="28"/>
  <c r="AL258" i="28"/>
  <c r="AL260" i="28"/>
  <c r="AL262" i="28"/>
  <c r="AL265" i="28"/>
  <c r="AL261" i="28"/>
  <c r="AL264" i="28"/>
  <c r="AL263" i="28"/>
  <c r="AL267" i="28"/>
  <c r="AL266" i="28"/>
  <c r="AL268" i="28"/>
  <c r="AL269" i="28"/>
  <c r="AL270" i="28"/>
  <c r="AL271" i="28"/>
  <c r="AL273" i="28"/>
  <c r="AL272" i="28"/>
  <c r="AL274" i="28"/>
  <c r="AL275" i="28"/>
  <c r="AL278" i="28"/>
  <c r="AL277" i="28"/>
  <c r="AL276" i="28"/>
  <c r="AL279" i="28"/>
  <c r="AL280" i="28"/>
  <c r="AK290" i="28"/>
  <c r="AK291" i="28"/>
  <c r="AK295" i="28"/>
  <c r="AK292" i="28"/>
  <c r="AK293" i="28"/>
  <c r="AK294" i="28"/>
  <c r="AK299" i="28"/>
  <c r="AK296" i="28"/>
  <c r="AK297" i="28"/>
  <c r="AJ299" i="28"/>
  <c r="AK298" i="28"/>
  <c r="AJ304" i="28"/>
  <c r="AK303" i="28"/>
  <c r="AJ305" i="28"/>
  <c r="AJ310" i="28"/>
  <c r="AJ306" i="28"/>
  <c r="AJ308" i="28"/>
  <c r="AK304" i="28"/>
  <c r="AK305" i="28"/>
  <c r="AK307" i="28"/>
  <c r="AJ307" i="28"/>
  <c r="AK309" i="28"/>
  <c r="AJ311" i="28"/>
  <c r="AK306" i="28"/>
  <c r="AJ309" i="28"/>
  <c r="AK308" i="28"/>
  <c r="AL316" i="28"/>
  <c r="AJ312" i="28"/>
  <c r="AK310" i="28"/>
  <c r="AK312" i="28"/>
  <c r="AK311" i="28"/>
  <c r="AK314" i="28"/>
  <c r="AM314" i="28"/>
  <c r="AK313" i="28"/>
  <c r="AK317" i="28"/>
  <c r="AK315" i="28"/>
  <c r="AK316" i="28"/>
  <c r="AK320" i="28"/>
  <c r="AK318" i="28"/>
  <c r="AK319" i="28"/>
  <c r="AK321" i="28"/>
  <c r="AK325" i="28"/>
  <c r="AK323" i="28"/>
  <c r="AK326" i="28"/>
  <c r="AK322" i="28"/>
  <c r="AK324" i="28"/>
  <c r="AK327" i="28"/>
  <c r="AK329" i="28"/>
  <c r="AK328" i="28"/>
  <c r="AI333" i="28"/>
  <c r="AK333" i="28"/>
  <c r="AK330" i="28"/>
  <c r="AK334" i="28"/>
  <c r="AK335" i="28"/>
  <c r="AK337" i="28"/>
  <c r="AI337" i="28"/>
  <c r="AM74" i="28"/>
  <c r="AL100" i="28"/>
  <c r="AM106" i="28"/>
  <c r="AM107" i="28"/>
  <c r="AM137" i="28"/>
  <c r="AL138" i="28"/>
  <c r="AM175" i="28"/>
  <c r="AM176" i="28"/>
  <c r="AM179" i="28"/>
  <c r="AM177" i="28"/>
  <c r="AM178" i="28"/>
  <c r="AM209" i="28"/>
  <c r="AM208" i="28"/>
  <c r="AM210" i="28"/>
  <c r="AM211" i="28"/>
  <c r="AM212" i="28"/>
  <c r="AM213" i="28"/>
  <c r="AM214" i="28"/>
  <c r="AM215" i="28"/>
  <c r="AM216" i="28"/>
  <c r="AM217" i="28"/>
  <c r="AM219" i="28"/>
  <c r="AM218" i="28"/>
  <c r="AM222" i="28"/>
  <c r="AM220" i="28"/>
  <c r="AM221" i="28"/>
  <c r="AL252" i="28"/>
  <c r="AL251" i="28"/>
  <c r="AK263" i="28"/>
  <c r="AK262" i="28"/>
  <c r="AK265" i="28"/>
  <c r="AK264" i="28"/>
  <c r="AK267" i="28"/>
  <c r="AK266" i="28"/>
  <c r="AK268" i="28"/>
  <c r="AK269" i="28"/>
  <c r="AK270" i="28"/>
  <c r="AK272" i="28"/>
  <c r="AK271" i="28"/>
  <c r="AK273" i="28"/>
  <c r="AK274" i="28"/>
  <c r="AK275" i="28"/>
  <c r="AK277" i="28"/>
  <c r="AK279" i="28"/>
  <c r="AK276" i="28"/>
  <c r="AK278" i="28"/>
  <c r="AK280" i="28"/>
  <c r="AK282" i="28"/>
  <c r="AK281" i="28"/>
  <c r="AK283" i="28"/>
  <c r="AK284" i="28"/>
  <c r="AK286" i="28"/>
  <c r="AK285" i="28"/>
  <c r="AK288" i="28"/>
  <c r="AK289" i="28"/>
  <c r="AK287" i="28"/>
  <c r="AJ297" i="28"/>
  <c r="AJ298" i="28"/>
  <c r="AJ301" i="28"/>
  <c r="AJ300" i="28"/>
  <c r="AJ302" i="28"/>
  <c r="AK300" i="28"/>
  <c r="AJ303" i="28"/>
  <c r="AK301" i="28"/>
  <c r="AK302" i="28"/>
  <c r="AK72" i="28"/>
  <c r="AJ73" i="28"/>
  <c r="AK71" i="28"/>
  <c r="AJ74" i="28"/>
  <c r="AL73" i="28"/>
  <c r="AJ75" i="28"/>
  <c r="AM73" i="28"/>
  <c r="AK73" i="28"/>
  <c r="AL74" i="28"/>
  <c r="AK74" i="28"/>
  <c r="AK75" i="28"/>
  <c r="AJ76" i="28"/>
  <c r="AL75" i="28"/>
  <c r="AK77" i="28"/>
  <c r="AK76" i="28"/>
  <c r="AJ77" i="28"/>
  <c r="AJ79" i="28"/>
  <c r="AL76" i="28"/>
  <c r="AJ78" i="28"/>
  <c r="AJ80" i="28"/>
  <c r="AK78" i="28"/>
  <c r="AL77" i="28"/>
  <c r="AL78" i="28"/>
  <c r="AL81" i="28"/>
  <c r="AK79" i="28"/>
  <c r="AL79" i="28"/>
  <c r="AK80" i="28"/>
  <c r="AL80" i="28"/>
  <c r="AJ81" i="28"/>
  <c r="AJ82" i="28"/>
  <c r="AK81" i="28"/>
  <c r="AK82" i="28"/>
  <c r="AL82" i="28"/>
  <c r="AJ83" i="28"/>
  <c r="AK83" i="28"/>
  <c r="AL83" i="28"/>
  <c r="AJ84" i="28"/>
  <c r="AJ85" i="28"/>
  <c r="AL84" i="28"/>
  <c r="AJ87" i="28"/>
  <c r="AL86" i="28"/>
  <c r="AL85" i="28"/>
  <c r="AJ86" i="28"/>
  <c r="AK84" i="28"/>
  <c r="AK86" i="28"/>
  <c r="AJ89" i="28"/>
  <c r="AK85" i="28"/>
  <c r="AJ88" i="28"/>
  <c r="AL88" i="28"/>
  <c r="AL87" i="28"/>
  <c r="AK87" i="28"/>
  <c r="AJ90" i="28"/>
  <c r="AL91" i="28"/>
  <c r="AL90" i="28"/>
  <c r="AK89" i="28"/>
  <c r="AL89" i="28"/>
  <c r="AK88" i="28"/>
  <c r="AK92" i="28"/>
  <c r="AJ92" i="28"/>
  <c r="AL92" i="28"/>
  <c r="AK90" i="28"/>
  <c r="AK91" i="28"/>
  <c r="AL94" i="28"/>
  <c r="AJ93" i="28"/>
  <c r="AK93" i="28"/>
  <c r="AK94" i="28"/>
  <c r="AJ91" i="28"/>
  <c r="AL93" i="28"/>
  <c r="AJ94" i="28"/>
  <c r="AJ95" i="28"/>
  <c r="AL96" i="28"/>
  <c r="AJ96" i="28"/>
  <c r="AL97" i="28"/>
  <c r="AK95" i="28"/>
  <c r="AJ97" i="28"/>
  <c r="AL95" i="28"/>
  <c r="AJ98" i="28"/>
  <c r="AL98" i="28"/>
  <c r="AK96" i="28"/>
  <c r="AK99" i="28"/>
  <c r="AK98" i="28"/>
  <c r="AJ99" i="28"/>
  <c r="AK97" i="28"/>
  <c r="AL99" i="28"/>
  <c r="AJ100" i="28"/>
  <c r="AK100" i="28"/>
  <c r="AJ102" i="28"/>
  <c r="AJ101" i="28"/>
  <c r="AJ104" i="28"/>
  <c r="AJ106" i="28"/>
  <c r="AM104" i="28"/>
  <c r="AK101" i="28"/>
  <c r="AJ103" i="28"/>
  <c r="AK102" i="28"/>
  <c r="AK103" i="28"/>
  <c r="AM103" i="28"/>
  <c r="AK104" i="28"/>
  <c r="AM105" i="28"/>
  <c r="AJ105" i="28"/>
  <c r="AK105" i="28"/>
  <c r="AJ107" i="28"/>
  <c r="AJ110" i="28"/>
  <c r="AK108" i="28"/>
  <c r="AJ108" i="28"/>
  <c r="AK106" i="28"/>
  <c r="AK107" i="28"/>
  <c r="AK110" i="28"/>
  <c r="AK109" i="28"/>
  <c r="AK112" i="28"/>
  <c r="AJ111" i="28"/>
  <c r="AJ109" i="28"/>
  <c r="AJ113" i="28"/>
  <c r="AJ112" i="28"/>
  <c r="AK111" i="28"/>
  <c r="AK114" i="28"/>
  <c r="AK113" i="28"/>
  <c r="AK117" i="28"/>
  <c r="AK115" i="28"/>
  <c r="AK116" i="28"/>
  <c r="AJ117" i="28"/>
  <c r="AJ114" i="28"/>
  <c r="AJ115" i="28"/>
  <c r="AJ116" i="28"/>
  <c r="AK118" i="28"/>
  <c r="AL119" i="28"/>
  <c r="AL118" i="28"/>
  <c r="AJ118" i="28"/>
  <c r="AL120" i="28"/>
  <c r="AL121" i="28"/>
  <c r="AL122" i="28"/>
  <c r="AK120" i="28"/>
  <c r="AJ120" i="28"/>
  <c r="AJ119" i="28"/>
  <c r="AL123" i="28"/>
  <c r="AK119" i="28"/>
  <c r="AJ121" i="28"/>
  <c r="AL124" i="28"/>
  <c r="AL125" i="28"/>
  <c r="AK121" i="28"/>
  <c r="AJ122" i="28"/>
  <c r="AK122" i="28"/>
  <c r="AK123" i="28"/>
  <c r="AJ123" i="28"/>
  <c r="AL126" i="28"/>
  <c r="AK124" i="28"/>
  <c r="AL127" i="28"/>
  <c r="AJ124" i="28"/>
  <c r="AK125" i="28"/>
  <c r="AJ125" i="28"/>
  <c r="AK126" i="28"/>
  <c r="AL129" i="28"/>
  <c r="AK127" i="28"/>
  <c r="AL130" i="28"/>
  <c r="AK128" i="28"/>
  <c r="AK129" i="28"/>
  <c r="AJ128" i="28"/>
  <c r="AJ126" i="28"/>
  <c r="AJ127" i="28"/>
  <c r="AJ129" i="28"/>
  <c r="AL131" i="28"/>
  <c r="AK130" i="28"/>
  <c r="AK132" i="28"/>
  <c r="AJ130" i="28"/>
  <c r="AK131" i="28"/>
  <c r="AL132" i="28"/>
  <c r="AL134" i="28"/>
  <c r="AJ133" i="28"/>
  <c r="AJ132" i="28"/>
  <c r="AM136" i="28"/>
  <c r="AK133" i="28"/>
  <c r="AL135" i="28"/>
  <c r="AJ131" i="28"/>
  <c r="AM133" i="28"/>
  <c r="AJ134" i="28"/>
  <c r="AL133" i="28"/>
  <c r="AJ135" i="28"/>
  <c r="AM135" i="28"/>
  <c r="AM134" i="28"/>
  <c r="AJ136" i="28"/>
  <c r="AL137" i="28"/>
  <c r="AK134" i="28"/>
  <c r="AL136" i="28"/>
  <c r="AJ138" i="28"/>
  <c r="AK135" i="28"/>
  <c r="AJ137" i="28"/>
  <c r="AK136" i="28"/>
  <c r="AL141" i="28"/>
  <c r="AJ139" i="28"/>
  <c r="AK137" i="28"/>
  <c r="AL142" i="28"/>
  <c r="AK138" i="28"/>
  <c r="AK139" i="28"/>
  <c r="AL143" i="28"/>
  <c r="AJ141" i="28"/>
  <c r="AJ140" i="28"/>
  <c r="AL145" i="28"/>
  <c r="AK140" i="28"/>
  <c r="AL144" i="28"/>
  <c r="AJ142" i="28"/>
  <c r="AJ143" i="28"/>
  <c r="AK141" i="28"/>
  <c r="AK142" i="28"/>
  <c r="AK143" i="28"/>
  <c r="AL146" i="28"/>
  <c r="AJ146" i="28"/>
  <c r="AJ144" i="28"/>
  <c r="AL147" i="28"/>
  <c r="AJ145" i="28"/>
  <c r="AL149" i="28"/>
  <c r="AJ147" i="28"/>
  <c r="AK145" i="28"/>
  <c r="AK144" i="28"/>
  <c r="AL148" i="28"/>
  <c r="AJ148" i="28"/>
  <c r="AL150" i="28"/>
  <c r="AK146" i="28"/>
  <c r="AL151" i="28"/>
  <c r="AK147" i="28"/>
  <c r="AK148" i="28"/>
  <c r="AJ149" i="28"/>
  <c r="AL152" i="28"/>
  <c r="AL153" i="28"/>
  <c r="AK149" i="28"/>
  <c r="AK150" i="28"/>
  <c r="AJ150" i="28"/>
  <c r="AJ152" i="28"/>
  <c r="AJ153" i="28"/>
  <c r="AJ151" i="28"/>
  <c r="AK152" i="28"/>
  <c r="AL155" i="28"/>
  <c r="AK153" i="28"/>
  <c r="AL156" i="28"/>
  <c r="AL154" i="28"/>
  <c r="AJ154" i="28"/>
  <c r="AK151" i="28"/>
  <c r="AL158" i="28"/>
  <c r="AJ155" i="28"/>
  <c r="AL157" i="28"/>
  <c r="AL159" i="28"/>
  <c r="AK154" i="28"/>
  <c r="AL161" i="28"/>
  <c r="AJ158" i="28"/>
  <c r="AL162" i="28"/>
  <c r="AK155" i="28"/>
  <c r="AJ156" i="28"/>
  <c r="AK156" i="28"/>
  <c r="AK157" i="28"/>
  <c r="AL160" i="28"/>
  <c r="AJ159" i="28"/>
  <c r="AJ160" i="28"/>
  <c r="AL163" i="28"/>
  <c r="AK158" i="28"/>
  <c r="AJ157" i="28"/>
  <c r="AL164" i="28"/>
  <c r="AJ161" i="28"/>
  <c r="AK160" i="28"/>
  <c r="AK159" i="28"/>
  <c r="AJ162" i="28"/>
  <c r="AM164" i="28"/>
  <c r="AK161" i="28"/>
  <c r="AK162" i="28"/>
  <c r="AM163" i="28"/>
  <c r="AK163" i="28"/>
  <c r="AM167" i="28"/>
  <c r="AJ164" i="28"/>
  <c r="AJ163" i="28"/>
  <c r="AM169" i="28"/>
  <c r="AL166" i="28"/>
  <c r="AM165" i="28"/>
  <c r="AK165" i="28"/>
  <c r="AM168" i="28"/>
  <c r="AM170" i="28"/>
  <c r="AM166" i="28"/>
  <c r="AJ166" i="28"/>
  <c r="AL165" i="28"/>
  <c r="AJ169" i="28"/>
  <c r="AL168" i="28"/>
  <c r="AJ165" i="28"/>
  <c r="AL167" i="28"/>
  <c r="AL171" i="28"/>
  <c r="AL173" i="28"/>
  <c r="AM171" i="28"/>
  <c r="AL169" i="28"/>
  <c r="AK164" i="28"/>
  <c r="AL170" i="28"/>
  <c r="AK168" i="28"/>
  <c r="AJ168" i="28"/>
  <c r="AM172" i="28"/>
  <c r="AL172" i="28"/>
  <c r="AJ167" i="28"/>
  <c r="AK166" i="28"/>
  <c r="AM173" i="28"/>
  <c r="AK167" i="28"/>
  <c r="AL174" i="28"/>
  <c r="AJ170" i="28"/>
  <c r="AM174" i="28"/>
  <c r="AL175" i="28"/>
  <c r="AJ171" i="28"/>
  <c r="AJ172" i="28"/>
  <c r="AK169" i="28"/>
  <c r="AK171" i="28"/>
  <c r="AL176" i="28"/>
  <c r="AK170" i="28"/>
  <c r="AL177" i="28"/>
  <c r="AJ173" i="28"/>
  <c r="AJ174" i="28"/>
  <c r="AL178" i="28"/>
  <c r="AJ175" i="28"/>
  <c r="AK173" i="28"/>
  <c r="AK175" i="28"/>
  <c r="AK174" i="28"/>
  <c r="AL179" i="28"/>
  <c r="AJ176" i="28"/>
  <c r="AK172" i="28"/>
  <c r="AK176" i="28"/>
  <c r="AL181" i="28"/>
  <c r="AL180" i="28"/>
  <c r="AJ177" i="28"/>
  <c r="AJ178" i="28"/>
  <c r="AL182" i="28"/>
  <c r="AL184" i="28"/>
  <c r="AK177" i="28"/>
  <c r="AK179" i="28"/>
  <c r="AL183" i="28"/>
  <c r="AK180" i="28"/>
  <c r="AJ179" i="28"/>
  <c r="AK178" i="28"/>
  <c r="AJ180" i="28"/>
  <c r="AL187" i="28"/>
  <c r="AL185" i="28"/>
  <c r="AL186" i="28"/>
  <c r="AL188" i="28"/>
  <c r="AK183" i="28"/>
  <c r="AK181" i="28"/>
  <c r="AJ183" i="28"/>
  <c r="AJ182" i="28"/>
  <c r="AJ181" i="28"/>
  <c r="AK182" i="28"/>
  <c r="AL189" i="28"/>
  <c r="AK184" i="28"/>
  <c r="AL190" i="28"/>
  <c r="AJ185" i="28"/>
  <c r="AJ184" i="28"/>
  <c r="AK186" i="28"/>
  <c r="AJ186" i="28"/>
  <c r="AL191" i="28"/>
  <c r="AJ188" i="28"/>
  <c r="AL192" i="28"/>
  <c r="AJ187" i="28"/>
  <c r="AL195" i="28"/>
  <c r="AK185" i="28"/>
  <c r="AJ190" i="28"/>
  <c r="AK187" i="28"/>
  <c r="AJ191" i="28"/>
  <c r="AJ189" i="28"/>
  <c r="AM193" i="28"/>
  <c r="AK188" i="28"/>
  <c r="AL193" i="28"/>
  <c r="AL194" i="28"/>
  <c r="AK190" i="28"/>
  <c r="AK189" i="28"/>
  <c r="AL196" i="28"/>
  <c r="AL198" i="28"/>
  <c r="AL197" i="28"/>
  <c r="AM196" i="28"/>
  <c r="AM194" i="28"/>
  <c r="AK191" i="28"/>
  <c r="AJ192" i="28"/>
  <c r="AM195" i="28"/>
  <c r="AJ193" i="28"/>
  <c r="AL199" i="28"/>
  <c r="AK192" i="28"/>
  <c r="AM197" i="28"/>
  <c r="AM198" i="28"/>
  <c r="AK193" i="28"/>
  <c r="AL201" i="28"/>
  <c r="AM199" i="28"/>
  <c r="AJ194" i="28"/>
  <c r="AJ195" i="28"/>
  <c r="AL200" i="28"/>
  <c r="AJ196" i="28"/>
  <c r="AM200" i="28"/>
  <c r="AL202" i="28"/>
  <c r="AK194" i="28"/>
  <c r="AK195" i="28"/>
  <c r="AM201" i="28"/>
  <c r="AL203" i="28"/>
  <c r="AJ197" i="28"/>
  <c r="AJ198" i="28"/>
  <c r="AK196" i="28"/>
  <c r="AM202" i="28"/>
  <c r="AL204" i="28"/>
  <c r="AK198" i="28"/>
  <c r="AK199" i="28"/>
  <c r="AJ199" i="28"/>
  <c r="AL205" i="28"/>
  <c r="AJ200" i="28"/>
  <c r="AK197" i="28"/>
  <c r="AJ201" i="28"/>
  <c r="AM203" i="28"/>
  <c r="AL206" i="28"/>
  <c r="AK200" i="28"/>
  <c r="AJ203" i="28"/>
  <c r="AJ202" i="28"/>
  <c r="AL207" i="28"/>
  <c r="AK201" i="28"/>
  <c r="AL210" i="28"/>
  <c r="AL209" i="28"/>
  <c r="AK202" i="28"/>
  <c r="AL208" i="28"/>
  <c r="AJ204" i="28"/>
  <c r="AL211" i="28"/>
  <c r="AK203" i="28"/>
  <c r="AJ205" i="28"/>
  <c r="AK204" i="28"/>
  <c r="AJ207" i="28"/>
  <c r="AJ206" i="28"/>
  <c r="AK206" i="28"/>
  <c r="AK205" i="28"/>
  <c r="AJ208" i="28"/>
  <c r="AJ210" i="28"/>
  <c r="AL212" i="28"/>
  <c r="AJ209" i="28"/>
  <c r="AK208" i="28"/>
  <c r="AL213" i="28"/>
  <c r="AK207" i="28"/>
  <c r="AK209" i="28"/>
  <c r="AL216" i="28"/>
  <c r="AL215" i="28"/>
  <c r="AJ212" i="28"/>
  <c r="AL214" i="28"/>
  <c r="AL217" i="28"/>
  <c r="AJ211" i="28"/>
  <c r="AK210" i="28"/>
  <c r="AJ213" i="28"/>
  <c r="AK212" i="28"/>
  <c r="AJ214" i="28"/>
  <c r="AL218" i="28"/>
  <c r="AK211" i="28"/>
  <c r="AL219" i="28"/>
  <c r="AL220" i="28"/>
  <c r="AJ215" i="28"/>
  <c r="AL222" i="28"/>
  <c r="AK214" i="28"/>
  <c r="AJ216" i="28"/>
  <c r="AK213" i="28"/>
  <c r="AL221" i="28"/>
  <c r="AJ217" i="28"/>
  <c r="AK215" i="28"/>
  <c r="AK216" i="28"/>
  <c r="AJ218" i="28"/>
  <c r="AK217" i="28"/>
  <c r="AL223" i="28"/>
  <c r="AJ219" i="28"/>
  <c r="AJ220" i="28"/>
  <c r="AL225" i="28"/>
  <c r="AL224" i="28"/>
  <c r="AM223" i="28"/>
  <c r="AK218" i="28"/>
  <c r="AJ222" i="28"/>
  <c r="AJ221" i="28"/>
  <c r="AK219" i="28"/>
  <c r="AM224" i="28"/>
  <c r="AK220" i="28"/>
  <c r="AL227" i="28"/>
  <c r="AK221" i="28"/>
  <c r="AL226" i="28"/>
  <c r="AL228" i="28"/>
  <c r="AJ224" i="28"/>
  <c r="AJ225" i="28"/>
  <c r="AK222" i="28"/>
  <c r="AJ223" i="28"/>
  <c r="AM228" i="28"/>
  <c r="AM225" i="28"/>
  <c r="AK223" i="28"/>
  <c r="AM229" i="28"/>
  <c r="AM226" i="28"/>
  <c r="AL230" i="28"/>
  <c r="AK224" i="28"/>
  <c r="AJ226" i="28"/>
  <c r="AM227" i="28"/>
  <c r="AM230" i="28"/>
  <c r="AL229" i="28"/>
  <c r="AL231" i="28"/>
  <c r="AK225" i="28"/>
  <c r="AK226" i="28"/>
  <c r="AJ227" i="28"/>
  <c r="AJ229" i="28"/>
  <c r="AK227" i="28"/>
  <c r="AL233" i="28"/>
  <c r="AJ228" i="28"/>
  <c r="AM231" i="28"/>
  <c r="AM232" i="28"/>
  <c r="AL234" i="28"/>
  <c r="AK228" i="28"/>
  <c r="AL232" i="28"/>
  <c r="AJ230" i="28"/>
  <c r="AL235" i="28"/>
  <c r="AL236" i="28"/>
  <c r="AK229" i="28"/>
  <c r="AJ232" i="28"/>
  <c r="AK230" i="28"/>
  <c r="AJ231" i="28"/>
  <c r="AJ233" i="28"/>
  <c r="AL237" i="28"/>
  <c r="AL238" i="28"/>
  <c r="AK231" i="28"/>
  <c r="AK233" i="28"/>
  <c r="AK232" i="28"/>
  <c r="AJ234" i="28"/>
  <c r="AL239" i="28"/>
  <c r="AL240" i="28"/>
  <c r="AJ236" i="28"/>
  <c r="AL241" i="28"/>
  <c r="AJ235" i="28"/>
  <c r="AJ237" i="28"/>
  <c r="AK234" i="28"/>
  <c r="AJ240" i="28"/>
  <c r="AK235" i="28"/>
  <c r="AJ239" i="28"/>
  <c r="AL242" i="28"/>
  <c r="AJ238" i="28"/>
  <c r="AK236" i="28"/>
  <c r="AK239" i="28"/>
  <c r="AK238" i="28"/>
  <c r="AK237" i="28"/>
  <c r="AL244" i="28"/>
  <c r="AL243" i="28"/>
  <c r="AJ242" i="28"/>
  <c r="AK240" i="28"/>
  <c r="AL246" i="28"/>
  <c r="AJ243" i="28"/>
  <c r="AL247" i="28"/>
  <c r="AL245" i="28"/>
  <c r="AK241" i="28"/>
  <c r="AJ241" i="28"/>
  <c r="AL248" i="28"/>
  <c r="AJ245" i="28"/>
  <c r="AJ244" i="28"/>
  <c r="AL249" i="28"/>
  <c r="AK242" i="28"/>
  <c r="AJ246" i="28"/>
  <c r="AK243" i="28"/>
  <c r="AL250" i="28"/>
  <c r="AK244" i="28"/>
  <c r="AJ248" i="28"/>
  <c r="AK245" i="28"/>
  <c r="AJ249" i="28"/>
  <c r="AJ247" i="28"/>
  <c r="AK246" i="28"/>
  <c r="AK247" i="28"/>
  <c r="AJ250" i="28"/>
  <c r="AK248" i="28"/>
  <c r="AK249" i="28"/>
  <c r="AK250" i="28"/>
  <c r="AJ251" i="28"/>
  <c r="AJ252" i="28"/>
  <c r="AK254" i="28"/>
  <c r="AJ255" i="28"/>
  <c r="AJ254" i="28"/>
  <c r="AK252" i="28"/>
  <c r="AK251" i="28"/>
  <c r="AK253" i="28"/>
  <c r="AK255" i="28"/>
  <c r="AJ253" i="28"/>
  <c r="AJ258" i="28"/>
  <c r="AJ256" i="28"/>
  <c r="AK256" i="28"/>
  <c r="AJ257" i="28"/>
  <c r="AJ260" i="28"/>
  <c r="AK257" i="28"/>
  <c r="AJ262" i="28"/>
  <c r="AJ259" i="28"/>
  <c r="AK259" i="28"/>
  <c r="AK258" i="28"/>
  <c r="AJ261" i="28"/>
  <c r="AK260" i="28"/>
  <c r="AJ263" i="28"/>
  <c r="AK261" i="28"/>
  <c r="AJ266" i="28"/>
  <c r="AJ265" i="28"/>
  <c r="AJ264" i="28"/>
  <c r="AJ268" i="28"/>
  <c r="AJ267" i="28"/>
  <c r="AJ269" i="28"/>
  <c r="AJ270" i="28"/>
  <c r="AJ272" i="28"/>
  <c r="AJ271" i="28"/>
  <c r="AJ273" i="28"/>
  <c r="AJ274" i="28"/>
  <c r="AJ275" i="28"/>
  <c r="AJ277" i="28"/>
  <c r="AJ276" i="28"/>
  <c r="AJ279" i="28"/>
  <c r="AJ278" i="28"/>
  <c r="AJ280" i="28"/>
  <c r="AJ281" i="28"/>
  <c r="AJ284" i="28"/>
  <c r="AJ283" i="28"/>
  <c r="AJ282" i="28"/>
  <c r="AJ286" i="28"/>
  <c r="AJ285" i="28"/>
  <c r="AJ289" i="28"/>
  <c r="AJ288" i="28"/>
  <c r="AJ287" i="28"/>
  <c r="AJ291" i="28"/>
  <c r="AJ290" i="28"/>
  <c r="AJ294" i="28"/>
  <c r="AJ295" i="28"/>
  <c r="AJ292" i="28"/>
  <c r="AJ293" i="28"/>
  <c r="AJ296" i="28"/>
  <c r="AM313" i="28"/>
  <c r="AL313" i="28"/>
  <c r="AL314" i="28"/>
  <c r="AJ313" i="28"/>
  <c r="AL315" i="28"/>
  <c r="AJ314" i="28"/>
  <c r="AJ315" i="28"/>
  <c r="AJ316" i="28"/>
  <c r="AB339" i="28"/>
  <c r="AE339" i="28" s="1"/>
  <c r="AK339" i="28"/>
  <c r="Z339" i="28"/>
  <c r="AI339" i="28" s="1"/>
  <c r="W340" i="28"/>
  <c r="AA341" i="28"/>
  <c r="V341" i="28"/>
  <c r="AJ341" i="28" s="1"/>
  <c r="AI334" i="27"/>
  <c r="M338" i="27"/>
  <c r="Q337" i="27"/>
  <c r="R337" i="27"/>
  <c r="AA336" i="27"/>
  <c r="AE336" i="27" s="1"/>
  <c r="V336" i="27"/>
  <c r="Z336" i="27" s="1"/>
  <c r="AI336" i="27" s="1"/>
  <c r="S337" i="27"/>
  <c r="W337" i="27" s="1"/>
  <c r="AB337" i="27" s="1"/>
  <c r="U338" i="27"/>
  <c r="Y337" i="27"/>
  <c r="AD337" i="27" s="1"/>
  <c r="W337" i="26"/>
  <c r="Z337" i="26" s="1"/>
  <c r="S338" i="26"/>
  <c r="R339" i="26"/>
  <c r="V338" i="26"/>
  <c r="AA338" i="26"/>
  <c r="Z336" i="26"/>
  <c r="AI339" i="24"/>
  <c r="M11" i="24"/>
  <c r="I25" i="24"/>
  <c r="M22" i="28" l="1"/>
  <c r="AK340" i="28"/>
  <c r="Z340" i="28"/>
  <c r="AI340" i="28" s="1"/>
  <c r="V342" i="28"/>
  <c r="AJ342" i="28" s="1"/>
  <c r="AA342" i="28"/>
  <c r="W341" i="28"/>
  <c r="W342" i="28"/>
  <c r="AB340" i="28"/>
  <c r="AE340" i="28" s="1"/>
  <c r="M6" i="28"/>
  <c r="M8" i="28" s="1"/>
  <c r="V337" i="27"/>
  <c r="Z337" i="27" s="1"/>
  <c r="AI337" i="27" s="1"/>
  <c r="R338" i="27"/>
  <c r="AA337" i="27"/>
  <c r="AE337" i="27" s="1"/>
  <c r="Q338" i="27"/>
  <c r="M339" i="27"/>
  <c r="Q339" i="27" s="1"/>
  <c r="S338" i="27"/>
  <c r="W338" i="27" s="1"/>
  <c r="AB338" i="27" s="1"/>
  <c r="U339" i="27"/>
  <c r="Y338" i="27"/>
  <c r="AD338" i="27" s="1"/>
  <c r="AA339" i="26"/>
  <c r="V339" i="26"/>
  <c r="W338" i="26"/>
  <c r="AB338" i="26" s="1"/>
  <c r="AE338" i="26" s="1"/>
  <c r="S339" i="26"/>
  <c r="W339" i="26" s="1"/>
  <c r="AB339" i="26" s="1"/>
  <c r="AB337" i="26"/>
  <c r="AE337" i="26" s="1"/>
  <c r="M6" i="26"/>
  <c r="M8" i="26" s="1"/>
  <c r="M13" i="24"/>
  <c r="J25" i="24"/>
  <c r="AB342" i="28" l="1"/>
  <c r="AK342" i="28"/>
  <c r="AB341" i="28"/>
  <c r="AE341" i="28" s="1"/>
  <c r="AK341" i="28"/>
  <c r="M19" i="28" s="1"/>
  <c r="Z341" i="28"/>
  <c r="AI341" i="28" s="1"/>
  <c r="Z342" i="28"/>
  <c r="M15" i="28" s="1"/>
  <c r="AE342" i="28"/>
  <c r="S339" i="27"/>
  <c r="W339" i="27" s="1"/>
  <c r="AB339" i="27" s="1"/>
  <c r="Y339" i="27"/>
  <c r="V338" i="27"/>
  <c r="Z338" i="27" s="1"/>
  <c r="AI338" i="27" s="1"/>
  <c r="R339" i="27"/>
  <c r="AA338" i="27"/>
  <c r="AE338" i="27" s="1"/>
  <c r="Z338" i="26"/>
  <c r="Z339" i="26"/>
  <c r="M15" i="26" s="1"/>
  <c r="AE339" i="26"/>
  <c r="AI342" i="28" l="1"/>
  <c r="M11" i="28"/>
  <c r="C25" i="28"/>
  <c r="V339" i="27"/>
  <c r="Z339" i="27" s="1"/>
  <c r="M15" i="27" s="1"/>
  <c r="AA339" i="27"/>
  <c r="AD339" i="27"/>
  <c r="M6" i="27"/>
  <c r="M8" i="27" s="1"/>
  <c r="M11" i="26"/>
  <c r="I25" i="26"/>
  <c r="J25" i="26" s="1"/>
  <c r="M13" i="26" s="1"/>
  <c r="M13" i="28" l="1"/>
  <c r="D25" i="28"/>
  <c r="AE339" i="27"/>
  <c r="AI339" i="27"/>
  <c r="M11" i="27"/>
  <c r="I25" i="27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D41" i="10" s="1"/>
  <c r="AH39" i="10"/>
  <c r="P39" i="10"/>
  <c r="O39" i="10"/>
  <c r="N39" i="10"/>
  <c r="M39" i="10"/>
  <c r="B39" i="10"/>
  <c r="D39" i="10" s="1"/>
  <c r="T33" i="10"/>
  <c r="Q33" i="10"/>
  <c r="AG40" i="10" s="1"/>
  <c r="J33" i="10"/>
  <c r="J32" i="10"/>
  <c r="J31" i="10"/>
  <c r="F31" i="10"/>
  <c r="J30" i="10"/>
  <c r="U25" i="10"/>
  <c r="H25" i="10" s="1"/>
  <c r="C25" i="10"/>
  <c r="U24" i="10"/>
  <c r="H24" i="10" s="1"/>
  <c r="C24" i="10"/>
  <c r="U23" i="10"/>
  <c r="H23" i="10" s="1"/>
  <c r="C23" i="10"/>
  <c r="U22" i="10"/>
  <c r="H22" i="10" s="1"/>
  <c r="C22" i="10"/>
  <c r="U21" i="10"/>
  <c r="H21" i="10" s="1"/>
  <c r="C21" i="10"/>
  <c r="U20" i="10"/>
  <c r="H20" i="10" s="1"/>
  <c r="C20" i="10"/>
  <c r="U19" i="10"/>
  <c r="H19" i="10" s="1"/>
  <c r="C19" i="10"/>
  <c r="U18" i="10"/>
  <c r="H18" i="10" s="1"/>
  <c r="C18" i="10"/>
  <c r="U17" i="10"/>
  <c r="H17" i="10" s="1"/>
  <c r="C17" i="10"/>
  <c r="U16" i="10"/>
  <c r="C16" i="10"/>
  <c r="U15" i="10"/>
  <c r="H15" i="10" s="1"/>
  <c r="C15" i="10"/>
  <c r="U14" i="10"/>
  <c r="H14" i="10" s="1"/>
  <c r="C14" i="10"/>
  <c r="U13" i="10"/>
  <c r="C13" i="10"/>
  <c r="U12" i="10"/>
  <c r="H12" i="10" s="1"/>
  <c r="C12" i="10"/>
  <c r="U11" i="10"/>
  <c r="C11" i="10"/>
  <c r="U10" i="10"/>
  <c r="H10" i="10" s="1"/>
  <c r="C10" i="10"/>
  <c r="U9" i="10"/>
  <c r="H9" i="10" s="1"/>
  <c r="C9" i="10"/>
  <c r="U8" i="10"/>
  <c r="H8" i="10" s="1"/>
  <c r="C8" i="10"/>
  <c r="U7" i="10"/>
  <c r="H7" i="10" s="1"/>
  <c r="C7" i="10"/>
  <c r="U6" i="10"/>
  <c r="H6" i="10" s="1"/>
  <c r="C6" i="10"/>
  <c r="H28" i="3"/>
  <c r="H17" i="3"/>
  <c r="H13" i="3"/>
  <c r="G30" i="3"/>
  <c r="G29" i="3"/>
  <c r="G25" i="3"/>
  <c r="G24" i="3"/>
  <c r="G21" i="3"/>
  <c r="G20" i="3"/>
  <c r="G19" i="3"/>
  <c r="G18" i="3"/>
  <c r="G17" i="3"/>
  <c r="G15" i="3"/>
  <c r="G14" i="3"/>
  <c r="G13" i="3"/>
  <c r="D3" i="3"/>
  <c r="D9" i="3"/>
  <c r="B9" i="3"/>
  <c r="D4" i="3"/>
  <c r="D5" i="3"/>
  <c r="E8" i="3"/>
  <c r="E7" i="3"/>
  <c r="E6" i="3"/>
  <c r="E5" i="3"/>
  <c r="E4" i="3"/>
  <c r="E3" i="3"/>
  <c r="F3" i="3" s="1"/>
  <c r="C5" i="3"/>
  <c r="C8" i="3"/>
  <c r="D8" i="3" s="1"/>
  <c r="F8" i="3" s="1"/>
  <c r="C7" i="3"/>
  <c r="D7" i="3" s="1"/>
  <c r="F7" i="3" s="1"/>
  <c r="C6" i="3"/>
  <c r="D6" i="3" s="1"/>
  <c r="F6" i="3" s="1"/>
  <c r="K48" i="4"/>
  <c r="M13" i="27" l="1"/>
  <c r="J25" i="27"/>
  <c r="AG41" i="10"/>
  <c r="AH40" i="10"/>
  <c r="C39" i="10"/>
  <c r="H39" i="10" s="1"/>
  <c r="U39" i="10" s="1"/>
  <c r="C40" i="10"/>
  <c r="E40" i="10" s="1"/>
  <c r="Q39" i="10"/>
  <c r="AG42" i="10"/>
  <c r="AH41" i="10"/>
  <c r="D42" i="10"/>
  <c r="C42" i="10" s="1"/>
  <c r="C41" i="10"/>
  <c r="H13" i="10"/>
  <c r="H11" i="10"/>
  <c r="H16" i="10"/>
  <c r="F5" i="3"/>
  <c r="F4" i="3"/>
  <c r="F9" i="3" s="1"/>
  <c r="L44" i="10" l="1"/>
  <c r="G40" i="10"/>
  <c r="F40" i="10"/>
  <c r="J45" i="10" s="1"/>
  <c r="H40" i="10"/>
  <c r="L45" i="10" s="1"/>
  <c r="E39" i="10"/>
  <c r="G39" i="10"/>
  <c r="F39" i="10"/>
  <c r="J44" i="10" s="1"/>
  <c r="G42" i="10"/>
  <c r="F42" i="10"/>
  <c r="E42" i="10"/>
  <c r="H42" i="10"/>
  <c r="K45" i="10"/>
  <c r="I45" i="10"/>
  <c r="H41" i="10"/>
  <c r="G41" i="10"/>
  <c r="F41" i="10"/>
  <c r="E41" i="10"/>
  <c r="K44" i="10"/>
  <c r="T39" i="10"/>
  <c r="D43" i="10"/>
  <c r="R39" i="10"/>
  <c r="I44" i="10"/>
  <c r="P40" i="10"/>
  <c r="U40" i="10" s="1"/>
  <c r="Y39" i="10"/>
  <c r="AD39" i="10" s="1"/>
  <c r="AH42" i="10"/>
  <c r="K17" i="4"/>
  <c r="K103" i="4"/>
  <c r="K182" i="4"/>
  <c r="K47" i="4"/>
  <c r="K143" i="4"/>
  <c r="K194" i="4"/>
  <c r="K153" i="4"/>
  <c r="K45" i="4"/>
  <c r="K230" i="4"/>
  <c r="K19" i="4"/>
  <c r="K135" i="4"/>
  <c r="K127" i="4"/>
  <c r="K28" i="4"/>
  <c r="K69" i="4"/>
  <c r="K176" i="4"/>
  <c r="K27" i="4"/>
  <c r="K51" i="4"/>
  <c r="K151" i="4"/>
  <c r="K5" i="4"/>
  <c r="K112" i="4"/>
  <c r="K196" i="4"/>
  <c r="K36" i="4"/>
  <c r="K74" i="4"/>
  <c r="K213" i="4"/>
  <c r="K91" i="4"/>
  <c r="K60" i="4"/>
  <c r="K275" i="4"/>
  <c r="K73" i="4"/>
  <c r="K82" i="4"/>
  <c r="K133" i="4"/>
  <c r="K113" i="4"/>
  <c r="K130" i="4"/>
  <c r="K282" i="4"/>
  <c r="K78" i="4"/>
  <c r="K121" i="4"/>
  <c r="K111" i="4"/>
  <c r="K10" i="4"/>
  <c r="K76" i="4"/>
  <c r="K170" i="4"/>
  <c r="K57" i="4"/>
  <c r="K116" i="4"/>
  <c r="K95" i="4"/>
  <c r="K39" i="4"/>
  <c r="K203" i="4"/>
  <c r="K33" i="4"/>
  <c r="K22" i="4"/>
  <c r="K224" i="4"/>
  <c r="K88" i="4"/>
  <c r="K68" i="4"/>
  <c r="K232" i="4"/>
  <c r="K58" i="4"/>
  <c r="K43" i="4"/>
  <c r="K184" i="4"/>
  <c r="K11" i="4"/>
  <c r="K160" i="4"/>
  <c r="K110" i="4"/>
  <c r="K18" i="4"/>
  <c r="K128" i="4"/>
  <c r="K52" i="4"/>
  <c r="K132" i="4"/>
  <c r="K193" i="4"/>
  <c r="K65" i="4"/>
  <c r="K90" i="4"/>
  <c r="K149" i="4"/>
  <c r="K21" i="4"/>
  <c r="K167" i="4"/>
  <c r="K240" i="4"/>
  <c r="K102" i="4"/>
  <c r="K62" i="4"/>
  <c r="K16" i="4"/>
  <c r="K3" i="4"/>
  <c r="K216" i="4"/>
  <c r="K114" i="4"/>
  <c r="K12" i="4"/>
  <c r="K15" i="4"/>
  <c r="K201" i="4"/>
  <c r="K8" i="4"/>
  <c r="K190" i="4"/>
  <c r="K185" i="4"/>
  <c r="K44" i="4"/>
  <c r="K41" i="4"/>
  <c r="K189" i="4"/>
  <c r="K2" i="4"/>
  <c r="K9" i="4"/>
  <c r="K217" i="4"/>
  <c r="K4" i="4"/>
  <c r="K70" i="4"/>
  <c r="K208" i="4"/>
  <c r="K165" i="4"/>
  <c r="K134" i="4"/>
  <c r="K140" i="4"/>
  <c r="K109" i="4"/>
  <c r="K72" i="4"/>
  <c r="K159" i="4"/>
  <c r="K61" i="4"/>
  <c r="K118" i="4"/>
  <c r="K150" i="4"/>
  <c r="K77" i="4"/>
  <c r="K166" i="4"/>
  <c r="K283" i="4"/>
  <c r="K31" i="4"/>
  <c r="K198" i="4"/>
  <c r="K142" i="4"/>
  <c r="K59" i="4"/>
  <c r="K188" i="4"/>
  <c r="K122" i="4"/>
  <c r="K56" i="4"/>
  <c r="K183" i="4"/>
  <c r="K49" i="4"/>
  <c r="K29" i="4"/>
  <c r="K187" i="4"/>
  <c r="K115" i="4"/>
  <c r="K14" i="4"/>
  <c r="K218" i="4"/>
  <c r="K34" i="4"/>
  <c r="K53" i="4"/>
  <c r="K168" i="4"/>
  <c r="K30" i="4"/>
  <c r="K156" i="4"/>
  <c r="K67" i="4"/>
  <c r="K66" i="4"/>
  <c r="K202" i="4"/>
  <c r="K99" i="4"/>
  <c r="K55" i="4"/>
  <c r="K105" i="4"/>
  <c r="K180" i="4"/>
  <c r="K32" i="4"/>
  <c r="K37" i="4"/>
  <c r="K173" i="4"/>
  <c r="K147" i="4"/>
  <c r="K38" i="4"/>
  <c r="K64" i="4"/>
  <c r="K87" i="4"/>
  <c r="K100" i="4"/>
  <c r="K191" i="4"/>
  <c r="K35" i="4"/>
  <c r="K98" i="4"/>
  <c r="K175" i="4"/>
  <c r="K124" i="4"/>
  <c r="K86" i="4"/>
  <c r="K163" i="4"/>
  <c r="K96" i="4"/>
  <c r="K63" i="4"/>
  <c r="K154" i="4"/>
  <c r="K97" i="4"/>
  <c r="K81" i="4"/>
  <c r="K108" i="4"/>
  <c r="K40" i="4"/>
  <c r="K20" i="4"/>
  <c r="K145" i="4"/>
  <c r="K107" i="4"/>
  <c r="K71" i="4"/>
  <c r="K131" i="4"/>
  <c r="K129" i="4"/>
  <c r="K123" i="4"/>
  <c r="K117" i="4"/>
  <c r="K136" i="4"/>
  <c r="K162" i="4"/>
  <c r="K171" i="4"/>
  <c r="K119" i="4"/>
  <c r="K25" i="4"/>
  <c r="K125" i="4"/>
  <c r="K186" i="4"/>
  <c r="K23" i="4"/>
  <c r="K174" i="4"/>
  <c r="K83" i="4"/>
  <c r="K101" i="4"/>
  <c r="K138" i="4"/>
  <c r="K42" i="4"/>
  <c r="K24" i="4"/>
  <c r="K155" i="4"/>
  <c r="K50" i="4"/>
  <c r="K75" i="4"/>
  <c r="K104" i="4"/>
  <c r="K85" i="4"/>
  <c r="K146" i="4"/>
  <c r="K126" i="4"/>
  <c r="K148" i="4"/>
  <c r="K54" i="4"/>
  <c r="K157" i="4"/>
  <c r="K137" i="4"/>
  <c r="K6" i="4"/>
  <c r="K199" i="4"/>
  <c r="K84" i="4"/>
  <c r="K177" i="4"/>
  <c r="K46" i="4"/>
  <c r="K225" i="4"/>
  <c r="K265" i="4"/>
  <c r="K291" i="4"/>
  <c r="K210" i="4"/>
  <c r="K211" i="4"/>
  <c r="K205" i="4"/>
  <c r="K204" i="4"/>
  <c r="K297" i="4"/>
  <c r="K264" i="4"/>
  <c r="K7" i="4"/>
  <c r="K221" i="4"/>
  <c r="K79" i="4"/>
  <c r="K89" i="4"/>
  <c r="K139" i="4"/>
  <c r="K93" i="4"/>
  <c r="K214" i="4"/>
  <c r="K251" i="4"/>
  <c r="K298" i="4"/>
  <c r="K179" i="4"/>
  <c r="K253" i="4"/>
  <c r="K164" i="4"/>
  <c r="K13" i="4"/>
  <c r="K300" i="4"/>
  <c r="K158" i="4"/>
  <c r="K234" i="4"/>
  <c r="K255" i="4"/>
  <c r="K192" i="4"/>
  <c r="K263" i="4"/>
  <c r="K222" i="4"/>
  <c r="K250" i="4"/>
  <c r="K289" i="4"/>
  <c r="K229" i="4"/>
  <c r="K219" i="4"/>
  <c r="K106" i="4"/>
  <c r="K26" i="4"/>
  <c r="K141" i="4"/>
  <c r="K245" i="4"/>
  <c r="K228" i="4"/>
  <c r="K277" i="4"/>
  <c r="K181" i="4"/>
  <c r="K294" i="4"/>
  <c r="K236" i="4"/>
  <c r="K92" i="4"/>
  <c r="K252" i="4"/>
  <c r="K80" i="4"/>
  <c r="K212" i="4"/>
  <c r="K287" i="4"/>
  <c r="K259" i="4"/>
  <c r="K269" i="4"/>
  <c r="K239" i="4"/>
  <c r="K293" i="4"/>
  <c r="K209" i="4"/>
  <c r="K242" i="4"/>
  <c r="K243" i="4"/>
  <c r="K231" i="4"/>
  <c r="K237" i="4"/>
  <c r="K215" i="4"/>
  <c r="K268" i="4"/>
  <c r="K200" i="4"/>
  <c r="K144" i="4"/>
  <c r="K94" i="4"/>
  <c r="K296" i="4"/>
  <c r="K195" i="4"/>
  <c r="K207" i="4"/>
  <c r="K295" i="4"/>
  <c r="K244" i="4"/>
  <c r="K172" i="4"/>
  <c r="K206" i="4"/>
  <c r="K299" i="4"/>
  <c r="K161" i="4"/>
  <c r="K233" i="4"/>
  <c r="K197" i="4"/>
  <c r="K270" i="4"/>
  <c r="K246" i="4"/>
  <c r="K288" i="4"/>
  <c r="K223" i="4"/>
  <c r="K285" i="4"/>
  <c r="K278" i="4"/>
  <c r="K120" i="4"/>
  <c r="K290" i="4"/>
  <c r="K235" i="4"/>
  <c r="K262" i="4"/>
  <c r="K169" i="4"/>
  <c r="K280" i="4"/>
  <c r="K281" i="4"/>
  <c r="K238" i="4"/>
  <c r="K257" i="4"/>
  <c r="K220" i="4"/>
  <c r="K274" i="4"/>
  <c r="K258" i="4"/>
  <c r="K241" i="4"/>
  <c r="K292" i="4"/>
  <c r="K226" i="4"/>
  <c r="K249" i="4"/>
  <c r="K247" i="4"/>
  <c r="K254" i="4"/>
  <c r="K273" i="4"/>
  <c r="K227" i="4"/>
  <c r="K284" i="4"/>
  <c r="K301" i="4"/>
  <c r="K178" i="4"/>
  <c r="K286" i="4"/>
  <c r="K248" i="4"/>
  <c r="K272" i="4"/>
  <c r="K279" i="4"/>
  <c r="K267" i="4"/>
  <c r="K266" i="4"/>
  <c r="K260" i="4"/>
  <c r="K271" i="4"/>
  <c r="K276" i="4"/>
  <c r="K152" i="4"/>
  <c r="K256" i="4"/>
  <c r="C45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13" i="3"/>
  <c r="M5" i="4" l="1"/>
  <c r="P2" i="4"/>
  <c r="O2" i="4"/>
  <c r="S39" i="10"/>
  <c r="W39" i="10" s="1"/>
  <c r="AB39" i="10" s="1"/>
  <c r="P54" i="10"/>
  <c r="P51" i="10"/>
  <c r="P41" i="10"/>
  <c r="U41" i="10" s="1"/>
  <c r="P53" i="10"/>
  <c r="P48" i="10"/>
  <c r="P47" i="10"/>
  <c r="P44" i="10"/>
  <c r="G7" i="10"/>
  <c r="P49" i="10"/>
  <c r="P46" i="10"/>
  <c r="P43" i="10"/>
  <c r="P42" i="10"/>
  <c r="P45" i="10"/>
  <c r="G6" i="10"/>
  <c r="P52" i="10"/>
  <c r="P50" i="10"/>
  <c r="L47" i="10"/>
  <c r="I46" i="10"/>
  <c r="I47" i="10"/>
  <c r="J46" i="10"/>
  <c r="J47" i="10"/>
  <c r="AA39" i="10"/>
  <c r="M40" i="10"/>
  <c r="R40" i="10" s="1"/>
  <c r="V39" i="10"/>
  <c r="K46" i="10"/>
  <c r="K47" i="10"/>
  <c r="D44" i="10"/>
  <c r="C44" i="10" s="1"/>
  <c r="L46" i="10"/>
  <c r="C43" i="10"/>
  <c r="O40" i="10"/>
  <c r="T40" i="10" s="1"/>
  <c r="X39" i="10"/>
  <c r="AC39" i="10" s="1"/>
  <c r="Y40" i="10"/>
  <c r="AD40" i="10" s="1"/>
  <c r="C44" i="3"/>
  <c r="Q2" i="4"/>
  <c r="R2" i="4"/>
  <c r="M2" i="4"/>
  <c r="N2" i="4"/>
  <c r="K261" i="4"/>
  <c r="M7" i="4" s="1"/>
  <c r="Z39" i="10" l="1"/>
  <c r="Y41" i="10"/>
  <c r="AD41" i="10" s="1"/>
  <c r="U42" i="10"/>
  <c r="X40" i="10"/>
  <c r="AC40" i="10" s="1"/>
  <c r="V40" i="10"/>
  <c r="AA40" i="10"/>
  <c r="O52" i="10"/>
  <c r="F6" i="10"/>
  <c r="O48" i="10"/>
  <c r="F7" i="10"/>
  <c r="O47" i="10"/>
  <c r="O44" i="10"/>
  <c r="O49" i="10"/>
  <c r="O46" i="10"/>
  <c r="O43" i="10"/>
  <c r="O42" i="10"/>
  <c r="O53" i="10"/>
  <c r="O45" i="10"/>
  <c r="O51" i="10"/>
  <c r="O41" i="10"/>
  <c r="T41" i="10" s="1"/>
  <c r="O54" i="10"/>
  <c r="O50" i="10"/>
  <c r="M53" i="10"/>
  <c r="D6" i="10"/>
  <c r="M47" i="10"/>
  <c r="M51" i="10"/>
  <c r="M41" i="10"/>
  <c r="R41" i="10" s="1"/>
  <c r="M54" i="10"/>
  <c r="M50" i="10"/>
  <c r="M44" i="10"/>
  <c r="D7" i="10"/>
  <c r="M49" i="10"/>
  <c r="M46" i="10"/>
  <c r="M43" i="10"/>
  <c r="M48" i="10"/>
  <c r="M52" i="10"/>
  <c r="M42" i="10"/>
  <c r="M45" i="10"/>
  <c r="N40" i="10"/>
  <c r="H43" i="10"/>
  <c r="G43" i="10"/>
  <c r="F43" i="10"/>
  <c r="E43" i="10"/>
  <c r="AE39" i="10"/>
  <c r="AF43" i="10" s="1"/>
  <c r="AG43" i="10" s="1"/>
  <c r="G44" i="10"/>
  <c r="F44" i="10"/>
  <c r="H44" i="10"/>
  <c r="E44" i="10"/>
  <c r="D45" i="10"/>
  <c r="C45" i="10" s="1"/>
  <c r="T42" i="10" l="1"/>
  <c r="X41" i="10"/>
  <c r="AC41" i="10" s="1"/>
  <c r="L49" i="10"/>
  <c r="AH43" i="10"/>
  <c r="K48" i="10"/>
  <c r="J49" i="10"/>
  <c r="I48" i="10"/>
  <c r="J48" i="10"/>
  <c r="L48" i="10"/>
  <c r="N53" i="10"/>
  <c r="Q53" i="10" s="1"/>
  <c r="N52" i="10"/>
  <c r="Q52" i="10" s="1"/>
  <c r="N47" i="10"/>
  <c r="Q47" i="10" s="1"/>
  <c r="N54" i="10"/>
  <c r="Q54" i="10" s="1"/>
  <c r="N50" i="10"/>
  <c r="Q50" i="10" s="1"/>
  <c r="N44" i="10"/>
  <c r="Q44" i="10" s="1"/>
  <c r="E7" i="10"/>
  <c r="N49" i="10"/>
  <c r="Q49" i="10" s="1"/>
  <c r="N41" i="10"/>
  <c r="Q41" i="10" s="1"/>
  <c r="N46" i="10"/>
  <c r="Q46" i="10" s="1"/>
  <c r="N43" i="10"/>
  <c r="Q43" i="10" s="1"/>
  <c r="N48" i="10"/>
  <c r="Q48" i="10" s="1"/>
  <c r="N42" i="10"/>
  <c r="Q42" i="10" s="1"/>
  <c r="E6" i="10"/>
  <c r="N45" i="10"/>
  <c r="Q45" i="10" s="1"/>
  <c r="N51" i="10"/>
  <c r="Q51" i="10" s="1"/>
  <c r="S40" i="10"/>
  <c r="Q40" i="10"/>
  <c r="H45" i="10"/>
  <c r="G45" i="10"/>
  <c r="F45" i="10"/>
  <c r="E45" i="10"/>
  <c r="I49" i="10"/>
  <c r="K49" i="10"/>
  <c r="Y42" i="10"/>
  <c r="AD42" i="10" s="1"/>
  <c r="U43" i="10"/>
  <c r="AA41" i="10"/>
  <c r="R42" i="10"/>
  <c r="V41" i="10"/>
  <c r="D46" i="10"/>
  <c r="C46" i="10" s="1"/>
  <c r="K50" i="10" l="1"/>
  <c r="L50" i="10"/>
  <c r="W40" i="10"/>
  <c r="Z40" i="10" s="1"/>
  <c r="S41" i="10"/>
  <c r="X42" i="10"/>
  <c r="AC42" i="10" s="1"/>
  <c r="T43" i="10"/>
  <c r="R43" i="10"/>
  <c r="V42" i="10"/>
  <c r="AA42" i="10"/>
  <c r="E46" i="10"/>
  <c r="H46" i="10"/>
  <c r="G46" i="10"/>
  <c r="F46" i="10"/>
  <c r="D47" i="10"/>
  <c r="C47" i="10" s="1"/>
  <c r="I50" i="10"/>
  <c r="U44" i="10"/>
  <c r="Y43" i="10"/>
  <c r="AD43" i="10" s="1"/>
  <c r="J50" i="10"/>
  <c r="L51" i="10" l="1"/>
  <c r="V43" i="10"/>
  <c r="AA43" i="10"/>
  <c r="R44" i="10"/>
  <c r="K51" i="10"/>
  <c r="X43" i="10"/>
  <c r="AC43" i="10" s="1"/>
  <c r="T44" i="10"/>
  <c r="I51" i="10"/>
  <c r="U45" i="10"/>
  <c r="Y44" i="10"/>
  <c r="AD44" i="10" s="1"/>
  <c r="H47" i="10"/>
  <c r="G47" i="10"/>
  <c r="F47" i="10"/>
  <c r="E47" i="10"/>
  <c r="D48" i="10"/>
  <c r="C48" i="10" s="1"/>
  <c r="W41" i="10"/>
  <c r="S42" i="10"/>
  <c r="J51" i="10"/>
  <c r="AB40" i="10"/>
  <c r="AE40" i="10" s="1"/>
  <c r="AF44" i="10" s="1"/>
  <c r="AG44" i="10" s="1"/>
  <c r="AB41" i="10" l="1"/>
  <c r="AE41" i="10" s="1"/>
  <c r="AF45" i="10" s="1"/>
  <c r="Z41" i="10"/>
  <c r="L52" i="10"/>
  <c r="AA44" i="10"/>
  <c r="R45" i="10"/>
  <c r="V44" i="10"/>
  <c r="T45" i="10"/>
  <c r="X44" i="10"/>
  <c r="AC44" i="10" s="1"/>
  <c r="D49" i="10"/>
  <c r="C49" i="10" s="1"/>
  <c r="AH44" i="10"/>
  <c r="AI39" i="10" s="1"/>
  <c r="AG45" i="10"/>
  <c r="U46" i="10"/>
  <c r="Y45" i="10"/>
  <c r="AD45" i="10" s="1"/>
  <c r="W42" i="10"/>
  <c r="Z42" i="10" s="1"/>
  <c r="S43" i="10"/>
  <c r="G48" i="10"/>
  <c r="H48" i="10"/>
  <c r="F48" i="10"/>
  <c r="E48" i="10"/>
  <c r="I52" i="10"/>
  <c r="J52" i="10"/>
  <c r="K52" i="10"/>
  <c r="AB42" i="10" l="1"/>
  <c r="AE42" i="10" s="1"/>
  <c r="AF46" i="10" s="1"/>
  <c r="AG46" i="10" s="1"/>
  <c r="F49" i="10"/>
  <c r="E49" i="10"/>
  <c r="H49" i="10"/>
  <c r="G49" i="10"/>
  <c r="I53" i="10"/>
  <c r="D50" i="10"/>
  <c r="C50" i="10" s="1"/>
  <c r="J53" i="10"/>
  <c r="L53" i="10"/>
  <c r="T46" i="10"/>
  <c r="X45" i="10"/>
  <c r="AC45" i="10" s="1"/>
  <c r="K53" i="10"/>
  <c r="W43" i="10"/>
  <c r="S44" i="10"/>
  <c r="V45" i="10"/>
  <c r="AA45" i="10"/>
  <c r="R46" i="10"/>
  <c r="Y46" i="10"/>
  <c r="AD46" i="10" s="1"/>
  <c r="U47" i="10"/>
  <c r="AH45" i="10"/>
  <c r="AI40" i="10" s="1"/>
  <c r="AB43" i="10" l="1"/>
  <c r="AE43" i="10" s="1"/>
  <c r="AF47" i="10" s="1"/>
  <c r="AG47" i="10" s="1"/>
  <c r="Z43" i="10"/>
  <c r="U48" i="10"/>
  <c r="Y47" i="10"/>
  <c r="AD47" i="10" s="1"/>
  <c r="E50" i="10"/>
  <c r="H50" i="10"/>
  <c r="G50" i="10"/>
  <c r="F50" i="10"/>
  <c r="D51" i="10"/>
  <c r="C51" i="10" s="1"/>
  <c r="W44" i="10"/>
  <c r="Z44" i="10" s="1"/>
  <c r="S45" i="10"/>
  <c r="K54" i="10"/>
  <c r="L54" i="10"/>
  <c r="J54" i="10"/>
  <c r="AH46" i="10"/>
  <c r="AI41" i="10" s="1"/>
  <c r="I54" i="10"/>
  <c r="T47" i="10"/>
  <c r="X46" i="10"/>
  <c r="AC46" i="10" s="1"/>
  <c r="AA46" i="10"/>
  <c r="R47" i="10"/>
  <c r="V46" i="10"/>
  <c r="T48" i="10" l="1"/>
  <c r="X47" i="10"/>
  <c r="AC47" i="10" s="1"/>
  <c r="W45" i="10"/>
  <c r="Z45" i="10" s="1"/>
  <c r="S46" i="10"/>
  <c r="AB44" i="10"/>
  <c r="AE44" i="10" s="1"/>
  <c r="AF48" i="10" s="1"/>
  <c r="AG48" i="10" s="1"/>
  <c r="AH47" i="10"/>
  <c r="AI42" i="10" s="1"/>
  <c r="J55" i="10"/>
  <c r="D52" i="10"/>
  <c r="C52" i="10" s="1"/>
  <c r="K55" i="10"/>
  <c r="L55" i="10"/>
  <c r="I55" i="10"/>
  <c r="H51" i="10"/>
  <c r="G51" i="10"/>
  <c r="F51" i="10"/>
  <c r="E51" i="10"/>
  <c r="AA47" i="10"/>
  <c r="R48" i="10"/>
  <c r="V47" i="10"/>
  <c r="U49" i="10"/>
  <c r="Y48" i="10"/>
  <c r="AD48" i="10" s="1"/>
  <c r="H52" i="10" l="1"/>
  <c r="G52" i="10"/>
  <c r="F52" i="10"/>
  <c r="E52" i="10"/>
  <c r="I56" i="10"/>
  <c r="J56" i="10"/>
  <c r="L56" i="10"/>
  <c r="AH48" i="10"/>
  <c r="AI43" i="10" s="1"/>
  <c r="R49" i="10"/>
  <c r="V48" i="10"/>
  <c r="AA48" i="10"/>
  <c r="W46" i="10"/>
  <c r="Z46" i="10" s="1"/>
  <c r="S47" i="10"/>
  <c r="AB45" i="10"/>
  <c r="AE45" i="10" s="1"/>
  <c r="AF49" i="10" s="1"/>
  <c r="AG49" i="10" s="1"/>
  <c r="D53" i="10"/>
  <c r="C53" i="10" s="1"/>
  <c r="K56" i="10"/>
  <c r="U50" i="10"/>
  <c r="Y49" i="10"/>
  <c r="AD49" i="10" s="1"/>
  <c r="T49" i="10"/>
  <c r="X48" i="10"/>
  <c r="AC48" i="10" s="1"/>
  <c r="AH49" i="10" l="1"/>
  <c r="AI44" i="10" s="1"/>
  <c r="D54" i="10"/>
  <c r="W47" i="10"/>
  <c r="S48" i="10"/>
  <c r="G53" i="10"/>
  <c r="H53" i="10"/>
  <c r="F53" i="10"/>
  <c r="E53" i="10"/>
  <c r="AB46" i="10"/>
  <c r="AE46" i="10" s="1"/>
  <c r="AF50" i="10" s="1"/>
  <c r="AG50" i="10" s="1"/>
  <c r="T50" i="10"/>
  <c r="X49" i="10"/>
  <c r="AC49" i="10" s="1"/>
  <c r="I57" i="10"/>
  <c r="J57" i="10"/>
  <c r="AA49" i="10"/>
  <c r="R50" i="10"/>
  <c r="V49" i="10"/>
  <c r="K57" i="10"/>
  <c r="U51" i="10"/>
  <c r="Y50" i="10"/>
  <c r="AD50" i="10" s="1"/>
  <c r="L57" i="10"/>
  <c r="AB47" i="10" l="1"/>
  <c r="AE47" i="10" s="1"/>
  <c r="AF51" i="10" s="1"/>
  <c r="AG51" i="10" s="1"/>
  <c r="Z47" i="10"/>
  <c r="AH50" i="10"/>
  <c r="AI45" i="10" s="1"/>
  <c r="I58" i="10"/>
  <c r="AA50" i="10"/>
  <c r="V50" i="10"/>
  <c r="R51" i="10"/>
  <c r="J58" i="10"/>
  <c r="L58" i="10"/>
  <c r="K58" i="10"/>
  <c r="W48" i="10"/>
  <c r="S49" i="10"/>
  <c r="D55" i="10"/>
  <c r="C55" i="10" s="1"/>
  <c r="C54" i="10"/>
  <c r="Y51" i="10"/>
  <c r="AD51" i="10" s="1"/>
  <c r="U52" i="10"/>
  <c r="T51" i="10"/>
  <c r="X50" i="10"/>
  <c r="AC50" i="10" s="1"/>
  <c r="AB48" i="10" l="1"/>
  <c r="AE48" i="10" s="1"/>
  <c r="AF52" i="10" s="1"/>
  <c r="Z48" i="10"/>
  <c r="U53" i="10"/>
  <c r="Y52" i="10"/>
  <c r="AD52" i="10" s="1"/>
  <c r="V51" i="10"/>
  <c r="AA51" i="10"/>
  <c r="R52" i="10"/>
  <c r="F54" i="10"/>
  <c r="H54" i="10"/>
  <c r="E54" i="10"/>
  <c r="G54" i="10"/>
  <c r="E55" i="10"/>
  <c r="F55" i="10"/>
  <c r="H55" i="10"/>
  <c r="G55" i="10"/>
  <c r="D56" i="10"/>
  <c r="C56" i="10" s="1"/>
  <c r="W49" i="10"/>
  <c r="S50" i="10"/>
  <c r="X51" i="10"/>
  <c r="AC51" i="10" s="1"/>
  <c r="T52" i="10"/>
  <c r="AG52" i="10"/>
  <c r="AH51" i="10"/>
  <c r="AI46" i="10" s="1"/>
  <c r="AB49" i="10" l="1"/>
  <c r="AE49" i="10" s="1"/>
  <c r="AF53" i="10" s="1"/>
  <c r="AG53" i="10" s="1"/>
  <c r="Z49" i="10"/>
  <c r="X52" i="10"/>
  <c r="AC52" i="10" s="1"/>
  <c r="T53" i="10"/>
  <c r="K59" i="10"/>
  <c r="I59" i="10"/>
  <c r="L59" i="10"/>
  <c r="W50" i="10"/>
  <c r="S51" i="10"/>
  <c r="J59" i="10"/>
  <c r="AA52" i="10"/>
  <c r="V52" i="10"/>
  <c r="R53" i="10"/>
  <c r="I60" i="10"/>
  <c r="AH52" i="10"/>
  <c r="AI47" i="10" s="1"/>
  <c r="H56" i="10"/>
  <c r="G56" i="10"/>
  <c r="F56" i="10"/>
  <c r="E56" i="10"/>
  <c r="D57" i="10"/>
  <c r="C57" i="10" s="1"/>
  <c r="J60" i="10"/>
  <c r="K60" i="10"/>
  <c r="L60" i="10"/>
  <c r="Y53" i="10"/>
  <c r="AD53" i="10" s="1"/>
  <c r="U54" i="10"/>
  <c r="AB50" i="10" l="1"/>
  <c r="AE50" i="10" s="1"/>
  <c r="AF54" i="10" s="1"/>
  <c r="Z50" i="10"/>
  <c r="I61" i="10"/>
  <c r="K61" i="10"/>
  <c r="W51" i="10"/>
  <c r="S52" i="10"/>
  <c r="J61" i="10"/>
  <c r="AG54" i="10"/>
  <c r="AH53" i="10"/>
  <c r="AI48" i="10" s="1"/>
  <c r="P55" i="10"/>
  <c r="U55" i="10" s="1"/>
  <c r="Y54" i="10"/>
  <c r="AD54" i="10" s="1"/>
  <c r="R54" i="10"/>
  <c r="AA53" i="10"/>
  <c r="V53" i="10"/>
  <c r="L61" i="10"/>
  <c r="D58" i="10"/>
  <c r="C58" i="10" s="1"/>
  <c r="T54" i="10"/>
  <c r="X53" i="10"/>
  <c r="AC53" i="10" s="1"/>
  <c r="H57" i="10"/>
  <c r="F57" i="10"/>
  <c r="G57" i="10"/>
  <c r="E57" i="10"/>
  <c r="AB51" i="10" l="1"/>
  <c r="AE51" i="10" s="1"/>
  <c r="AF55" i="10" s="1"/>
  <c r="Z51" i="10"/>
  <c r="E58" i="10"/>
  <c r="H58" i="10"/>
  <c r="G58" i="10"/>
  <c r="F58" i="10"/>
  <c r="Y55" i="10"/>
  <c r="AD55" i="10" s="1"/>
  <c r="AG55" i="10"/>
  <c r="AH54" i="10"/>
  <c r="AI49" i="10" s="1"/>
  <c r="O55" i="10"/>
  <c r="T55" i="10" s="1"/>
  <c r="X54" i="10"/>
  <c r="AC54" i="10" s="1"/>
  <c r="D59" i="10"/>
  <c r="C59" i="10" s="1"/>
  <c r="W52" i="10"/>
  <c r="S53" i="10"/>
  <c r="AA54" i="10"/>
  <c r="V54" i="10"/>
  <c r="M55" i="10"/>
  <c r="K62" i="10"/>
  <c r="J62" i="10"/>
  <c r="I62" i="10"/>
  <c r="L62" i="10"/>
  <c r="P68" i="10"/>
  <c r="P56" i="10"/>
  <c r="U56" i="10" s="1"/>
  <c r="P66" i="10"/>
  <c r="P60" i="10"/>
  <c r="P64" i="10"/>
  <c r="P61" i="10"/>
  <c r="P69" i="10"/>
  <c r="P58" i="10"/>
  <c r="P63" i="10"/>
  <c r="P65" i="10"/>
  <c r="P62" i="10"/>
  <c r="P57" i="10"/>
  <c r="P67" i="10"/>
  <c r="P59" i="10"/>
  <c r="AB52" i="10" l="1"/>
  <c r="AE52" i="10" s="1"/>
  <c r="AF56" i="10" s="1"/>
  <c r="Z52" i="10"/>
  <c r="F59" i="10"/>
  <c r="H59" i="10"/>
  <c r="G59" i="10"/>
  <c r="E59" i="10"/>
  <c r="U57" i="10"/>
  <c r="Y56" i="10"/>
  <c r="AD56" i="10" s="1"/>
  <c r="X55" i="10"/>
  <c r="AC55" i="10" s="1"/>
  <c r="O69" i="10"/>
  <c r="O57" i="10"/>
  <c r="O68" i="10"/>
  <c r="O63" i="10"/>
  <c r="O58" i="10"/>
  <c r="O59" i="10"/>
  <c r="O64" i="10"/>
  <c r="O61" i="10"/>
  <c r="O66" i="10"/>
  <c r="O60" i="10"/>
  <c r="O65" i="10"/>
  <c r="O56" i="10"/>
  <c r="T56" i="10" s="1"/>
  <c r="O67" i="10"/>
  <c r="O62" i="10"/>
  <c r="M59" i="10"/>
  <c r="M62" i="10"/>
  <c r="M67" i="10"/>
  <c r="M64" i="10"/>
  <c r="M69" i="10"/>
  <c r="M61" i="10"/>
  <c r="M66" i="10"/>
  <c r="M58" i="10"/>
  <c r="M63" i="10"/>
  <c r="M68" i="10"/>
  <c r="M60" i="10"/>
  <c r="M56" i="10"/>
  <c r="M65" i="10"/>
  <c r="N55" i="10"/>
  <c r="M57" i="10"/>
  <c r="AG56" i="10"/>
  <c r="AH55" i="10"/>
  <c r="AI50" i="10" s="1"/>
  <c r="R55" i="10"/>
  <c r="W53" i="10"/>
  <c r="S54" i="10"/>
  <c r="J63" i="10"/>
  <c r="K63" i="10"/>
  <c r="L63" i="10"/>
  <c r="D60" i="10"/>
  <c r="I63" i="10"/>
  <c r="AB53" i="10" l="1"/>
  <c r="AE53" i="10" s="1"/>
  <c r="AF57" i="10" s="1"/>
  <c r="Z53" i="10"/>
  <c r="T57" i="10"/>
  <c r="X56" i="10"/>
  <c r="AC56" i="10" s="1"/>
  <c r="Y57" i="10"/>
  <c r="AD57" i="10" s="1"/>
  <c r="U58" i="10"/>
  <c r="W54" i="10"/>
  <c r="S55" i="10"/>
  <c r="AH56" i="10"/>
  <c r="AI51" i="10" s="1"/>
  <c r="AG57" i="10"/>
  <c r="I64" i="10"/>
  <c r="K64" i="10"/>
  <c r="R56" i="10"/>
  <c r="AA55" i="10"/>
  <c r="V55" i="10"/>
  <c r="L64" i="10"/>
  <c r="D61" i="10"/>
  <c r="C61" i="10" s="1"/>
  <c r="C60" i="10"/>
  <c r="N58" i="10"/>
  <c r="Q58" i="10" s="1"/>
  <c r="N65" i="10"/>
  <c r="Q65" i="10" s="1"/>
  <c r="N59" i="10"/>
  <c r="Q59" i="10" s="1"/>
  <c r="N67" i="10"/>
  <c r="Q67" i="10" s="1"/>
  <c r="N64" i="10"/>
  <c r="Q64" i="10" s="1"/>
  <c r="N56" i="10"/>
  <c r="Q56" i="10" s="1"/>
  <c r="N69" i="10"/>
  <c r="Q69" i="10" s="1"/>
  <c r="N61" i="10"/>
  <c r="Q61" i="10" s="1"/>
  <c r="N66" i="10"/>
  <c r="Q66" i="10" s="1"/>
  <c r="N63" i="10"/>
  <c r="Q63" i="10" s="1"/>
  <c r="N68" i="10"/>
  <c r="Q68" i="10" s="1"/>
  <c r="N60" i="10"/>
  <c r="Q60" i="10" s="1"/>
  <c r="N62" i="10"/>
  <c r="Q62" i="10" s="1"/>
  <c r="N57" i="10"/>
  <c r="Q57" i="10" s="1"/>
  <c r="Q55" i="10"/>
  <c r="J64" i="10"/>
  <c r="AB54" i="10" l="1"/>
  <c r="AE54" i="10" s="1"/>
  <c r="AF58" i="10" s="1"/>
  <c r="Z54" i="10"/>
  <c r="D62" i="10"/>
  <c r="C62" i="10" s="1"/>
  <c r="E61" i="10"/>
  <c r="H61" i="10"/>
  <c r="G61" i="10"/>
  <c r="F61" i="10"/>
  <c r="H60" i="10"/>
  <c r="G60" i="10"/>
  <c r="F60" i="10"/>
  <c r="E60" i="10"/>
  <c r="AH57" i="10"/>
  <c r="AI52" i="10" s="1"/>
  <c r="AG58" i="10"/>
  <c r="U59" i="10"/>
  <c r="Y58" i="10"/>
  <c r="AD58" i="10" s="1"/>
  <c r="R57" i="10"/>
  <c r="V56" i="10"/>
  <c r="AA56" i="10"/>
  <c r="W55" i="10"/>
  <c r="AB55" i="10" s="1"/>
  <c r="AE55" i="10" s="1"/>
  <c r="AF59" i="10" s="1"/>
  <c r="S56" i="10"/>
  <c r="X57" i="10"/>
  <c r="AC57" i="10" s="1"/>
  <c r="T58" i="10"/>
  <c r="I6" i="10" l="1"/>
  <c r="Z55" i="10"/>
  <c r="W56" i="10"/>
  <c r="AB56" i="10" s="1"/>
  <c r="AE56" i="10" s="1"/>
  <c r="AF60" i="10" s="1"/>
  <c r="S57" i="10"/>
  <c r="I65" i="10"/>
  <c r="J65" i="10"/>
  <c r="K65" i="10"/>
  <c r="L65" i="10"/>
  <c r="J66" i="10"/>
  <c r="K66" i="10"/>
  <c r="L66" i="10"/>
  <c r="Y59" i="10"/>
  <c r="AD59" i="10" s="1"/>
  <c r="U60" i="10"/>
  <c r="I66" i="10"/>
  <c r="G62" i="10"/>
  <c r="H62" i="10"/>
  <c r="F62" i="10"/>
  <c r="E62" i="10"/>
  <c r="X58" i="10"/>
  <c r="AC58" i="10" s="1"/>
  <c r="T59" i="10"/>
  <c r="R58" i="10"/>
  <c r="AA57" i="10"/>
  <c r="V57" i="10"/>
  <c r="AH58" i="10"/>
  <c r="AI53" i="10" s="1"/>
  <c r="AG59" i="10"/>
  <c r="D63" i="10"/>
  <c r="C63" i="10" s="1"/>
  <c r="Z56" i="10" l="1"/>
  <c r="D64" i="10"/>
  <c r="C64" i="10" s="1"/>
  <c r="K67" i="10"/>
  <c r="Y60" i="10"/>
  <c r="AD60" i="10" s="1"/>
  <c r="U61" i="10"/>
  <c r="F63" i="10"/>
  <c r="E63" i="10"/>
  <c r="H63" i="10"/>
  <c r="G63" i="10"/>
  <c r="AA58" i="10"/>
  <c r="R59" i="10"/>
  <c r="V58" i="10"/>
  <c r="X59" i="10"/>
  <c r="AC59" i="10" s="1"/>
  <c r="T60" i="10"/>
  <c r="L67" i="10"/>
  <c r="W57" i="10"/>
  <c r="AB57" i="10" s="1"/>
  <c r="AE57" i="10" s="1"/>
  <c r="AF61" i="10" s="1"/>
  <c r="S58" i="10"/>
  <c r="J67" i="10"/>
  <c r="AG60" i="10"/>
  <c r="AH59" i="10"/>
  <c r="AI54" i="10" s="1"/>
  <c r="J6" i="10" s="1"/>
  <c r="I67" i="10"/>
  <c r="Z57" i="10" l="1"/>
  <c r="H64" i="10"/>
  <c r="F64" i="10"/>
  <c r="G64" i="10"/>
  <c r="E64" i="10"/>
  <c r="I68" i="10"/>
  <c r="J68" i="10"/>
  <c r="U62" i="10"/>
  <c r="Y61" i="10"/>
  <c r="AD61" i="10" s="1"/>
  <c r="L68" i="10"/>
  <c r="K68" i="10"/>
  <c r="X60" i="10"/>
  <c r="AC60" i="10" s="1"/>
  <c r="T61" i="10"/>
  <c r="W58" i="10"/>
  <c r="AB58" i="10" s="1"/>
  <c r="AE58" i="10" s="1"/>
  <c r="AF62" i="10" s="1"/>
  <c r="S59" i="10"/>
  <c r="AG61" i="10"/>
  <c r="AH60" i="10"/>
  <c r="AI55" i="10" s="1"/>
  <c r="R60" i="10"/>
  <c r="V59" i="10"/>
  <c r="AA59" i="10"/>
  <c r="D65" i="10"/>
  <c r="C65" i="10" s="1"/>
  <c r="Z58" i="10" l="1"/>
  <c r="G65" i="10"/>
  <c r="H65" i="10"/>
  <c r="F65" i="10"/>
  <c r="E65" i="10"/>
  <c r="U63" i="10"/>
  <c r="Y62" i="10"/>
  <c r="AD62" i="10" s="1"/>
  <c r="W59" i="10"/>
  <c r="AB59" i="10" s="1"/>
  <c r="AE59" i="10" s="1"/>
  <c r="AF63" i="10" s="1"/>
  <c r="S60" i="10"/>
  <c r="R61" i="10"/>
  <c r="AA60" i="10"/>
  <c r="V60" i="10"/>
  <c r="T62" i="10"/>
  <c r="X61" i="10"/>
  <c r="AC61" i="10" s="1"/>
  <c r="I69" i="10"/>
  <c r="D66" i="10"/>
  <c r="K69" i="10"/>
  <c r="AH61" i="10"/>
  <c r="AI56" i="10" s="1"/>
  <c r="AG62" i="10"/>
  <c r="J69" i="10"/>
  <c r="L69" i="10"/>
  <c r="Z59" i="10" l="1"/>
  <c r="AH62" i="10"/>
  <c r="AI57" i="10" s="1"/>
  <c r="AG63" i="10"/>
  <c r="AA61" i="10"/>
  <c r="R62" i="10"/>
  <c r="V61" i="10"/>
  <c r="W60" i="10"/>
  <c r="AB60" i="10" s="1"/>
  <c r="AE60" i="10" s="1"/>
  <c r="AF64" i="10" s="1"/>
  <c r="S61" i="10"/>
  <c r="U64" i="10"/>
  <c r="Y63" i="10"/>
  <c r="AD63" i="10" s="1"/>
  <c r="I70" i="10"/>
  <c r="J70" i="10"/>
  <c r="L70" i="10"/>
  <c r="D67" i="10"/>
  <c r="C67" i="10" s="1"/>
  <c r="C66" i="10"/>
  <c r="X62" i="10"/>
  <c r="AC62" i="10" s="1"/>
  <c r="T63" i="10"/>
  <c r="K70" i="10"/>
  <c r="Z60" i="10" l="1"/>
  <c r="E67" i="10"/>
  <c r="F67" i="10"/>
  <c r="H67" i="10"/>
  <c r="G67" i="10"/>
  <c r="T64" i="10"/>
  <c r="X63" i="10"/>
  <c r="AC63" i="10" s="1"/>
  <c r="F66" i="10"/>
  <c r="E66" i="10"/>
  <c r="H66" i="10"/>
  <c r="G66" i="10"/>
  <c r="Y64" i="10"/>
  <c r="AD64" i="10" s="1"/>
  <c r="U65" i="10"/>
  <c r="W61" i="10"/>
  <c r="AB61" i="10" s="1"/>
  <c r="AE61" i="10" s="1"/>
  <c r="AF65" i="10" s="1"/>
  <c r="S62" i="10"/>
  <c r="D68" i="10"/>
  <c r="C68" i="10" s="1"/>
  <c r="V62" i="10"/>
  <c r="AA62" i="10"/>
  <c r="R63" i="10"/>
  <c r="AG64" i="10"/>
  <c r="AH63" i="10"/>
  <c r="AI58" i="10" s="1"/>
  <c r="Z61" i="10" l="1"/>
  <c r="AG65" i="10"/>
  <c r="AH64" i="10"/>
  <c r="AI59" i="10" s="1"/>
  <c r="K71" i="10"/>
  <c r="L71" i="10"/>
  <c r="U66" i="10"/>
  <c r="Y65" i="10"/>
  <c r="AD65" i="10" s="1"/>
  <c r="V63" i="10"/>
  <c r="AA63" i="10"/>
  <c r="R64" i="10"/>
  <c r="I71" i="10"/>
  <c r="J71" i="10"/>
  <c r="H68" i="10"/>
  <c r="G68" i="10"/>
  <c r="F68" i="10"/>
  <c r="E68" i="10"/>
  <c r="T65" i="10"/>
  <c r="X64" i="10"/>
  <c r="AC64" i="10" s="1"/>
  <c r="D69" i="10"/>
  <c r="C69" i="10" s="1"/>
  <c r="K72" i="10"/>
  <c r="W62" i="10"/>
  <c r="AB62" i="10" s="1"/>
  <c r="AE62" i="10" s="1"/>
  <c r="AF66" i="10" s="1"/>
  <c r="S63" i="10"/>
  <c r="L72" i="10"/>
  <c r="J72" i="10"/>
  <c r="I72" i="10"/>
  <c r="Z62" i="10" l="1"/>
  <c r="G69" i="10"/>
  <c r="H69" i="10"/>
  <c r="F69" i="10"/>
  <c r="E69" i="10"/>
  <c r="T66" i="10"/>
  <c r="X65" i="10"/>
  <c r="AC65" i="10" s="1"/>
  <c r="J73" i="10"/>
  <c r="U67" i="10"/>
  <c r="Y66" i="10"/>
  <c r="AD66" i="10" s="1"/>
  <c r="K73" i="10"/>
  <c r="L73" i="10"/>
  <c r="W63" i="10"/>
  <c r="AB63" i="10" s="1"/>
  <c r="AE63" i="10" s="1"/>
  <c r="AF67" i="10" s="1"/>
  <c r="S64" i="10"/>
  <c r="AA64" i="10"/>
  <c r="R65" i="10"/>
  <c r="V64" i="10"/>
  <c r="I73" i="10"/>
  <c r="D70" i="10"/>
  <c r="AG66" i="10"/>
  <c r="AH65" i="10"/>
  <c r="AI60" i="10" s="1"/>
  <c r="Z63" i="10" l="1"/>
  <c r="U68" i="10"/>
  <c r="Y67" i="10"/>
  <c r="AD67" i="10" s="1"/>
  <c r="T67" i="10"/>
  <c r="X66" i="10"/>
  <c r="AC66" i="10" s="1"/>
  <c r="D71" i="10"/>
  <c r="C71" i="10" s="1"/>
  <c r="I74" i="10"/>
  <c r="J74" i="10"/>
  <c r="AG67" i="10"/>
  <c r="AH66" i="10"/>
  <c r="AI61" i="10" s="1"/>
  <c r="L74" i="10"/>
  <c r="R66" i="10"/>
  <c r="AA65" i="10"/>
  <c r="V65" i="10"/>
  <c r="W64" i="10"/>
  <c r="AB64" i="10" s="1"/>
  <c r="AE64" i="10" s="1"/>
  <c r="AF68" i="10" s="1"/>
  <c r="S65" i="10"/>
  <c r="C70" i="10"/>
  <c r="K74" i="10"/>
  <c r="Z64" i="10" l="1"/>
  <c r="W65" i="10"/>
  <c r="AB65" i="10" s="1"/>
  <c r="AE65" i="10" s="1"/>
  <c r="AF69" i="10" s="1"/>
  <c r="S66" i="10"/>
  <c r="F71" i="10"/>
  <c r="E71" i="10"/>
  <c r="H71" i="10"/>
  <c r="G71" i="10"/>
  <c r="D72" i="10"/>
  <c r="C72" i="10" s="1"/>
  <c r="AA66" i="10"/>
  <c r="R67" i="10"/>
  <c r="V66" i="10"/>
  <c r="H70" i="10"/>
  <c r="G70" i="10"/>
  <c r="F70" i="10"/>
  <c r="E70" i="10"/>
  <c r="X67" i="10"/>
  <c r="AC67" i="10" s="1"/>
  <c r="T68" i="10"/>
  <c r="AG68" i="10"/>
  <c r="AH67" i="10"/>
  <c r="AI62" i="10" s="1"/>
  <c r="U69" i="10"/>
  <c r="Y68" i="10"/>
  <c r="AD68" i="10" s="1"/>
  <c r="Z65" i="10" l="1"/>
  <c r="H72" i="10"/>
  <c r="G72" i="10"/>
  <c r="F72" i="10"/>
  <c r="E72" i="10"/>
  <c r="Y69" i="10"/>
  <c r="AD69" i="10" s="1"/>
  <c r="P70" i="10"/>
  <c r="X68" i="10"/>
  <c r="AC68" i="10" s="1"/>
  <c r="T69" i="10"/>
  <c r="AA67" i="10"/>
  <c r="R68" i="10"/>
  <c r="V67" i="10"/>
  <c r="K76" i="10"/>
  <c r="L76" i="10"/>
  <c r="D73" i="10"/>
  <c r="C73" i="10" s="1"/>
  <c r="I76" i="10"/>
  <c r="AG69" i="10"/>
  <c r="AH68" i="10"/>
  <c r="AI63" i="10" s="1"/>
  <c r="I75" i="10"/>
  <c r="J75" i="10"/>
  <c r="J76" i="10"/>
  <c r="K75" i="10"/>
  <c r="W66" i="10"/>
  <c r="AB66" i="10" s="1"/>
  <c r="AE66" i="10" s="1"/>
  <c r="AF70" i="10" s="1"/>
  <c r="S67" i="10"/>
  <c r="L75" i="10"/>
  <c r="Z66" i="10" l="1"/>
  <c r="W67" i="10"/>
  <c r="AB67" i="10" s="1"/>
  <c r="AE67" i="10" s="1"/>
  <c r="AF71" i="10" s="1"/>
  <c r="S68" i="10"/>
  <c r="AH69" i="10"/>
  <c r="AI64" i="10" s="1"/>
  <c r="AG70" i="10"/>
  <c r="D74" i="10"/>
  <c r="P71" i="10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G8" i="10"/>
  <c r="X69" i="10"/>
  <c r="AC69" i="10" s="1"/>
  <c r="O70" i="10"/>
  <c r="T70" i="10" s="1"/>
  <c r="U70" i="10"/>
  <c r="E73" i="10"/>
  <c r="H73" i="10"/>
  <c r="G73" i="10"/>
  <c r="F73" i="10"/>
  <c r="I77" i="10"/>
  <c r="J77" i="10"/>
  <c r="K77" i="10"/>
  <c r="R69" i="10"/>
  <c r="V68" i="10"/>
  <c r="AA68" i="10"/>
  <c r="L77" i="10"/>
  <c r="Z67" i="10" l="1"/>
  <c r="X70" i="10"/>
  <c r="AC70" i="10" s="1"/>
  <c r="D75" i="10"/>
  <c r="C75" i="10" s="1"/>
  <c r="O71" i="10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O84" i="10" s="1"/>
  <c r="F8" i="10"/>
  <c r="C74" i="10"/>
  <c r="J78" i="10"/>
  <c r="AG71" i="10"/>
  <c r="AH70" i="10"/>
  <c r="AI65" i="10" s="1"/>
  <c r="K78" i="10"/>
  <c r="L78" i="10"/>
  <c r="W68" i="10"/>
  <c r="AB68" i="10" s="1"/>
  <c r="AE68" i="10" s="1"/>
  <c r="AF72" i="10" s="1"/>
  <c r="S69" i="10"/>
  <c r="W69" i="10" s="1"/>
  <c r="AB69" i="10" s="1"/>
  <c r="I78" i="10"/>
  <c r="AA69" i="10"/>
  <c r="V69" i="10"/>
  <c r="M70" i="10"/>
  <c r="U71" i="10"/>
  <c r="Y70" i="10"/>
  <c r="AD70" i="10" s="1"/>
  <c r="Z69" i="10" l="1"/>
  <c r="Z68" i="10"/>
  <c r="H75" i="10"/>
  <c r="G75" i="10"/>
  <c r="F75" i="10"/>
  <c r="E75" i="10"/>
  <c r="M71" i="10"/>
  <c r="D8" i="10"/>
  <c r="N70" i="10"/>
  <c r="AH71" i="10"/>
  <c r="AI66" i="10" s="1"/>
  <c r="AG72" i="10"/>
  <c r="G74" i="10"/>
  <c r="F74" i="10"/>
  <c r="H74" i="10"/>
  <c r="E74" i="10"/>
  <c r="AE69" i="10"/>
  <c r="AF73" i="10" s="1"/>
  <c r="R70" i="10"/>
  <c r="D76" i="10"/>
  <c r="C76" i="10" s="1"/>
  <c r="T71" i="10"/>
  <c r="Y71" i="10"/>
  <c r="AD71" i="10" s="1"/>
  <c r="U72" i="10"/>
  <c r="I7" i="10" l="1"/>
  <c r="H76" i="10"/>
  <c r="G76" i="10"/>
  <c r="F76" i="10"/>
  <c r="E76" i="10"/>
  <c r="AG73" i="10"/>
  <c r="AH72" i="10"/>
  <c r="AI67" i="10" s="1"/>
  <c r="N71" i="10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E8" i="10"/>
  <c r="Q70" i="10"/>
  <c r="M72" i="10"/>
  <c r="J79" i="10"/>
  <c r="AA70" i="10"/>
  <c r="R71" i="10"/>
  <c r="V70" i="10"/>
  <c r="T72" i="10"/>
  <c r="X71" i="10"/>
  <c r="AC71" i="10" s="1"/>
  <c r="U73" i="10"/>
  <c r="Y72" i="10"/>
  <c r="AD72" i="10" s="1"/>
  <c r="D77" i="10"/>
  <c r="C77" i="10" s="1"/>
  <c r="K80" i="10"/>
  <c r="K79" i="10"/>
  <c r="S70" i="10"/>
  <c r="I80" i="10"/>
  <c r="J80" i="10"/>
  <c r="I79" i="10"/>
  <c r="L79" i="10"/>
  <c r="L80" i="10"/>
  <c r="Q71" i="10" l="1"/>
  <c r="D78" i="10"/>
  <c r="M73" i="10"/>
  <c r="Q72" i="10"/>
  <c r="U74" i="10"/>
  <c r="Y73" i="10"/>
  <c r="AD73" i="10" s="1"/>
  <c r="X72" i="10"/>
  <c r="AC72" i="10" s="1"/>
  <c r="T73" i="10"/>
  <c r="AH73" i="10"/>
  <c r="W70" i="10"/>
  <c r="AB70" i="10" s="1"/>
  <c r="AE70" i="10" s="1"/>
  <c r="AF74" i="10" s="1"/>
  <c r="AG74" i="10" s="1"/>
  <c r="S71" i="10"/>
  <c r="I81" i="10"/>
  <c r="G77" i="10"/>
  <c r="H77" i="10"/>
  <c r="F77" i="10"/>
  <c r="E77" i="10"/>
  <c r="AA71" i="10"/>
  <c r="V71" i="10"/>
  <c r="R72" i="10"/>
  <c r="J81" i="10"/>
  <c r="K81" i="10"/>
  <c r="L81" i="10"/>
  <c r="Z70" i="10" l="1"/>
  <c r="AH74" i="10"/>
  <c r="AI68" i="10" s="1"/>
  <c r="R73" i="10"/>
  <c r="AA72" i="10"/>
  <c r="V72" i="10"/>
  <c r="T74" i="10"/>
  <c r="X73" i="10"/>
  <c r="AC73" i="10" s="1"/>
  <c r="I82" i="10"/>
  <c r="U75" i="10"/>
  <c r="Y74" i="10"/>
  <c r="AD74" i="10" s="1"/>
  <c r="J82" i="10"/>
  <c r="M74" i="10"/>
  <c r="Q73" i="10"/>
  <c r="D79" i="10"/>
  <c r="C79" i="10" s="1"/>
  <c r="L82" i="10"/>
  <c r="K82" i="10"/>
  <c r="W71" i="10"/>
  <c r="AB71" i="10" s="1"/>
  <c r="AE71" i="10" s="1"/>
  <c r="AF75" i="10" s="1"/>
  <c r="AG75" i="10" s="1"/>
  <c r="S72" i="10"/>
  <c r="C78" i="10"/>
  <c r="Z71" i="10" l="1"/>
  <c r="AH75" i="10"/>
  <c r="AI69" i="10" s="1"/>
  <c r="J7" i="10" s="1"/>
  <c r="U76" i="10"/>
  <c r="Y75" i="10"/>
  <c r="AD75" i="10" s="1"/>
  <c r="E79" i="10"/>
  <c r="F79" i="10"/>
  <c r="H79" i="10"/>
  <c r="G79" i="10"/>
  <c r="D80" i="10"/>
  <c r="C80" i="10" s="1"/>
  <c r="T75" i="10"/>
  <c r="X74" i="10"/>
  <c r="AC74" i="10" s="1"/>
  <c r="M75" i="10"/>
  <c r="Q74" i="10"/>
  <c r="R74" i="10"/>
  <c r="V73" i="10"/>
  <c r="AA73" i="10"/>
  <c r="F78" i="10"/>
  <c r="H78" i="10"/>
  <c r="G78" i="10"/>
  <c r="E78" i="10"/>
  <c r="W72" i="10"/>
  <c r="AB72" i="10" s="1"/>
  <c r="AE72" i="10" s="1"/>
  <c r="AF76" i="10" s="1"/>
  <c r="AG76" i="10" s="1"/>
  <c r="S73" i="10"/>
  <c r="Z72" i="10" l="1"/>
  <c r="AH76" i="10"/>
  <c r="D81" i="10"/>
  <c r="J84" i="10"/>
  <c r="I84" i="10"/>
  <c r="K83" i="10"/>
  <c r="I83" i="10"/>
  <c r="L84" i="10"/>
  <c r="Y76" i="10"/>
  <c r="AD76" i="10" s="1"/>
  <c r="U77" i="10"/>
  <c r="T76" i="10"/>
  <c r="X75" i="10"/>
  <c r="AC75" i="10" s="1"/>
  <c r="K84" i="10"/>
  <c r="M76" i="10"/>
  <c r="Q75" i="10"/>
  <c r="H80" i="10"/>
  <c r="G80" i="10"/>
  <c r="F80" i="10"/>
  <c r="E80" i="10"/>
  <c r="L83" i="10"/>
  <c r="J83" i="10"/>
  <c r="V74" i="10"/>
  <c r="AA74" i="10"/>
  <c r="R75" i="10"/>
  <c r="W73" i="10"/>
  <c r="AB73" i="10" s="1"/>
  <c r="AE73" i="10" s="1"/>
  <c r="AF77" i="10" s="1"/>
  <c r="AG77" i="10" s="1"/>
  <c r="S74" i="10"/>
  <c r="Z73" i="10" l="1"/>
  <c r="AH77" i="10"/>
  <c r="U78" i="10"/>
  <c r="Y77" i="10"/>
  <c r="AD77" i="10" s="1"/>
  <c r="I85" i="10"/>
  <c r="D82" i="10"/>
  <c r="M77" i="10"/>
  <c r="Q76" i="10"/>
  <c r="C81" i="10"/>
  <c r="R76" i="10"/>
  <c r="AA75" i="10"/>
  <c r="V75" i="10"/>
  <c r="T77" i="10"/>
  <c r="X76" i="10"/>
  <c r="AC76" i="10" s="1"/>
  <c r="J85" i="10"/>
  <c r="K85" i="10"/>
  <c r="W74" i="10"/>
  <c r="AB74" i="10" s="1"/>
  <c r="AE74" i="10" s="1"/>
  <c r="AF78" i="10" s="1"/>
  <c r="AG78" i="10" s="1"/>
  <c r="S75" i="10"/>
  <c r="L85" i="10"/>
  <c r="Z74" i="10" l="1"/>
  <c r="AH78" i="10"/>
  <c r="D83" i="10"/>
  <c r="C83" i="10" s="1"/>
  <c r="W75" i="10"/>
  <c r="AB75" i="10" s="1"/>
  <c r="AE75" i="10" s="1"/>
  <c r="AF79" i="10" s="1"/>
  <c r="AG79" i="10" s="1"/>
  <c r="S76" i="10"/>
  <c r="X77" i="10"/>
  <c r="AC77" i="10" s="1"/>
  <c r="T78" i="10"/>
  <c r="U79" i="10"/>
  <c r="Y78" i="10"/>
  <c r="AD78" i="10" s="1"/>
  <c r="Q77" i="10"/>
  <c r="M78" i="10"/>
  <c r="V76" i="10"/>
  <c r="R77" i="10"/>
  <c r="AA76" i="10"/>
  <c r="C82" i="10"/>
  <c r="E81" i="10"/>
  <c r="H81" i="10"/>
  <c r="G81" i="10"/>
  <c r="F81" i="10"/>
  <c r="Z75" i="10" l="1"/>
  <c r="AH79" i="10"/>
  <c r="H83" i="10"/>
  <c r="G83" i="10"/>
  <c r="F83" i="10"/>
  <c r="E83" i="10"/>
  <c r="W76" i="10"/>
  <c r="AB76" i="10" s="1"/>
  <c r="AE76" i="10" s="1"/>
  <c r="AF80" i="10" s="1"/>
  <c r="AG80" i="10" s="1"/>
  <c r="S77" i="10"/>
  <c r="T79" i="10"/>
  <c r="X78" i="10"/>
  <c r="AC78" i="10" s="1"/>
  <c r="K86" i="10"/>
  <c r="I86" i="10"/>
  <c r="D84" i="10"/>
  <c r="C84" i="10" s="1"/>
  <c r="U80" i="10"/>
  <c r="Y79" i="10"/>
  <c r="AD79" i="10" s="1"/>
  <c r="H82" i="10"/>
  <c r="G82" i="10"/>
  <c r="F82" i="10"/>
  <c r="E82" i="10"/>
  <c r="J86" i="10"/>
  <c r="L86" i="10"/>
  <c r="R78" i="10"/>
  <c r="AA77" i="10"/>
  <c r="V77" i="10"/>
  <c r="M79" i="10"/>
  <c r="Q78" i="10"/>
  <c r="Z76" i="10" l="1"/>
  <c r="G84" i="10"/>
  <c r="E84" i="10"/>
  <c r="H84" i="10"/>
  <c r="F84" i="10"/>
  <c r="AH80" i="10"/>
  <c r="AI70" i="10" s="1"/>
  <c r="J87" i="10"/>
  <c r="T80" i="10"/>
  <c r="X79" i="10"/>
  <c r="AC79" i="10" s="1"/>
  <c r="W77" i="10"/>
  <c r="AB77" i="10" s="1"/>
  <c r="AE77" i="10" s="1"/>
  <c r="AF81" i="10" s="1"/>
  <c r="AG81" i="10" s="1"/>
  <c r="S78" i="10"/>
  <c r="I88" i="10"/>
  <c r="I87" i="10"/>
  <c r="J88" i="10"/>
  <c r="K88" i="10"/>
  <c r="K87" i="10"/>
  <c r="AA78" i="10"/>
  <c r="R79" i="10"/>
  <c r="V78" i="10"/>
  <c r="L88" i="10"/>
  <c r="Q79" i="10"/>
  <c r="M80" i="10"/>
  <c r="L87" i="10"/>
  <c r="U81" i="10"/>
  <c r="Y80" i="10"/>
  <c r="D85" i="10"/>
  <c r="Z77" i="10" l="1"/>
  <c r="AH81" i="10"/>
  <c r="T81" i="10"/>
  <c r="X80" i="10"/>
  <c r="D86" i="10"/>
  <c r="C86" i="10" s="1"/>
  <c r="AD80" i="10"/>
  <c r="L89" i="10"/>
  <c r="V79" i="10"/>
  <c r="AA79" i="10"/>
  <c r="R80" i="10"/>
  <c r="Y81" i="10"/>
  <c r="U82" i="10"/>
  <c r="M81" i="10"/>
  <c r="Q80" i="10"/>
  <c r="I89" i="10"/>
  <c r="W78" i="10"/>
  <c r="AB78" i="10" s="1"/>
  <c r="AE78" i="10" s="1"/>
  <c r="AF82" i="10" s="1"/>
  <c r="AG82" i="10" s="1"/>
  <c r="S79" i="10"/>
  <c r="J89" i="10"/>
  <c r="C85" i="10"/>
  <c r="K89" i="10"/>
  <c r="Z78" i="10" l="1"/>
  <c r="AH82" i="10"/>
  <c r="AI71" i="10" s="1"/>
  <c r="W79" i="10"/>
  <c r="AB79" i="10" s="1"/>
  <c r="AE79" i="10" s="1"/>
  <c r="AF83" i="10" s="1"/>
  <c r="AG83" i="10" s="1"/>
  <c r="S80" i="10"/>
  <c r="G86" i="10"/>
  <c r="H86" i="10"/>
  <c r="F86" i="10"/>
  <c r="E86" i="10"/>
  <c r="D87" i="10"/>
  <c r="C87" i="10" s="1"/>
  <c r="U83" i="10"/>
  <c r="Y82" i="10"/>
  <c r="AC80" i="10"/>
  <c r="X81" i="10"/>
  <c r="T82" i="10"/>
  <c r="M82" i="10"/>
  <c r="Q81" i="10"/>
  <c r="E85" i="10"/>
  <c r="H85" i="10"/>
  <c r="G85" i="10"/>
  <c r="F85" i="10"/>
  <c r="AA80" i="10"/>
  <c r="R81" i="10"/>
  <c r="V80" i="10"/>
  <c r="AD81" i="10"/>
  <c r="Z79" i="10" l="1"/>
  <c r="H87" i="10"/>
  <c r="G87" i="10"/>
  <c r="F87" i="10"/>
  <c r="E87" i="10"/>
  <c r="AH83" i="10"/>
  <c r="J90" i="10"/>
  <c r="J91" i="10"/>
  <c r="Y83" i="10"/>
  <c r="U84" i="10"/>
  <c r="L90" i="10"/>
  <c r="L91" i="10"/>
  <c r="X82" i="10"/>
  <c r="T83" i="10"/>
  <c r="K91" i="10"/>
  <c r="AD82" i="10"/>
  <c r="K90" i="10"/>
  <c r="W80" i="10"/>
  <c r="Z80" i="10" s="1"/>
  <c r="S81" i="10"/>
  <c r="I91" i="10"/>
  <c r="D88" i="10"/>
  <c r="C88" i="10" s="1"/>
  <c r="I90" i="10"/>
  <c r="M83" i="10"/>
  <c r="Q82" i="10"/>
  <c r="AC81" i="10"/>
  <c r="R82" i="10"/>
  <c r="V81" i="10"/>
  <c r="AA81" i="10"/>
  <c r="AD83" i="10" l="1"/>
  <c r="M84" i="10"/>
  <c r="Q84" i="10" s="1"/>
  <c r="Q83" i="10"/>
  <c r="Y84" i="10"/>
  <c r="P85" i="10"/>
  <c r="U85" i="10" s="1"/>
  <c r="AA82" i="10"/>
  <c r="R83" i="10"/>
  <c r="V82" i="10"/>
  <c r="I92" i="10"/>
  <c r="D89" i="10"/>
  <c r="C89" i="10" s="1"/>
  <c r="J92" i="10"/>
  <c r="H88" i="10"/>
  <c r="G88" i="10"/>
  <c r="F88" i="10"/>
  <c r="E88" i="10"/>
  <c r="K92" i="10"/>
  <c r="T84" i="10"/>
  <c r="X83" i="10"/>
  <c r="AC82" i="10"/>
  <c r="W81" i="10"/>
  <c r="Z81" i="10" s="1"/>
  <c r="S82" i="10"/>
  <c r="AB80" i="10"/>
  <c r="AE80" i="10" s="1"/>
  <c r="AF84" i="10" s="1"/>
  <c r="AG84" i="10" s="1"/>
  <c r="L92" i="10"/>
  <c r="G89" i="10" l="1"/>
  <c r="H89" i="10"/>
  <c r="E89" i="10"/>
  <c r="F89" i="10"/>
  <c r="AH84" i="10"/>
  <c r="AI72" i="10" s="1"/>
  <c r="J93" i="10"/>
  <c r="P96" i="10"/>
  <c r="P92" i="10"/>
  <c r="P90" i="10"/>
  <c r="G9" i="10"/>
  <c r="P97" i="10"/>
  <c r="P88" i="10"/>
  <c r="P95" i="10"/>
  <c r="P99" i="10"/>
  <c r="P87" i="10"/>
  <c r="P98" i="10"/>
  <c r="P94" i="10"/>
  <c r="P89" i="10"/>
  <c r="P91" i="10"/>
  <c r="P86" i="10"/>
  <c r="U86" i="10" s="1"/>
  <c r="P93" i="10"/>
  <c r="W82" i="10"/>
  <c r="Z82" i="10" s="1"/>
  <c r="S83" i="10"/>
  <c r="K93" i="10"/>
  <c r="AD84" i="10"/>
  <c r="AA83" i="10"/>
  <c r="R84" i="10"/>
  <c r="V83" i="10"/>
  <c r="L93" i="10"/>
  <c r="Y85" i="10"/>
  <c r="AC83" i="10"/>
  <c r="D90" i="10"/>
  <c r="I93" i="10"/>
  <c r="X84" i="10"/>
  <c r="O85" i="10"/>
  <c r="T85" i="10" s="1"/>
  <c r="AB81" i="10"/>
  <c r="AE81" i="10" s="1"/>
  <c r="AF85" i="10" s="1"/>
  <c r="AG85" i="10" s="1"/>
  <c r="X85" i="10" l="1"/>
  <c r="O97" i="10"/>
  <c r="O96" i="10"/>
  <c r="O93" i="10"/>
  <c r="O98" i="10"/>
  <c r="O90" i="10"/>
  <c r="O95" i="10"/>
  <c r="O99" i="10"/>
  <c r="O92" i="10"/>
  <c r="O87" i="10"/>
  <c r="O94" i="10"/>
  <c r="O89" i="10"/>
  <c r="O91" i="10"/>
  <c r="O86" i="10"/>
  <c r="T86" i="10" s="1"/>
  <c r="F9" i="10"/>
  <c r="O88" i="10"/>
  <c r="M85" i="10"/>
  <c r="AA84" i="10"/>
  <c r="V84" i="10"/>
  <c r="AB82" i="10"/>
  <c r="AE82" i="10" s="1"/>
  <c r="AF86" i="10" s="1"/>
  <c r="AG86" i="10" s="1"/>
  <c r="D91" i="10"/>
  <c r="AH85" i="10"/>
  <c r="C90" i="10"/>
  <c r="J94" i="10"/>
  <c r="AC84" i="10"/>
  <c r="I94" i="10"/>
  <c r="L94" i="10"/>
  <c r="U87" i="10"/>
  <c r="Y86" i="10"/>
  <c r="AD86" i="10" s="1"/>
  <c r="AD85" i="10"/>
  <c r="W83" i="10"/>
  <c r="Z83" i="10" s="1"/>
  <c r="S84" i="10"/>
  <c r="K94" i="10"/>
  <c r="AH86" i="10" l="1"/>
  <c r="X86" i="10"/>
  <c r="AC86" i="10" s="1"/>
  <c r="T87" i="10"/>
  <c r="M99" i="10"/>
  <c r="M95" i="10"/>
  <c r="M90" i="10"/>
  <c r="M98" i="10"/>
  <c r="M92" i="10"/>
  <c r="M87" i="10"/>
  <c r="M94" i="10"/>
  <c r="M89" i="10"/>
  <c r="M97" i="10"/>
  <c r="M91" i="10"/>
  <c r="M86" i="10"/>
  <c r="D9" i="10"/>
  <c r="M93" i="10"/>
  <c r="M88" i="10"/>
  <c r="M96" i="10"/>
  <c r="N85" i="10"/>
  <c r="R85" i="10"/>
  <c r="AB83" i="10"/>
  <c r="AE83" i="10" s="1"/>
  <c r="AF87" i="10" s="1"/>
  <c r="AG87" i="10" s="1"/>
  <c r="F90" i="10"/>
  <c r="H90" i="10"/>
  <c r="G90" i="10"/>
  <c r="E90" i="10"/>
  <c r="D92" i="10"/>
  <c r="C92" i="10" s="1"/>
  <c r="W84" i="10"/>
  <c r="Z84" i="10" s="1"/>
  <c r="Y87" i="10"/>
  <c r="AD87" i="10" s="1"/>
  <c r="U88" i="10"/>
  <c r="AC85" i="10"/>
  <c r="C91" i="10"/>
  <c r="AI73" i="10" l="1"/>
  <c r="AI74" i="10"/>
  <c r="AI75" i="10"/>
  <c r="I8" i="10"/>
  <c r="AH87" i="10"/>
  <c r="H92" i="10"/>
  <c r="G92" i="10"/>
  <c r="F92" i="10"/>
  <c r="E92" i="10"/>
  <c r="N98" i="10"/>
  <c r="Q98" i="10" s="1"/>
  <c r="N94" i="10"/>
  <c r="Q94" i="10" s="1"/>
  <c r="N95" i="10"/>
  <c r="Q95" i="10" s="1"/>
  <c r="N89" i="10"/>
  <c r="Q89" i="10" s="1"/>
  <c r="N90" i="10"/>
  <c r="Q90" i="10" s="1"/>
  <c r="N99" i="10"/>
  <c r="Q99" i="10" s="1"/>
  <c r="N92" i="10"/>
  <c r="Q92" i="10" s="1"/>
  <c r="N87" i="10"/>
  <c r="Q87" i="10" s="1"/>
  <c r="N97" i="10"/>
  <c r="Q97" i="10" s="1"/>
  <c r="N91" i="10"/>
  <c r="Q91" i="10" s="1"/>
  <c r="N86" i="10"/>
  <c r="Q86" i="10" s="1"/>
  <c r="N96" i="10"/>
  <c r="Q96" i="10" s="1"/>
  <c r="N93" i="10"/>
  <c r="Q93" i="10" s="1"/>
  <c r="N88" i="10"/>
  <c r="Q88" i="10" s="1"/>
  <c r="E9" i="10"/>
  <c r="AB84" i="10"/>
  <c r="AE84" i="10" s="1"/>
  <c r="AF88" i="10" s="1"/>
  <c r="AG88" i="10" s="1"/>
  <c r="I95" i="10"/>
  <c r="Q85" i="10"/>
  <c r="T88" i="10"/>
  <c r="X87" i="10"/>
  <c r="AC87" i="10" s="1"/>
  <c r="L95" i="10"/>
  <c r="R86" i="10"/>
  <c r="AA85" i="10"/>
  <c r="V85" i="10"/>
  <c r="S85" i="10"/>
  <c r="D93" i="10"/>
  <c r="J95" i="10"/>
  <c r="Y88" i="10"/>
  <c r="U89" i="10"/>
  <c r="E91" i="10"/>
  <c r="F91" i="10"/>
  <c r="H91" i="10"/>
  <c r="G91" i="10"/>
  <c r="K95" i="10"/>
  <c r="AH88" i="10" l="1"/>
  <c r="T89" i="10"/>
  <c r="X88" i="10"/>
  <c r="W85" i="10"/>
  <c r="Z85" i="10" s="1"/>
  <c r="S86" i="10"/>
  <c r="D94" i="10"/>
  <c r="C94" i="10" s="1"/>
  <c r="C93" i="10"/>
  <c r="I97" i="10"/>
  <c r="I96" i="10"/>
  <c r="J97" i="10"/>
  <c r="K97" i="10"/>
  <c r="L96" i="10"/>
  <c r="L97" i="10"/>
  <c r="K96" i="10"/>
  <c r="J96" i="10"/>
  <c r="V86" i="10"/>
  <c r="R87" i="10"/>
  <c r="AA86" i="10"/>
  <c r="U90" i="10"/>
  <c r="Y89" i="10"/>
  <c r="AD88" i="10"/>
  <c r="W86" i="10" l="1"/>
  <c r="AB86" i="10" s="1"/>
  <c r="AE86" i="10" s="1"/>
  <c r="AF90" i="10" s="1"/>
  <c r="S87" i="10"/>
  <c r="G94" i="10"/>
  <c r="E94" i="10"/>
  <c r="H94" i="10"/>
  <c r="F94" i="10"/>
  <c r="AB85" i="10"/>
  <c r="AE85" i="10" s="1"/>
  <c r="AF89" i="10" s="1"/>
  <c r="AG89" i="10" s="1"/>
  <c r="U91" i="10"/>
  <c r="Y90" i="10"/>
  <c r="T90" i="10"/>
  <c r="X89" i="10"/>
  <c r="AD89" i="10"/>
  <c r="H93" i="10"/>
  <c r="G93" i="10"/>
  <c r="F93" i="10"/>
  <c r="E93" i="10"/>
  <c r="D95" i="10"/>
  <c r="C95" i="10" s="1"/>
  <c r="AC88" i="10"/>
  <c r="R88" i="10"/>
  <c r="AA87" i="10"/>
  <c r="V87" i="10"/>
  <c r="Z86" i="10" l="1"/>
  <c r="AG90" i="10"/>
  <c r="AH89" i="10"/>
  <c r="AI76" i="10" s="1"/>
  <c r="J99" i="10"/>
  <c r="U92" i="10"/>
  <c r="Y91" i="10"/>
  <c r="I98" i="10"/>
  <c r="L99" i="10"/>
  <c r="L98" i="10"/>
  <c r="I99" i="10"/>
  <c r="H95" i="10"/>
  <c r="G95" i="10"/>
  <c r="F95" i="10"/>
  <c r="E95" i="10"/>
  <c r="K99" i="10"/>
  <c r="W87" i="10"/>
  <c r="AB87" i="10" s="1"/>
  <c r="AE87" i="10" s="1"/>
  <c r="AF91" i="10" s="1"/>
  <c r="S88" i="10"/>
  <c r="T91" i="10"/>
  <c r="X90" i="10"/>
  <c r="AD90" i="10"/>
  <c r="D96" i="10"/>
  <c r="C96" i="10" s="1"/>
  <c r="J98" i="10"/>
  <c r="K98" i="10"/>
  <c r="AA88" i="10"/>
  <c r="R89" i="10"/>
  <c r="V88" i="10"/>
  <c r="AC89" i="10"/>
  <c r="Z87" i="10" l="1"/>
  <c r="E96" i="10"/>
  <c r="G96" i="10"/>
  <c r="H96" i="10"/>
  <c r="F96" i="10"/>
  <c r="AD91" i="10"/>
  <c r="W88" i="10"/>
  <c r="Z88" i="10" s="1"/>
  <c r="S89" i="10"/>
  <c r="Y92" i="10"/>
  <c r="U93" i="10"/>
  <c r="D97" i="10"/>
  <c r="X91" i="10"/>
  <c r="T92" i="10"/>
  <c r="I100" i="10"/>
  <c r="J100" i="10"/>
  <c r="R90" i="10"/>
  <c r="V89" i="10"/>
  <c r="AA89" i="10"/>
  <c r="K100" i="10"/>
  <c r="L100" i="10"/>
  <c r="AC90" i="10"/>
  <c r="AG91" i="10"/>
  <c r="AH90" i="10"/>
  <c r="AH91" i="10" l="1"/>
  <c r="AI77" i="10" s="1"/>
  <c r="W89" i="10"/>
  <c r="Z89" i="10" s="1"/>
  <c r="S90" i="10"/>
  <c r="AB88" i="10"/>
  <c r="AE88" i="10" s="1"/>
  <c r="AF92" i="10" s="1"/>
  <c r="AG92" i="10" s="1"/>
  <c r="U94" i="10"/>
  <c r="Y93" i="10"/>
  <c r="AA90" i="10"/>
  <c r="R91" i="10"/>
  <c r="V90" i="10"/>
  <c r="T93" i="10"/>
  <c r="X92" i="10"/>
  <c r="J101" i="10"/>
  <c r="AD92" i="10"/>
  <c r="AC91" i="10"/>
  <c r="L101" i="10"/>
  <c r="D98" i="10"/>
  <c r="C98" i="10" s="1"/>
  <c r="K101" i="10"/>
  <c r="C97" i="10"/>
  <c r="I101" i="10"/>
  <c r="F98" i="10" l="1"/>
  <c r="H98" i="10"/>
  <c r="G98" i="10"/>
  <c r="E98" i="10"/>
  <c r="AH92" i="10"/>
  <c r="AD93" i="10"/>
  <c r="U95" i="10"/>
  <c r="Y94" i="10"/>
  <c r="AC92" i="10"/>
  <c r="T94" i="10"/>
  <c r="X93" i="10"/>
  <c r="W90" i="10"/>
  <c r="Z90" i="10" s="1"/>
  <c r="S91" i="10"/>
  <c r="AB89" i="10"/>
  <c r="AE89" i="10" s="1"/>
  <c r="AF93" i="10" s="1"/>
  <c r="AG93" i="10" s="1"/>
  <c r="D99" i="10"/>
  <c r="C99" i="10" s="1"/>
  <c r="E97" i="10"/>
  <c r="H97" i="10"/>
  <c r="G97" i="10"/>
  <c r="F97" i="10"/>
  <c r="R92" i="10"/>
  <c r="V91" i="10"/>
  <c r="AA91" i="10"/>
  <c r="H99" i="10" l="1"/>
  <c r="F99" i="10"/>
  <c r="G99" i="10"/>
  <c r="E99" i="10"/>
  <c r="AH93" i="10"/>
  <c r="AI78" i="10" s="1"/>
  <c r="Y95" i="10"/>
  <c r="U96" i="10"/>
  <c r="W91" i="10"/>
  <c r="Z91" i="10" s="1"/>
  <c r="S92" i="10"/>
  <c r="D100" i="10"/>
  <c r="C100" i="10" s="1"/>
  <c r="AB90" i="10"/>
  <c r="AE90" i="10" s="1"/>
  <c r="AF94" i="10" s="1"/>
  <c r="AG94" i="10" s="1"/>
  <c r="AA92" i="10"/>
  <c r="R93" i="10"/>
  <c r="V92" i="10"/>
  <c r="J102" i="10"/>
  <c r="AC93" i="10"/>
  <c r="I103" i="10"/>
  <c r="AD94" i="10"/>
  <c r="K102" i="10"/>
  <c r="X94" i="10"/>
  <c r="T95" i="10"/>
  <c r="K103" i="10"/>
  <c r="L102" i="10"/>
  <c r="L103" i="10"/>
  <c r="I102" i="10"/>
  <c r="J103" i="10"/>
  <c r="AB91" i="10" l="1"/>
  <c r="AE91" i="10" s="1"/>
  <c r="AF95" i="10" s="1"/>
  <c r="AG95" i="10" s="1"/>
  <c r="Y96" i="10"/>
  <c r="U97" i="10"/>
  <c r="W92" i="10"/>
  <c r="Z92" i="10" s="1"/>
  <c r="S93" i="10"/>
  <c r="AD95" i="10"/>
  <c r="AA93" i="10"/>
  <c r="R94" i="10"/>
  <c r="V93" i="10"/>
  <c r="AH94" i="10"/>
  <c r="I104" i="10"/>
  <c r="AC94" i="10"/>
  <c r="K104" i="10"/>
  <c r="X95" i="10"/>
  <c r="T96" i="10"/>
  <c r="H100" i="10"/>
  <c r="G100" i="10"/>
  <c r="F100" i="10"/>
  <c r="E100" i="10"/>
  <c r="J104" i="10"/>
  <c r="D101" i="10"/>
  <c r="C101" i="10" s="1"/>
  <c r="L104" i="10"/>
  <c r="G101" i="10" l="1"/>
  <c r="H101" i="10"/>
  <c r="F101" i="10"/>
  <c r="E101" i="10"/>
  <c r="AA94" i="10"/>
  <c r="R95" i="10"/>
  <c r="V94" i="10"/>
  <c r="W93" i="10"/>
  <c r="Z93" i="10" s="1"/>
  <c r="S94" i="10"/>
  <c r="X96" i="10"/>
  <c r="T97" i="10"/>
  <c r="AB92" i="10"/>
  <c r="AE92" i="10" s="1"/>
  <c r="AF96" i="10" s="1"/>
  <c r="AG96" i="10" s="1"/>
  <c r="K105" i="10"/>
  <c r="U98" i="10"/>
  <c r="Y97" i="10"/>
  <c r="AC95" i="10"/>
  <c r="AD96" i="10"/>
  <c r="D102" i="10"/>
  <c r="C102" i="10" s="1"/>
  <c r="L105" i="10"/>
  <c r="I105" i="10"/>
  <c r="J105" i="10"/>
  <c r="AH95" i="10"/>
  <c r="AI79" i="10" s="1"/>
  <c r="AH96" i="10" l="1"/>
  <c r="X97" i="10"/>
  <c r="T98" i="10"/>
  <c r="D103" i="10"/>
  <c r="C103" i="10" s="1"/>
  <c r="AA95" i="10"/>
  <c r="R96" i="10"/>
  <c r="V95" i="10"/>
  <c r="W94" i="10"/>
  <c r="Z94" i="10" s="1"/>
  <c r="S95" i="10"/>
  <c r="U99" i="10"/>
  <c r="Y98" i="10"/>
  <c r="I106" i="10"/>
  <c r="J106" i="10"/>
  <c r="AC96" i="10"/>
  <c r="AB93" i="10"/>
  <c r="AE93" i="10" s="1"/>
  <c r="AF97" i="10" s="1"/>
  <c r="AG97" i="10" s="1"/>
  <c r="L106" i="10"/>
  <c r="H102" i="10"/>
  <c r="G102" i="10"/>
  <c r="F102" i="10"/>
  <c r="E102" i="10"/>
  <c r="AD97" i="10"/>
  <c r="K106" i="10"/>
  <c r="AH97" i="10" l="1"/>
  <c r="AI80" i="10" s="1"/>
  <c r="E103" i="10"/>
  <c r="H103" i="10"/>
  <c r="G103" i="10"/>
  <c r="F103" i="10"/>
  <c r="R97" i="10"/>
  <c r="V96" i="10"/>
  <c r="AA96" i="10"/>
  <c r="W95" i="10"/>
  <c r="Z95" i="10" s="1"/>
  <c r="S96" i="10"/>
  <c r="AB94" i="10"/>
  <c r="AE94" i="10" s="1"/>
  <c r="AF98" i="10" s="1"/>
  <c r="AG98" i="10" s="1"/>
  <c r="D104" i="10"/>
  <c r="AD98" i="10"/>
  <c r="T99" i="10"/>
  <c r="X98" i="10"/>
  <c r="L107" i="10"/>
  <c r="AC97" i="10"/>
  <c r="I107" i="10"/>
  <c r="Y99" i="10"/>
  <c r="P100" i="10"/>
  <c r="U100" i="10" s="1"/>
  <c r="J107" i="10"/>
  <c r="K107" i="10"/>
  <c r="AH98" i="10" l="1"/>
  <c r="W96" i="10"/>
  <c r="Z96" i="10" s="1"/>
  <c r="S97" i="10"/>
  <c r="R98" i="10"/>
  <c r="V97" i="10"/>
  <c r="AA97" i="10"/>
  <c r="J108" i="10"/>
  <c r="P108" i="10"/>
  <c r="P112" i="10"/>
  <c r="P111" i="10"/>
  <c r="P102" i="10"/>
  <c r="P105" i="10"/>
  <c r="P113" i="10"/>
  <c r="P104" i="10"/>
  <c r="P114" i="10"/>
  <c r="P103" i="10"/>
  <c r="P101" i="10"/>
  <c r="U101" i="10" s="1"/>
  <c r="P107" i="10"/>
  <c r="P109" i="10"/>
  <c r="G10" i="10"/>
  <c r="P106" i="10"/>
  <c r="P110" i="10"/>
  <c r="K108" i="10"/>
  <c r="AD99" i="10"/>
  <c r="L108" i="10"/>
  <c r="Y100" i="10"/>
  <c r="I108" i="10"/>
  <c r="AB95" i="10"/>
  <c r="AE95" i="10" s="1"/>
  <c r="AF99" i="10" s="1"/>
  <c r="AG99" i="10" s="1"/>
  <c r="AC98" i="10"/>
  <c r="O100" i="10"/>
  <c r="T100" i="10" s="1"/>
  <c r="X99" i="10"/>
  <c r="D105" i="10"/>
  <c r="C105" i="10" s="1"/>
  <c r="C104" i="10"/>
  <c r="AH99" i="10" l="1"/>
  <c r="U102" i="10"/>
  <c r="Y101" i="10"/>
  <c r="AC99" i="10"/>
  <c r="O109" i="10"/>
  <c r="O114" i="10"/>
  <c r="O108" i="10"/>
  <c r="O102" i="10"/>
  <c r="O110" i="10"/>
  <c r="O106" i="10"/>
  <c r="O105" i="10"/>
  <c r="O113" i="10"/>
  <c r="O104" i="10"/>
  <c r="O103" i="10"/>
  <c r="O112" i="10"/>
  <c r="O107" i="10"/>
  <c r="O111" i="10"/>
  <c r="F10" i="10"/>
  <c r="O101" i="10"/>
  <c r="T101" i="10" s="1"/>
  <c r="AA98" i="10"/>
  <c r="R99" i="10"/>
  <c r="V98" i="10"/>
  <c r="AD100" i="10"/>
  <c r="W97" i="10"/>
  <c r="Z97" i="10" s="1"/>
  <c r="S98" i="10"/>
  <c r="G105" i="10"/>
  <c r="H105" i="10"/>
  <c r="F105" i="10"/>
  <c r="E105" i="10"/>
  <c r="AB96" i="10"/>
  <c r="AE96" i="10" s="1"/>
  <c r="AF100" i="10" s="1"/>
  <c r="AG100" i="10" s="1"/>
  <c r="H104" i="10"/>
  <c r="F104" i="10"/>
  <c r="E104" i="10"/>
  <c r="G104" i="10"/>
  <c r="D106" i="10"/>
  <c r="C106" i="10" s="1"/>
  <c r="X100" i="10"/>
  <c r="T102" i="10" l="1"/>
  <c r="X101" i="10"/>
  <c r="AH100" i="10"/>
  <c r="AI81" i="10" s="1"/>
  <c r="F106" i="10"/>
  <c r="H106" i="10"/>
  <c r="G106" i="10"/>
  <c r="E106" i="10"/>
  <c r="AC100" i="10"/>
  <c r="K110" i="10"/>
  <c r="W98" i="10"/>
  <c r="Z98" i="10" s="1"/>
  <c r="S99" i="10"/>
  <c r="AB97" i="10"/>
  <c r="AE97" i="10" s="1"/>
  <c r="AF101" i="10" s="1"/>
  <c r="AG101" i="10" s="1"/>
  <c r="I110" i="10"/>
  <c r="J110" i="10"/>
  <c r="D107" i="10"/>
  <c r="C107" i="10" s="1"/>
  <c r="K109" i="10"/>
  <c r="I109" i="10"/>
  <c r="AD101" i="10"/>
  <c r="J109" i="10"/>
  <c r="U103" i="10"/>
  <c r="Y102" i="10"/>
  <c r="AD102" i="10" s="1"/>
  <c r="L110" i="10"/>
  <c r="L109" i="10"/>
  <c r="M100" i="10"/>
  <c r="R100" i="10" s="1"/>
  <c r="AA99" i="10"/>
  <c r="V99" i="10"/>
  <c r="E107" i="10" l="1"/>
  <c r="H107" i="10"/>
  <c r="G107" i="10"/>
  <c r="F107" i="10"/>
  <c r="AH101" i="10"/>
  <c r="U104" i="10"/>
  <c r="Y103" i="10"/>
  <c r="AD103" i="10" s="1"/>
  <c r="I111" i="10"/>
  <c r="K111" i="10"/>
  <c r="L111" i="10"/>
  <c r="AA100" i="10"/>
  <c r="V100" i="10"/>
  <c r="J111" i="10"/>
  <c r="M111" i="10"/>
  <c r="M113" i="10"/>
  <c r="M107" i="10"/>
  <c r="M101" i="10"/>
  <c r="R101" i="10" s="1"/>
  <c r="M108" i="10"/>
  <c r="M110" i="10"/>
  <c r="M109" i="10"/>
  <c r="M106" i="10"/>
  <c r="M105" i="10"/>
  <c r="M104" i="10"/>
  <c r="M114" i="10"/>
  <c r="M103" i="10"/>
  <c r="M102" i="10"/>
  <c r="M112" i="10"/>
  <c r="D10" i="10"/>
  <c r="N100" i="10"/>
  <c r="S100" i="10" s="1"/>
  <c r="D108" i="10"/>
  <c r="C108" i="10" s="1"/>
  <c r="W99" i="10"/>
  <c r="Z99" i="10" s="1"/>
  <c r="AC101" i="10"/>
  <c r="AB98" i="10"/>
  <c r="AE98" i="10" s="1"/>
  <c r="AF102" i="10" s="1"/>
  <c r="AG102" i="10" s="1"/>
  <c r="T103" i="10"/>
  <c r="X102" i="10"/>
  <c r="AC102" i="10" s="1"/>
  <c r="I9" i="10" l="1"/>
  <c r="AH102" i="10"/>
  <c r="AI82" i="10" s="1"/>
  <c r="U105" i="10"/>
  <c r="Y104" i="10"/>
  <c r="AD104" i="10" s="1"/>
  <c r="T104" i="10"/>
  <c r="X103" i="10"/>
  <c r="AC103" i="10" s="1"/>
  <c r="AA101" i="10"/>
  <c r="V101" i="10"/>
  <c r="R102" i="10"/>
  <c r="W100" i="10"/>
  <c r="Z100" i="10" s="1"/>
  <c r="D109" i="10"/>
  <c r="C109" i="10" s="1"/>
  <c r="J112" i="10"/>
  <c r="N110" i="10"/>
  <c r="Q110" i="10" s="1"/>
  <c r="N114" i="10"/>
  <c r="Q114" i="10" s="1"/>
  <c r="N113" i="10"/>
  <c r="Q113" i="10" s="1"/>
  <c r="N103" i="10"/>
  <c r="Q103" i="10" s="1"/>
  <c r="N105" i="10"/>
  <c r="Q105" i="10" s="1"/>
  <c r="N108" i="10"/>
  <c r="Q108" i="10" s="1"/>
  <c r="N107" i="10"/>
  <c r="Q107" i="10" s="1"/>
  <c r="N106" i="10"/>
  <c r="Q106" i="10" s="1"/>
  <c r="N104" i="10"/>
  <c r="Q104" i="10" s="1"/>
  <c r="N102" i="10"/>
  <c r="Q102" i="10" s="1"/>
  <c r="N112" i="10"/>
  <c r="Q112" i="10" s="1"/>
  <c r="N109" i="10"/>
  <c r="Q109" i="10" s="1"/>
  <c r="N111" i="10"/>
  <c r="Q111" i="10" s="1"/>
  <c r="E10" i="10"/>
  <c r="N101" i="10"/>
  <c r="Q101" i="10" s="1"/>
  <c r="K112" i="10"/>
  <c r="H108" i="10"/>
  <c r="G108" i="10"/>
  <c r="F108" i="10"/>
  <c r="E108" i="10"/>
  <c r="L112" i="10"/>
  <c r="AB99" i="10"/>
  <c r="AE99" i="10" s="1"/>
  <c r="AF103" i="10" s="1"/>
  <c r="AG103" i="10" s="1"/>
  <c r="Q100" i="10"/>
  <c r="I112" i="10"/>
  <c r="S101" i="10" l="1"/>
  <c r="W101" i="10" s="1"/>
  <c r="Z101" i="10" s="1"/>
  <c r="AH103" i="10"/>
  <c r="V102" i="10"/>
  <c r="R103" i="10"/>
  <c r="AA102" i="10"/>
  <c r="AB100" i="10"/>
  <c r="AE100" i="10" s="1"/>
  <c r="AF104" i="10" s="1"/>
  <c r="AG104" i="10" s="1"/>
  <c r="L113" i="10"/>
  <c r="I113" i="10"/>
  <c r="E109" i="10"/>
  <c r="F109" i="10"/>
  <c r="G109" i="10"/>
  <c r="H109" i="10"/>
  <c r="Y105" i="10"/>
  <c r="U106" i="10"/>
  <c r="J113" i="10"/>
  <c r="T105" i="10"/>
  <c r="X104" i="10"/>
  <c r="AC104" i="10" s="1"/>
  <c r="K113" i="10"/>
  <c r="D110" i="10"/>
  <c r="C110" i="10" s="1"/>
  <c r="S102" i="10" l="1"/>
  <c r="S103" i="10" s="1"/>
  <c r="AH104" i="10"/>
  <c r="AI83" i="10" s="1"/>
  <c r="F110" i="10"/>
  <c r="H110" i="10"/>
  <c r="G110" i="10"/>
  <c r="E110" i="10"/>
  <c r="X105" i="10"/>
  <c r="T106" i="10"/>
  <c r="AD105" i="10"/>
  <c r="L114" i="10"/>
  <c r="Y106" i="10"/>
  <c r="U107" i="10"/>
  <c r="D111" i="10"/>
  <c r="C111" i="10" s="1"/>
  <c r="J114" i="10"/>
  <c r="R104" i="10"/>
  <c r="V103" i="10"/>
  <c r="AA103" i="10"/>
  <c r="I114" i="10"/>
  <c r="K114" i="10"/>
  <c r="AB101" i="10"/>
  <c r="AE101" i="10" s="1"/>
  <c r="AF105" i="10" s="1"/>
  <c r="AG105" i="10" s="1"/>
  <c r="W102" i="10" l="1"/>
  <c r="AH105" i="10"/>
  <c r="AC105" i="10"/>
  <c r="X106" i="10"/>
  <c r="T107" i="10"/>
  <c r="H111" i="10"/>
  <c r="G111" i="10"/>
  <c r="F111" i="10"/>
  <c r="E111" i="10"/>
  <c r="I115" i="10"/>
  <c r="D112" i="10"/>
  <c r="C112" i="10" s="1"/>
  <c r="K115" i="10"/>
  <c r="L115" i="10"/>
  <c r="Y107" i="10"/>
  <c r="U108" i="10"/>
  <c r="J115" i="10"/>
  <c r="AA104" i="10"/>
  <c r="V104" i="10"/>
  <c r="R105" i="10"/>
  <c r="AD106" i="10"/>
  <c r="W103" i="10"/>
  <c r="AB103" i="10" s="1"/>
  <c r="AE103" i="10" s="1"/>
  <c r="AF107" i="10" s="1"/>
  <c r="S104" i="10"/>
  <c r="AB102" i="10" l="1"/>
  <c r="AE102" i="10" s="1"/>
  <c r="AF106" i="10" s="1"/>
  <c r="AG106" i="10" s="1"/>
  <c r="AG107" i="10" s="1"/>
  <c r="Z102" i="10"/>
  <c r="Z103" i="10"/>
  <c r="I116" i="10"/>
  <c r="X107" i="10"/>
  <c r="T108" i="10"/>
  <c r="J116" i="10"/>
  <c r="AC106" i="10"/>
  <c r="U109" i="10"/>
  <c r="Y108" i="10"/>
  <c r="W104" i="10"/>
  <c r="AB104" i="10" s="1"/>
  <c r="AE104" i="10" s="1"/>
  <c r="AF108" i="10" s="1"/>
  <c r="S105" i="10"/>
  <c r="L116" i="10"/>
  <c r="R106" i="10"/>
  <c r="V105" i="10"/>
  <c r="AA105" i="10"/>
  <c r="G112" i="10"/>
  <c r="H112" i="10"/>
  <c r="F112" i="10"/>
  <c r="E112" i="10"/>
  <c r="K116" i="10"/>
  <c r="D113" i="10"/>
  <c r="C113" i="10" s="1"/>
  <c r="AD107" i="10"/>
  <c r="AH106" i="10" l="1"/>
  <c r="AI84" i="10" s="1"/>
  <c r="J8" i="10" s="1"/>
  <c r="AI85" i="10"/>
  <c r="Z104" i="10"/>
  <c r="G113" i="10"/>
  <c r="H113" i="10"/>
  <c r="F113" i="10"/>
  <c r="E113" i="10"/>
  <c r="K117" i="10"/>
  <c r="AD108" i="10"/>
  <c r="J117" i="10"/>
  <c r="L117" i="10"/>
  <c r="R107" i="10"/>
  <c r="AA106" i="10"/>
  <c r="V106" i="10"/>
  <c r="T109" i="10"/>
  <c r="X108" i="10"/>
  <c r="I117" i="10"/>
  <c r="AH107" i="10"/>
  <c r="AG108" i="10"/>
  <c r="AC107" i="10"/>
  <c r="Y109" i="10"/>
  <c r="AD109" i="10" s="1"/>
  <c r="U110" i="10"/>
  <c r="D114" i="10"/>
  <c r="C114" i="10" s="1"/>
  <c r="W105" i="10"/>
  <c r="Z105" i="10" s="1"/>
  <c r="S106" i="10"/>
  <c r="H114" i="10" l="1"/>
  <c r="G114" i="10"/>
  <c r="F114" i="10"/>
  <c r="E114" i="10"/>
  <c r="W106" i="10"/>
  <c r="Z106" i="10" s="1"/>
  <c r="S107" i="10"/>
  <c r="AB105" i="10"/>
  <c r="AE105" i="10" s="1"/>
  <c r="AF109" i="10" s="1"/>
  <c r="AG109" i="10" s="1"/>
  <c r="AC108" i="10"/>
  <c r="X109" i="10"/>
  <c r="AC109" i="10" s="1"/>
  <c r="T110" i="10"/>
  <c r="D115" i="10"/>
  <c r="C115" i="10" s="1"/>
  <c r="I118" i="10"/>
  <c r="AA107" i="10"/>
  <c r="V107" i="10"/>
  <c r="R108" i="10"/>
  <c r="J118" i="10"/>
  <c r="AH108" i="10"/>
  <c r="AI86" i="10" s="1"/>
  <c r="U111" i="10"/>
  <c r="Y110" i="10"/>
  <c r="AD110" i="10" s="1"/>
  <c r="L118" i="10"/>
  <c r="K118" i="10"/>
  <c r="AH109" i="10" l="1"/>
  <c r="W107" i="10"/>
  <c r="Z107" i="10" s="1"/>
  <c r="S108" i="10"/>
  <c r="R109" i="10"/>
  <c r="AA108" i="10"/>
  <c r="V108" i="10"/>
  <c r="AB106" i="10"/>
  <c r="AE106" i="10" s="1"/>
  <c r="AF110" i="10" s="1"/>
  <c r="AG110" i="10" s="1"/>
  <c r="I119" i="10"/>
  <c r="Y111" i="10"/>
  <c r="AD111" i="10" s="1"/>
  <c r="U112" i="10"/>
  <c r="F115" i="10"/>
  <c r="E115" i="10"/>
  <c r="H115" i="10"/>
  <c r="G115" i="10"/>
  <c r="J119" i="10"/>
  <c r="D116" i="10"/>
  <c r="K119" i="10"/>
  <c r="X110" i="10"/>
  <c r="AC110" i="10" s="1"/>
  <c r="T111" i="10"/>
  <c r="L119" i="10"/>
  <c r="AH110" i="10" l="1"/>
  <c r="AI87" i="10" s="1"/>
  <c r="I120" i="10"/>
  <c r="V109" i="10"/>
  <c r="AA109" i="10"/>
  <c r="R110" i="10"/>
  <c r="W108" i="10"/>
  <c r="Z108" i="10" s="1"/>
  <c r="S109" i="10"/>
  <c r="U113" i="10"/>
  <c r="Y112" i="10"/>
  <c r="AD112" i="10" s="1"/>
  <c r="AB107" i="10"/>
  <c r="AE107" i="10" s="1"/>
  <c r="AF111" i="10" s="1"/>
  <c r="AG111" i="10" s="1"/>
  <c r="L120" i="10"/>
  <c r="X111" i="10"/>
  <c r="AC111" i="10" s="1"/>
  <c r="T112" i="10"/>
  <c r="J120" i="10"/>
  <c r="D117" i="10"/>
  <c r="C117" i="10" s="1"/>
  <c r="K120" i="10"/>
  <c r="C116" i="10"/>
  <c r="AH111" i="10" l="1"/>
  <c r="G117" i="10"/>
  <c r="F117" i="10"/>
  <c r="H117" i="10"/>
  <c r="E117" i="10"/>
  <c r="AB108" i="10"/>
  <c r="AE108" i="10" s="1"/>
  <c r="AF112" i="10" s="1"/>
  <c r="AG112" i="10" s="1"/>
  <c r="AA110" i="10"/>
  <c r="V110" i="10"/>
  <c r="R111" i="10"/>
  <c r="U114" i="10"/>
  <c r="Y113" i="10"/>
  <c r="AD113" i="10" s="1"/>
  <c r="W109" i="10"/>
  <c r="AB109" i="10" s="1"/>
  <c r="AE109" i="10" s="1"/>
  <c r="AF113" i="10" s="1"/>
  <c r="S110" i="10"/>
  <c r="X112" i="10"/>
  <c r="AC112" i="10" s="1"/>
  <c r="T113" i="10"/>
  <c r="H116" i="10"/>
  <c r="F116" i="10"/>
  <c r="G116" i="10"/>
  <c r="E116" i="10"/>
  <c r="D118" i="10"/>
  <c r="C118" i="10" s="1"/>
  <c r="Z109" i="10" l="1"/>
  <c r="AH112" i="10"/>
  <c r="AI88" i="10" s="1"/>
  <c r="AG113" i="10"/>
  <c r="F118" i="10"/>
  <c r="H118" i="10"/>
  <c r="G118" i="10"/>
  <c r="E118" i="10"/>
  <c r="J121" i="10"/>
  <c r="L121" i="10"/>
  <c r="X113" i="10"/>
  <c r="AC113" i="10" s="1"/>
  <c r="T114" i="10"/>
  <c r="I122" i="10"/>
  <c r="R112" i="10"/>
  <c r="V111" i="10"/>
  <c r="AA111" i="10"/>
  <c r="W110" i="10"/>
  <c r="AB110" i="10" s="1"/>
  <c r="AE110" i="10" s="1"/>
  <c r="AF114" i="10" s="1"/>
  <c r="S111" i="10"/>
  <c r="L122" i="10"/>
  <c r="I121" i="10"/>
  <c r="J122" i="10"/>
  <c r="K121" i="10"/>
  <c r="K122" i="10"/>
  <c r="D119" i="10"/>
  <c r="C119" i="10" s="1"/>
  <c r="P115" i="10"/>
  <c r="U115" i="10" s="1"/>
  <c r="Y114" i="10"/>
  <c r="AD114" i="10" s="1"/>
  <c r="Z110" i="10" l="1"/>
  <c r="Y115" i="10"/>
  <c r="AD115" i="10" s="1"/>
  <c r="W111" i="10"/>
  <c r="AB111" i="10" s="1"/>
  <c r="AE111" i="10" s="1"/>
  <c r="AF115" i="10" s="1"/>
  <c r="S112" i="10"/>
  <c r="D120" i="10"/>
  <c r="C120" i="10" s="1"/>
  <c r="I123" i="10"/>
  <c r="K123" i="10"/>
  <c r="P120" i="10"/>
  <c r="P122" i="10"/>
  <c r="P117" i="10"/>
  <c r="P125" i="10"/>
  <c r="P128" i="10"/>
  <c r="P123" i="10"/>
  <c r="P126" i="10"/>
  <c r="P129" i="10"/>
  <c r="P124" i="10"/>
  <c r="P119" i="10"/>
  <c r="P127" i="10"/>
  <c r="P118" i="10"/>
  <c r="P116" i="10"/>
  <c r="U116" i="10" s="1"/>
  <c r="P121" i="10"/>
  <c r="G11" i="10"/>
  <c r="E119" i="10"/>
  <c r="G119" i="10"/>
  <c r="H119" i="10"/>
  <c r="F119" i="10"/>
  <c r="R113" i="10"/>
  <c r="AA112" i="10"/>
  <c r="V112" i="10"/>
  <c r="L123" i="10"/>
  <c r="J123" i="10"/>
  <c r="AG114" i="10"/>
  <c r="AH113" i="10"/>
  <c r="X114" i="10"/>
  <c r="AC114" i="10" s="1"/>
  <c r="O115" i="10"/>
  <c r="T115" i="10" s="1"/>
  <c r="Z111" i="10" l="1"/>
  <c r="Y116" i="10"/>
  <c r="U117" i="10"/>
  <c r="X115" i="10"/>
  <c r="AC115" i="10" s="1"/>
  <c r="AA113" i="10"/>
  <c r="R114" i="10"/>
  <c r="V113" i="10"/>
  <c r="J124" i="10"/>
  <c r="F120" i="10"/>
  <c r="E120" i="10"/>
  <c r="H120" i="10"/>
  <c r="G120" i="10"/>
  <c r="L124" i="10"/>
  <c r="D121" i="10"/>
  <c r="K124" i="10"/>
  <c r="W112" i="10"/>
  <c r="AB112" i="10" s="1"/>
  <c r="AE112" i="10" s="1"/>
  <c r="AF116" i="10" s="1"/>
  <c r="S113" i="10"/>
  <c r="AG115" i="10"/>
  <c r="AH114" i="10"/>
  <c r="I124" i="10"/>
  <c r="O121" i="10"/>
  <c r="O126" i="10"/>
  <c r="O120" i="10"/>
  <c r="O129" i="10"/>
  <c r="O127" i="10"/>
  <c r="O119" i="10"/>
  <c r="O122" i="10"/>
  <c r="O117" i="10"/>
  <c r="O125" i="10"/>
  <c r="O128" i="10"/>
  <c r="O123" i="10"/>
  <c r="O118" i="10"/>
  <c r="O116" i="10"/>
  <c r="T116" i="10" s="1"/>
  <c r="O124" i="10"/>
  <c r="F11" i="10"/>
  <c r="AI91" i="10" l="1"/>
  <c r="AI90" i="10"/>
  <c r="AI89" i="10"/>
  <c r="Z112" i="10"/>
  <c r="X116" i="10"/>
  <c r="T117" i="10"/>
  <c r="V114" i="10"/>
  <c r="AA114" i="10"/>
  <c r="M115" i="10"/>
  <c r="J125" i="10"/>
  <c r="D122" i="10"/>
  <c r="C122" i="10" s="1"/>
  <c r="C121" i="10"/>
  <c r="W113" i="10"/>
  <c r="AB113" i="10" s="1"/>
  <c r="AE113" i="10" s="1"/>
  <c r="AF117" i="10" s="1"/>
  <c r="S114" i="10"/>
  <c r="AG116" i="10"/>
  <c r="AH115" i="10"/>
  <c r="AI92" i="10" s="1"/>
  <c r="K125" i="10"/>
  <c r="U118" i="10"/>
  <c r="Y117" i="10"/>
  <c r="L125" i="10"/>
  <c r="AD116" i="10"/>
  <c r="I125" i="10"/>
  <c r="Z113" i="10" l="1"/>
  <c r="D123" i="10"/>
  <c r="AD117" i="10"/>
  <c r="F122" i="10"/>
  <c r="H122" i="10"/>
  <c r="E122" i="10"/>
  <c r="G122" i="10"/>
  <c r="U119" i="10"/>
  <c r="Y118" i="10"/>
  <c r="M123" i="10"/>
  <c r="M125" i="10"/>
  <c r="M119" i="10"/>
  <c r="M129" i="10"/>
  <c r="M124" i="10"/>
  <c r="M127" i="10"/>
  <c r="M122" i="10"/>
  <c r="M128" i="10"/>
  <c r="M126" i="10"/>
  <c r="M118" i="10"/>
  <c r="M117" i="10"/>
  <c r="M116" i="10"/>
  <c r="D11" i="10"/>
  <c r="M121" i="10"/>
  <c r="M120" i="10"/>
  <c r="N115" i="10"/>
  <c r="E121" i="10"/>
  <c r="F121" i="10"/>
  <c r="H121" i="10"/>
  <c r="G121" i="10"/>
  <c r="R115" i="10"/>
  <c r="AH116" i="10"/>
  <c r="AG117" i="10"/>
  <c r="W114" i="10"/>
  <c r="AB114" i="10" s="1"/>
  <c r="AE114" i="10" s="1"/>
  <c r="AF118" i="10" s="1"/>
  <c r="T118" i="10"/>
  <c r="X117" i="10"/>
  <c r="AC116" i="10"/>
  <c r="Z114" i="10" l="1"/>
  <c r="AH117" i="10"/>
  <c r="AI93" i="10" s="1"/>
  <c r="AG118" i="10"/>
  <c r="R116" i="10"/>
  <c r="AA115" i="10"/>
  <c r="V115" i="10"/>
  <c r="K126" i="10"/>
  <c r="Y119" i="10"/>
  <c r="U120" i="10"/>
  <c r="L126" i="10"/>
  <c r="K127" i="10"/>
  <c r="J126" i="10"/>
  <c r="I127" i="10"/>
  <c r="AD118" i="10"/>
  <c r="L127" i="10"/>
  <c r="AC117" i="10"/>
  <c r="J127" i="10"/>
  <c r="X118" i="10"/>
  <c r="T119" i="10"/>
  <c r="N129" i="10"/>
  <c r="Q129" i="10" s="1"/>
  <c r="N122" i="10"/>
  <c r="Q122" i="10" s="1"/>
  <c r="N124" i="10"/>
  <c r="Q124" i="10" s="1"/>
  <c r="N127" i="10"/>
  <c r="Q127" i="10" s="1"/>
  <c r="N119" i="10"/>
  <c r="Q119" i="10" s="1"/>
  <c r="N125" i="10"/>
  <c r="Q125" i="10" s="1"/>
  <c r="N128" i="10"/>
  <c r="Q128" i="10" s="1"/>
  <c r="N123" i="10"/>
  <c r="Q123" i="10" s="1"/>
  <c r="N121" i="10"/>
  <c r="Q121" i="10" s="1"/>
  <c r="E11" i="10"/>
  <c r="N120" i="10"/>
  <c r="Q120" i="10" s="1"/>
  <c r="N118" i="10"/>
  <c r="Q118" i="10" s="1"/>
  <c r="N116" i="10"/>
  <c r="Q116" i="10" s="1"/>
  <c r="N126" i="10"/>
  <c r="Q126" i="10" s="1"/>
  <c r="N117" i="10"/>
  <c r="Q117" i="10" s="1"/>
  <c r="S115" i="10"/>
  <c r="Q115" i="10"/>
  <c r="D124" i="10"/>
  <c r="C124" i="10" s="1"/>
  <c r="I126" i="10"/>
  <c r="C123" i="10"/>
  <c r="I10" i="10" l="1"/>
  <c r="H124" i="10"/>
  <c r="G124" i="10"/>
  <c r="F124" i="10"/>
  <c r="E124" i="10"/>
  <c r="AC118" i="10"/>
  <c r="Y120" i="10"/>
  <c r="U121" i="10"/>
  <c r="W115" i="10"/>
  <c r="AB115" i="10" s="1"/>
  <c r="AE115" i="10" s="1"/>
  <c r="AF119" i="10" s="1"/>
  <c r="AG119" i="10" s="1"/>
  <c r="S116" i="10"/>
  <c r="T120" i="10"/>
  <c r="X119" i="10"/>
  <c r="H123" i="10"/>
  <c r="G123" i="10"/>
  <c r="F123" i="10"/>
  <c r="E123" i="10"/>
  <c r="D125" i="10"/>
  <c r="C125" i="10" s="1"/>
  <c r="AA116" i="10"/>
  <c r="V116" i="10"/>
  <c r="R117" i="10"/>
  <c r="AD119" i="10"/>
  <c r="AH118" i="10"/>
  <c r="Z115" i="10" l="1"/>
  <c r="AH119" i="10"/>
  <c r="AI94" i="10" s="1"/>
  <c r="Y121" i="10"/>
  <c r="U122" i="10"/>
  <c r="AD120" i="10"/>
  <c r="W116" i="10"/>
  <c r="Z116" i="10" s="1"/>
  <c r="S117" i="10"/>
  <c r="I128" i="10"/>
  <c r="T121" i="10"/>
  <c r="X120" i="10"/>
  <c r="J128" i="10"/>
  <c r="I129" i="10"/>
  <c r="K128" i="10"/>
  <c r="J129" i="10"/>
  <c r="R118" i="10"/>
  <c r="V117" i="10"/>
  <c r="AA117" i="10"/>
  <c r="E125" i="10"/>
  <c r="H125" i="10"/>
  <c r="G125" i="10"/>
  <c r="F125" i="10"/>
  <c r="L128" i="10"/>
  <c r="K129" i="10"/>
  <c r="D126" i="10"/>
  <c r="C126" i="10" s="1"/>
  <c r="AC119" i="10"/>
  <c r="L129" i="10"/>
  <c r="H126" i="10" l="1"/>
  <c r="G126" i="10"/>
  <c r="F126" i="10"/>
  <c r="E126" i="10"/>
  <c r="W117" i="10"/>
  <c r="Z117" i="10" s="1"/>
  <c r="S118" i="10"/>
  <c r="AB116" i="10"/>
  <c r="AE116" i="10" s="1"/>
  <c r="AF120" i="10" s="1"/>
  <c r="AG120" i="10" s="1"/>
  <c r="J130" i="10"/>
  <c r="U123" i="10"/>
  <c r="Y122" i="10"/>
  <c r="K130" i="10"/>
  <c r="V118" i="10"/>
  <c r="R119" i="10"/>
  <c r="AA118" i="10"/>
  <c r="L130" i="10"/>
  <c r="AD121" i="10"/>
  <c r="I130" i="10"/>
  <c r="D127" i="10"/>
  <c r="C127" i="10" s="1"/>
  <c r="AC120" i="10"/>
  <c r="X121" i="10"/>
  <c r="T122" i="10"/>
  <c r="H127" i="10" l="1"/>
  <c r="G127" i="10"/>
  <c r="E127" i="10"/>
  <c r="F127" i="10"/>
  <c r="AH120" i="10"/>
  <c r="Y123" i="10"/>
  <c r="AD123" i="10" s="1"/>
  <c r="U124" i="10"/>
  <c r="W118" i="10"/>
  <c r="Z118" i="10" s="1"/>
  <c r="S119" i="10"/>
  <c r="AC121" i="10"/>
  <c r="AA119" i="10"/>
  <c r="R120" i="10"/>
  <c r="V119" i="10"/>
  <c r="AB117" i="10"/>
  <c r="AE117" i="10" s="1"/>
  <c r="AF121" i="10" s="1"/>
  <c r="AG121" i="10" s="1"/>
  <c r="I131" i="10"/>
  <c r="J131" i="10"/>
  <c r="T123" i="10"/>
  <c r="X122" i="10"/>
  <c r="K131" i="10"/>
  <c r="D128" i="10"/>
  <c r="C128" i="10" s="1"/>
  <c r="AD122" i="10"/>
  <c r="L131" i="10"/>
  <c r="AH121" i="10" l="1"/>
  <c r="AI95" i="10" s="1"/>
  <c r="AB118" i="10"/>
  <c r="AE118" i="10" s="1"/>
  <c r="AF122" i="10" s="1"/>
  <c r="AG122" i="10" s="1"/>
  <c r="Y124" i="10"/>
  <c r="AD124" i="10" s="1"/>
  <c r="U125" i="10"/>
  <c r="H128" i="10"/>
  <c r="F128" i="10"/>
  <c r="G128" i="10"/>
  <c r="E128" i="10"/>
  <c r="D129" i="10"/>
  <c r="C129" i="10" s="1"/>
  <c r="W119" i="10"/>
  <c r="Z119" i="10" s="1"/>
  <c r="S120" i="10"/>
  <c r="R121" i="10"/>
  <c r="AA120" i="10"/>
  <c r="V120" i="10"/>
  <c r="J132" i="10"/>
  <c r="I132" i="10"/>
  <c r="AC122" i="10"/>
  <c r="K132" i="10"/>
  <c r="T124" i="10"/>
  <c r="X123" i="10"/>
  <c r="AC123" i="10" s="1"/>
  <c r="L132" i="10"/>
  <c r="AH122" i="10" l="1"/>
  <c r="AI96" i="10" s="1"/>
  <c r="I133" i="10"/>
  <c r="K133" i="10"/>
  <c r="J133" i="10"/>
  <c r="L133" i="10"/>
  <c r="U126" i="10"/>
  <c r="Y125" i="10"/>
  <c r="AD125" i="10" s="1"/>
  <c r="AA121" i="10"/>
  <c r="R122" i="10"/>
  <c r="V121" i="10"/>
  <c r="W120" i="10"/>
  <c r="Z120" i="10" s="1"/>
  <c r="S121" i="10"/>
  <c r="AB119" i="10"/>
  <c r="AE119" i="10" s="1"/>
  <c r="AF123" i="10" s="1"/>
  <c r="AG123" i="10" s="1"/>
  <c r="G129" i="10"/>
  <c r="H129" i="10"/>
  <c r="F129" i="10"/>
  <c r="E129" i="10"/>
  <c r="X124" i="10"/>
  <c r="AC124" i="10" s="1"/>
  <c r="T125" i="10"/>
  <c r="D130" i="10"/>
  <c r="C130" i="10" s="1"/>
  <c r="AI98" i="10" l="1"/>
  <c r="AI97" i="10"/>
  <c r="H130" i="10"/>
  <c r="G130" i="10"/>
  <c r="F130" i="10"/>
  <c r="E130" i="10"/>
  <c r="AH123" i="10"/>
  <c r="K134" i="10"/>
  <c r="W121" i="10"/>
  <c r="Z121" i="10" s="1"/>
  <c r="S122" i="10"/>
  <c r="AB120" i="10"/>
  <c r="AE120" i="10" s="1"/>
  <c r="AF124" i="10" s="1"/>
  <c r="AG124" i="10" s="1"/>
  <c r="L134" i="10"/>
  <c r="D131" i="10"/>
  <c r="C131" i="10" s="1"/>
  <c r="AA122" i="10"/>
  <c r="V122" i="10"/>
  <c r="R123" i="10"/>
  <c r="T126" i="10"/>
  <c r="X125" i="10"/>
  <c r="AC125" i="10" s="1"/>
  <c r="I134" i="10"/>
  <c r="J134" i="10"/>
  <c r="U127" i="10"/>
  <c r="Y126" i="10"/>
  <c r="AD126" i="10" s="1"/>
  <c r="AI101" i="10" l="1"/>
  <c r="AI100" i="10"/>
  <c r="AI99" i="10"/>
  <c r="J9" i="10" s="1"/>
  <c r="AH124" i="10"/>
  <c r="AI102" i="10" s="1"/>
  <c r="W122" i="10"/>
  <c r="Z122" i="10" s="1"/>
  <c r="S123" i="10"/>
  <c r="X126" i="10"/>
  <c r="AC126" i="10" s="1"/>
  <c r="T127" i="10"/>
  <c r="AB121" i="10"/>
  <c r="AE121" i="10" s="1"/>
  <c r="AF125" i="10" s="1"/>
  <c r="AG125" i="10" s="1"/>
  <c r="V123" i="10"/>
  <c r="AA123" i="10"/>
  <c r="R124" i="10"/>
  <c r="F131" i="10"/>
  <c r="H131" i="10"/>
  <c r="G131" i="10"/>
  <c r="E131" i="10"/>
  <c r="U128" i="10"/>
  <c r="Y127" i="10"/>
  <c r="AD127" i="10" s="1"/>
  <c r="D132" i="10"/>
  <c r="C132" i="10" s="1"/>
  <c r="I135" i="10"/>
  <c r="J135" i="10"/>
  <c r="K135" i="10"/>
  <c r="L135" i="10"/>
  <c r="AI103" i="10" l="1"/>
  <c r="F132" i="10"/>
  <c r="G132" i="10"/>
  <c r="E132" i="10"/>
  <c r="H132" i="10"/>
  <c r="AH125" i="10"/>
  <c r="R125" i="10"/>
  <c r="AA124" i="10"/>
  <c r="V124" i="10"/>
  <c r="Y128" i="10"/>
  <c r="AD128" i="10" s="1"/>
  <c r="U129" i="10"/>
  <c r="T128" i="10"/>
  <c r="X127" i="10"/>
  <c r="AC127" i="10" s="1"/>
  <c r="I136" i="10"/>
  <c r="K136" i="10"/>
  <c r="W123" i="10"/>
  <c r="AB123" i="10" s="1"/>
  <c r="AE123" i="10" s="1"/>
  <c r="AF127" i="10" s="1"/>
  <c r="S124" i="10"/>
  <c r="L136" i="10"/>
  <c r="AB122" i="10"/>
  <c r="AE122" i="10" s="1"/>
  <c r="AF126" i="10" s="1"/>
  <c r="AG126" i="10" s="1"/>
  <c r="J136" i="10"/>
  <c r="D133" i="10"/>
  <c r="Z123" i="10" l="1"/>
  <c r="AH126" i="10"/>
  <c r="AI104" i="10" s="1"/>
  <c r="AG127" i="10"/>
  <c r="W124" i="10"/>
  <c r="AB124" i="10" s="1"/>
  <c r="AE124" i="10" s="1"/>
  <c r="AF128" i="10" s="1"/>
  <c r="S125" i="10"/>
  <c r="AA125" i="10"/>
  <c r="R126" i="10"/>
  <c r="V125" i="10"/>
  <c r="D134" i="10"/>
  <c r="C133" i="10"/>
  <c r="L137" i="10"/>
  <c r="I137" i="10"/>
  <c r="T129" i="10"/>
  <c r="X128" i="10"/>
  <c r="AC128" i="10" s="1"/>
  <c r="K137" i="10"/>
  <c r="Y129" i="10"/>
  <c r="AD129" i="10" s="1"/>
  <c r="P130" i="10"/>
  <c r="U130" i="10" s="1"/>
  <c r="J137" i="10"/>
  <c r="Z124" i="10" l="1"/>
  <c r="Y130" i="10"/>
  <c r="AD130" i="10" s="1"/>
  <c r="D135" i="10"/>
  <c r="C135" i="10" s="1"/>
  <c r="C134" i="10"/>
  <c r="V126" i="10"/>
  <c r="R127" i="10"/>
  <c r="AA126" i="10"/>
  <c r="O130" i="10"/>
  <c r="X129" i="10"/>
  <c r="AC129" i="10" s="1"/>
  <c r="P139" i="10"/>
  <c r="P133" i="10"/>
  <c r="P144" i="10"/>
  <c r="P140" i="10"/>
  <c r="P138" i="10"/>
  <c r="P135" i="10"/>
  <c r="P143" i="10"/>
  <c r="P136" i="10"/>
  <c r="P141" i="10"/>
  <c r="P132" i="10"/>
  <c r="P137" i="10"/>
  <c r="P131" i="10"/>
  <c r="U131" i="10" s="1"/>
  <c r="P134" i="10"/>
  <c r="P142" i="10"/>
  <c r="W125" i="10"/>
  <c r="AB125" i="10" s="1"/>
  <c r="AE125" i="10" s="1"/>
  <c r="AF129" i="10" s="1"/>
  <c r="S126" i="10"/>
  <c r="H133" i="10"/>
  <c r="G133" i="10"/>
  <c r="F133" i="10"/>
  <c r="E133" i="10"/>
  <c r="AG128" i="10"/>
  <c r="AH127" i="10"/>
  <c r="Z125" i="10" l="1"/>
  <c r="Y131" i="10"/>
  <c r="AD131" i="10" s="1"/>
  <c r="U132" i="10"/>
  <c r="O140" i="10"/>
  <c r="O141" i="10"/>
  <c r="O136" i="10"/>
  <c r="O131" i="10"/>
  <c r="O139" i="10"/>
  <c r="O134" i="10"/>
  <c r="O144" i="10"/>
  <c r="O135" i="10"/>
  <c r="O138" i="10"/>
  <c r="O143" i="10"/>
  <c r="O133" i="10"/>
  <c r="O132" i="10"/>
  <c r="O137" i="10"/>
  <c r="O142" i="10"/>
  <c r="I138" i="10"/>
  <c r="R128" i="10"/>
  <c r="AA127" i="10"/>
  <c r="V127" i="10"/>
  <c r="K138" i="10"/>
  <c r="L138" i="10"/>
  <c r="AH128" i="10"/>
  <c r="AG129" i="10"/>
  <c r="E134" i="10"/>
  <c r="H134" i="10"/>
  <c r="G134" i="10"/>
  <c r="F134" i="10"/>
  <c r="T130" i="10"/>
  <c r="W126" i="10"/>
  <c r="AB126" i="10" s="1"/>
  <c r="AE126" i="10" s="1"/>
  <c r="AF130" i="10" s="1"/>
  <c r="S127" i="10"/>
  <c r="H135" i="10"/>
  <c r="G135" i="10"/>
  <c r="F135" i="10"/>
  <c r="E135" i="10"/>
  <c r="D136" i="10"/>
  <c r="C136" i="10" s="1"/>
  <c r="J138" i="10"/>
  <c r="AI105" i="10" l="1"/>
  <c r="Z126" i="10"/>
  <c r="T131" i="10"/>
  <c r="X130" i="10"/>
  <c r="AC130" i="10" s="1"/>
  <c r="W127" i="10"/>
  <c r="AB127" i="10" s="1"/>
  <c r="AE127" i="10" s="1"/>
  <c r="AF131" i="10" s="1"/>
  <c r="S128" i="10"/>
  <c r="J139" i="10"/>
  <c r="V128" i="10"/>
  <c r="R129" i="10"/>
  <c r="AA128" i="10"/>
  <c r="K139" i="10"/>
  <c r="L139" i="10"/>
  <c r="D137" i="10"/>
  <c r="C137" i="10" s="1"/>
  <c r="I139" i="10"/>
  <c r="G136" i="10"/>
  <c r="F136" i="10"/>
  <c r="H136" i="10"/>
  <c r="E136" i="10"/>
  <c r="AH129" i="10"/>
  <c r="AG130" i="10"/>
  <c r="I140" i="10"/>
  <c r="J140" i="10"/>
  <c r="K140" i="10"/>
  <c r="Y132" i="10"/>
  <c r="AD132" i="10" s="1"/>
  <c r="U133" i="10"/>
  <c r="L140" i="10"/>
  <c r="Z127" i="10" l="1"/>
  <c r="F137" i="10"/>
  <c r="G137" i="10"/>
  <c r="H137" i="10"/>
  <c r="E137" i="10"/>
  <c r="I141" i="10"/>
  <c r="L141" i="10"/>
  <c r="M130" i="10"/>
  <c r="AA129" i="10"/>
  <c r="V129" i="10"/>
  <c r="AG131" i="10"/>
  <c r="AH130" i="10"/>
  <c r="U134" i="10"/>
  <c r="Y133" i="10"/>
  <c r="AD133" i="10" s="1"/>
  <c r="J141" i="10"/>
  <c r="K141" i="10"/>
  <c r="W128" i="10"/>
  <c r="AB128" i="10" s="1"/>
  <c r="AE128" i="10" s="1"/>
  <c r="AF132" i="10" s="1"/>
  <c r="S129" i="10"/>
  <c r="D138" i="10"/>
  <c r="C138" i="10" s="1"/>
  <c r="X131" i="10"/>
  <c r="AC131" i="10" s="1"/>
  <c r="T132" i="10"/>
  <c r="AI106" i="10" l="1"/>
  <c r="Z128" i="10"/>
  <c r="E138" i="10"/>
  <c r="H138" i="10"/>
  <c r="G138" i="10"/>
  <c r="F138" i="10"/>
  <c r="M142" i="10"/>
  <c r="M143" i="10"/>
  <c r="M141" i="10"/>
  <c r="M136" i="10"/>
  <c r="M137" i="10"/>
  <c r="M140" i="10"/>
  <c r="M138" i="10"/>
  <c r="M135" i="10"/>
  <c r="M139" i="10"/>
  <c r="M132" i="10"/>
  <c r="M133" i="10"/>
  <c r="M144" i="10"/>
  <c r="M134" i="10"/>
  <c r="M131" i="10"/>
  <c r="N130" i="10"/>
  <c r="S130" i="10" s="1"/>
  <c r="W129" i="10"/>
  <c r="AB129" i="10" s="1"/>
  <c r="AE129" i="10" s="1"/>
  <c r="AF133" i="10" s="1"/>
  <c r="X132" i="10"/>
  <c r="AC132" i="10" s="1"/>
  <c r="T133" i="10"/>
  <c r="U135" i="10"/>
  <c r="Y134" i="10"/>
  <c r="AD134" i="10" s="1"/>
  <c r="I142" i="10"/>
  <c r="L142" i="10"/>
  <c r="AH131" i="10"/>
  <c r="AG132" i="10"/>
  <c r="K142" i="10"/>
  <c r="D139" i="10"/>
  <c r="C139" i="10" s="1"/>
  <c r="R130" i="10"/>
  <c r="J142" i="10"/>
  <c r="Z129" i="10" l="1"/>
  <c r="W130" i="10"/>
  <c r="AB130" i="10" s="1"/>
  <c r="E139" i="10"/>
  <c r="F139" i="10"/>
  <c r="H139" i="10"/>
  <c r="G139" i="10"/>
  <c r="AG133" i="10"/>
  <c r="AH132" i="10"/>
  <c r="AI107" i="10" s="1"/>
  <c r="X133" i="10"/>
  <c r="AC133" i="10" s="1"/>
  <c r="T134" i="10"/>
  <c r="N141" i="10"/>
  <c r="Q141" i="10" s="1"/>
  <c r="N144" i="10"/>
  <c r="Q144" i="10" s="1"/>
  <c r="N138" i="10"/>
  <c r="Q138" i="10" s="1"/>
  <c r="N132" i="10"/>
  <c r="Q132" i="10" s="1"/>
  <c r="N139" i="10"/>
  <c r="Q139" i="10" s="1"/>
  <c r="N134" i="10"/>
  <c r="Q134" i="10" s="1"/>
  <c r="N142" i="10"/>
  <c r="Q142" i="10" s="1"/>
  <c r="N140" i="10"/>
  <c r="Q140" i="10" s="1"/>
  <c r="N135" i="10"/>
  <c r="Q135" i="10" s="1"/>
  <c r="N136" i="10"/>
  <c r="Q136" i="10" s="1"/>
  <c r="N143" i="10"/>
  <c r="Q143" i="10" s="1"/>
  <c r="N133" i="10"/>
  <c r="Q133" i="10" s="1"/>
  <c r="N137" i="10"/>
  <c r="Q137" i="10" s="1"/>
  <c r="N131" i="10"/>
  <c r="S131" i="10" s="1"/>
  <c r="Q130" i="10"/>
  <c r="J143" i="10"/>
  <c r="V130" i="10"/>
  <c r="AA130" i="10"/>
  <c r="R131" i="10"/>
  <c r="K143" i="10"/>
  <c r="L143" i="10"/>
  <c r="D140" i="10"/>
  <c r="C140" i="10" s="1"/>
  <c r="U136" i="10"/>
  <c r="Y135" i="10"/>
  <c r="I143" i="10"/>
  <c r="Z130" i="10" l="1"/>
  <c r="AI117" i="10"/>
  <c r="AI115" i="10"/>
  <c r="AI116" i="10"/>
  <c r="I11" i="10"/>
  <c r="AE130" i="10"/>
  <c r="AF134" i="10" s="1"/>
  <c r="AG134" i="10" s="1"/>
  <c r="Q131" i="10"/>
  <c r="W131" i="10"/>
  <c r="AB131" i="10" s="1"/>
  <c r="S132" i="10"/>
  <c r="AH133" i="10"/>
  <c r="AI122" i="10" s="1"/>
  <c r="T135" i="10"/>
  <c r="X134" i="10"/>
  <c r="AC134" i="10" s="1"/>
  <c r="K144" i="10"/>
  <c r="AA131" i="10"/>
  <c r="V131" i="10"/>
  <c r="R132" i="10"/>
  <c r="L144" i="10"/>
  <c r="AD135" i="10"/>
  <c r="J144" i="10"/>
  <c r="U137" i="10"/>
  <c r="Y136" i="10"/>
  <c r="I144" i="10"/>
  <c r="F140" i="10"/>
  <c r="H140" i="10"/>
  <c r="G140" i="10"/>
  <c r="E140" i="10"/>
  <c r="D141" i="10"/>
  <c r="AI121" i="10" l="1"/>
  <c r="AI118" i="10"/>
  <c r="AI119" i="10"/>
  <c r="AI120" i="10"/>
  <c r="Z131" i="10"/>
  <c r="AE131" i="10"/>
  <c r="AF135" i="10" s="1"/>
  <c r="AG135" i="10" s="1"/>
  <c r="Y137" i="10"/>
  <c r="AD137" i="10" s="1"/>
  <c r="U138" i="10"/>
  <c r="J145" i="10"/>
  <c r="X135" i="10"/>
  <c r="T136" i="10"/>
  <c r="R133" i="10"/>
  <c r="AA132" i="10"/>
  <c r="V132" i="10"/>
  <c r="D142" i="10"/>
  <c r="C142" i="10" s="1"/>
  <c r="AH134" i="10"/>
  <c r="AI108" i="10" s="1"/>
  <c r="I145" i="10"/>
  <c r="W132" i="10"/>
  <c r="AB132" i="10" s="1"/>
  <c r="S133" i="10"/>
  <c r="L145" i="10"/>
  <c r="AD136" i="10"/>
  <c r="C141" i="10"/>
  <c r="K145" i="10"/>
  <c r="Z132" i="10" l="1"/>
  <c r="AE132" i="10"/>
  <c r="AF136" i="10" s="1"/>
  <c r="AG136" i="10" s="1"/>
  <c r="V133" i="10"/>
  <c r="R134" i="10"/>
  <c r="AA133" i="10"/>
  <c r="X136" i="10"/>
  <c r="T137" i="10"/>
  <c r="D143" i="10"/>
  <c r="C143" i="10" s="1"/>
  <c r="W133" i="10"/>
  <c r="AB133" i="10" s="1"/>
  <c r="S134" i="10"/>
  <c r="AC135" i="10"/>
  <c r="F142" i="10"/>
  <c r="E142" i="10"/>
  <c r="H142" i="10"/>
  <c r="G142" i="10"/>
  <c r="Y138" i="10"/>
  <c r="U139" i="10"/>
  <c r="G141" i="10"/>
  <c r="F141" i="10"/>
  <c r="H141" i="10"/>
  <c r="E141" i="10"/>
  <c r="AH135" i="10"/>
  <c r="AI123" i="10" s="1"/>
  <c r="Z133" i="10" l="1"/>
  <c r="J147" i="10"/>
  <c r="I146" i="10"/>
  <c r="W134" i="10"/>
  <c r="AB134" i="10" s="1"/>
  <c r="S135" i="10"/>
  <c r="H143" i="10"/>
  <c r="G143" i="10"/>
  <c r="F143" i="10"/>
  <c r="E143" i="10"/>
  <c r="U140" i="10"/>
  <c r="Y139" i="10"/>
  <c r="D144" i="10"/>
  <c r="C144" i="10" s="1"/>
  <c r="AH136" i="10"/>
  <c r="L146" i="10"/>
  <c r="X137" i="10"/>
  <c r="AC137" i="10" s="1"/>
  <c r="T138" i="10"/>
  <c r="J146" i="10"/>
  <c r="AD138" i="10"/>
  <c r="AC136" i="10"/>
  <c r="K147" i="10"/>
  <c r="AE133" i="10"/>
  <c r="AF137" i="10" s="1"/>
  <c r="AG137" i="10" s="1"/>
  <c r="L147" i="10"/>
  <c r="AA134" i="10"/>
  <c r="V134" i="10"/>
  <c r="Z134" i="10" s="1"/>
  <c r="R135" i="10"/>
  <c r="K146" i="10"/>
  <c r="I147" i="10"/>
  <c r="AI109" i="10" l="1"/>
  <c r="AI124" i="10"/>
  <c r="AI125" i="10"/>
  <c r="AE134" i="10"/>
  <c r="AF138" i="10" s="1"/>
  <c r="AG138" i="10" s="1"/>
  <c r="AH137" i="10"/>
  <c r="AI126" i="10" s="1"/>
  <c r="I148" i="10"/>
  <c r="J148" i="10"/>
  <c r="U141" i="10"/>
  <c r="Y140" i="10"/>
  <c r="K148" i="10"/>
  <c r="L148" i="10"/>
  <c r="X138" i="10"/>
  <c r="T139" i="10"/>
  <c r="W135" i="10"/>
  <c r="S136" i="10"/>
  <c r="V135" i="10"/>
  <c r="R136" i="10"/>
  <c r="AA135" i="10"/>
  <c r="H144" i="10"/>
  <c r="G144" i="10"/>
  <c r="F144" i="10"/>
  <c r="E144" i="10"/>
  <c r="D145" i="10"/>
  <c r="AD139" i="10"/>
  <c r="Z135" i="10" l="1"/>
  <c r="J149" i="10"/>
  <c r="K149" i="10"/>
  <c r="L149" i="10"/>
  <c r="AD140" i="10"/>
  <c r="Y141" i="10"/>
  <c r="U142" i="10"/>
  <c r="R137" i="10"/>
  <c r="AA136" i="10"/>
  <c r="V136" i="10"/>
  <c r="I149" i="10"/>
  <c r="W136" i="10"/>
  <c r="S137" i="10"/>
  <c r="AB135" i="10"/>
  <c r="AE135" i="10" s="1"/>
  <c r="AF139" i="10" s="1"/>
  <c r="AG139" i="10" s="1"/>
  <c r="X139" i="10"/>
  <c r="T140" i="10"/>
  <c r="D146" i="10"/>
  <c r="C146" i="10" s="1"/>
  <c r="AC138" i="10"/>
  <c r="AH138" i="10"/>
  <c r="C145" i="10"/>
  <c r="Z136" i="10" l="1"/>
  <c r="AI110" i="10"/>
  <c r="AI111" i="10"/>
  <c r="AI112" i="10"/>
  <c r="AI113" i="10"/>
  <c r="AH139" i="10"/>
  <c r="AD141" i="10"/>
  <c r="Y142" i="10"/>
  <c r="U143" i="10"/>
  <c r="AC139" i="10"/>
  <c r="T141" i="10"/>
  <c r="X140" i="10"/>
  <c r="W137" i="10"/>
  <c r="AB137" i="10" s="1"/>
  <c r="S138" i="10"/>
  <c r="H145" i="10"/>
  <c r="G145" i="10"/>
  <c r="F145" i="10"/>
  <c r="E145" i="10"/>
  <c r="AB136" i="10"/>
  <c r="AE136" i="10" s="1"/>
  <c r="AF140" i="10" s="1"/>
  <c r="AG140" i="10" s="1"/>
  <c r="E146" i="10"/>
  <c r="G146" i="10"/>
  <c r="H146" i="10"/>
  <c r="F146" i="10"/>
  <c r="D147" i="10"/>
  <c r="C147" i="10" s="1"/>
  <c r="R138" i="10"/>
  <c r="AA137" i="10"/>
  <c r="V137" i="10"/>
  <c r="Z137" i="10" l="1"/>
  <c r="AI114" i="10"/>
  <c r="J10" i="10" s="1"/>
  <c r="AI127" i="10"/>
  <c r="AH140" i="10"/>
  <c r="AI128" i="10" s="1"/>
  <c r="L151" i="10"/>
  <c r="I151" i="10"/>
  <c r="T142" i="10"/>
  <c r="X141" i="10"/>
  <c r="Y143" i="10"/>
  <c r="U144" i="10"/>
  <c r="K151" i="10"/>
  <c r="I150" i="10"/>
  <c r="AC140" i="10"/>
  <c r="AE137" i="10"/>
  <c r="AF141" i="10" s="1"/>
  <c r="AG141" i="10" s="1"/>
  <c r="J150" i="10"/>
  <c r="AD142" i="10"/>
  <c r="AA138" i="10"/>
  <c r="R139" i="10"/>
  <c r="V138" i="10"/>
  <c r="K150" i="10"/>
  <c r="H147" i="10"/>
  <c r="G147" i="10"/>
  <c r="F147" i="10"/>
  <c r="E147" i="10"/>
  <c r="L150" i="10"/>
  <c r="D148" i="10"/>
  <c r="C148" i="10" s="1"/>
  <c r="J151" i="10"/>
  <c r="W138" i="10"/>
  <c r="S139" i="10"/>
  <c r="Z138" i="10" l="1"/>
  <c r="AH141" i="10"/>
  <c r="AD143" i="10"/>
  <c r="AC141" i="10"/>
  <c r="T143" i="10"/>
  <c r="X142" i="10"/>
  <c r="J152" i="10"/>
  <c r="D149" i="10"/>
  <c r="L152" i="10"/>
  <c r="G148" i="10"/>
  <c r="H148" i="10"/>
  <c r="F148" i="10"/>
  <c r="E148" i="10"/>
  <c r="K152" i="10"/>
  <c r="W139" i="10"/>
  <c r="S140" i="10"/>
  <c r="AA139" i="10"/>
  <c r="V139" i="10"/>
  <c r="R140" i="10"/>
  <c r="I152" i="10"/>
  <c r="AB138" i="10"/>
  <c r="AE138" i="10" s="1"/>
  <c r="AF142" i="10" s="1"/>
  <c r="AG142" i="10" s="1"/>
  <c r="P145" i="10"/>
  <c r="U145" i="10" s="1"/>
  <c r="Y144" i="10"/>
  <c r="Z139" i="10" l="1"/>
  <c r="AI129" i="10"/>
  <c r="J11" i="10" s="1"/>
  <c r="AH142" i="10"/>
  <c r="AB139" i="10"/>
  <c r="AE139" i="10" s="1"/>
  <c r="AF143" i="10" s="1"/>
  <c r="AG143" i="10" s="1"/>
  <c r="AC142" i="10"/>
  <c r="X143" i="10"/>
  <c r="T144" i="10"/>
  <c r="D150" i="10"/>
  <c r="C150" i="10" s="1"/>
  <c r="I153" i="10"/>
  <c r="J153" i="10"/>
  <c r="AD144" i="10"/>
  <c r="Y145" i="10"/>
  <c r="K153" i="10"/>
  <c r="W140" i="10"/>
  <c r="S141" i="10"/>
  <c r="V140" i="10"/>
  <c r="R141" i="10"/>
  <c r="AA140" i="10"/>
  <c r="P152" i="10"/>
  <c r="P151" i="10"/>
  <c r="P154" i="10"/>
  <c r="P158" i="10"/>
  <c r="P153" i="10"/>
  <c r="P155" i="10"/>
  <c r="P149" i="10"/>
  <c r="P159" i="10"/>
  <c r="P150" i="10"/>
  <c r="P147" i="10"/>
  <c r="P157" i="10"/>
  <c r="P148" i="10"/>
  <c r="P146" i="10"/>
  <c r="U146" i="10" s="1"/>
  <c r="P156" i="10"/>
  <c r="G13" i="10"/>
  <c r="L153" i="10"/>
  <c r="C149" i="10"/>
  <c r="Z140" i="10" l="1"/>
  <c r="U147" i="10"/>
  <c r="Y146" i="10"/>
  <c r="E150" i="10"/>
  <c r="H150" i="10"/>
  <c r="G150" i="10"/>
  <c r="F150" i="10"/>
  <c r="AH143" i="10"/>
  <c r="AI130" i="10" s="1"/>
  <c r="W141" i="10"/>
  <c r="S142" i="10"/>
  <c r="F149" i="10"/>
  <c r="H149" i="10"/>
  <c r="G149" i="10"/>
  <c r="E149" i="10"/>
  <c r="D151" i="10"/>
  <c r="C151" i="10" s="1"/>
  <c r="O145" i="10"/>
  <c r="X144" i="10"/>
  <c r="AC143" i="10"/>
  <c r="AD145" i="10"/>
  <c r="AB140" i="10"/>
  <c r="AE140" i="10" s="1"/>
  <c r="AF144" i="10" s="1"/>
  <c r="AG144" i="10" s="1"/>
  <c r="AA141" i="10"/>
  <c r="R142" i="10"/>
  <c r="V141" i="10"/>
  <c r="Z141" i="10" s="1"/>
  <c r="AH144" i="10" l="1"/>
  <c r="H151" i="10"/>
  <c r="G151" i="10"/>
  <c r="F151" i="10"/>
  <c r="E151" i="10"/>
  <c r="J154" i="10"/>
  <c r="AB141" i="10"/>
  <c r="AE141" i="10" s="1"/>
  <c r="AF145" i="10" s="1"/>
  <c r="AG145" i="10" s="1"/>
  <c r="AC144" i="10"/>
  <c r="W142" i="10"/>
  <c r="S143" i="10"/>
  <c r="O153" i="10"/>
  <c r="O158" i="10"/>
  <c r="O152" i="10"/>
  <c r="O159" i="10"/>
  <c r="O151" i="10"/>
  <c r="O146" i="10"/>
  <c r="O155" i="10"/>
  <c r="O149" i="10"/>
  <c r="O154" i="10"/>
  <c r="O156" i="10"/>
  <c r="O147" i="10"/>
  <c r="O157" i="10"/>
  <c r="O150" i="10"/>
  <c r="F13" i="10"/>
  <c r="O148" i="10"/>
  <c r="J155" i="10"/>
  <c r="K155" i="10"/>
  <c r="V142" i="10"/>
  <c r="R143" i="10"/>
  <c r="AA142" i="10"/>
  <c r="L155" i="10"/>
  <c r="D152" i="10"/>
  <c r="I155" i="10"/>
  <c r="I154" i="10"/>
  <c r="K154" i="10"/>
  <c r="AD146" i="10"/>
  <c r="T145" i="10"/>
  <c r="L154" i="10"/>
  <c r="U148" i="10"/>
  <c r="Y147" i="10"/>
  <c r="AD147" i="10" s="1"/>
  <c r="AI131" i="10" l="1"/>
  <c r="Z142" i="10"/>
  <c r="AH145" i="10"/>
  <c r="R144" i="10"/>
  <c r="AA143" i="10"/>
  <c r="V143" i="10"/>
  <c r="D153" i="10"/>
  <c r="I156" i="10"/>
  <c r="Y148" i="10"/>
  <c r="AD148" i="10" s="1"/>
  <c r="U149" i="10"/>
  <c r="C152" i="10"/>
  <c r="J156" i="10"/>
  <c r="K156" i="10"/>
  <c r="X145" i="10"/>
  <c r="T146" i="10"/>
  <c r="L156" i="10"/>
  <c r="W143" i="10"/>
  <c r="S144" i="10"/>
  <c r="AB142" i="10"/>
  <c r="AE142" i="10" s="1"/>
  <c r="AF146" i="10" s="1"/>
  <c r="AG146" i="10" s="1"/>
  <c r="Z143" i="10" l="1"/>
  <c r="AH146" i="10"/>
  <c r="AI132" i="10" s="1"/>
  <c r="T147" i="10"/>
  <c r="X146" i="10"/>
  <c r="D154" i="10"/>
  <c r="C154" i="10" s="1"/>
  <c r="W144" i="10"/>
  <c r="C153" i="10"/>
  <c r="AB143" i="10"/>
  <c r="AE143" i="10" s="1"/>
  <c r="AF147" i="10" s="1"/>
  <c r="AG147" i="10" s="1"/>
  <c r="AA144" i="10"/>
  <c r="M145" i="10"/>
  <c r="V144" i="10"/>
  <c r="Z144" i="10" s="1"/>
  <c r="F152" i="10"/>
  <c r="H152" i="10"/>
  <c r="G152" i="10"/>
  <c r="E152" i="10"/>
  <c r="AC145" i="10"/>
  <c r="Y149" i="10"/>
  <c r="AD149" i="10" s="1"/>
  <c r="U150" i="10"/>
  <c r="I12" i="10" l="1"/>
  <c r="AH147" i="10"/>
  <c r="AI133" i="10" s="1"/>
  <c r="E153" i="10"/>
  <c r="H153" i="10"/>
  <c r="G153" i="10"/>
  <c r="F153" i="10"/>
  <c r="L157" i="10"/>
  <c r="F154" i="10"/>
  <c r="H154" i="10"/>
  <c r="G154" i="10"/>
  <c r="E154" i="10"/>
  <c r="K157" i="10"/>
  <c r="AB144" i="10"/>
  <c r="AE144" i="10" s="1"/>
  <c r="AF148" i="10" s="1"/>
  <c r="AG148" i="10" s="1"/>
  <c r="J157" i="10"/>
  <c r="D155" i="10"/>
  <c r="I157" i="10"/>
  <c r="M155" i="10"/>
  <c r="M157" i="10"/>
  <c r="M156" i="10"/>
  <c r="M148" i="10"/>
  <c r="M158" i="10"/>
  <c r="M151" i="10"/>
  <c r="M146" i="10"/>
  <c r="M153" i="10"/>
  <c r="M152" i="10"/>
  <c r="M147" i="10"/>
  <c r="M149" i="10"/>
  <c r="M150" i="10"/>
  <c r="M159" i="10"/>
  <c r="M154" i="10"/>
  <c r="D13" i="10"/>
  <c r="N145" i="10"/>
  <c r="Q145" i="10" s="1"/>
  <c r="AC146" i="10"/>
  <c r="X147" i="10"/>
  <c r="AC147" i="10" s="1"/>
  <c r="T148" i="10"/>
  <c r="Y150" i="10"/>
  <c r="U151" i="10"/>
  <c r="R145" i="10"/>
  <c r="AH148" i="10" l="1"/>
  <c r="AD150" i="10"/>
  <c r="L159" i="10"/>
  <c r="D156" i="10"/>
  <c r="C156" i="10" s="1"/>
  <c r="J159" i="10"/>
  <c r="C155" i="10"/>
  <c r="K159" i="10"/>
  <c r="J158" i="10"/>
  <c r="K158" i="10"/>
  <c r="N154" i="10"/>
  <c r="Q154" i="10" s="1"/>
  <c r="N156" i="10"/>
  <c r="Q156" i="10" s="1"/>
  <c r="N150" i="10"/>
  <c r="Q150" i="10" s="1"/>
  <c r="N158" i="10"/>
  <c r="Q158" i="10" s="1"/>
  <c r="N151" i="10"/>
  <c r="Q151" i="10" s="1"/>
  <c r="N146" i="10"/>
  <c r="Q146" i="10" s="1"/>
  <c r="N153" i="10"/>
  <c r="Q153" i="10" s="1"/>
  <c r="N157" i="10"/>
  <c r="Q157" i="10" s="1"/>
  <c r="N149" i="10"/>
  <c r="Q149" i="10" s="1"/>
  <c r="N155" i="10"/>
  <c r="Q155" i="10" s="1"/>
  <c r="N147" i="10"/>
  <c r="Q147" i="10" s="1"/>
  <c r="N152" i="10"/>
  <c r="Q152" i="10" s="1"/>
  <c r="N159" i="10"/>
  <c r="Q159" i="10" s="1"/>
  <c r="N148" i="10"/>
  <c r="Q148" i="10" s="1"/>
  <c r="E13" i="10"/>
  <c r="S145" i="10"/>
  <c r="L158" i="10"/>
  <c r="I159" i="10"/>
  <c r="I158" i="10"/>
  <c r="U152" i="10"/>
  <c r="Y151" i="10"/>
  <c r="X148" i="10"/>
  <c r="AC148" i="10" s="1"/>
  <c r="T149" i="10"/>
  <c r="V145" i="10"/>
  <c r="R146" i="10"/>
  <c r="AA145" i="10"/>
  <c r="AI134" i="10" l="1"/>
  <c r="AI135" i="10"/>
  <c r="AI136" i="10"/>
  <c r="AI137" i="10"/>
  <c r="H156" i="10"/>
  <c r="G156" i="10"/>
  <c r="F156" i="10"/>
  <c r="E156" i="10"/>
  <c r="R147" i="10"/>
  <c r="AA146" i="10"/>
  <c r="V146" i="10"/>
  <c r="D157" i="10"/>
  <c r="C157" i="10" s="1"/>
  <c r="H155" i="10"/>
  <c r="G155" i="10"/>
  <c r="F155" i="10"/>
  <c r="E155" i="10"/>
  <c r="W145" i="10"/>
  <c r="Z145" i="10" s="1"/>
  <c r="S146" i="10"/>
  <c r="X149" i="10"/>
  <c r="AC149" i="10" s="1"/>
  <c r="T150" i="10"/>
  <c r="U153" i="10"/>
  <c r="Y152" i="10"/>
  <c r="AD151" i="10"/>
  <c r="E157" i="10" l="1"/>
  <c r="G157" i="10"/>
  <c r="F157" i="10"/>
  <c r="H157" i="10"/>
  <c r="K160" i="10"/>
  <c r="AD152" i="10"/>
  <c r="D158" i="10"/>
  <c r="C158" i="10" s="1"/>
  <c r="V147" i="10"/>
  <c r="R148" i="10"/>
  <c r="AA147" i="10"/>
  <c r="I161" i="10"/>
  <c r="L160" i="10"/>
  <c r="X150" i="10"/>
  <c r="T151" i="10"/>
  <c r="J161" i="10"/>
  <c r="K161" i="10"/>
  <c r="Y153" i="10"/>
  <c r="U154" i="10"/>
  <c r="W146" i="10"/>
  <c r="Z146" i="10" s="1"/>
  <c r="S147" i="10"/>
  <c r="AB145" i="10"/>
  <c r="AE145" i="10" s="1"/>
  <c r="AF149" i="10" s="1"/>
  <c r="AG149" i="10" s="1"/>
  <c r="I160" i="10"/>
  <c r="J160" i="10"/>
  <c r="L161" i="10"/>
  <c r="F158" i="10" l="1"/>
  <c r="H158" i="10"/>
  <c r="G158" i="10"/>
  <c r="E158" i="10"/>
  <c r="D159" i="10"/>
  <c r="C159" i="10" s="1"/>
  <c r="AH149" i="10"/>
  <c r="AC150" i="10"/>
  <c r="W147" i="10"/>
  <c r="AB147" i="10" s="1"/>
  <c r="AE147" i="10" s="1"/>
  <c r="AF151" i="10" s="1"/>
  <c r="S148" i="10"/>
  <c r="AB146" i="10"/>
  <c r="AE146" i="10" s="1"/>
  <c r="AF150" i="10" s="1"/>
  <c r="AG150" i="10" s="1"/>
  <c r="L162" i="10"/>
  <c r="U155" i="10"/>
  <c r="Y154" i="10"/>
  <c r="J162" i="10"/>
  <c r="T152" i="10"/>
  <c r="X151" i="10"/>
  <c r="AD153" i="10"/>
  <c r="R149" i="10"/>
  <c r="AA148" i="10"/>
  <c r="V148" i="10"/>
  <c r="K162" i="10"/>
  <c r="I162" i="10"/>
  <c r="Z147" i="10" l="1"/>
  <c r="AG151" i="10"/>
  <c r="AH150" i="10"/>
  <c r="AC151" i="10"/>
  <c r="T153" i="10"/>
  <c r="X152" i="10"/>
  <c r="AD154" i="10"/>
  <c r="H159" i="10"/>
  <c r="G159" i="10"/>
  <c r="F159" i="10"/>
  <c r="E159" i="10"/>
  <c r="Y155" i="10"/>
  <c r="U156" i="10"/>
  <c r="D160" i="10"/>
  <c r="C160" i="10" s="1"/>
  <c r="I163" i="10"/>
  <c r="R150" i="10"/>
  <c r="AA149" i="10"/>
  <c r="V149" i="10"/>
  <c r="K163" i="10"/>
  <c r="W148" i="10"/>
  <c r="AB148" i="10" s="1"/>
  <c r="AE148" i="10" s="1"/>
  <c r="AF152" i="10" s="1"/>
  <c r="S149" i="10"/>
  <c r="L163" i="10"/>
  <c r="J163" i="10"/>
  <c r="AI138" i="10" l="1"/>
  <c r="Z148" i="10"/>
  <c r="I164" i="10"/>
  <c r="K164" i="10"/>
  <c r="L164" i="10"/>
  <c r="J164" i="10"/>
  <c r="AC152" i="10"/>
  <c r="V150" i="10"/>
  <c r="R151" i="10"/>
  <c r="AA150" i="10"/>
  <c r="D161" i="10"/>
  <c r="C161" i="10" s="1"/>
  <c r="T154" i="10"/>
  <c r="X153" i="10"/>
  <c r="H160" i="10"/>
  <c r="F160" i="10"/>
  <c r="G160" i="10"/>
  <c r="E160" i="10"/>
  <c r="W149" i="10"/>
  <c r="AB149" i="10" s="1"/>
  <c r="AE149" i="10" s="1"/>
  <c r="AF153" i="10" s="1"/>
  <c r="S150" i="10"/>
  <c r="U157" i="10"/>
  <c r="Y156" i="10"/>
  <c r="AD155" i="10"/>
  <c r="AH151" i="10"/>
  <c r="AG152" i="10"/>
  <c r="AI139" i="10" l="1"/>
  <c r="Z149" i="10"/>
  <c r="G161" i="10"/>
  <c r="H161" i="10"/>
  <c r="F161" i="10"/>
  <c r="E161" i="10"/>
  <c r="W150" i="10"/>
  <c r="Z150" i="10" s="1"/>
  <c r="S151" i="10"/>
  <c r="I165" i="10"/>
  <c r="AC153" i="10"/>
  <c r="K165" i="10"/>
  <c r="L165" i="10"/>
  <c r="X154" i="10"/>
  <c r="T155" i="10"/>
  <c r="AG153" i="10"/>
  <c r="AH152" i="10"/>
  <c r="AI140" i="10" s="1"/>
  <c r="J165" i="10"/>
  <c r="D162" i="10"/>
  <c r="C162" i="10" s="1"/>
  <c r="AD156" i="10"/>
  <c r="U158" i="10"/>
  <c r="Y157" i="10"/>
  <c r="AA151" i="10"/>
  <c r="V151" i="10"/>
  <c r="R152" i="10"/>
  <c r="D163" i="10" l="1"/>
  <c r="C163" i="10" s="1"/>
  <c r="AH153" i="10"/>
  <c r="W151" i="10"/>
  <c r="Z151" i="10" s="1"/>
  <c r="S152" i="10"/>
  <c r="T156" i="10"/>
  <c r="X155" i="10"/>
  <c r="AB150" i="10"/>
  <c r="AE150" i="10" s="1"/>
  <c r="AF154" i="10" s="1"/>
  <c r="AG154" i="10" s="1"/>
  <c r="R153" i="10"/>
  <c r="V152" i="10"/>
  <c r="AA152" i="10"/>
  <c r="U159" i="10"/>
  <c r="Y158" i="10"/>
  <c r="AC154" i="10"/>
  <c r="I166" i="10"/>
  <c r="F162" i="10"/>
  <c r="H162" i="10"/>
  <c r="G162" i="10"/>
  <c r="E162" i="10"/>
  <c r="AD157" i="10"/>
  <c r="J166" i="10"/>
  <c r="L166" i="10"/>
  <c r="K166" i="10"/>
  <c r="AH154" i="10" l="1"/>
  <c r="E163" i="10"/>
  <c r="H163" i="10"/>
  <c r="G163" i="10"/>
  <c r="F163" i="10"/>
  <c r="J167" i="10"/>
  <c r="AC155" i="10"/>
  <c r="X156" i="10"/>
  <c r="T157" i="10"/>
  <c r="L167" i="10"/>
  <c r="R154" i="10"/>
  <c r="AA153" i="10"/>
  <c r="V153" i="10"/>
  <c r="W152" i="10"/>
  <c r="Z152" i="10" s="1"/>
  <c r="S153" i="10"/>
  <c r="AB151" i="10"/>
  <c r="AE151" i="10" s="1"/>
  <c r="AF155" i="10" s="1"/>
  <c r="AG155" i="10" s="1"/>
  <c r="K167" i="10"/>
  <c r="AD158" i="10"/>
  <c r="Y159" i="10"/>
  <c r="P160" i="10"/>
  <c r="U160" i="10" s="1"/>
  <c r="I167" i="10"/>
  <c r="D164" i="10"/>
  <c r="C164" i="10" s="1"/>
  <c r="AI141" i="10" l="1"/>
  <c r="Y160" i="10"/>
  <c r="AH155" i="10"/>
  <c r="D165" i="10"/>
  <c r="AC156" i="10"/>
  <c r="W153" i="10"/>
  <c r="Z153" i="10" s="1"/>
  <c r="S154" i="10"/>
  <c r="H164" i="10"/>
  <c r="G164" i="10"/>
  <c r="F164" i="10"/>
  <c r="E164" i="10"/>
  <c r="AB152" i="10"/>
  <c r="AE152" i="10" s="1"/>
  <c r="AF156" i="10" s="1"/>
  <c r="AG156" i="10" s="1"/>
  <c r="J168" i="10"/>
  <c r="X157" i="10"/>
  <c r="T158" i="10"/>
  <c r="K168" i="10"/>
  <c r="L168" i="10"/>
  <c r="P164" i="10"/>
  <c r="P173" i="10"/>
  <c r="P171" i="10"/>
  <c r="P174" i="10"/>
  <c r="P172" i="10"/>
  <c r="P166" i="10"/>
  <c r="P169" i="10"/>
  <c r="P163" i="10"/>
  <c r="P170" i="10"/>
  <c r="P165" i="10"/>
  <c r="P167" i="10"/>
  <c r="P168" i="10"/>
  <c r="P162" i="10"/>
  <c r="P161" i="10"/>
  <c r="U161" i="10" s="1"/>
  <c r="G14" i="10"/>
  <c r="AA154" i="10"/>
  <c r="R155" i="10"/>
  <c r="V154" i="10"/>
  <c r="I168" i="10"/>
  <c r="AD159" i="10"/>
  <c r="AI142" i="10" l="1"/>
  <c r="AH156" i="10"/>
  <c r="AI143" i="10" s="1"/>
  <c r="U162" i="10"/>
  <c r="Y161" i="10"/>
  <c r="W154" i="10"/>
  <c r="Z154" i="10" s="1"/>
  <c r="S155" i="10"/>
  <c r="AB153" i="10"/>
  <c r="AE153" i="10" s="1"/>
  <c r="AF157" i="10" s="1"/>
  <c r="AG157" i="10" s="1"/>
  <c r="X158" i="10"/>
  <c r="T159" i="10"/>
  <c r="V155" i="10"/>
  <c r="AA155" i="10"/>
  <c r="R156" i="10"/>
  <c r="AC157" i="10"/>
  <c r="D166" i="10"/>
  <c r="C166" i="10" s="1"/>
  <c r="C165" i="10"/>
  <c r="L169" i="10"/>
  <c r="I169" i="10"/>
  <c r="AD160" i="10"/>
  <c r="J169" i="10"/>
  <c r="K169" i="10"/>
  <c r="AH157" i="10" l="1"/>
  <c r="F166" i="10"/>
  <c r="H166" i="10"/>
  <c r="E166" i="10"/>
  <c r="G166" i="10"/>
  <c r="X159" i="10"/>
  <c r="O160" i="10"/>
  <c r="AC158" i="10"/>
  <c r="E165" i="10"/>
  <c r="G165" i="10"/>
  <c r="H165" i="10"/>
  <c r="F165" i="10"/>
  <c r="W155" i="10"/>
  <c r="Z155" i="10" s="1"/>
  <c r="S156" i="10"/>
  <c r="AB154" i="10"/>
  <c r="AE154" i="10" s="1"/>
  <c r="AF158" i="10" s="1"/>
  <c r="AG158" i="10" s="1"/>
  <c r="D167" i="10"/>
  <c r="C167" i="10" s="1"/>
  <c r="AD161" i="10"/>
  <c r="Y162" i="10"/>
  <c r="U163" i="10"/>
  <c r="AA156" i="10"/>
  <c r="R157" i="10"/>
  <c r="V156" i="10"/>
  <c r="AH158" i="10" l="1"/>
  <c r="D168" i="10"/>
  <c r="H167" i="10"/>
  <c r="G167" i="10"/>
  <c r="F167" i="10"/>
  <c r="E167" i="10"/>
  <c r="O165" i="10"/>
  <c r="O170" i="10"/>
  <c r="O164" i="10"/>
  <c r="O173" i="10"/>
  <c r="O171" i="10"/>
  <c r="O174" i="10"/>
  <c r="O169" i="10"/>
  <c r="O168" i="10"/>
  <c r="O172" i="10"/>
  <c r="O163" i="10"/>
  <c r="O162" i="10"/>
  <c r="O166" i="10"/>
  <c r="O167" i="10"/>
  <c r="O161" i="10"/>
  <c r="F14" i="10"/>
  <c r="AC159" i="10"/>
  <c r="T160" i="10"/>
  <c r="K171" i="10"/>
  <c r="W156" i="10"/>
  <c r="Z156" i="10" s="1"/>
  <c r="S157" i="10"/>
  <c r="I171" i="10"/>
  <c r="AB155" i="10"/>
  <c r="AE155" i="10" s="1"/>
  <c r="AF159" i="10" s="1"/>
  <c r="AG159" i="10" s="1"/>
  <c r="L171" i="10"/>
  <c r="U164" i="10"/>
  <c r="Y163" i="10"/>
  <c r="J170" i="10"/>
  <c r="J171" i="10"/>
  <c r="AD162" i="10"/>
  <c r="L170" i="10"/>
  <c r="I170" i="10"/>
  <c r="AA157" i="10"/>
  <c r="V157" i="10"/>
  <c r="R158" i="10"/>
  <c r="K170" i="10"/>
  <c r="AI144" i="10" l="1"/>
  <c r="J12" i="10" s="1"/>
  <c r="AH159" i="10"/>
  <c r="I172" i="10"/>
  <c r="J172" i="10"/>
  <c r="W157" i="10"/>
  <c r="Z157" i="10" s="1"/>
  <c r="S158" i="10"/>
  <c r="K172" i="10"/>
  <c r="V158" i="10"/>
  <c r="R159" i="10"/>
  <c r="AA158" i="10"/>
  <c r="AB156" i="10"/>
  <c r="AE156" i="10" s="1"/>
  <c r="AF160" i="10" s="1"/>
  <c r="AG160" i="10" s="1"/>
  <c r="L172" i="10"/>
  <c r="D169" i="10"/>
  <c r="C169" i="10" s="1"/>
  <c r="C168" i="10"/>
  <c r="AD163" i="10"/>
  <c r="T161" i="10"/>
  <c r="X160" i="10"/>
  <c r="U165" i="10"/>
  <c r="Y164" i="10"/>
  <c r="AI145" i="10" l="1"/>
  <c r="AH160" i="10"/>
  <c r="W158" i="10"/>
  <c r="Z158" i="10" s="1"/>
  <c r="S159" i="10"/>
  <c r="D170" i="10"/>
  <c r="AB157" i="10"/>
  <c r="AE157" i="10" s="1"/>
  <c r="AF161" i="10" s="1"/>
  <c r="AG161" i="10" s="1"/>
  <c r="H168" i="10"/>
  <c r="G168" i="10"/>
  <c r="F168" i="10"/>
  <c r="E168" i="10"/>
  <c r="AD164" i="10"/>
  <c r="U166" i="10"/>
  <c r="Y165" i="10"/>
  <c r="H169" i="10"/>
  <c r="E169" i="10"/>
  <c r="F169" i="10"/>
  <c r="G169" i="10"/>
  <c r="AC160" i="10"/>
  <c r="V159" i="10"/>
  <c r="M160" i="10"/>
  <c r="AA159" i="10"/>
  <c r="T162" i="10"/>
  <c r="X161" i="10"/>
  <c r="AH161" i="10" l="1"/>
  <c r="AI146" i="10" s="1"/>
  <c r="K173" i="10"/>
  <c r="L173" i="10"/>
  <c r="I174" i="10"/>
  <c r="L174" i="10"/>
  <c r="D171" i="10"/>
  <c r="C171" i="10" s="1"/>
  <c r="X162" i="10"/>
  <c r="T163" i="10"/>
  <c r="AD165" i="10"/>
  <c r="C170" i="10"/>
  <c r="I173" i="10"/>
  <c r="U167" i="10"/>
  <c r="Y166" i="10"/>
  <c r="W159" i="10"/>
  <c r="Z159" i="10" s="1"/>
  <c r="K174" i="10"/>
  <c r="M167" i="10"/>
  <c r="M169" i="10"/>
  <c r="M163" i="10"/>
  <c r="M170" i="10"/>
  <c r="M173" i="10"/>
  <c r="M168" i="10"/>
  <c r="M161" i="10"/>
  <c r="M166" i="10"/>
  <c r="M172" i="10"/>
  <c r="M171" i="10"/>
  <c r="M164" i="10"/>
  <c r="M165" i="10"/>
  <c r="M162" i="10"/>
  <c r="M174" i="10"/>
  <c r="D14" i="10"/>
  <c r="N160" i="10"/>
  <c r="Q160" i="10" s="1"/>
  <c r="AB158" i="10"/>
  <c r="AE158" i="10" s="1"/>
  <c r="AF162" i="10" s="1"/>
  <c r="AG162" i="10" s="1"/>
  <c r="J173" i="10"/>
  <c r="J174" i="10"/>
  <c r="AC161" i="10"/>
  <c r="R160" i="10"/>
  <c r="I13" i="10" l="1"/>
  <c r="S160" i="10"/>
  <c r="W160" i="10" s="1"/>
  <c r="AH162" i="10"/>
  <c r="E171" i="10"/>
  <c r="H171" i="10"/>
  <c r="F171" i="10"/>
  <c r="G171" i="10"/>
  <c r="AD166" i="10"/>
  <c r="Y167" i="10"/>
  <c r="U168" i="10"/>
  <c r="N166" i="10"/>
  <c r="Q166" i="10" s="1"/>
  <c r="N173" i="10"/>
  <c r="Q173" i="10" s="1"/>
  <c r="N168" i="10"/>
  <c r="Q168" i="10" s="1"/>
  <c r="N171" i="10"/>
  <c r="Q171" i="10" s="1"/>
  <c r="N174" i="10"/>
  <c r="Q174" i="10" s="1"/>
  <c r="N164" i="10"/>
  <c r="Q164" i="10" s="1"/>
  <c r="N161" i="10"/>
  <c r="Q161" i="10" s="1"/>
  <c r="N169" i="10"/>
  <c r="Q169" i="10" s="1"/>
  <c r="N172" i="10"/>
  <c r="Q172" i="10" s="1"/>
  <c r="N163" i="10"/>
  <c r="Q163" i="10" s="1"/>
  <c r="N170" i="10"/>
  <c r="Q170" i="10" s="1"/>
  <c r="N165" i="10"/>
  <c r="Q165" i="10" s="1"/>
  <c r="N162" i="10"/>
  <c r="Q162" i="10" s="1"/>
  <c r="N167" i="10"/>
  <c r="Q167" i="10" s="1"/>
  <c r="E14" i="10"/>
  <c r="D172" i="10"/>
  <c r="V160" i="10"/>
  <c r="AA160" i="10"/>
  <c r="R161" i="10"/>
  <c r="H170" i="10"/>
  <c r="E170" i="10"/>
  <c r="G170" i="10"/>
  <c r="F170" i="10"/>
  <c r="X163" i="10"/>
  <c r="T164" i="10"/>
  <c r="AB159" i="10"/>
  <c r="AE159" i="10" s="1"/>
  <c r="AF163" i="10" s="1"/>
  <c r="AG163" i="10" s="1"/>
  <c r="AC162" i="10"/>
  <c r="Z160" i="10" l="1"/>
  <c r="S161" i="10"/>
  <c r="S162" i="10" s="1"/>
  <c r="AH163" i="10"/>
  <c r="AI147" i="10" s="1"/>
  <c r="AB160" i="10"/>
  <c r="AE160" i="10" s="1"/>
  <c r="AF164" i="10" s="1"/>
  <c r="AG164" i="10" s="1"/>
  <c r="D173" i="10"/>
  <c r="C173" i="10" s="1"/>
  <c r="C172" i="10"/>
  <c r="J175" i="10"/>
  <c r="K175" i="10"/>
  <c r="K176" i="10"/>
  <c r="R162" i="10"/>
  <c r="V161" i="10"/>
  <c r="AA161" i="10"/>
  <c r="I175" i="10"/>
  <c r="J176" i="10"/>
  <c r="T165" i="10"/>
  <c r="X164" i="10"/>
  <c r="L175" i="10"/>
  <c r="L176" i="10"/>
  <c r="AC163" i="10"/>
  <c r="Y168" i="10"/>
  <c r="U169" i="10"/>
  <c r="I176" i="10"/>
  <c r="AD167" i="10"/>
  <c r="W161" i="10" l="1"/>
  <c r="Z161" i="10" s="1"/>
  <c r="AH164" i="10"/>
  <c r="AI148" i="10" s="1"/>
  <c r="G173" i="10"/>
  <c r="H173" i="10"/>
  <c r="F173" i="10"/>
  <c r="E173" i="10"/>
  <c r="Y169" i="10"/>
  <c r="U170" i="10"/>
  <c r="W162" i="10"/>
  <c r="S163" i="10"/>
  <c r="H172" i="10"/>
  <c r="F172" i="10"/>
  <c r="G172" i="10"/>
  <c r="E172" i="10"/>
  <c r="D174" i="10"/>
  <c r="C174" i="10" s="1"/>
  <c r="R163" i="10"/>
  <c r="V162" i="10"/>
  <c r="AA162" i="10"/>
  <c r="AD168" i="10"/>
  <c r="T166" i="10"/>
  <c r="X165" i="10"/>
  <c r="AC164" i="10"/>
  <c r="Z162" i="10" l="1"/>
  <c r="AB161" i="10"/>
  <c r="AE161" i="10" s="1"/>
  <c r="AF165" i="10" s="1"/>
  <c r="AG165" i="10" s="1"/>
  <c r="AH165" i="10" s="1"/>
  <c r="AA163" i="10"/>
  <c r="R164" i="10"/>
  <c r="V163" i="10"/>
  <c r="AB162" i="10"/>
  <c r="AE162" i="10" s="1"/>
  <c r="AF166" i="10" s="1"/>
  <c r="U171" i="10"/>
  <c r="Y170" i="10"/>
  <c r="AD169" i="10"/>
  <c r="I178" i="10"/>
  <c r="W163" i="10"/>
  <c r="S164" i="10"/>
  <c r="D175" i="10"/>
  <c r="C175" i="10" s="1"/>
  <c r="I177" i="10"/>
  <c r="J178" i="10"/>
  <c r="AC165" i="10"/>
  <c r="K177" i="10"/>
  <c r="L178" i="10"/>
  <c r="X166" i="10"/>
  <c r="T167" i="10"/>
  <c r="J177" i="10"/>
  <c r="K178" i="10"/>
  <c r="L177" i="10"/>
  <c r="F174" i="10"/>
  <c r="H174" i="10"/>
  <c r="G174" i="10"/>
  <c r="E174" i="10"/>
  <c r="Z163" i="10" l="1"/>
  <c r="AG166" i="10"/>
  <c r="AH166" i="10" s="1"/>
  <c r="AI149" i="10" s="1"/>
  <c r="E175" i="10"/>
  <c r="H175" i="10"/>
  <c r="G175" i="10"/>
  <c r="F175" i="10"/>
  <c r="AD170" i="10"/>
  <c r="U172" i="10"/>
  <c r="Y171" i="10"/>
  <c r="X167" i="10"/>
  <c r="T168" i="10"/>
  <c r="I179" i="10"/>
  <c r="AC166" i="10"/>
  <c r="D176" i="10"/>
  <c r="C176" i="10" s="1"/>
  <c r="K179" i="10"/>
  <c r="W164" i="10"/>
  <c r="S165" i="10"/>
  <c r="L179" i="10"/>
  <c r="AB163" i="10"/>
  <c r="AE163" i="10" s="1"/>
  <c r="AF167" i="10" s="1"/>
  <c r="R165" i="10"/>
  <c r="V164" i="10"/>
  <c r="Z164" i="10" s="1"/>
  <c r="AA164" i="10"/>
  <c r="J179" i="10"/>
  <c r="AG167" i="10" l="1"/>
  <c r="AH167" i="10" s="1"/>
  <c r="AI150" i="10" s="1"/>
  <c r="AC167" i="10"/>
  <c r="W165" i="10"/>
  <c r="S166" i="10"/>
  <c r="AD171" i="10"/>
  <c r="AB164" i="10"/>
  <c r="AE164" i="10" s="1"/>
  <c r="AF168" i="10" s="1"/>
  <c r="Y172" i="10"/>
  <c r="U173" i="10"/>
  <c r="X168" i="10"/>
  <c r="T169" i="10"/>
  <c r="E176" i="10"/>
  <c r="H176" i="10"/>
  <c r="G176" i="10"/>
  <c r="F176" i="10"/>
  <c r="D177" i="10"/>
  <c r="J180" i="10"/>
  <c r="AA165" i="10"/>
  <c r="V165" i="10"/>
  <c r="R166" i="10"/>
  <c r="K180" i="10"/>
  <c r="L180" i="10"/>
  <c r="I180" i="10"/>
  <c r="Z165" i="10" l="1"/>
  <c r="AG168" i="10"/>
  <c r="AH168" i="10" s="1"/>
  <c r="AI151" i="10" s="1"/>
  <c r="D178" i="10"/>
  <c r="C178" i="10" s="1"/>
  <c r="AD172" i="10"/>
  <c r="U174" i="10"/>
  <c r="Y173" i="10"/>
  <c r="C177" i="10"/>
  <c r="J181" i="10"/>
  <c r="K181" i="10"/>
  <c r="L181" i="10"/>
  <c r="I181" i="10"/>
  <c r="W166" i="10"/>
  <c r="S167" i="10"/>
  <c r="AA166" i="10"/>
  <c r="R167" i="10"/>
  <c r="V166" i="10"/>
  <c r="T170" i="10"/>
  <c r="X169" i="10"/>
  <c r="AB165" i="10"/>
  <c r="AE165" i="10" s="1"/>
  <c r="AF169" i="10" s="1"/>
  <c r="AC168" i="10"/>
  <c r="Z166" i="10" l="1"/>
  <c r="AG169" i="10"/>
  <c r="AH169" i="10" s="1"/>
  <c r="AA167" i="10"/>
  <c r="V167" i="10"/>
  <c r="R168" i="10"/>
  <c r="E177" i="10"/>
  <c r="H177" i="10"/>
  <c r="G177" i="10"/>
  <c r="F177" i="10"/>
  <c r="AD173" i="10"/>
  <c r="P175" i="10"/>
  <c r="Y174" i="10"/>
  <c r="X170" i="10"/>
  <c r="T171" i="10"/>
  <c r="AB166" i="10"/>
  <c r="AE166" i="10" s="1"/>
  <c r="AF170" i="10" s="1"/>
  <c r="W167" i="10"/>
  <c r="S168" i="10"/>
  <c r="F178" i="10"/>
  <c r="H178" i="10"/>
  <c r="G178" i="10"/>
  <c r="E178" i="10"/>
  <c r="D179" i="10"/>
  <c r="C179" i="10" s="1"/>
  <c r="AC169" i="10"/>
  <c r="Z167" i="10" l="1"/>
  <c r="AG170" i="10"/>
  <c r="AH170" i="10" s="1"/>
  <c r="AI152" i="10" s="1"/>
  <c r="W168" i="10"/>
  <c r="S169" i="10"/>
  <c r="J183" i="10"/>
  <c r="AB167" i="10"/>
  <c r="AE167" i="10" s="1"/>
  <c r="AF171" i="10" s="1"/>
  <c r="J182" i="10"/>
  <c r="K182" i="10"/>
  <c r="L182" i="10"/>
  <c r="L183" i="10"/>
  <c r="T172" i="10"/>
  <c r="X171" i="10"/>
  <c r="I182" i="10"/>
  <c r="H179" i="10"/>
  <c r="F179" i="10"/>
  <c r="E179" i="10"/>
  <c r="G179" i="10"/>
  <c r="AC170" i="10"/>
  <c r="R169" i="10"/>
  <c r="V168" i="10"/>
  <c r="Z168" i="10" s="1"/>
  <c r="AA168" i="10"/>
  <c r="D180" i="10"/>
  <c r="C180" i="10" s="1"/>
  <c r="AD174" i="10"/>
  <c r="P176" i="10"/>
  <c r="P186" i="10"/>
  <c r="P181" i="10"/>
  <c r="P188" i="10"/>
  <c r="P184" i="10"/>
  <c r="P179" i="10"/>
  <c r="P182" i="10"/>
  <c r="P177" i="10"/>
  <c r="P178" i="10"/>
  <c r="P189" i="10"/>
  <c r="P180" i="10"/>
  <c r="P187" i="10"/>
  <c r="P183" i="10"/>
  <c r="P185" i="10"/>
  <c r="G15" i="10"/>
  <c r="I183" i="10"/>
  <c r="U175" i="10"/>
  <c r="K183" i="10"/>
  <c r="AG171" i="10" l="1"/>
  <c r="AH171" i="10" s="1"/>
  <c r="AI153" i="10" s="1"/>
  <c r="H180" i="10"/>
  <c r="G180" i="10"/>
  <c r="F180" i="10"/>
  <c r="E180" i="10"/>
  <c r="J184" i="10"/>
  <c r="I184" i="10"/>
  <c r="L184" i="10"/>
  <c r="K184" i="10"/>
  <c r="D181" i="10"/>
  <c r="C181" i="10" s="1"/>
  <c r="AC171" i="10"/>
  <c r="Y175" i="10"/>
  <c r="U176" i="10"/>
  <c r="X172" i="10"/>
  <c r="T173" i="10"/>
  <c r="W169" i="10"/>
  <c r="S170" i="10"/>
  <c r="AA169" i="10"/>
  <c r="V169" i="10"/>
  <c r="R170" i="10"/>
  <c r="AB168" i="10"/>
  <c r="AE168" i="10" s="1"/>
  <c r="AF172" i="10" s="1"/>
  <c r="Z169" i="10" l="1"/>
  <c r="AG172" i="10"/>
  <c r="AH172" i="10" s="1"/>
  <c r="AI154" i="10" s="1"/>
  <c r="T174" i="10"/>
  <c r="X173" i="10"/>
  <c r="AD175" i="10"/>
  <c r="V170" i="10"/>
  <c r="R171" i="10"/>
  <c r="AA170" i="10"/>
  <c r="U177" i="10"/>
  <c r="Y176" i="10"/>
  <c r="E181" i="10"/>
  <c r="H181" i="10"/>
  <c r="F181" i="10"/>
  <c r="G181" i="10"/>
  <c r="I185" i="10"/>
  <c r="AC172" i="10"/>
  <c r="W170" i="10"/>
  <c r="S171" i="10"/>
  <c r="D182" i="10"/>
  <c r="C182" i="10" s="1"/>
  <c r="J185" i="10"/>
  <c r="AB169" i="10"/>
  <c r="AE169" i="10" s="1"/>
  <c r="AF173" i="10" s="1"/>
  <c r="K185" i="10"/>
  <c r="L185" i="10"/>
  <c r="Z170" i="10" l="1"/>
  <c r="AG173" i="10"/>
  <c r="AH173" i="10" s="1"/>
  <c r="R172" i="10"/>
  <c r="AA171" i="10"/>
  <c r="V171" i="10"/>
  <c r="W171" i="10"/>
  <c r="S172" i="10"/>
  <c r="K186" i="10"/>
  <c r="AB170" i="10"/>
  <c r="AE170" i="10" s="1"/>
  <c r="AF174" i="10" s="1"/>
  <c r="J186" i="10"/>
  <c r="L186" i="10"/>
  <c r="AC173" i="10"/>
  <c r="I186" i="10"/>
  <c r="X174" i="10"/>
  <c r="O175" i="10"/>
  <c r="T175" i="10" s="1"/>
  <c r="H182" i="10"/>
  <c r="G182" i="10"/>
  <c r="F182" i="10"/>
  <c r="E182" i="10"/>
  <c r="U178" i="10"/>
  <c r="Y177" i="10"/>
  <c r="D183" i="10"/>
  <c r="C183" i="10" s="1"/>
  <c r="AD176" i="10"/>
  <c r="Z171" i="10" l="1"/>
  <c r="AG174" i="10"/>
  <c r="AH174" i="10" s="1"/>
  <c r="AC174" i="10"/>
  <c r="H183" i="10"/>
  <c r="G183" i="10"/>
  <c r="F183" i="10"/>
  <c r="E183" i="10"/>
  <c r="D184" i="10"/>
  <c r="C184" i="10" s="1"/>
  <c r="W172" i="10"/>
  <c r="S173" i="10"/>
  <c r="AD177" i="10"/>
  <c r="AB171" i="10"/>
  <c r="AE171" i="10" s="1"/>
  <c r="AF175" i="10" s="1"/>
  <c r="U179" i="10"/>
  <c r="Y178" i="10"/>
  <c r="X175" i="10"/>
  <c r="I187" i="10"/>
  <c r="V172" i="10"/>
  <c r="R173" i="10"/>
  <c r="AA172" i="10"/>
  <c r="O177" i="10"/>
  <c r="O187" i="10"/>
  <c r="O182" i="10"/>
  <c r="O176" i="10"/>
  <c r="T176" i="10" s="1"/>
  <c r="O189" i="10"/>
  <c r="O178" i="10"/>
  <c r="O186" i="10"/>
  <c r="O181" i="10"/>
  <c r="O188" i="10"/>
  <c r="O184" i="10"/>
  <c r="O179" i="10"/>
  <c r="O185" i="10"/>
  <c r="O180" i="10"/>
  <c r="O183" i="10"/>
  <c r="F15" i="10"/>
  <c r="J187" i="10"/>
  <c r="K187" i="10"/>
  <c r="L187" i="10"/>
  <c r="AI155" i="10" l="1"/>
  <c r="Z172" i="10"/>
  <c r="AG175" i="10"/>
  <c r="AH175" i="10" s="1"/>
  <c r="AI156" i="10" s="1"/>
  <c r="H184" i="10"/>
  <c r="F184" i="10"/>
  <c r="E184" i="10"/>
  <c r="G184" i="10"/>
  <c r="T177" i="10"/>
  <c r="X176" i="10"/>
  <c r="AB172" i="10"/>
  <c r="AE172" i="10" s="1"/>
  <c r="AF176" i="10" s="1"/>
  <c r="AC175" i="10"/>
  <c r="D185" i="10"/>
  <c r="C185" i="10" s="1"/>
  <c r="I188" i="10"/>
  <c r="AD178" i="10"/>
  <c r="J188" i="10"/>
  <c r="K188" i="10"/>
  <c r="Y179" i="10"/>
  <c r="U180" i="10"/>
  <c r="L188" i="10"/>
  <c r="W173" i="10"/>
  <c r="S174" i="10"/>
  <c r="R174" i="10"/>
  <c r="V173" i="10"/>
  <c r="Z173" i="10" s="1"/>
  <c r="AA173" i="10"/>
  <c r="AG176" i="10" l="1"/>
  <c r="AH176" i="10" s="1"/>
  <c r="AI157" i="10" s="1"/>
  <c r="AC176" i="10"/>
  <c r="X177" i="10"/>
  <c r="T178" i="10"/>
  <c r="K189" i="10"/>
  <c r="AB173" i="10"/>
  <c r="AE173" i="10" s="1"/>
  <c r="AF177" i="10" s="1"/>
  <c r="I189" i="10"/>
  <c r="AD179" i="10"/>
  <c r="J189" i="10"/>
  <c r="L189" i="10"/>
  <c r="G185" i="10"/>
  <c r="H185" i="10"/>
  <c r="F185" i="10"/>
  <c r="E185" i="10"/>
  <c r="M175" i="10"/>
  <c r="R175" i="10" s="1"/>
  <c r="V174" i="10"/>
  <c r="AA174" i="10"/>
  <c r="W174" i="10"/>
  <c r="Y180" i="10"/>
  <c r="U181" i="10"/>
  <c r="D186" i="10"/>
  <c r="C186" i="10" s="1"/>
  <c r="Z174" i="10" l="1"/>
  <c r="AG177" i="10"/>
  <c r="AH177" i="10" s="1"/>
  <c r="F186" i="10"/>
  <c r="H186" i="10"/>
  <c r="G186" i="10"/>
  <c r="E186" i="10"/>
  <c r="L190" i="10"/>
  <c r="U182" i="10"/>
  <c r="Y181" i="10"/>
  <c r="K190" i="10"/>
  <c r="AD180" i="10"/>
  <c r="T179" i="10"/>
  <c r="X178" i="10"/>
  <c r="AC177" i="10"/>
  <c r="J190" i="10"/>
  <c r="AA175" i="10"/>
  <c r="V175" i="10"/>
  <c r="I190" i="10"/>
  <c r="D187" i="10"/>
  <c r="C187" i="10" s="1"/>
  <c r="AB174" i="10"/>
  <c r="AE174" i="10" s="1"/>
  <c r="AF178" i="10" s="1"/>
  <c r="M187" i="10"/>
  <c r="M179" i="10"/>
  <c r="M189" i="10"/>
  <c r="M181" i="10"/>
  <c r="M180" i="10"/>
  <c r="M183" i="10"/>
  <c r="M178" i="10"/>
  <c r="M186" i="10"/>
  <c r="M176" i="10"/>
  <c r="R176" i="10" s="1"/>
  <c r="M188" i="10"/>
  <c r="M184" i="10"/>
  <c r="M185" i="10"/>
  <c r="M177" i="10"/>
  <c r="M182" i="10"/>
  <c r="D15" i="10"/>
  <c r="N175" i="10"/>
  <c r="Q175" i="10" s="1"/>
  <c r="I14" i="10" l="1"/>
  <c r="AG178" i="10"/>
  <c r="AH178" i="10" s="1"/>
  <c r="AI158" i="10" s="1"/>
  <c r="AD181" i="10"/>
  <c r="U183" i="10"/>
  <c r="Y182" i="10"/>
  <c r="R177" i="10"/>
  <c r="AA176" i="10"/>
  <c r="V176" i="10"/>
  <c r="F187" i="10"/>
  <c r="H187" i="10"/>
  <c r="G187" i="10"/>
  <c r="E187" i="10"/>
  <c r="I191" i="10"/>
  <c r="D188" i="10"/>
  <c r="C188" i="10" s="1"/>
  <c r="AC178" i="10"/>
  <c r="K191" i="10"/>
  <c r="T180" i="10"/>
  <c r="X179" i="10"/>
  <c r="L191" i="10"/>
  <c r="J191" i="10"/>
  <c r="N178" i="10"/>
  <c r="Q178" i="10" s="1"/>
  <c r="N183" i="10"/>
  <c r="Q183" i="10" s="1"/>
  <c r="N189" i="10"/>
  <c r="Q189" i="10" s="1"/>
  <c r="N186" i="10"/>
  <c r="Q186" i="10" s="1"/>
  <c r="N176" i="10"/>
  <c r="Q176" i="10" s="1"/>
  <c r="N181" i="10"/>
  <c r="Q181" i="10" s="1"/>
  <c r="N188" i="10"/>
  <c r="Q188" i="10" s="1"/>
  <c r="N184" i="10"/>
  <c r="Q184" i="10" s="1"/>
  <c r="N179" i="10"/>
  <c r="Q179" i="10" s="1"/>
  <c r="N182" i="10"/>
  <c r="Q182" i="10" s="1"/>
  <c r="N187" i="10"/>
  <c r="Q187" i="10" s="1"/>
  <c r="N177" i="10"/>
  <c r="Q177" i="10" s="1"/>
  <c r="N180" i="10"/>
  <c r="Q180" i="10" s="1"/>
  <c r="N185" i="10"/>
  <c r="Q185" i="10" s="1"/>
  <c r="E15" i="10"/>
  <c r="S175" i="10"/>
  <c r="AI159" i="10" l="1"/>
  <c r="J13" i="10" s="1"/>
  <c r="H188" i="10"/>
  <c r="F188" i="10"/>
  <c r="G188" i="10"/>
  <c r="E188" i="10"/>
  <c r="V177" i="10"/>
  <c r="R178" i="10"/>
  <c r="AA177" i="10"/>
  <c r="W175" i="10"/>
  <c r="Z175" i="10" s="1"/>
  <c r="S176" i="10"/>
  <c r="K192" i="10"/>
  <c r="L192" i="10"/>
  <c r="U184" i="10"/>
  <c r="Y183" i="10"/>
  <c r="AC179" i="10"/>
  <c r="J192" i="10"/>
  <c r="I192" i="10"/>
  <c r="AD182" i="10"/>
  <c r="D189" i="10"/>
  <c r="C189" i="10" s="1"/>
  <c r="X180" i="10"/>
  <c r="T181" i="10"/>
  <c r="AB175" i="10" l="1"/>
  <c r="AE175" i="10" s="1"/>
  <c r="AF179" i="10" s="1"/>
  <c r="AG179" i="10" s="1"/>
  <c r="AA178" i="10"/>
  <c r="R179" i="10"/>
  <c r="V178" i="10"/>
  <c r="W176" i="10"/>
  <c r="Z176" i="10" s="1"/>
  <c r="S177" i="10"/>
  <c r="T182" i="10"/>
  <c r="X181" i="10"/>
  <c r="I193" i="10"/>
  <c r="AC180" i="10"/>
  <c r="AD183" i="10"/>
  <c r="K193" i="10"/>
  <c r="H189" i="10"/>
  <c r="G189" i="10"/>
  <c r="F189" i="10"/>
  <c r="E189" i="10"/>
  <c r="U185" i="10"/>
  <c r="Y184" i="10"/>
  <c r="J193" i="10"/>
  <c r="D190" i="10"/>
  <c r="C190" i="10" s="1"/>
  <c r="L193" i="10"/>
  <c r="T183" i="10" l="1"/>
  <c r="X182" i="10"/>
  <c r="K194" i="10"/>
  <c r="J194" i="10"/>
  <c r="L194" i="10"/>
  <c r="W177" i="10"/>
  <c r="Z177" i="10" s="1"/>
  <c r="S178" i="10"/>
  <c r="AC181" i="10"/>
  <c r="AB176" i="10"/>
  <c r="AE176" i="10" s="1"/>
  <c r="AF180" i="10" s="1"/>
  <c r="AG180" i="10" s="1"/>
  <c r="H190" i="10"/>
  <c r="G190" i="10"/>
  <c r="F190" i="10"/>
  <c r="E190" i="10"/>
  <c r="D191" i="10"/>
  <c r="C191" i="10" s="1"/>
  <c r="R180" i="10"/>
  <c r="AA179" i="10"/>
  <c r="V179" i="10"/>
  <c r="I194" i="10"/>
  <c r="AD184" i="10"/>
  <c r="Y185" i="10"/>
  <c r="U186" i="10"/>
  <c r="AH179" i="10"/>
  <c r="AB177" i="10" l="1"/>
  <c r="AE177" i="10" s="1"/>
  <c r="AF181" i="10" s="1"/>
  <c r="AG181" i="10" s="1"/>
  <c r="U187" i="10"/>
  <c r="Y186" i="10"/>
  <c r="D192" i="10"/>
  <c r="C192" i="10" s="1"/>
  <c r="H191" i="10"/>
  <c r="E191" i="10"/>
  <c r="G191" i="10"/>
  <c r="F191" i="10"/>
  <c r="AD185" i="10"/>
  <c r="I195" i="10"/>
  <c r="AH180" i="10"/>
  <c r="J195" i="10"/>
  <c r="R181" i="10"/>
  <c r="AA180" i="10"/>
  <c r="V180" i="10"/>
  <c r="K195" i="10"/>
  <c r="L195" i="10"/>
  <c r="AC182" i="10"/>
  <c r="W178" i="10"/>
  <c r="Z178" i="10" s="1"/>
  <c r="S179" i="10"/>
  <c r="T184" i="10"/>
  <c r="X183" i="10"/>
  <c r="AI160" i="10" l="1"/>
  <c r="H192" i="10"/>
  <c r="G192" i="10"/>
  <c r="F192" i="10"/>
  <c r="E192" i="10"/>
  <c r="K196" i="10"/>
  <c r="AC183" i="10"/>
  <c r="I196" i="10"/>
  <c r="T185" i="10"/>
  <c r="X184" i="10"/>
  <c r="AA181" i="10"/>
  <c r="R182" i="10"/>
  <c r="V181" i="10"/>
  <c r="L196" i="10"/>
  <c r="W179" i="10"/>
  <c r="Z179" i="10" s="1"/>
  <c r="S180" i="10"/>
  <c r="AB178" i="10"/>
  <c r="AE178" i="10" s="1"/>
  <c r="AF182" i="10" s="1"/>
  <c r="AG182" i="10" s="1"/>
  <c r="D193" i="10"/>
  <c r="J196" i="10"/>
  <c r="AH181" i="10"/>
  <c r="AI161" i="10" s="1"/>
  <c r="AD186" i="10"/>
  <c r="Y187" i="10"/>
  <c r="U188" i="10"/>
  <c r="U189" i="10" l="1"/>
  <c r="Y188" i="10"/>
  <c r="W180" i="10"/>
  <c r="Z180" i="10" s="1"/>
  <c r="S181" i="10"/>
  <c r="AD187" i="10"/>
  <c r="AB179" i="10"/>
  <c r="AE179" i="10" s="1"/>
  <c r="AF183" i="10" s="1"/>
  <c r="AG183" i="10" s="1"/>
  <c r="D194" i="10"/>
  <c r="C194" i="10" s="1"/>
  <c r="AH182" i="10"/>
  <c r="V182" i="10"/>
  <c r="AA182" i="10"/>
  <c r="R183" i="10"/>
  <c r="I197" i="10"/>
  <c r="J197" i="10"/>
  <c r="AC184" i="10"/>
  <c r="K197" i="10"/>
  <c r="C193" i="10"/>
  <c r="X185" i="10"/>
  <c r="T186" i="10"/>
  <c r="L197" i="10"/>
  <c r="AI162" i="10" l="1"/>
  <c r="F194" i="10"/>
  <c r="H194" i="10"/>
  <c r="G194" i="10"/>
  <c r="E194" i="10"/>
  <c r="AH183" i="10"/>
  <c r="X186" i="10"/>
  <c r="T187" i="10"/>
  <c r="R184" i="10"/>
  <c r="AA183" i="10"/>
  <c r="V183" i="10"/>
  <c r="W181" i="10"/>
  <c r="Z181" i="10" s="1"/>
  <c r="S182" i="10"/>
  <c r="AC185" i="10"/>
  <c r="AB180" i="10"/>
  <c r="AE180" i="10" s="1"/>
  <c r="AF184" i="10" s="1"/>
  <c r="AG184" i="10" s="1"/>
  <c r="G193" i="10"/>
  <c r="F193" i="10"/>
  <c r="E193" i="10"/>
  <c r="H193" i="10"/>
  <c r="AD188" i="10"/>
  <c r="Y189" i="10"/>
  <c r="P190" i="10"/>
  <c r="D195" i="10"/>
  <c r="C195" i="10" s="1"/>
  <c r="AH184" i="10" l="1"/>
  <c r="E195" i="10"/>
  <c r="G195" i="10"/>
  <c r="H195" i="10"/>
  <c r="F195" i="10"/>
  <c r="L198" i="10"/>
  <c r="I198" i="10"/>
  <c r="R185" i="10"/>
  <c r="AA184" i="10"/>
  <c r="V184" i="10"/>
  <c r="J198" i="10"/>
  <c r="T188" i="10"/>
  <c r="X187" i="10"/>
  <c r="K198" i="10"/>
  <c r="AC186" i="10"/>
  <c r="D196" i="10"/>
  <c r="AB181" i="10"/>
  <c r="AE181" i="10" s="1"/>
  <c r="AF185" i="10" s="1"/>
  <c r="AG185" i="10" s="1"/>
  <c r="P199" i="10"/>
  <c r="P196" i="10"/>
  <c r="P197" i="10"/>
  <c r="P193" i="10"/>
  <c r="P200" i="10"/>
  <c r="P202" i="10"/>
  <c r="P204" i="10"/>
  <c r="P201" i="10"/>
  <c r="P198" i="10"/>
  <c r="P192" i="10"/>
  <c r="P195" i="10"/>
  <c r="P191" i="10"/>
  <c r="P194" i="10"/>
  <c r="P203" i="10"/>
  <c r="G16" i="10"/>
  <c r="I199" i="10"/>
  <c r="AD189" i="10"/>
  <c r="K199" i="10"/>
  <c r="U190" i="10"/>
  <c r="L199" i="10"/>
  <c r="W182" i="10"/>
  <c r="Z182" i="10" s="1"/>
  <c r="S183" i="10"/>
  <c r="J199" i="10"/>
  <c r="AI163" i="10" l="1"/>
  <c r="AH185" i="10"/>
  <c r="AI164" i="10" s="1"/>
  <c r="AC187" i="10"/>
  <c r="X188" i="10"/>
  <c r="T189" i="10"/>
  <c r="J200" i="10"/>
  <c r="W183" i="10"/>
  <c r="Z183" i="10" s="1"/>
  <c r="S184" i="10"/>
  <c r="L200" i="10"/>
  <c r="AB182" i="10"/>
  <c r="AE182" i="10" s="1"/>
  <c r="AF186" i="10" s="1"/>
  <c r="AG186" i="10" s="1"/>
  <c r="K200" i="10"/>
  <c r="I200" i="10"/>
  <c r="D197" i="10"/>
  <c r="U191" i="10"/>
  <c r="Y190" i="10"/>
  <c r="AD190" i="10" s="1"/>
  <c r="C196" i="10"/>
  <c r="R186" i="10"/>
  <c r="V185" i="10"/>
  <c r="AA185" i="10"/>
  <c r="AH186" i="10" l="1"/>
  <c r="W184" i="10"/>
  <c r="Z184" i="10" s="1"/>
  <c r="S185" i="10"/>
  <c r="D198" i="10"/>
  <c r="C198" i="10" s="1"/>
  <c r="AB183" i="10"/>
  <c r="AE183" i="10" s="1"/>
  <c r="AF187" i="10" s="1"/>
  <c r="AG187" i="10" s="1"/>
  <c r="C197" i="10"/>
  <c r="U192" i="10"/>
  <c r="Y191" i="10"/>
  <c r="X189" i="10"/>
  <c r="O190" i="10"/>
  <c r="AC188" i="10"/>
  <c r="AA186" i="10"/>
  <c r="R187" i="10"/>
  <c r="V186" i="10"/>
  <c r="F196" i="10"/>
  <c r="E196" i="10"/>
  <c r="H196" i="10"/>
  <c r="G196" i="10"/>
  <c r="AH187" i="10" l="1"/>
  <c r="H198" i="10"/>
  <c r="G198" i="10"/>
  <c r="F198" i="10"/>
  <c r="E198" i="10"/>
  <c r="AA187" i="10"/>
  <c r="R188" i="10"/>
  <c r="V187" i="10"/>
  <c r="H197" i="10"/>
  <c r="G197" i="10"/>
  <c r="F197" i="10"/>
  <c r="E197" i="10"/>
  <c r="AD191" i="10"/>
  <c r="U193" i="10"/>
  <c r="Y192" i="10"/>
  <c r="I201" i="10"/>
  <c r="D199" i="10"/>
  <c r="C199" i="10" s="1"/>
  <c r="W185" i="10"/>
  <c r="Z185" i="10" s="1"/>
  <c r="S186" i="10"/>
  <c r="O200" i="10"/>
  <c r="O199" i="10"/>
  <c r="O197" i="10"/>
  <c r="O203" i="10"/>
  <c r="O191" i="10"/>
  <c r="O198" i="10"/>
  <c r="O193" i="10"/>
  <c r="O204" i="10"/>
  <c r="O201" i="10"/>
  <c r="O196" i="10"/>
  <c r="O192" i="10"/>
  <c r="O195" i="10"/>
  <c r="O202" i="10"/>
  <c r="O194" i="10"/>
  <c r="F16" i="10"/>
  <c r="AB184" i="10"/>
  <c r="AE184" i="10" s="1"/>
  <c r="AF188" i="10" s="1"/>
  <c r="AG188" i="10" s="1"/>
  <c r="K201" i="10"/>
  <c r="T190" i="10"/>
  <c r="J201" i="10"/>
  <c r="L201" i="10"/>
  <c r="AC189" i="10"/>
  <c r="AI165" i="10" l="1"/>
  <c r="AH188" i="10"/>
  <c r="L202" i="10"/>
  <c r="X190" i="10"/>
  <c r="AC190" i="10" s="1"/>
  <c r="T191" i="10"/>
  <c r="D200" i="10"/>
  <c r="AA188" i="10"/>
  <c r="V188" i="10"/>
  <c r="R189" i="10"/>
  <c r="AD192" i="10"/>
  <c r="U194" i="10"/>
  <c r="Y193" i="10"/>
  <c r="I203" i="10"/>
  <c r="J203" i="10"/>
  <c r="K203" i="10"/>
  <c r="L203" i="10"/>
  <c r="K202" i="10"/>
  <c r="W186" i="10"/>
  <c r="Z186" i="10" s="1"/>
  <c r="S187" i="10"/>
  <c r="I202" i="10"/>
  <c r="G199" i="10"/>
  <c r="H199" i="10"/>
  <c r="F199" i="10"/>
  <c r="E199" i="10"/>
  <c r="AB185" i="10"/>
  <c r="AE185" i="10" s="1"/>
  <c r="AF189" i="10" s="1"/>
  <c r="AG189" i="10" s="1"/>
  <c r="J202" i="10"/>
  <c r="AI166" i="10" l="1"/>
  <c r="L204" i="10"/>
  <c r="J204" i="10"/>
  <c r="K204" i="10"/>
  <c r="D201" i="10"/>
  <c r="C200" i="10"/>
  <c r="W187" i="10"/>
  <c r="Z187" i="10" s="1"/>
  <c r="S188" i="10"/>
  <c r="AD193" i="10"/>
  <c r="T192" i="10"/>
  <c r="X191" i="10"/>
  <c r="AB186" i="10"/>
  <c r="AE186" i="10" s="1"/>
  <c r="AF190" i="10" s="1"/>
  <c r="AG190" i="10" s="1"/>
  <c r="U195" i="10"/>
  <c r="Y194" i="10"/>
  <c r="M190" i="10"/>
  <c r="R190" i="10" s="1"/>
  <c r="AA189" i="10"/>
  <c r="V189" i="10"/>
  <c r="I204" i="10"/>
  <c r="AH189" i="10"/>
  <c r="AI167" i="10" s="1"/>
  <c r="AH190" i="10" l="1"/>
  <c r="E200" i="10"/>
  <c r="H200" i="10"/>
  <c r="G200" i="10"/>
  <c r="F200" i="10"/>
  <c r="D202" i="10"/>
  <c r="C202" i="10" s="1"/>
  <c r="M202" i="10"/>
  <c r="M204" i="10"/>
  <c r="M196" i="10"/>
  <c r="M203" i="10"/>
  <c r="M198" i="10"/>
  <c r="M195" i="10"/>
  <c r="M200" i="10"/>
  <c r="M199" i="10"/>
  <c r="M194" i="10"/>
  <c r="M201" i="10"/>
  <c r="M197" i="10"/>
  <c r="M193" i="10"/>
  <c r="M192" i="10"/>
  <c r="M191" i="10"/>
  <c r="R191" i="10" s="1"/>
  <c r="D16" i="10"/>
  <c r="N190" i="10"/>
  <c r="Q190" i="10" s="1"/>
  <c r="AD194" i="10"/>
  <c r="C201" i="10"/>
  <c r="Y195" i="10"/>
  <c r="U196" i="10"/>
  <c r="V190" i="10"/>
  <c r="AA190" i="10"/>
  <c r="AC191" i="10"/>
  <c r="T193" i="10"/>
  <c r="X192" i="10"/>
  <c r="AB187" i="10"/>
  <c r="AE187" i="10" s="1"/>
  <c r="AF191" i="10" s="1"/>
  <c r="AG191" i="10" s="1"/>
  <c r="W188" i="10"/>
  <c r="Z188" i="10" s="1"/>
  <c r="S189" i="10"/>
  <c r="AH191" i="10" l="1"/>
  <c r="H202" i="10"/>
  <c r="G202" i="10"/>
  <c r="E202" i="10"/>
  <c r="F202" i="10"/>
  <c r="R192" i="10"/>
  <c r="AA191" i="10"/>
  <c r="V191" i="10"/>
  <c r="W189" i="10"/>
  <c r="Z189" i="10" s="1"/>
  <c r="S190" i="10"/>
  <c r="AB188" i="10"/>
  <c r="AE188" i="10" s="1"/>
  <c r="AF192" i="10" s="1"/>
  <c r="AG192" i="10" s="1"/>
  <c r="U197" i="10"/>
  <c r="Y196" i="10"/>
  <c r="D203" i="10"/>
  <c r="C203" i="10" s="1"/>
  <c r="J205" i="10"/>
  <c r="AD195" i="10"/>
  <c r="K205" i="10"/>
  <c r="F201" i="10"/>
  <c r="H201" i="10"/>
  <c r="G201" i="10"/>
  <c r="E201" i="10"/>
  <c r="L205" i="10"/>
  <c r="I205" i="10"/>
  <c r="AC192" i="10"/>
  <c r="T194" i="10"/>
  <c r="X193" i="10"/>
  <c r="N201" i="10"/>
  <c r="Q201" i="10" s="1"/>
  <c r="N198" i="10"/>
  <c r="Q198" i="10" s="1"/>
  <c r="N203" i="10"/>
  <c r="Q203" i="10" s="1"/>
  <c r="N195" i="10"/>
  <c r="Q195" i="10" s="1"/>
  <c r="N200" i="10"/>
  <c r="Q200" i="10" s="1"/>
  <c r="N193" i="10"/>
  <c r="Q193" i="10" s="1"/>
  <c r="N199" i="10"/>
  <c r="Q199" i="10" s="1"/>
  <c r="N204" i="10"/>
  <c r="Q204" i="10" s="1"/>
  <c r="N197" i="10"/>
  <c r="Q197" i="10" s="1"/>
  <c r="N192" i="10"/>
  <c r="Q192" i="10" s="1"/>
  <c r="N196" i="10"/>
  <c r="Q196" i="10" s="1"/>
  <c r="N191" i="10"/>
  <c r="Q191" i="10" s="1"/>
  <c r="N202" i="10"/>
  <c r="Q202" i="10" s="1"/>
  <c r="N194" i="10"/>
  <c r="Q194" i="10" s="1"/>
  <c r="E16" i="10"/>
  <c r="AI168" i="10" l="1"/>
  <c r="I15" i="10"/>
  <c r="AH192" i="10"/>
  <c r="U198" i="10"/>
  <c r="Y197" i="10"/>
  <c r="R193" i="10"/>
  <c r="AA192" i="10"/>
  <c r="V192" i="10"/>
  <c r="J207" i="10"/>
  <c r="W190" i="10"/>
  <c r="S191" i="10"/>
  <c r="I207" i="10"/>
  <c r="AB189" i="10"/>
  <c r="AE189" i="10" s="1"/>
  <c r="AF193" i="10" s="1"/>
  <c r="AG193" i="10" s="1"/>
  <c r="K207" i="10"/>
  <c r="J206" i="10"/>
  <c r="I206" i="10"/>
  <c r="L207" i="10"/>
  <c r="AC193" i="10"/>
  <c r="K206" i="10"/>
  <c r="F203" i="10"/>
  <c r="E203" i="10"/>
  <c r="G203" i="10"/>
  <c r="H203" i="10"/>
  <c r="AD196" i="10"/>
  <c r="T195" i="10"/>
  <c r="X194" i="10"/>
  <c r="L206" i="10"/>
  <c r="D204" i="10"/>
  <c r="C204" i="10" s="1"/>
  <c r="AI169" i="10" l="1"/>
  <c r="AB190" i="10"/>
  <c r="AE190" i="10" s="1"/>
  <c r="AF194" i="10" s="1"/>
  <c r="AG194" i="10" s="1"/>
  <c r="Z190" i="10"/>
  <c r="AH193" i="10"/>
  <c r="F204" i="10"/>
  <c r="H204" i="10"/>
  <c r="G204" i="10"/>
  <c r="E204" i="10"/>
  <c r="L208" i="10"/>
  <c r="K208" i="10"/>
  <c r="I208" i="10"/>
  <c r="R194" i="10"/>
  <c r="V193" i="10"/>
  <c r="AA193" i="10"/>
  <c r="J208" i="10"/>
  <c r="D205" i="10"/>
  <c r="C205" i="10" s="1"/>
  <c r="AD197" i="10"/>
  <c r="U199" i="10"/>
  <c r="Y198" i="10"/>
  <c r="AC194" i="10"/>
  <c r="W191" i="10"/>
  <c r="Z191" i="10" s="1"/>
  <c r="S192" i="10"/>
  <c r="X195" i="10"/>
  <c r="T196" i="10"/>
  <c r="AI170" i="10" l="1"/>
  <c r="D206" i="10"/>
  <c r="C206" i="10" s="1"/>
  <c r="AC195" i="10"/>
  <c r="W192" i="10"/>
  <c r="Z192" i="10" s="1"/>
  <c r="S193" i="10"/>
  <c r="I209" i="10"/>
  <c r="U200" i="10"/>
  <c r="Y199" i="10"/>
  <c r="H205" i="10"/>
  <c r="G205" i="10"/>
  <c r="F205" i="10"/>
  <c r="E205" i="10"/>
  <c r="AB191" i="10"/>
  <c r="AE191" i="10" s="1"/>
  <c r="AF195" i="10" s="1"/>
  <c r="AG195" i="10" s="1"/>
  <c r="K209" i="10"/>
  <c r="L209" i="10"/>
  <c r="V194" i="10"/>
  <c r="R195" i="10"/>
  <c r="AA194" i="10"/>
  <c r="J209" i="10"/>
  <c r="AH194" i="10"/>
  <c r="X196" i="10"/>
  <c r="T197" i="10"/>
  <c r="AD198" i="10"/>
  <c r="H206" i="10" l="1"/>
  <c r="G206" i="10"/>
  <c r="F206" i="10"/>
  <c r="E206" i="10"/>
  <c r="AC196" i="10"/>
  <c r="AD199" i="10"/>
  <c r="W193" i="10"/>
  <c r="Z193" i="10" s="1"/>
  <c r="S194" i="10"/>
  <c r="L210" i="10"/>
  <c r="AH195" i="10"/>
  <c r="AB192" i="10"/>
  <c r="AE192" i="10" s="1"/>
  <c r="AF196" i="10" s="1"/>
  <c r="AG196" i="10" s="1"/>
  <c r="Y200" i="10"/>
  <c r="U201" i="10"/>
  <c r="I210" i="10"/>
  <c r="J210" i="10"/>
  <c r="X197" i="10"/>
  <c r="T198" i="10"/>
  <c r="R196" i="10"/>
  <c r="AA195" i="10"/>
  <c r="V195" i="10"/>
  <c r="K210" i="10"/>
  <c r="D207" i="10"/>
  <c r="C207" i="10" s="1"/>
  <c r="AI171" i="10" l="1"/>
  <c r="AH196" i="10"/>
  <c r="D208" i="10"/>
  <c r="C208" i="10" s="1"/>
  <c r="AB193" i="10"/>
  <c r="AE193" i="10" s="1"/>
  <c r="AF197" i="10" s="1"/>
  <c r="AG197" i="10" s="1"/>
  <c r="H207" i="10"/>
  <c r="F207" i="10"/>
  <c r="G207" i="10"/>
  <c r="E207" i="10"/>
  <c r="AD200" i="10"/>
  <c r="U202" i="10"/>
  <c r="Y201" i="10"/>
  <c r="I211" i="10"/>
  <c r="W194" i="10"/>
  <c r="Z194" i="10" s="1"/>
  <c r="S195" i="10"/>
  <c r="J211" i="10"/>
  <c r="K211" i="10"/>
  <c r="AA196" i="10"/>
  <c r="R197" i="10"/>
  <c r="V196" i="10"/>
  <c r="T199" i="10"/>
  <c r="X198" i="10"/>
  <c r="AC197" i="10"/>
  <c r="L211" i="10"/>
  <c r="AI172" i="10" l="1"/>
  <c r="G208" i="10"/>
  <c r="H208" i="10"/>
  <c r="F208" i="10"/>
  <c r="E208" i="10"/>
  <c r="I212" i="10"/>
  <c r="K212" i="10"/>
  <c r="J212" i="10"/>
  <c r="W195" i="10"/>
  <c r="Z195" i="10" s="1"/>
  <c r="S196" i="10"/>
  <c r="L212" i="10"/>
  <c r="X199" i="10"/>
  <c r="T200" i="10"/>
  <c r="V197" i="10"/>
  <c r="AA197" i="10"/>
  <c r="R198" i="10"/>
  <c r="AD201" i="10"/>
  <c r="D209" i="10"/>
  <c r="C209" i="10" s="1"/>
  <c r="AC198" i="10"/>
  <c r="AH197" i="10"/>
  <c r="AI173" i="10" s="1"/>
  <c r="AB194" i="10"/>
  <c r="AE194" i="10" s="1"/>
  <c r="AF198" i="10" s="1"/>
  <c r="AG198" i="10" s="1"/>
  <c r="Y202" i="10"/>
  <c r="U203" i="10"/>
  <c r="AH198" i="10" l="1"/>
  <c r="AI174" i="10" s="1"/>
  <c r="J14" i="10" s="1"/>
  <c r="D210" i="10"/>
  <c r="C210" i="10" s="1"/>
  <c r="AB195" i="10"/>
  <c r="AE195" i="10" s="1"/>
  <c r="AF199" i="10" s="1"/>
  <c r="AG199" i="10" s="1"/>
  <c r="U204" i="10"/>
  <c r="Y203" i="10"/>
  <c r="W196" i="10"/>
  <c r="Z196" i="10" s="1"/>
  <c r="S197" i="10"/>
  <c r="AA198" i="10"/>
  <c r="V198" i="10"/>
  <c r="R199" i="10"/>
  <c r="X200" i="10"/>
  <c r="T201" i="10"/>
  <c r="I213" i="10"/>
  <c r="F209" i="10"/>
  <c r="E209" i="10"/>
  <c r="H209" i="10"/>
  <c r="G209" i="10"/>
  <c r="AC199" i="10"/>
  <c r="J213" i="10"/>
  <c r="L213" i="10"/>
  <c r="AD202" i="10"/>
  <c r="K213" i="10"/>
  <c r="E210" i="10" l="1"/>
  <c r="H210" i="10"/>
  <c r="G210" i="10"/>
  <c r="F210" i="10"/>
  <c r="AH199" i="10"/>
  <c r="K214" i="10"/>
  <c r="W197" i="10"/>
  <c r="Z197" i="10" s="1"/>
  <c r="S198" i="10"/>
  <c r="L214" i="10"/>
  <c r="AB196" i="10"/>
  <c r="AE196" i="10" s="1"/>
  <c r="AF200" i="10" s="1"/>
  <c r="AG200" i="10" s="1"/>
  <c r="AC200" i="10"/>
  <c r="I214" i="10"/>
  <c r="X201" i="10"/>
  <c r="T202" i="10"/>
  <c r="R200" i="10"/>
  <c r="V199" i="10"/>
  <c r="AA199" i="10"/>
  <c r="D211" i="10"/>
  <c r="AD203" i="10"/>
  <c r="P205" i="10"/>
  <c r="U205" i="10" s="1"/>
  <c r="Y204" i="10"/>
  <c r="J214" i="10"/>
  <c r="AI175" i="10" l="1"/>
  <c r="W198" i="10"/>
  <c r="Z198" i="10" s="1"/>
  <c r="S199" i="10"/>
  <c r="AA200" i="10"/>
  <c r="R201" i="10"/>
  <c r="V200" i="10"/>
  <c r="AB197" i="10"/>
  <c r="AE197" i="10" s="1"/>
  <c r="AF201" i="10" s="1"/>
  <c r="AG201" i="10" s="1"/>
  <c r="D212" i="10"/>
  <c r="C212" i="10" s="1"/>
  <c r="T203" i="10"/>
  <c r="X202" i="10"/>
  <c r="AD204" i="10"/>
  <c r="Y205" i="10"/>
  <c r="AH200" i="10"/>
  <c r="P211" i="10"/>
  <c r="P216" i="10"/>
  <c r="P206" i="10"/>
  <c r="U206" i="10" s="1"/>
  <c r="P215" i="10"/>
  <c r="P210" i="10"/>
  <c r="P212" i="10"/>
  <c r="P207" i="10"/>
  <c r="P219" i="10"/>
  <c r="P214" i="10"/>
  <c r="P218" i="10"/>
  <c r="P209" i="10"/>
  <c r="P217" i="10"/>
  <c r="P213" i="10"/>
  <c r="P208" i="10"/>
  <c r="G17" i="10"/>
  <c r="J215" i="10"/>
  <c r="K215" i="10"/>
  <c r="AC201" i="10"/>
  <c r="L215" i="10"/>
  <c r="C211" i="10"/>
  <c r="I215" i="10"/>
  <c r="AI176" i="10" l="1"/>
  <c r="E212" i="10"/>
  <c r="H212" i="10"/>
  <c r="G212" i="10"/>
  <c r="F212" i="10"/>
  <c r="Y206" i="10"/>
  <c r="U207" i="10"/>
  <c r="X203" i="10"/>
  <c r="T204" i="10"/>
  <c r="AC202" i="10"/>
  <c r="AA201" i="10"/>
  <c r="R202" i="10"/>
  <c r="V201" i="10"/>
  <c r="AD205" i="10"/>
  <c r="W199" i="10"/>
  <c r="Z199" i="10" s="1"/>
  <c r="S200" i="10"/>
  <c r="H211" i="10"/>
  <c r="G211" i="10"/>
  <c r="F211" i="10"/>
  <c r="E211" i="10"/>
  <c r="AB198" i="10"/>
  <c r="AE198" i="10" s="1"/>
  <c r="AF202" i="10" s="1"/>
  <c r="AG202" i="10" s="1"/>
  <c r="D213" i="10"/>
  <c r="C213" i="10" s="1"/>
  <c r="AH201" i="10"/>
  <c r="AI177" i="10" s="1"/>
  <c r="F213" i="10" l="1"/>
  <c r="H213" i="10"/>
  <c r="G213" i="10"/>
  <c r="E213" i="10"/>
  <c r="K216" i="10"/>
  <c r="J216" i="10"/>
  <c r="L216" i="10"/>
  <c r="O205" i="10"/>
  <c r="X204" i="10"/>
  <c r="W200" i="10"/>
  <c r="Z200" i="10" s="1"/>
  <c r="S201" i="10"/>
  <c r="AC203" i="10"/>
  <c r="AD206" i="10"/>
  <c r="AH202" i="10"/>
  <c r="J217" i="10"/>
  <c r="U208" i="10"/>
  <c r="Y207" i="10"/>
  <c r="D214" i="10"/>
  <c r="C214" i="10" s="1"/>
  <c r="K217" i="10"/>
  <c r="AA202" i="10"/>
  <c r="R203" i="10"/>
  <c r="V202" i="10"/>
  <c r="L217" i="10"/>
  <c r="I216" i="10"/>
  <c r="AB199" i="10"/>
  <c r="AE199" i="10" s="1"/>
  <c r="AF203" i="10" s="1"/>
  <c r="AG203" i="10" s="1"/>
  <c r="I217" i="10"/>
  <c r="AI178" i="10" l="1"/>
  <c r="O212" i="10"/>
  <c r="O217" i="10"/>
  <c r="O211" i="10"/>
  <c r="O215" i="10"/>
  <c r="O210" i="10"/>
  <c r="O207" i="10"/>
  <c r="O219" i="10"/>
  <c r="O214" i="10"/>
  <c r="O218" i="10"/>
  <c r="O209" i="10"/>
  <c r="O206" i="10"/>
  <c r="O213" i="10"/>
  <c r="O208" i="10"/>
  <c r="O216" i="10"/>
  <c r="F17" i="10"/>
  <c r="AA203" i="10"/>
  <c r="R204" i="10"/>
  <c r="V203" i="10"/>
  <c r="AH203" i="10"/>
  <c r="AC204" i="10"/>
  <c r="H214" i="10"/>
  <c r="F214" i="10"/>
  <c r="E214" i="10"/>
  <c r="G214" i="10"/>
  <c r="I218" i="10"/>
  <c r="D215" i="10"/>
  <c r="C215" i="10" s="1"/>
  <c r="W201" i="10"/>
  <c r="Z201" i="10" s="1"/>
  <c r="S202" i="10"/>
  <c r="K218" i="10"/>
  <c r="AD207" i="10"/>
  <c r="AB200" i="10"/>
  <c r="AE200" i="10" s="1"/>
  <c r="AF204" i="10" s="1"/>
  <c r="AG204" i="10" s="1"/>
  <c r="L218" i="10"/>
  <c r="U209" i="10"/>
  <c r="Y208" i="10"/>
  <c r="T205" i="10"/>
  <c r="J218" i="10"/>
  <c r="AI179" i="10" l="1"/>
  <c r="X205" i="10"/>
  <c r="T206" i="10"/>
  <c r="L219" i="10"/>
  <c r="AH204" i="10"/>
  <c r="AB201" i="10"/>
  <c r="AE201" i="10" s="1"/>
  <c r="AF205" i="10" s="1"/>
  <c r="AG205" i="10" s="1"/>
  <c r="AA204" i="10"/>
  <c r="V204" i="10"/>
  <c r="M205" i="10"/>
  <c r="F215" i="10"/>
  <c r="H215" i="10"/>
  <c r="G215" i="10"/>
  <c r="E215" i="10"/>
  <c r="AD208" i="10"/>
  <c r="D216" i="10"/>
  <c r="C216" i="10" s="1"/>
  <c r="K219" i="10"/>
  <c r="W202" i="10"/>
  <c r="Z202" i="10" s="1"/>
  <c r="S203" i="10"/>
  <c r="I219" i="10"/>
  <c r="U210" i="10"/>
  <c r="Y209" i="10"/>
  <c r="J219" i="10"/>
  <c r="AI180" i="10" l="1"/>
  <c r="AH205" i="10"/>
  <c r="H216" i="10"/>
  <c r="G216" i="10"/>
  <c r="F216" i="10"/>
  <c r="E216" i="10"/>
  <c r="D217" i="10"/>
  <c r="C217" i="10" s="1"/>
  <c r="AD209" i="10"/>
  <c r="Y210" i="10"/>
  <c r="U211" i="10"/>
  <c r="I220" i="10"/>
  <c r="K220" i="10"/>
  <c r="L220" i="10"/>
  <c r="W203" i="10"/>
  <c r="Z203" i="10" s="1"/>
  <c r="S204" i="10"/>
  <c r="J220" i="10"/>
  <c r="T207" i="10"/>
  <c r="X206" i="10"/>
  <c r="M214" i="10"/>
  <c r="M216" i="10"/>
  <c r="M210" i="10"/>
  <c r="M208" i="10"/>
  <c r="M215" i="10"/>
  <c r="M212" i="10"/>
  <c r="M219" i="10"/>
  <c r="M207" i="10"/>
  <c r="M218" i="10"/>
  <c r="M211" i="10"/>
  <c r="M209" i="10"/>
  <c r="M217" i="10"/>
  <c r="M206" i="10"/>
  <c r="M213" i="10"/>
  <c r="D17" i="10"/>
  <c r="N205" i="10"/>
  <c r="AB202" i="10"/>
  <c r="AE202" i="10" s="1"/>
  <c r="AF206" i="10" s="1"/>
  <c r="AG206" i="10" s="1"/>
  <c r="R205" i="10"/>
  <c r="AC205" i="10"/>
  <c r="AH206" i="10" l="1"/>
  <c r="AI181" i="10" s="1"/>
  <c r="AB203" i="10"/>
  <c r="AE203" i="10" s="1"/>
  <c r="AF207" i="10" s="1"/>
  <c r="AG207" i="10" s="1"/>
  <c r="D218" i="10"/>
  <c r="C218" i="10" s="1"/>
  <c r="F217" i="10"/>
  <c r="H217" i="10"/>
  <c r="G217" i="10"/>
  <c r="E217" i="10"/>
  <c r="N213" i="10"/>
  <c r="Q213" i="10" s="1"/>
  <c r="N219" i="10"/>
  <c r="Q219" i="10" s="1"/>
  <c r="N208" i="10"/>
  <c r="Q208" i="10" s="1"/>
  <c r="N216" i="10"/>
  <c r="Q216" i="10" s="1"/>
  <c r="N215" i="10"/>
  <c r="Q215" i="10" s="1"/>
  <c r="N212" i="10"/>
  <c r="Q212" i="10" s="1"/>
  <c r="N210" i="10"/>
  <c r="Q210" i="10" s="1"/>
  <c r="N207" i="10"/>
  <c r="Q207" i="10" s="1"/>
  <c r="N214" i="10"/>
  <c r="Q214" i="10" s="1"/>
  <c r="N218" i="10"/>
  <c r="Q218" i="10" s="1"/>
  <c r="N211" i="10"/>
  <c r="Q211" i="10" s="1"/>
  <c r="N209" i="10"/>
  <c r="Q209" i="10" s="1"/>
  <c r="N217" i="10"/>
  <c r="Q217" i="10" s="1"/>
  <c r="N206" i="10"/>
  <c r="Q206" i="10" s="1"/>
  <c r="E17" i="10"/>
  <c r="Q205" i="10"/>
  <c r="I221" i="10"/>
  <c r="J221" i="10"/>
  <c r="K221" i="10"/>
  <c r="V205" i="10"/>
  <c r="AA205" i="10"/>
  <c r="R206" i="10"/>
  <c r="AC206" i="10"/>
  <c r="L221" i="10"/>
  <c r="T208" i="10"/>
  <c r="X207" i="10"/>
  <c r="Y211" i="10"/>
  <c r="U212" i="10"/>
  <c r="W204" i="10"/>
  <c r="Z204" i="10" s="1"/>
  <c r="S205" i="10"/>
  <c r="AD210" i="10"/>
  <c r="I16" i="10" l="1"/>
  <c r="H218" i="10"/>
  <c r="F218" i="10"/>
  <c r="E218" i="10"/>
  <c r="G218" i="10"/>
  <c r="AH207" i="10"/>
  <c r="J222" i="10"/>
  <c r="K222" i="10"/>
  <c r="D219" i="10"/>
  <c r="C219" i="10" s="1"/>
  <c r="L222" i="10"/>
  <c r="U213" i="10"/>
  <c r="Y212" i="10"/>
  <c r="AB204" i="10"/>
  <c r="AE204" i="10" s="1"/>
  <c r="AF208" i="10" s="1"/>
  <c r="AG208" i="10" s="1"/>
  <c r="AC207" i="10"/>
  <c r="R207" i="10"/>
  <c r="V206" i="10"/>
  <c r="AA206" i="10"/>
  <c r="T209" i="10"/>
  <c r="X208" i="10"/>
  <c r="W205" i="10"/>
  <c r="Z205" i="10" s="1"/>
  <c r="S206" i="10"/>
  <c r="AD211" i="10"/>
  <c r="I222" i="10"/>
  <c r="AI182" i="10" l="1"/>
  <c r="AH208" i="10"/>
  <c r="H219" i="10"/>
  <c r="F219" i="10"/>
  <c r="G219" i="10"/>
  <c r="E219" i="10"/>
  <c r="AA207" i="10"/>
  <c r="R208" i="10"/>
  <c r="V207" i="10"/>
  <c r="AD212" i="10"/>
  <c r="U214" i="10"/>
  <c r="Y213" i="10"/>
  <c r="K223" i="10"/>
  <c r="I223" i="10"/>
  <c r="D220" i="10"/>
  <c r="X209" i="10"/>
  <c r="T210" i="10"/>
  <c r="J223" i="10"/>
  <c r="W206" i="10"/>
  <c r="Z206" i="10" s="1"/>
  <c r="S207" i="10"/>
  <c r="AB205" i="10"/>
  <c r="AE205" i="10" s="1"/>
  <c r="AF209" i="10" s="1"/>
  <c r="AG209" i="10" s="1"/>
  <c r="AC208" i="10"/>
  <c r="L223" i="10"/>
  <c r="AI183" i="10" l="1"/>
  <c r="AH209" i="10"/>
  <c r="AC209" i="10"/>
  <c r="R209" i="10"/>
  <c r="V208" i="10"/>
  <c r="AA208" i="10"/>
  <c r="D221" i="10"/>
  <c r="C221" i="10" s="1"/>
  <c r="I224" i="10"/>
  <c r="K224" i="10"/>
  <c r="J224" i="10"/>
  <c r="W207" i="10"/>
  <c r="Z207" i="10" s="1"/>
  <c r="S208" i="10"/>
  <c r="AD213" i="10"/>
  <c r="L224" i="10"/>
  <c r="T211" i="10"/>
  <c r="X210" i="10"/>
  <c r="AB206" i="10"/>
  <c r="AE206" i="10" s="1"/>
  <c r="AF210" i="10" s="1"/>
  <c r="AG210" i="10" s="1"/>
  <c r="C220" i="10"/>
  <c r="Y214" i="10"/>
  <c r="U215" i="10"/>
  <c r="F221" i="10" l="1"/>
  <c r="H221" i="10"/>
  <c r="E221" i="10"/>
  <c r="G221" i="10"/>
  <c r="AH210" i="10"/>
  <c r="D222" i="10"/>
  <c r="R210" i="10"/>
  <c r="V209" i="10"/>
  <c r="AA209" i="10"/>
  <c r="Y215" i="10"/>
  <c r="U216" i="10"/>
  <c r="AD214" i="10"/>
  <c r="X211" i="10"/>
  <c r="T212" i="10"/>
  <c r="AB207" i="10"/>
  <c r="AE207" i="10" s="1"/>
  <c r="AF211" i="10" s="1"/>
  <c r="AG211" i="10" s="1"/>
  <c r="G220" i="10"/>
  <c r="E220" i="10"/>
  <c r="H220" i="10"/>
  <c r="F220" i="10"/>
  <c r="W208" i="10"/>
  <c r="Z208" i="10" s="1"/>
  <c r="S209" i="10"/>
  <c r="AC210" i="10"/>
  <c r="AI184" i="10" l="1"/>
  <c r="AH211" i="10"/>
  <c r="I225" i="10"/>
  <c r="D223" i="10"/>
  <c r="C223" i="10" s="1"/>
  <c r="AC211" i="10"/>
  <c r="C222" i="10"/>
  <c r="AA210" i="10"/>
  <c r="R211" i="10"/>
  <c r="V210" i="10"/>
  <c r="T213" i="10"/>
  <c r="X212" i="10"/>
  <c r="W209" i="10"/>
  <c r="Z209" i="10" s="1"/>
  <c r="S210" i="10"/>
  <c r="K226" i="10"/>
  <c r="K225" i="10"/>
  <c r="AB208" i="10"/>
  <c r="AE208" i="10" s="1"/>
  <c r="AF212" i="10" s="1"/>
  <c r="AG212" i="10" s="1"/>
  <c r="Y216" i="10"/>
  <c r="U217" i="10"/>
  <c r="I226" i="10"/>
  <c r="J225" i="10"/>
  <c r="AD215" i="10"/>
  <c r="L226" i="10"/>
  <c r="L225" i="10"/>
  <c r="J226" i="10"/>
  <c r="AI185" i="10" l="1"/>
  <c r="AH212" i="10"/>
  <c r="AI186" i="10" s="1"/>
  <c r="H223" i="10"/>
  <c r="F223" i="10"/>
  <c r="E223" i="10"/>
  <c r="G223" i="10"/>
  <c r="R212" i="10"/>
  <c r="V211" i="10"/>
  <c r="AA211" i="10"/>
  <c r="E222" i="10"/>
  <c r="H222" i="10"/>
  <c r="G222" i="10"/>
  <c r="F222" i="10"/>
  <c r="W210" i="10"/>
  <c r="Z210" i="10" s="1"/>
  <c r="S211" i="10"/>
  <c r="D224" i="10"/>
  <c r="AD216" i="10"/>
  <c r="AB209" i="10"/>
  <c r="AE209" i="10" s="1"/>
  <c r="AF213" i="10" s="1"/>
  <c r="AG213" i="10" s="1"/>
  <c r="AC212" i="10"/>
  <c r="T214" i="10"/>
  <c r="X213" i="10"/>
  <c r="U218" i="10"/>
  <c r="Y217" i="10"/>
  <c r="AH213" i="10" l="1"/>
  <c r="L227" i="10"/>
  <c r="I227" i="10"/>
  <c r="V212" i="10"/>
  <c r="AA212" i="10"/>
  <c r="R213" i="10"/>
  <c r="K228" i="10"/>
  <c r="D225" i="10"/>
  <c r="C225" i="10" s="1"/>
  <c r="I228" i="10"/>
  <c r="C224" i="10"/>
  <c r="J228" i="10"/>
  <c r="W211" i="10"/>
  <c r="Z211" i="10" s="1"/>
  <c r="S212" i="10"/>
  <c r="L228" i="10"/>
  <c r="AB210" i="10"/>
  <c r="AE210" i="10" s="1"/>
  <c r="AF214" i="10" s="1"/>
  <c r="AG214" i="10" s="1"/>
  <c r="K227" i="10"/>
  <c r="AD217" i="10"/>
  <c r="U219" i="10"/>
  <c r="Y218" i="10"/>
  <c r="AC213" i="10"/>
  <c r="T215" i="10"/>
  <c r="X214" i="10"/>
  <c r="J227" i="10"/>
  <c r="F225" i="10" l="1"/>
  <c r="H225" i="10"/>
  <c r="G225" i="10"/>
  <c r="E225" i="10"/>
  <c r="AH214" i="10"/>
  <c r="W212" i="10"/>
  <c r="Z212" i="10" s="1"/>
  <c r="S213" i="10"/>
  <c r="E224" i="10"/>
  <c r="H224" i="10"/>
  <c r="G224" i="10"/>
  <c r="F224" i="10"/>
  <c r="AD218" i="10"/>
  <c r="P220" i="10"/>
  <c r="U220" i="10" s="1"/>
  <c r="Y219" i="10"/>
  <c r="X215" i="10"/>
  <c r="T216" i="10"/>
  <c r="D226" i="10"/>
  <c r="C226" i="10" s="1"/>
  <c r="AA213" i="10"/>
  <c r="R214" i="10"/>
  <c r="V213" i="10"/>
  <c r="AB211" i="10"/>
  <c r="AE211" i="10" s="1"/>
  <c r="AF215" i="10" s="1"/>
  <c r="AG215" i="10" s="1"/>
  <c r="AC214" i="10"/>
  <c r="AI187" i="10" l="1"/>
  <c r="AH215" i="10"/>
  <c r="D227" i="10"/>
  <c r="I229" i="10"/>
  <c r="Y220" i="10"/>
  <c r="AB212" i="10"/>
  <c r="AE212" i="10" s="1"/>
  <c r="AF216" i="10" s="1"/>
  <c r="AG216" i="10" s="1"/>
  <c r="P223" i="10"/>
  <c r="P227" i="10"/>
  <c r="P230" i="10"/>
  <c r="P225" i="10"/>
  <c r="P233" i="10"/>
  <c r="P228" i="10"/>
  <c r="P231" i="10"/>
  <c r="P226" i="10"/>
  <c r="P234" i="10"/>
  <c r="P229" i="10"/>
  <c r="P232" i="10"/>
  <c r="P221" i="10"/>
  <c r="U221" i="10" s="1"/>
  <c r="P222" i="10"/>
  <c r="P224" i="10"/>
  <c r="G18" i="10"/>
  <c r="L229" i="10"/>
  <c r="I230" i="10"/>
  <c r="H226" i="10"/>
  <c r="G226" i="10"/>
  <c r="F226" i="10"/>
  <c r="E226" i="10"/>
  <c r="AC215" i="10"/>
  <c r="K230" i="10"/>
  <c r="T217" i="10"/>
  <c r="X216" i="10"/>
  <c r="AD219" i="10"/>
  <c r="V214" i="10"/>
  <c r="AA214" i="10"/>
  <c r="R215" i="10"/>
  <c r="J229" i="10"/>
  <c r="L230" i="10"/>
  <c r="W213" i="10"/>
  <c r="Z213" i="10" s="1"/>
  <c r="S214" i="10"/>
  <c r="K229" i="10"/>
  <c r="J230" i="10"/>
  <c r="AI190" i="10" l="1"/>
  <c r="AI188" i="10"/>
  <c r="U222" i="10"/>
  <c r="Y221" i="10"/>
  <c r="AH216" i="10"/>
  <c r="K231" i="10"/>
  <c r="J231" i="10"/>
  <c r="L231" i="10"/>
  <c r="I231" i="10"/>
  <c r="AD220" i="10"/>
  <c r="W214" i="10"/>
  <c r="Z214" i="10" s="1"/>
  <c r="S215" i="10"/>
  <c r="T218" i="10"/>
  <c r="X217" i="10"/>
  <c r="D228" i="10"/>
  <c r="AB213" i="10"/>
  <c r="AE213" i="10" s="1"/>
  <c r="AF217" i="10" s="1"/>
  <c r="AG217" i="10" s="1"/>
  <c r="C227" i="10"/>
  <c r="AC216" i="10"/>
  <c r="AA215" i="10"/>
  <c r="V215" i="10"/>
  <c r="R216" i="10"/>
  <c r="AI189" i="10" l="1"/>
  <c r="J15" i="10" s="1"/>
  <c r="AI191" i="10"/>
  <c r="AH217" i="10"/>
  <c r="AI192" i="10" s="1"/>
  <c r="D229" i="10"/>
  <c r="C229" i="10" s="1"/>
  <c r="AC217" i="10"/>
  <c r="T219" i="10"/>
  <c r="X218" i="10"/>
  <c r="W215" i="10"/>
  <c r="Z215" i="10" s="1"/>
  <c r="S216" i="10"/>
  <c r="AB214" i="10"/>
  <c r="AE214" i="10" s="1"/>
  <c r="AF218" i="10" s="1"/>
  <c r="AG218" i="10" s="1"/>
  <c r="AD221" i="10"/>
  <c r="AA216" i="10"/>
  <c r="V216" i="10"/>
  <c r="R217" i="10"/>
  <c r="U223" i="10"/>
  <c r="Y222" i="10"/>
  <c r="C228" i="10"/>
  <c r="H227" i="10"/>
  <c r="G227" i="10"/>
  <c r="F227" i="10"/>
  <c r="E227" i="10"/>
  <c r="AH218" i="10" l="1"/>
  <c r="H229" i="10"/>
  <c r="F229" i="10"/>
  <c r="E229" i="10"/>
  <c r="G229" i="10"/>
  <c r="W216" i="10"/>
  <c r="Z216" i="10" s="1"/>
  <c r="S217" i="10"/>
  <c r="AB215" i="10"/>
  <c r="AE215" i="10" s="1"/>
  <c r="AF219" i="10" s="1"/>
  <c r="AG219" i="10" s="1"/>
  <c r="AC218" i="10"/>
  <c r="O220" i="10"/>
  <c r="X219" i="10"/>
  <c r="U224" i="10"/>
  <c r="Y223" i="10"/>
  <c r="L232" i="10"/>
  <c r="AD222" i="10"/>
  <c r="V217" i="10"/>
  <c r="AA217" i="10"/>
  <c r="R218" i="10"/>
  <c r="G228" i="10"/>
  <c r="F228" i="10"/>
  <c r="E228" i="10"/>
  <c r="H228" i="10"/>
  <c r="I232" i="10"/>
  <c r="D230" i="10"/>
  <c r="C230" i="10" s="1"/>
  <c r="J232" i="10"/>
  <c r="K232" i="10"/>
  <c r="AI193" i="10" l="1"/>
  <c r="AH219" i="10"/>
  <c r="H230" i="10"/>
  <c r="G230" i="10"/>
  <c r="F230" i="10"/>
  <c r="E230" i="10"/>
  <c r="W217" i="10"/>
  <c r="Z217" i="10" s="1"/>
  <c r="S218" i="10"/>
  <c r="AB216" i="10"/>
  <c r="AE216" i="10" s="1"/>
  <c r="AF220" i="10" s="1"/>
  <c r="AG220" i="10" s="1"/>
  <c r="AD223" i="10"/>
  <c r="K234" i="10"/>
  <c r="Y224" i="10"/>
  <c r="U225" i="10"/>
  <c r="I234" i="10"/>
  <c r="L233" i="10"/>
  <c r="J234" i="10"/>
  <c r="D231" i="10"/>
  <c r="C231" i="10" s="1"/>
  <c r="K233" i="10"/>
  <c r="AC219" i="10"/>
  <c r="L234" i="10"/>
  <c r="O224" i="10"/>
  <c r="O229" i="10"/>
  <c r="O223" i="10"/>
  <c r="O232" i="10"/>
  <c r="O227" i="10"/>
  <c r="O230" i="10"/>
  <c r="O222" i="10"/>
  <c r="O225" i="10"/>
  <c r="O233" i="10"/>
  <c r="O228" i="10"/>
  <c r="O231" i="10"/>
  <c r="O226" i="10"/>
  <c r="O221" i="10"/>
  <c r="O234" i="10"/>
  <c r="F18" i="10"/>
  <c r="I233" i="10"/>
  <c r="J233" i="10"/>
  <c r="AA218" i="10"/>
  <c r="V218" i="10"/>
  <c r="R219" i="10"/>
  <c r="T220" i="10"/>
  <c r="AH220" i="10" l="1"/>
  <c r="H231" i="10"/>
  <c r="F231" i="10"/>
  <c r="G231" i="10"/>
  <c r="E231" i="10"/>
  <c r="W218" i="10"/>
  <c r="Z218" i="10" s="1"/>
  <c r="S219" i="10"/>
  <c r="AB217" i="10"/>
  <c r="AE217" i="10" s="1"/>
  <c r="AF221" i="10" s="1"/>
  <c r="AG221" i="10" s="1"/>
  <c r="U226" i="10"/>
  <c r="Y225" i="10"/>
  <c r="I235" i="10"/>
  <c r="J235" i="10"/>
  <c r="AD224" i="10"/>
  <c r="K235" i="10"/>
  <c r="V219" i="10"/>
  <c r="M220" i="10"/>
  <c r="AA219" i="10"/>
  <c r="L235" i="10"/>
  <c r="T221" i="10"/>
  <c r="X220" i="10"/>
  <c r="D232" i="10"/>
  <c r="C232" i="10" s="1"/>
  <c r="AI194" i="10" l="1"/>
  <c r="AH221" i="10"/>
  <c r="G232" i="10"/>
  <c r="H232" i="10"/>
  <c r="F232" i="10"/>
  <c r="E232" i="10"/>
  <c r="M226" i="10"/>
  <c r="M234" i="10"/>
  <c r="M228" i="10"/>
  <c r="M222" i="10"/>
  <c r="M224" i="10"/>
  <c r="M232" i="10"/>
  <c r="M227" i="10"/>
  <c r="M233" i="10"/>
  <c r="M223" i="10"/>
  <c r="M231" i="10"/>
  <c r="M225" i="10"/>
  <c r="M229" i="10"/>
  <c r="M230" i="10"/>
  <c r="M221" i="10"/>
  <c r="D18" i="10"/>
  <c r="N220" i="10"/>
  <c r="W219" i="10"/>
  <c r="Z219" i="10" s="1"/>
  <c r="AB218" i="10"/>
  <c r="AE218" i="10" s="1"/>
  <c r="AF222" i="10" s="1"/>
  <c r="AG222" i="10" s="1"/>
  <c r="D233" i="10"/>
  <c r="C233" i="10" s="1"/>
  <c r="I236" i="10"/>
  <c r="Y226" i="10"/>
  <c r="U227" i="10"/>
  <c r="AC220" i="10"/>
  <c r="K236" i="10"/>
  <c r="X221" i="10"/>
  <c r="T222" i="10"/>
  <c r="J236" i="10"/>
  <c r="L236" i="10"/>
  <c r="R220" i="10"/>
  <c r="AD225" i="10"/>
  <c r="AI195" i="10" l="1"/>
  <c r="I17" i="10"/>
  <c r="AH222" i="10"/>
  <c r="U228" i="10"/>
  <c r="Y227" i="10"/>
  <c r="I237" i="10"/>
  <c r="D234" i="10"/>
  <c r="C234" i="10" s="1"/>
  <c r="J237" i="10"/>
  <c r="N225" i="10"/>
  <c r="Q225" i="10" s="1"/>
  <c r="N232" i="10"/>
  <c r="Q232" i="10" s="1"/>
  <c r="N227" i="10"/>
  <c r="Q227" i="10" s="1"/>
  <c r="N230" i="10"/>
  <c r="Q230" i="10" s="1"/>
  <c r="N222" i="10"/>
  <c r="Q222" i="10" s="1"/>
  <c r="N233" i="10"/>
  <c r="Q233" i="10" s="1"/>
  <c r="N223" i="10"/>
  <c r="Q223" i="10" s="1"/>
  <c r="N228" i="10"/>
  <c r="Q228" i="10" s="1"/>
  <c r="N231" i="10"/>
  <c r="Q231" i="10" s="1"/>
  <c r="N226" i="10"/>
  <c r="Q226" i="10" s="1"/>
  <c r="N224" i="10"/>
  <c r="Q224" i="10" s="1"/>
  <c r="N229" i="10"/>
  <c r="Q229" i="10" s="1"/>
  <c r="N234" i="10"/>
  <c r="Q234" i="10" s="1"/>
  <c r="N221" i="10"/>
  <c r="Q221" i="10" s="1"/>
  <c r="E18" i="10"/>
  <c r="L237" i="10"/>
  <c r="R221" i="10"/>
  <c r="V220" i="10"/>
  <c r="AA220" i="10"/>
  <c r="K237" i="10"/>
  <c r="AD226" i="10"/>
  <c r="F233" i="10"/>
  <c r="G233" i="10"/>
  <c r="E233" i="10"/>
  <c r="H233" i="10"/>
  <c r="T223" i="10"/>
  <c r="X222" i="10"/>
  <c r="AC221" i="10"/>
  <c r="S220" i="10"/>
  <c r="AB219" i="10"/>
  <c r="AE219" i="10" s="1"/>
  <c r="AF223" i="10" s="1"/>
  <c r="AG223" i="10" s="1"/>
  <c r="Q220" i="10"/>
  <c r="AI196" i="10" l="1"/>
  <c r="AH223" i="10"/>
  <c r="W220" i="10"/>
  <c r="Z220" i="10" s="1"/>
  <c r="S221" i="10"/>
  <c r="AC222" i="10"/>
  <c r="L238" i="10"/>
  <c r="D235" i="10"/>
  <c r="C235" i="10" s="1"/>
  <c r="R222" i="10"/>
  <c r="AA221" i="10"/>
  <c r="V221" i="10"/>
  <c r="AD227" i="10"/>
  <c r="K238" i="10"/>
  <c r="Y228" i="10"/>
  <c r="U229" i="10"/>
  <c r="E234" i="10"/>
  <c r="H234" i="10"/>
  <c r="G234" i="10"/>
  <c r="F234" i="10"/>
  <c r="T224" i="10"/>
  <c r="X223" i="10"/>
  <c r="I238" i="10"/>
  <c r="J238" i="10"/>
  <c r="AI197" i="10" l="1"/>
  <c r="I239" i="10"/>
  <c r="U230" i="10"/>
  <c r="Y229" i="10"/>
  <c r="AD228" i="10"/>
  <c r="AC223" i="10"/>
  <c r="W221" i="10"/>
  <c r="Z221" i="10" s="1"/>
  <c r="S222" i="10"/>
  <c r="AA222" i="10"/>
  <c r="V222" i="10"/>
  <c r="R223" i="10"/>
  <c r="D236" i="10"/>
  <c r="X224" i="10"/>
  <c r="T225" i="10"/>
  <c r="AB220" i="10"/>
  <c r="AE220" i="10" s="1"/>
  <c r="AF224" i="10" s="1"/>
  <c r="AG224" i="10" s="1"/>
  <c r="L239" i="10"/>
  <c r="J239" i="10"/>
  <c r="H235" i="10"/>
  <c r="G235" i="10"/>
  <c r="F235" i="10"/>
  <c r="E235" i="10"/>
  <c r="K239" i="10"/>
  <c r="W222" i="10" l="1"/>
  <c r="Z222" i="10" s="1"/>
  <c r="S223" i="10"/>
  <c r="AB221" i="10"/>
  <c r="AE221" i="10" s="1"/>
  <c r="AF225" i="10" s="1"/>
  <c r="AG225" i="10" s="1"/>
  <c r="AH224" i="10"/>
  <c r="T226" i="10"/>
  <c r="X225" i="10"/>
  <c r="AC224" i="10"/>
  <c r="J240" i="10"/>
  <c r="D237" i="10"/>
  <c r="C237" i="10" s="1"/>
  <c r="AD229" i="10"/>
  <c r="K240" i="10"/>
  <c r="C236" i="10"/>
  <c r="U231" i="10"/>
  <c r="Y230" i="10"/>
  <c r="R224" i="10"/>
  <c r="V223" i="10"/>
  <c r="AA223" i="10"/>
  <c r="I240" i="10"/>
  <c r="L240" i="10"/>
  <c r="AH225" i="10" l="1"/>
  <c r="AD230" i="10"/>
  <c r="U232" i="10"/>
  <c r="Y231" i="10"/>
  <c r="E236" i="10"/>
  <c r="H236" i="10"/>
  <c r="G236" i="10"/>
  <c r="F236" i="10"/>
  <c r="AC225" i="10"/>
  <c r="X226" i="10"/>
  <c r="T227" i="10"/>
  <c r="R225" i="10"/>
  <c r="AA224" i="10"/>
  <c r="V224" i="10"/>
  <c r="F237" i="10"/>
  <c r="H237" i="10"/>
  <c r="G237" i="10"/>
  <c r="E237" i="10"/>
  <c r="D238" i="10"/>
  <c r="C238" i="10" s="1"/>
  <c r="W223" i="10"/>
  <c r="Z223" i="10" s="1"/>
  <c r="S224" i="10"/>
  <c r="AB222" i="10"/>
  <c r="AE222" i="10" s="1"/>
  <c r="AF226" i="10" s="1"/>
  <c r="AG226" i="10" s="1"/>
  <c r="AI198" i="10" l="1"/>
  <c r="AH226" i="10"/>
  <c r="I242" i="10"/>
  <c r="K241" i="10"/>
  <c r="L241" i="10"/>
  <c r="I241" i="10"/>
  <c r="J241" i="10"/>
  <c r="J242" i="10"/>
  <c r="AD231" i="10"/>
  <c r="U233" i="10"/>
  <c r="Y232" i="10"/>
  <c r="K242" i="10"/>
  <c r="D239" i="10"/>
  <c r="C239" i="10" s="1"/>
  <c r="AA225" i="10"/>
  <c r="R226" i="10"/>
  <c r="V225" i="10"/>
  <c r="X227" i="10"/>
  <c r="T228" i="10"/>
  <c r="H238" i="10"/>
  <c r="E238" i="10"/>
  <c r="G238" i="10"/>
  <c r="F238" i="10"/>
  <c r="AC226" i="10"/>
  <c r="L242" i="10"/>
  <c r="W224" i="10"/>
  <c r="Z224" i="10" s="1"/>
  <c r="S225" i="10"/>
  <c r="AB223" i="10"/>
  <c r="AE223" i="10" s="1"/>
  <c r="AF227" i="10" s="1"/>
  <c r="AG227" i="10" s="1"/>
  <c r="AI199" i="10" l="1"/>
  <c r="AH227" i="10"/>
  <c r="AI200" i="10" s="1"/>
  <c r="D240" i="10"/>
  <c r="K243" i="10"/>
  <c r="I243" i="10"/>
  <c r="AD232" i="10"/>
  <c r="H239" i="10"/>
  <c r="G239" i="10"/>
  <c r="F239" i="10"/>
  <c r="E239" i="10"/>
  <c r="U234" i="10"/>
  <c r="Y233" i="10"/>
  <c r="L243" i="10"/>
  <c r="T229" i="10"/>
  <c r="X228" i="10"/>
  <c r="J243" i="10"/>
  <c r="W225" i="10"/>
  <c r="Z225" i="10" s="1"/>
  <c r="S226" i="10"/>
  <c r="AC227" i="10"/>
  <c r="AB224" i="10"/>
  <c r="AE224" i="10" s="1"/>
  <c r="AF228" i="10" s="1"/>
  <c r="AG228" i="10" s="1"/>
  <c r="V226" i="10"/>
  <c r="AA226" i="10"/>
  <c r="R227" i="10"/>
  <c r="AH228" i="10" l="1"/>
  <c r="AI201" i="10" s="1"/>
  <c r="L244" i="10"/>
  <c r="AC228" i="10"/>
  <c r="X229" i="10"/>
  <c r="T230" i="10"/>
  <c r="AD233" i="10"/>
  <c r="P235" i="10"/>
  <c r="U235" i="10" s="1"/>
  <c r="Y234" i="10"/>
  <c r="D241" i="10"/>
  <c r="C241" i="10" s="1"/>
  <c r="I244" i="10"/>
  <c r="C240" i="10"/>
  <c r="W226" i="10"/>
  <c r="Z226" i="10" s="1"/>
  <c r="S227" i="10"/>
  <c r="J244" i="10"/>
  <c r="R228" i="10"/>
  <c r="V227" i="10"/>
  <c r="AA227" i="10"/>
  <c r="AB225" i="10"/>
  <c r="AE225" i="10" s="1"/>
  <c r="AF229" i="10" s="1"/>
  <c r="AG229" i="10" s="1"/>
  <c r="K244" i="10"/>
  <c r="G241" i="10" l="1"/>
  <c r="F241" i="10"/>
  <c r="E241" i="10"/>
  <c r="H241" i="10"/>
  <c r="AH229" i="10"/>
  <c r="H240" i="10"/>
  <c r="G240" i="10"/>
  <c r="F240" i="10"/>
  <c r="E240" i="10"/>
  <c r="T231" i="10"/>
  <c r="X230" i="10"/>
  <c r="AC229" i="10"/>
  <c r="D242" i="10"/>
  <c r="C242" i="10" s="1"/>
  <c r="W227" i="10"/>
  <c r="Z227" i="10" s="1"/>
  <c r="S228" i="10"/>
  <c r="Y235" i="10"/>
  <c r="AB226" i="10"/>
  <c r="AE226" i="10" s="1"/>
  <c r="AF230" i="10" s="1"/>
  <c r="AG230" i="10" s="1"/>
  <c r="AA228" i="10"/>
  <c r="R229" i="10"/>
  <c r="V228" i="10"/>
  <c r="AD234" i="10"/>
  <c r="P249" i="10"/>
  <c r="P245" i="10"/>
  <c r="P246" i="10"/>
  <c r="P247" i="10"/>
  <c r="P244" i="10"/>
  <c r="P240" i="10"/>
  <c r="P243" i="10"/>
  <c r="P238" i="10"/>
  <c r="P241" i="10"/>
  <c r="P236" i="10"/>
  <c r="U236" i="10" s="1"/>
  <c r="P248" i="10"/>
  <c r="P239" i="10"/>
  <c r="P242" i="10"/>
  <c r="P237" i="10"/>
  <c r="G19" i="10"/>
  <c r="AH230" i="10" l="1"/>
  <c r="AD235" i="10"/>
  <c r="K245" i="10"/>
  <c r="U237" i="10"/>
  <c r="Y236" i="10"/>
  <c r="L245" i="10"/>
  <c r="AC230" i="10"/>
  <c r="W228" i="10"/>
  <c r="Z228" i="10" s="1"/>
  <c r="S229" i="10"/>
  <c r="I245" i="10"/>
  <c r="AB227" i="10"/>
  <c r="AE227" i="10" s="1"/>
  <c r="AF231" i="10" s="1"/>
  <c r="AG231" i="10" s="1"/>
  <c r="H242" i="10"/>
  <c r="G242" i="10"/>
  <c r="F242" i="10"/>
  <c r="E242" i="10"/>
  <c r="L246" i="10"/>
  <c r="D243" i="10"/>
  <c r="C243" i="10" s="1"/>
  <c r="I246" i="10"/>
  <c r="V229" i="10"/>
  <c r="R230" i="10"/>
  <c r="AA229" i="10"/>
  <c r="J246" i="10"/>
  <c r="X231" i="10"/>
  <c r="T232" i="10"/>
  <c r="J245" i="10"/>
  <c r="K246" i="10"/>
  <c r="AI202" i="10" l="1"/>
  <c r="H243" i="10"/>
  <c r="F243" i="10"/>
  <c r="G243" i="10"/>
  <c r="E243" i="10"/>
  <c r="AH231" i="10"/>
  <c r="AC231" i="10"/>
  <c r="J247" i="10"/>
  <c r="K247" i="10"/>
  <c r="L247" i="10"/>
  <c r="R231" i="10"/>
  <c r="AA230" i="10"/>
  <c r="V230" i="10"/>
  <c r="U238" i="10"/>
  <c r="Y237" i="10"/>
  <c r="W229" i="10"/>
  <c r="Z229" i="10" s="1"/>
  <c r="S230" i="10"/>
  <c r="I247" i="10"/>
  <c r="D244" i="10"/>
  <c r="C244" i="10" s="1"/>
  <c r="AB228" i="10"/>
  <c r="AE228" i="10" s="1"/>
  <c r="AF232" i="10" s="1"/>
  <c r="AG232" i="10" s="1"/>
  <c r="AD236" i="10"/>
  <c r="T233" i="10"/>
  <c r="X232" i="10"/>
  <c r="AI203" i="10" l="1"/>
  <c r="AH232" i="10"/>
  <c r="X233" i="10"/>
  <c r="T234" i="10"/>
  <c r="G244" i="10"/>
  <c r="H244" i="10"/>
  <c r="F244" i="10"/>
  <c r="E244" i="10"/>
  <c r="AC232" i="10"/>
  <c r="I248" i="10"/>
  <c r="K248" i="10"/>
  <c r="D245" i="10"/>
  <c r="C245" i="10" s="1"/>
  <c r="J248" i="10"/>
  <c r="AD237" i="10"/>
  <c r="Y238" i="10"/>
  <c r="U239" i="10"/>
  <c r="V231" i="10"/>
  <c r="R232" i="10"/>
  <c r="AA231" i="10"/>
  <c r="W230" i="10"/>
  <c r="Z230" i="10" s="1"/>
  <c r="S231" i="10"/>
  <c r="AB229" i="10"/>
  <c r="AE229" i="10" s="1"/>
  <c r="AF233" i="10" s="1"/>
  <c r="AG233" i="10" s="1"/>
  <c r="L248" i="10"/>
  <c r="AI204" i="10" l="1"/>
  <c r="J16" i="10" s="1"/>
  <c r="AI205" i="10"/>
  <c r="F245" i="10"/>
  <c r="G245" i="10"/>
  <c r="H245" i="10"/>
  <c r="E245" i="10"/>
  <c r="AH233" i="10"/>
  <c r="AD238" i="10"/>
  <c r="I249" i="10"/>
  <c r="W231" i="10"/>
  <c r="Z231" i="10" s="1"/>
  <c r="S232" i="10"/>
  <c r="J249" i="10"/>
  <c r="AB230" i="10"/>
  <c r="AE230" i="10" s="1"/>
  <c r="AF234" i="10" s="1"/>
  <c r="AG234" i="10" s="1"/>
  <c r="L249" i="10"/>
  <c r="K249" i="10"/>
  <c r="Y239" i="10"/>
  <c r="AD239" i="10" s="1"/>
  <c r="U240" i="10"/>
  <c r="O235" i="10"/>
  <c r="T235" i="10" s="1"/>
  <c r="X234" i="10"/>
  <c r="R233" i="10"/>
  <c r="V232" i="10"/>
  <c r="AA232" i="10"/>
  <c r="AC233" i="10"/>
  <c r="D246" i="10"/>
  <c r="C246" i="10" s="1"/>
  <c r="AI206" i="10" l="1"/>
  <c r="AB231" i="10"/>
  <c r="AE231" i="10" s="1"/>
  <c r="AF235" i="10" s="1"/>
  <c r="AG235" i="10" s="1"/>
  <c r="D247" i="10"/>
  <c r="C247" i="10" s="1"/>
  <c r="W232" i="10"/>
  <c r="Z232" i="10" s="1"/>
  <c r="S233" i="10"/>
  <c r="AH234" i="10"/>
  <c r="I250" i="10"/>
  <c r="X235" i="10"/>
  <c r="L250" i="10"/>
  <c r="G246" i="10"/>
  <c r="H246" i="10"/>
  <c r="E246" i="10"/>
  <c r="F246" i="10"/>
  <c r="AC234" i="10"/>
  <c r="K250" i="10"/>
  <c r="U241" i="10"/>
  <c r="Y240" i="10"/>
  <c r="R234" i="10"/>
  <c r="AA233" i="10"/>
  <c r="V233" i="10"/>
  <c r="O236" i="10"/>
  <c r="T236" i="10" s="1"/>
  <c r="O249" i="10"/>
  <c r="O243" i="10"/>
  <c r="O247" i="10"/>
  <c r="O244" i="10"/>
  <c r="O241" i="10"/>
  <c r="O245" i="10"/>
  <c r="O240" i="10"/>
  <c r="O238" i="10"/>
  <c r="O246" i="10"/>
  <c r="O248" i="10"/>
  <c r="O239" i="10"/>
  <c r="O237" i="10"/>
  <c r="O242" i="10"/>
  <c r="F19" i="10"/>
  <c r="J250" i="10"/>
  <c r="AI207" i="10" l="1"/>
  <c r="J251" i="10"/>
  <c r="AH235" i="10"/>
  <c r="I251" i="10"/>
  <c r="W233" i="10"/>
  <c r="Z233" i="10" s="1"/>
  <c r="S234" i="10"/>
  <c r="L251" i="10"/>
  <c r="AB232" i="10"/>
  <c r="AE232" i="10" s="1"/>
  <c r="AF236" i="10" s="1"/>
  <c r="AG236" i="10" s="1"/>
  <c r="AA234" i="10"/>
  <c r="M235" i="10"/>
  <c r="V234" i="10"/>
  <c r="K251" i="10"/>
  <c r="H247" i="10"/>
  <c r="G247" i="10"/>
  <c r="F247" i="10"/>
  <c r="E247" i="10"/>
  <c r="D248" i="10"/>
  <c r="C248" i="10" s="1"/>
  <c r="AD240" i="10"/>
  <c r="T237" i="10"/>
  <c r="X236" i="10"/>
  <c r="U242" i="10"/>
  <c r="Y241" i="10"/>
  <c r="AC235" i="10"/>
  <c r="AD241" i="10" l="1"/>
  <c r="K252" i="10"/>
  <c r="L252" i="10"/>
  <c r="W234" i="10"/>
  <c r="Z234" i="10" s="1"/>
  <c r="U243" i="10"/>
  <c r="Y242" i="10"/>
  <c r="AB233" i="10"/>
  <c r="AE233" i="10" s="1"/>
  <c r="AF237" i="10" s="1"/>
  <c r="AG237" i="10" s="1"/>
  <c r="I252" i="10"/>
  <c r="X237" i="10"/>
  <c r="T238" i="10"/>
  <c r="M238" i="10"/>
  <c r="M246" i="10"/>
  <c r="M240" i="10"/>
  <c r="M242" i="10"/>
  <c r="M237" i="10"/>
  <c r="M247" i="10"/>
  <c r="M244" i="10"/>
  <c r="M245" i="10"/>
  <c r="M249" i="10"/>
  <c r="M243" i="10"/>
  <c r="M241" i="10"/>
  <c r="M236" i="10"/>
  <c r="M239" i="10"/>
  <c r="M248" i="10"/>
  <c r="D19" i="10"/>
  <c r="N235" i="10"/>
  <c r="S235" i="10" s="1"/>
  <c r="R235" i="10"/>
  <c r="AH236" i="10"/>
  <c r="AI208" i="10" s="1"/>
  <c r="G248" i="10"/>
  <c r="F248" i="10"/>
  <c r="E248" i="10"/>
  <c r="H248" i="10"/>
  <c r="J252" i="10"/>
  <c r="AC236" i="10"/>
  <c r="D249" i="10"/>
  <c r="C249" i="10" s="1"/>
  <c r="I18" i="10" l="1"/>
  <c r="AH237" i="10"/>
  <c r="W235" i="10"/>
  <c r="AD242" i="10"/>
  <c r="Y243" i="10"/>
  <c r="U244" i="10"/>
  <c r="T239" i="10"/>
  <c r="X238" i="10"/>
  <c r="AB234" i="10"/>
  <c r="AE234" i="10" s="1"/>
  <c r="AF238" i="10" s="1"/>
  <c r="AG238" i="10" s="1"/>
  <c r="AC237" i="10"/>
  <c r="K253" i="10"/>
  <c r="L253" i="10"/>
  <c r="I253" i="10"/>
  <c r="N249" i="10"/>
  <c r="Q249" i="10" s="1"/>
  <c r="N237" i="10"/>
  <c r="Q237" i="10" s="1"/>
  <c r="N247" i="10"/>
  <c r="Q247" i="10" s="1"/>
  <c r="N244" i="10"/>
  <c r="Q244" i="10" s="1"/>
  <c r="N248" i="10"/>
  <c r="Q248" i="10" s="1"/>
  <c r="N245" i="10"/>
  <c r="Q245" i="10" s="1"/>
  <c r="N240" i="10"/>
  <c r="Q240" i="10" s="1"/>
  <c r="N243" i="10"/>
  <c r="Q243" i="10" s="1"/>
  <c r="N238" i="10"/>
  <c r="Q238" i="10" s="1"/>
  <c r="N241" i="10"/>
  <c r="Q241" i="10" s="1"/>
  <c r="N236" i="10"/>
  <c r="Q236" i="10" s="1"/>
  <c r="N246" i="10"/>
  <c r="Q246" i="10" s="1"/>
  <c r="N239" i="10"/>
  <c r="Q239" i="10" s="1"/>
  <c r="N242" i="10"/>
  <c r="Q242" i="10" s="1"/>
  <c r="E19" i="10"/>
  <c r="J253" i="10"/>
  <c r="F249" i="10"/>
  <c r="E249" i="10"/>
  <c r="H249" i="10"/>
  <c r="G249" i="10"/>
  <c r="D250" i="10"/>
  <c r="R236" i="10"/>
  <c r="AA235" i="10"/>
  <c r="V235" i="10"/>
  <c r="Q235" i="10"/>
  <c r="Z235" i="10" l="1"/>
  <c r="AI209" i="10"/>
  <c r="AH238" i="10"/>
  <c r="K254" i="10"/>
  <c r="D251" i="10"/>
  <c r="C251" i="10" s="1"/>
  <c r="L254" i="10"/>
  <c r="U245" i="10"/>
  <c r="Y244" i="10"/>
  <c r="C250" i="10"/>
  <c r="J254" i="10"/>
  <c r="V236" i="10"/>
  <c r="R237" i="10"/>
  <c r="AA236" i="10"/>
  <c r="AC238" i="10"/>
  <c r="X239" i="10"/>
  <c r="AC239" i="10" s="1"/>
  <c r="T240" i="10"/>
  <c r="S236" i="10"/>
  <c r="AB235" i="10"/>
  <c r="AE235" i="10" s="1"/>
  <c r="AF239" i="10" s="1"/>
  <c r="AG239" i="10" s="1"/>
  <c r="AD243" i="10"/>
  <c r="I254" i="10"/>
  <c r="AI210" i="10" l="1"/>
  <c r="AH239" i="10"/>
  <c r="T241" i="10"/>
  <c r="X240" i="10"/>
  <c r="U246" i="10"/>
  <c r="Y245" i="10"/>
  <c r="F251" i="10"/>
  <c r="H251" i="10"/>
  <c r="G251" i="10"/>
  <c r="E251" i="10"/>
  <c r="AD244" i="10"/>
  <c r="D252" i="10"/>
  <c r="W236" i="10"/>
  <c r="Z236" i="10" s="1"/>
  <c r="S237" i="10"/>
  <c r="AA237" i="10"/>
  <c r="R238" i="10"/>
  <c r="V237" i="10"/>
  <c r="E250" i="10"/>
  <c r="H250" i="10"/>
  <c r="G250" i="10"/>
  <c r="F250" i="10"/>
  <c r="AI211" i="10" l="1"/>
  <c r="I255" i="10"/>
  <c r="R239" i="10"/>
  <c r="AA238" i="10"/>
  <c r="V238" i="10"/>
  <c r="AD245" i="10"/>
  <c r="T242" i="10"/>
  <c r="X241" i="10"/>
  <c r="AB236" i="10"/>
  <c r="AE236" i="10" s="1"/>
  <c r="AF240" i="10" s="1"/>
  <c r="AG240" i="10" s="1"/>
  <c r="K255" i="10"/>
  <c r="I256" i="10"/>
  <c r="K256" i="10"/>
  <c r="L256" i="10"/>
  <c r="J256" i="10"/>
  <c r="W237" i="10"/>
  <c r="Z237" i="10" s="1"/>
  <c r="S238" i="10"/>
  <c r="Y246" i="10"/>
  <c r="U247" i="10"/>
  <c r="D253" i="10"/>
  <c r="C253" i="10" s="1"/>
  <c r="AC240" i="10"/>
  <c r="J255" i="10"/>
  <c r="C252" i="10"/>
  <c r="L255" i="10"/>
  <c r="H253" i="10" l="1"/>
  <c r="G253" i="10"/>
  <c r="F253" i="10"/>
  <c r="E253" i="10"/>
  <c r="H252" i="10"/>
  <c r="E252" i="10"/>
  <c r="G252" i="10"/>
  <c r="F252" i="10"/>
  <c r="AC241" i="10"/>
  <c r="T243" i="10"/>
  <c r="X242" i="10"/>
  <c r="AB237" i="10"/>
  <c r="AE237" i="10" s="1"/>
  <c r="AF241" i="10" s="1"/>
  <c r="AG241" i="10" s="1"/>
  <c r="U248" i="10"/>
  <c r="Y247" i="10"/>
  <c r="AD247" i="10" s="1"/>
  <c r="AH240" i="10"/>
  <c r="AA239" i="10"/>
  <c r="V239" i="10"/>
  <c r="R240" i="10"/>
  <c r="D254" i="10"/>
  <c r="C254" i="10" s="1"/>
  <c r="AD246" i="10"/>
  <c r="W238" i="10"/>
  <c r="Z238" i="10" s="1"/>
  <c r="S239" i="10"/>
  <c r="AI212" i="10" l="1"/>
  <c r="AC242" i="10"/>
  <c r="J257" i="10"/>
  <c r="K257" i="10"/>
  <c r="I257" i="10"/>
  <c r="AH241" i="10"/>
  <c r="L257" i="10"/>
  <c r="W239" i="10"/>
  <c r="AB239" i="10" s="1"/>
  <c r="AE239" i="10" s="1"/>
  <c r="AF243" i="10" s="1"/>
  <c r="S240" i="10"/>
  <c r="I258" i="10"/>
  <c r="H254" i="10"/>
  <c r="E254" i="10"/>
  <c r="G254" i="10"/>
  <c r="F254" i="10"/>
  <c r="J258" i="10"/>
  <c r="K258" i="10"/>
  <c r="X243" i="10"/>
  <c r="T244" i="10"/>
  <c r="AB238" i="10"/>
  <c r="AE238" i="10" s="1"/>
  <c r="AF242" i="10" s="1"/>
  <c r="AG242" i="10" s="1"/>
  <c r="Y248" i="10"/>
  <c r="AD248" i="10" s="1"/>
  <c r="U249" i="10"/>
  <c r="D255" i="10"/>
  <c r="C255" i="10" s="1"/>
  <c r="AA240" i="10"/>
  <c r="R241" i="10"/>
  <c r="V240" i="10"/>
  <c r="L258" i="10"/>
  <c r="Z239" i="10" l="1"/>
  <c r="G255" i="10"/>
  <c r="F255" i="10"/>
  <c r="E255" i="10"/>
  <c r="H255" i="10"/>
  <c r="AG243" i="10"/>
  <c r="AH242" i="10"/>
  <c r="D256" i="10"/>
  <c r="J259" i="10"/>
  <c r="P250" i="10"/>
  <c r="Y249" i="10"/>
  <c r="AD249" i="10" s="1"/>
  <c r="K259" i="10"/>
  <c r="I259" i="10"/>
  <c r="V241" i="10"/>
  <c r="R242" i="10"/>
  <c r="AA241" i="10"/>
  <c r="L259" i="10"/>
  <c r="T245" i="10"/>
  <c r="X244" i="10"/>
  <c r="AC243" i="10"/>
  <c r="W240" i="10"/>
  <c r="Z240" i="10" s="1"/>
  <c r="S241" i="10"/>
  <c r="AI213" i="10" l="1"/>
  <c r="R243" i="10"/>
  <c r="AA242" i="10"/>
  <c r="V242" i="10"/>
  <c r="D257" i="10"/>
  <c r="C257" i="10" s="1"/>
  <c r="C256" i="10"/>
  <c r="AH243" i="10"/>
  <c r="AB240" i="10"/>
  <c r="AE240" i="10" s="1"/>
  <c r="AF244" i="10" s="1"/>
  <c r="AG244" i="10" s="1"/>
  <c r="AC244" i="10"/>
  <c r="L260" i="10"/>
  <c r="T246" i="10"/>
  <c r="X245" i="10"/>
  <c r="I260" i="10"/>
  <c r="P263" i="10"/>
  <c r="P251" i="10"/>
  <c r="P262" i="10"/>
  <c r="P256" i="10"/>
  <c r="P259" i="10"/>
  <c r="P254" i="10"/>
  <c r="P264" i="10"/>
  <c r="P257" i="10"/>
  <c r="P252" i="10"/>
  <c r="P260" i="10"/>
  <c r="P255" i="10"/>
  <c r="P253" i="10"/>
  <c r="P258" i="10"/>
  <c r="P261" i="10"/>
  <c r="G20" i="10"/>
  <c r="J260" i="10"/>
  <c r="W241" i="10"/>
  <c r="Z241" i="10" s="1"/>
  <c r="S242" i="10"/>
  <c r="U250" i="10"/>
  <c r="K260" i="10"/>
  <c r="AI214" i="10" l="1"/>
  <c r="AH244" i="10"/>
  <c r="AI215" i="10" s="1"/>
  <c r="E257" i="10"/>
  <c r="H257" i="10"/>
  <c r="G257" i="10"/>
  <c r="F257" i="10"/>
  <c r="AC245" i="10"/>
  <c r="H256" i="10"/>
  <c r="G256" i="10"/>
  <c r="F256" i="10"/>
  <c r="E256" i="10"/>
  <c r="T247" i="10"/>
  <c r="X246" i="10"/>
  <c r="U251" i="10"/>
  <c r="Y250" i="10"/>
  <c r="AD250" i="10" s="1"/>
  <c r="D258" i="10"/>
  <c r="C258" i="10" s="1"/>
  <c r="W242" i="10"/>
  <c r="Z242" i="10" s="1"/>
  <c r="S243" i="10"/>
  <c r="AB241" i="10"/>
  <c r="AE241" i="10" s="1"/>
  <c r="AF245" i="10" s="1"/>
  <c r="AG245" i="10" s="1"/>
  <c r="R244" i="10"/>
  <c r="AA243" i="10"/>
  <c r="V243" i="10"/>
  <c r="AH245" i="10" l="1"/>
  <c r="AI216" i="10" s="1"/>
  <c r="AB242" i="10"/>
  <c r="AE242" i="10" s="1"/>
  <c r="AF246" i="10" s="1"/>
  <c r="AG246" i="10" s="1"/>
  <c r="K261" i="10"/>
  <c r="L261" i="10"/>
  <c r="G258" i="10"/>
  <c r="H258" i="10"/>
  <c r="F258" i="10"/>
  <c r="E258" i="10"/>
  <c r="D259" i="10"/>
  <c r="C259" i="10" s="1"/>
  <c r="J262" i="10"/>
  <c r="K262" i="10"/>
  <c r="J261" i="10"/>
  <c r="U252" i="10"/>
  <c r="Y251" i="10"/>
  <c r="AD251" i="10" s="1"/>
  <c r="L262" i="10"/>
  <c r="I261" i="10"/>
  <c r="I262" i="10"/>
  <c r="R245" i="10"/>
  <c r="V244" i="10"/>
  <c r="AA244" i="10"/>
  <c r="AC246" i="10"/>
  <c r="W243" i="10"/>
  <c r="Z243" i="10" s="1"/>
  <c r="S244" i="10"/>
  <c r="T248" i="10"/>
  <c r="X247" i="10"/>
  <c r="AC247" i="10" s="1"/>
  <c r="H259" i="10" l="1"/>
  <c r="F259" i="10"/>
  <c r="E259" i="10"/>
  <c r="G259" i="10"/>
  <c r="AH246" i="10"/>
  <c r="J263" i="10"/>
  <c r="L263" i="10"/>
  <c r="U253" i="10"/>
  <c r="Y252" i="10"/>
  <c r="AD252" i="10" s="1"/>
  <c r="K263" i="10"/>
  <c r="I263" i="10"/>
  <c r="V245" i="10"/>
  <c r="R246" i="10"/>
  <c r="AA245" i="10"/>
  <c r="AB243" i="10"/>
  <c r="AE243" i="10" s="1"/>
  <c r="AF247" i="10" s="1"/>
  <c r="AG247" i="10" s="1"/>
  <c r="X248" i="10"/>
  <c r="AC248" i="10" s="1"/>
  <c r="T249" i="10"/>
  <c r="W244" i="10"/>
  <c r="Z244" i="10" s="1"/>
  <c r="S245" i="10"/>
  <c r="D260" i="10"/>
  <c r="C260" i="10" s="1"/>
  <c r="AI217" i="10" l="1"/>
  <c r="AH247" i="10"/>
  <c r="D261" i="10"/>
  <c r="C261" i="10" s="1"/>
  <c r="AB244" i="10"/>
  <c r="AE244" i="10" s="1"/>
  <c r="AF248" i="10" s="1"/>
  <c r="AG248" i="10" s="1"/>
  <c r="R247" i="10"/>
  <c r="AA246" i="10"/>
  <c r="V246" i="10"/>
  <c r="K264" i="10"/>
  <c r="G260" i="10"/>
  <c r="H260" i="10"/>
  <c r="F260" i="10"/>
  <c r="E260" i="10"/>
  <c r="O250" i="10"/>
  <c r="T250" i="10" s="1"/>
  <c r="X249" i="10"/>
  <c r="AC249" i="10" s="1"/>
  <c r="I264" i="10"/>
  <c r="J264" i="10"/>
  <c r="W245" i="10"/>
  <c r="Z245" i="10" s="1"/>
  <c r="S246" i="10"/>
  <c r="U254" i="10"/>
  <c r="Y253" i="10"/>
  <c r="AD253" i="10" s="1"/>
  <c r="L264" i="10"/>
  <c r="AH248" i="10" l="1"/>
  <c r="X250" i="10"/>
  <c r="AC250" i="10" s="1"/>
  <c r="F261" i="10"/>
  <c r="H261" i="10"/>
  <c r="G261" i="10"/>
  <c r="E261" i="10"/>
  <c r="I265" i="10"/>
  <c r="Y254" i="10"/>
  <c r="AD254" i="10" s="1"/>
  <c r="U255" i="10"/>
  <c r="J265" i="10"/>
  <c r="R248" i="10"/>
  <c r="V247" i="10"/>
  <c r="AA247" i="10"/>
  <c r="L265" i="10"/>
  <c r="D262" i="10"/>
  <c r="K265" i="10"/>
  <c r="AB245" i="10"/>
  <c r="AE245" i="10" s="1"/>
  <c r="AF249" i="10" s="1"/>
  <c r="AG249" i="10" s="1"/>
  <c r="O264" i="10"/>
  <c r="O252" i="10"/>
  <c r="O259" i="10"/>
  <c r="O254" i="10"/>
  <c r="O262" i="10"/>
  <c r="O257" i="10"/>
  <c r="O260" i="10"/>
  <c r="O255" i="10"/>
  <c r="O263" i="10"/>
  <c r="O258" i="10"/>
  <c r="O261" i="10"/>
  <c r="O256" i="10"/>
  <c r="O251" i="10"/>
  <c r="T251" i="10" s="1"/>
  <c r="O253" i="10"/>
  <c r="F20" i="10"/>
  <c r="W246" i="10"/>
  <c r="Z246" i="10" s="1"/>
  <c r="S247" i="10"/>
  <c r="AI218" i="10" l="1"/>
  <c r="AH249" i="10"/>
  <c r="AI219" i="10" s="1"/>
  <c r="X251" i="10"/>
  <c r="AC251" i="10" s="1"/>
  <c r="T252" i="10"/>
  <c r="D263" i="10"/>
  <c r="C263" i="10" s="1"/>
  <c r="C262" i="10"/>
  <c r="W247" i="10"/>
  <c r="AB247" i="10" s="1"/>
  <c r="AE247" i="10" s="1"/>
  <c r="AF251" i="10" s="1"/>
  <c r="S248" i="10"/>
  <c r="R249" i="10"/>
  <c r="AA248" i="10"/>
  <c r="V248" i="10"/>
  <c r="L266" i="10"/>
  <c r="AB246" i="10"/>
  <c r="AE246" i="10" s="1"/>
  <c r="AF250" i="10" s="1"/>
  <c r="AG250" i="10" s="1"/>
  <c r="J266" i="10"/>
  <c r="K266" i="10"/>
  <c r="U256" i="10"/>
  <c r="Y255" i="10"/>
  <c r="AD255" i="10" s="1"/>
  <c r="I266" i="10"/>
  <c r="J17" i="10" l="1"/>
  <c r="Z247" i="10"/>
  <c r="AG251" i="10"/>
  <c r="AH250" i="10"/>
  <c r="AA249" i="10"/>
  <c r="V249" i="10"/>
  <c r="M250" i="10"/>
  <c r="E262" i="10"/>
  <c r="F262" i="10"/>
  <c r="H262" i="10"/>
  <c r="G262" i="10"/>
  <c r="W248" i="10"/>
  <c r="AB248" i="10" s="1"/>
  <c r="AE248" i="10" s="1"/>
  <c r="AF252" i="10" s="1"/>
  <c r="S249" i="10"/>
  <c r="D264" i="10"/>
  <c r="T253" i="10"/>
  <c r="X252" i="10"/>
  <c r="AC252" i="10" s="1"/>
  <c r="Y256" i="10"/>
  <c r="AD256" i="10" s="1"/>
  <c r="U257" i="10"/>
  <c r="F263" i="10"/>
  <c r="H263" i="10"/>
  <c r="G263" i="10"/>
  <c r="E263" i="10"/>
  <c r="Z248" i="10" l="1"/>
  <c r="L267" i="10"/>
  <c r="J268" i="10"/>
  <c r="J267" i="10"/>
  <c r="I268" i="10"/>
  <c r="I267" i="10"/>
  <c r="K268" i="10"/>
  <c r="M254" i="10"/>
  <c r="M261" i="10"/>
  <c r="M256" i="10"/>
  <c r="M251" i="10"/>
  <c r="M264" i="10"/>
  <c r="M259" i="10"/>
  <c r="M262" i="10"/>
  <c r="M257" i="10"/>
  <c r="M252" i="10"/>
  <c r="M260" i="10"/>
  <c r="M253" i="10"/>
  <c r="M258" i="10"/>
  <c r="M255" i="10"/>
  <c r="M263" i="10"/>
  <c r="D20" i="10"/>
  <c r="N250" i="10"/>
  <c r="S250" i="10" s="1"/>
  <c r="L268" i="10"/>
  <c r="X253" i="10"/>
  <c r="AC253" i="10" s="1"/>
  <c r="T254" i="10"/>
  <c r="R250" i="10"/>
  <c r="U258" i="10"/>
  <c r="Y257" i="10"/>
  <c r="AD257" i="10" s="1"/>
  <c r="K267" i="10"/>
  <c r="D265" i="10"/>
  <c r="C265" i="10" s="1"/>
  <c r="C264" i="10"/>
  <c r="W249" i="10"/>
  <c r="AB249" i="10" s="1"/>
  <c r="AE249" i="10" s="1"/>
  <c r="AF253" i="10" s="1"/>
  <c r="AG252" i="10"/>
  <c r="AH251" i="10"/>
  <c r="Z249" i="10" l="1"/>
  <c r="AH252" i="10"/>
  <c r="AI220" i="10" s="1"/>
  <c r="AG253" i="10"/>
  <c r="V250" i="10"/>
  <c r="AA250" i="10"/>
  <c r="R251" i="10"/>
  <c r="Y258" i="10"/>
  <c r="AD258" i="10" s="1"/>
  <c r="U259" i="10"/>
  <c r="X254" i="10"/>
  <c r="AC254" i="10" s="1"/>
  <c r="T255" i="10"/>
  <c r="N253" i="10"/>
  <c r="Q253" i="10" s="1"/>
  <c r="N261" i="10"/>
  <c r="Q261" i="10" s="1"/>
  <c r="N255" i="10"/>
  <c r="Q255" i="10" s="1"/>
  <c r="N264" i="10"/>
  <c r="Q264" i="10" s="1"/>
  <c r="N259" i="10"/>
  <c r="Q259" i="10" s="1"/>
  <c r="N254" i="10"/>
  <c r="Q254" i="10" s="1"/>
  <c r="N262" i="10"/>
  <c r="Q262" i="10" s="1"/>
  <c r="N257" i="10"/>
  <c r="Q257" i="10" s="1"/>
  <c r="N252" i="10"/>
  <c r="Q252" i="10" s="1"/>
  <c r="N260" i="10"/>
  <c r="Q260" i="10" s="1"/>
  <c r="N263" i="10"/>
  <c r="Q263" i="10" s="1"/>
  <c r="N258" i="10"/>
  <c r="Q258" i="10" s="1"/>
  <c r="N256" i="10"/>
  <c r="Q256" i="10" s="1"/>
  <c r="N251" i="10"/>
  <c r="Q251" i="10" s="1"/>
  <c r="E20" i="10"/>
  <c r="W250" i="10"/>
  <c r="AB250" i="10" s="1"/>
  <c r="F265" i="10"/>
  <c r="H265" i="10"/>
  <c r="G265" i="10"/>
  <c r="E265" i="10"/>
  <c r="D266" i="10"/>
  <c r="C266" i="10" s="1"/>
  <c r="Q250" i="10"/>
  <c r="H264" i="10"/>
  <c r="G264" i="10"/>
  <c r="F264" i="10"/>
  <c r="E264" i="10"/>
  <c r="Z250" i="10" l="1"/>
  <c r="I19" i="10"/>
  <c r="S251" i="10"/>
  <c r="S252" i="10" s="1"/>
  <c r="U260" i="10"/>
  <c r="Y259" i="10"/>
  <c r="AD259" i="10" s="1"/>
  <c r="L269" i="10"/>
  <c r="H266" i="10"/>
  <c r="E266" i="10"/>
  <c r="F266" i="10"/>
  <c r="G266" i="10"/>
  <c r="D267" i="10"/>
  <c r="R252" i="10"/>
  <c r="AA251" i="10"/>
  <c r="V251" i="10"/>
  <c r="X255" i="10"/>
  <c r="AC255" i="10" s="1"/>
  <c r="T256" i="10"/>
  <c r="AE250" i="10"/>
  <c r="AF254" i="10" s="1"/>
  <c r="AG254" i="10" s="1"/>
  <c r="L270" i="10"/>
  <c r="AH253" i="10"/>
  <c r="AI221" i="10" s="1"/>
  <c r="I270" i="10"/>
  <c r="I269" i="10"/>
  <c r="K270" i="10"/>
  <c r="J269" i="10"/>
  <c r="K269" i="10"/>
  <c r="J270" i="10"/>
  <c r="W251" i="10" l="1"/>
  <c r="AB251" i="10" s="1"/>
  <c r="AE251" i="10" s="1"/>
  <c r="AF255" i="10" s="1"/>
  <c r="AG255" i="10" s="1"/>
  <c r="J271" i="10"/>
  <c r="I271" i="10"/>
  <c r="K271" i="10"/>
  <c r="L271" i="10"/>
  <c r="X256" i="10"/>
  <c r="AC256" i="10" s="1"/>
  <c r="T257" i="10"/>
  <c r="W252" i="10"/>
  <c r="AB252" i="10" s="1"/>
  <c r="S253" i="10"/>
  <c r="D268" i="10"/>
  <c r="C268" i="10" s="1"/>
  <c r="AH254" i="10"/>
  <c r="R253" i="10"/>
  <c r="AA252" i="10"/>
  <c r="V252" i="10"/>
  <c r="C267" i="10"/>
  <c r="Y260" i="10"/>
  <c r="AD260" i="10" s="1"/>
  <c r="U261" i="10"/>
  <c r="AI222" i="10" l="1"/>
  <c r="Z252" i="10"/>
  <c r="Z251" i="10"/>
  <c r="W253" i="10"/>
  <c r="AB253" i="10" s="1"/>
  <c r="S254" i="10"/>
  <c r="H267" i="10"/>
  <c r="G267" i="10"/>
  <c r="F267" i="10"/>
  <c r="E267" i="10"/>
  <c r="AE252" i="10"/>
  <c r="AF256" i="10" s="1"/>
  <c r="AG256" i="10" s="1"/>
  <c r="AH255" i="10"/>
  <c r="G268" i="10"/>
  <c r="H268" i="10"/>
  <c r="E268" i="10"/>
  <c r="F268" i="10"/>
  <c r="T258" i="10"/>
  <c r="X257" i="10"/>
  <c r="AC257" i="10" s="1"/>
  <c r="AA253" i="10"/>
  <c r="V253" i="10"/>
  <c r="R254" i="10"/>
  <c r="Y261" i="10"/>
  <c r="AD261" i="10" s="1"/>
  <c r="U262" i="10"/>
  <c r="D269" i="10"/>
  <c r="C269" i="10" s="1"/>
  <c r="Z253" i="10" l="1"/>
  <c r="AI223" i="10"/>
  <c r="AE253" i="10"/>
  <c r="AF257" i="10" s="1"/>
  <c r="AG257" i="10" s="1"/>
  <c r="U263" i="10"/>
  <c r="Y262" i="10"/>
  <c r="AD262" i="10" s="1"/>
  <c r="K273" i="10"/>
  <c r="AH256" i="10"/>
  <c r="F269" i="10"/>
  <c r="H269" i="10"/>
  <c r="G269" i="10"/>
  <c r="E269" i="10"/>
  <c r="D270" i="10"/>
  <c r="R255" i="10"/>
  <c r="AA254" i="10"/>
  <c r="V254" i="10"/>
  <c r="I272" i="10"/>
  <c r="J272" i="10"/>
  <c r="K272" i="10"/>
  <c r="L273" i="10"/>
  <c r="L272" i="10"/>
  <c r="T259" i="10"/>
  <c r="X258" i="10"/>
  <c r="AC258" i="10" s="1"/>
  <c r="W254" i="10"/>
  <c r="AB254" i="10" s="1"/>
  <c r="S255" i="10"/>
  <c r="I273" i="10"/>
  <c r="J273" i="10"/>
  <c r="Z254" i="10" l="1"/>
  <c r="I274" i="10"/>
  <c r="K274" i="10"/>
  <c r="L274" i="10"/>
  <c r="J274" i="10"/>
  <c r="AH257" i="10"/>
  <c r="D271" i="10"/>
  <c r="C271" i="10" s="1"/>
  <c r="T260" i="10"/>
  <c r="X259" i="10"/>
  <c r="AC259" i="10" s="1"/>
  <c r="R256" i="10"/>
  <c r="AA255" i="10"/>
  <c r="V255" i="10"/>
  <c r="Z255" i="10" s="1"/>
  <c r="U264" i="10"/>
  <c r="Y263" i="10"/>
  <c r="AD263" i="10" s="1"/>
  <c r="W255" i="10"/>
  <c r="AB255" i="10" s="1"/>
  <c r="S256" i="10"/>
  <c r="AE254" i="10"/>
  <c r="AF258" i="10" s="1"/>
  <c r="AG258" i="10" s="1"/>
  <c r="C270" i="10"/>
  <c r="AI224" i="10" l="1"/>
  <c r="W256" i="10"/>
  <c r="AB256" i="10" s="1"/>
  <c r="S257" i="10"/>
  <c r="Y264" i="10"/>
  <c r="AD264" i="10" s="1"/>
  <c r="P265" i="10"/>
  <c r="AH258" i="10"/>
  <c r="AE255" i="10"/>
  <c r="AF259" i="10" s="1"/>
  <c r="AG259" i="10" s="1"/>
  <c r="R257" i="10"/>
  <c r="AA256" i="10"/>
  <c r="V256" i="10"/>
  <c r="Z256" i="10" s="1"/>
  <c r="T261" i="10"/>
  <c r="X260" i="10"/>
  <c r="AC260" i="10" s="1"/>
  <c r="E270" i="10"/>
  <c r="G270" i="10"/>
  <c r="H270" i="10"/>
  <c r="F270" i="10"/>
  <c r="E271" i="10"/>
  <c r="H271" i="10"/>
  <c r="G271" i="10"/>
  <c r="F271" i="10"/>
  <c r="D272" i="10"/>
  <c r="C272" i="10" s="1"/>
  <c r="AI225" i="10" l="1"/>
  <c r="AI226" i="10"/>
  <c r="AI227" i="10"/>
  <c r="AE256" i="10"/>
  <c r="AF260" i="10" s="1"/>
  <c r="AG260" i="10" s="1"/>
  <c r="AH259" i="10"/>
  <c r="J276" i="10"/>
  <c r="V257" i="10"/>
  <c r="R258" i="10"/>
  <c r="AA257" i="10"/>
  <c r="I276" i="10"/>
  <c r="J275" i="10"/>
  <c r="L275" i="10"/>
  <c r="P271" i="10"/>
  <c r="P273" i="10"/>
  <c r="P268" i="10"/>
  <c r="P276" i="10"/>
  <c r="P279" i="10"/>
  <c r="P274" i="10"/>
  <c r="P269" i="10"/>
  <c r="P277" i="10"/>
  <c r="P275" i="10"/>
  <c r="P272" i="10"/>
  <c r="P270" i="10"/>
  <c r="P267" i="10"/>
  <c r="P266" i="10"/>
  <c r="P278" i="10"/>
  <c r="G21" i="10"/>
  <c r="L276" i="10"/>
  <c r="K275" i="10"/>
  <c r="I275" i="10"/>
  <c r="U265" i="10"/>
  <c r="G272" i="10"/>
  <c r="F272" i="10"/>
  <c r="E272" i="10"/>
  <c r="H272" i="10"/>
  <c r="K276" i="10"/>
  <c r="W257" i="10"/>
  <c r="AB257" i="10" s="1"/>
  <c r="S258" i="10"/>
  <c r="D273" i="10"/>
  <c r="T262" i="10"/>
  <c r="X261" i="10"/>
  <c r="AC261" i="10" s="1"/>
  <c r="Z257" i="10" l="1"/>
  <c r="AE257" i="10"/>
  <c r="AF261" i="10" s="1"/>
  <c r="AG261" i="10" s="1"/>
  <c r="T263" i="10"/>
  <c r="X262" i="10"/>
  <c r="AC262" i="10" s="1"/>
  <c r="D274" i="10"/>
  <c r="U266" i="10"/>
  <c r="Y265" i="10"/>
  <c r="AD265" i="10" s="1"/>
  <c r="V258" i="10"/>
  <c r="AA258" i="10"/>
  <c r="R259" i="10"/>
  <c r="W258" i="10"/>
  <c r="AB258" i="10" s="1"/>
  <c r="S259" i="10"/>
  <c r="K277" i="10"/>
  <c r="L277" i="10"/>
  <c r="C273" i="10"/>
  <c r="I277" i="10"/>
  <c r="J277" i="10"/>
  <c r="AH260" i="10"/>
  <c r="AI228" i="10" l="1"/>
  <c r="Z258" i="10"/>
  <c r="AH261" i="10"/>
  <c r="AI229" i="10" s="1"/>
  <c r="R260" i="10"/>
  <c r="AA259" i="10"/>
  <c r="V259" i="10"/>
  <c r="AE258" i="10"/>
  <c r="AF262" i="10" s="1"/>
  <c r="AG262" i="10" s="1"/>
  <c r="G273" i="10"/>
  <c r="F273" i="10"/>
  <c r="E273" i="10"/>
  <c r="H273" i="10"/>
  <c r="D275" i="10"/>
  <c r="C275" i="10" s="1"/>
  <c r="C274" i="10"/>
  <c r="Y266" i="10"/>
  <c r="AD266" i="10" s="1"/>
  <c r="U267" i="10"/>
  <c r="W259" i="10"/>
  <c r="AB259" i="10" s="1"/>
  <c r="S260" i="10"/>
  <c r="X263" i="10"/>
  <c r="AC263" i="10" s="1"/>
  <c r="T264" i="10"/>
  <c r="Z259" i="10" l="1"/>
  <c r="L278" i="10"/>
  <c r="J278" i="10"/>
  <c r="K278" i="10"/>
  <c r="W260" i="10"/>
  <c r="AB260" i="10" s="1"/>
  <c r="S261" i="10"/>
  <c r="H275" i="10"/>
  <c r="G275" i="10"/>
  <c r="F275" i="10"/>
  <c r="E275" i="10"/>
  <c r="X264" i="10"/>
  <c r="AC264" i="10" s="1"/>
  <c r="O265" i="10"/>
  <c r="AE259" i="10"/>
  <c r="AF263" i="10" s="1"/>
  <c r="AG263" i="10" s="1"/>
  <c r="I278" i="10"/>
  <c r="Y267" i="10"/>
  <c r="AD267" i="10" s="1"/>
  <c r="U268" i="10"/>
  <c r="R261" i="10"/>
  <c r="V260" i="10"/>
  <c r="Z260" i="10" s="1"/>
  <c r="AA260" i="10"/>
  <c r="D276" i="10"/>
  <c r="C276" i="10" s="1"/>
  <c r="F274" i="10"/>
  <c r="H274" i="10"/>
  <c r="G274" i="10"/>
  <c r="E274" i="10"/>
  <c r="AH262" i="10"/>
  <c r="AI230" i="10" s="1"/>
  <c r="AE260" i="10" l="1"/>
  <c r="AF264" i="10" s="1"/>
  <c r="AG264" i="10" s="1"/>
  <c r="AA261" i="10"/>
  <c r="R262" i="10"/>
  <c r="V261" i="10"/>
  <c r="K280" i="10"/>
  <c r="L280" i="10"/>
  <c r="W261" i="10"/>
  <c r="AB261" i="10" s="1"/>
  <c r="S262" i="10"/>
  <c r="I280" i="10"/>
  <c r="I279" i="10"/>
  <c r="K279" i="10"/>
  <c r="AH263" i="10"/>
  <c r="AI231" i="10" s="1"/>
  <c r="L279" i="10"/>
  <c r="J279" i="10"/>
  <c r="O272" i="10"/>
  <c r="O274" i="10"/>
  <c r="O268" i="10"/>
  <c r="O278" i="10"/>
  <c r="O271" i="10"/>
  <c r="O279" i="10"/>
  <c r="O269" i="10"/>
  <c r="O277" i="10"/>
  <c r="O275" i="10"/>
  <c r="O267" i="10"/>
  <c r="O273" i="10"/>
  <c r="O266" i="10"/>
  <c r="O270" i="10"/>
  <c r="O276" i="10"/>
  <c r="F21" i="10"/>
  <c r="J280" i="10"/>
  <c r="D277" i="10"/>
  <c r="C277" i="10" s="1"/>
  <c r="Y268" i="10"/>
  <c r="AD268" i="10" s="1"/>
  <c r="U269" i="10"/>
  <c r="F276" i="10"/>
  <c r="H276" i="10"/>
  <c r="G276" i="10"/>
  <c r="E276" i="10"/>
  <c r="T265" i="10"/>
  <c r="Z261" i="10" l="1"/>
  <c r="L281" i="10"/>
  <c r="J281" i="10"/>
  <c r="W262" i="10"/>
  <c r="AB262" i="10" s="1"/>
  <c r="S263" i="10"/>
  <c r="AH264" i="10"/>
  <c r="H277" i="10"/>
  <c r="G277" i="10"/>
  <c r="E277" i="10"/>
  <c r="F277" i="10"/>
  <c r="D278" i="10"/>
  <c r="C278" i="10" s="1"/>
  <c r="K281" i="10"/>
  <c r="R263" i="10"/>
  <c r="AA262" i="10"/>
  <c r="V262" i="10"/>
  <c r="I281" i="10"/>
  <c r="Y269" i="10"/>
  <c r="AD269" i="10" s="1"/>
  <c r="U270" i="10"/>
  <c r="X265" i="10"/>
  <c r="AC265" i="10" s="1"/>
  <c r="T266" i="10"/>
  <c r="AE261" i="10"/>
  <c r="AF265" i="10" s="1"/>
  <c r="AG265" i="10" s="1"/>
  <c r="Z262" i="10" l="1"/>
  <c r="AE262" i="10"/>
  <c r="AF266" i="10" s="1"/>
  <c r="AG266" i="10" s="1"/>
  <c r="W263" i="10"/>
  <c r="AB263" i="10" s="1"/>
  <c r="S264" i="10"/>
  <c r="K282" i="10"/>
  <c r="U271" i="10"/>
  <c r="Y270" i="10"/>
  <c r="AD270" i="10" s="1"/>
  <c r="AH265" i="10"/>
  <c r="AI232" i="10" s="1"/>
  <c r="I282" i="10"/>
  <c r="T267" i="10"/>
  <c r="X266" i="10"/>
  <c r="AC266" i="10" s="1"/>
  <c r="H278" i="10"/>
  <c r="G278" i="10"/>
  <c r="F278" i="10"/>
  <c r="E278" i="10"/>
  <c r="J282" i="10"/>
  <c r="L282" i="10"/>
  <c r="V263" i="10"/>
  <c r="R264" i="10"/>
  <c r="AA263" i="10"/>
  <c r="D279" i="10"/>
  <c r="Z263" i="10" l="1"/>
  <c r="AE263" i="10"/>
  <c r="AF267" i="10" s="1"/>
  <c r="AG267" i="10" s="1"/>
  <c r="T268" i="10"/>
  <c r="X267" i="10"/>
  <c r="AC267" i="10" s="1"/>
  <c r="AA264" i="10"/>
  <c r="V264" i="10"/>
  <c r="M265" i="10"/>
  <c r="U272" i="10"/>
  <c r="Y271" i="10"/>
  <c r="AD271" i="10" s="1"/>
  <c r="I283" i="10"/>
  <c r="AH266" i="10"/>
  <c r="J283" i="10"/>
  <c r="K283" i="10"/>
  <c r="D280" i="10"/>
  <c r="C280" i="10" s="1"/>
  <c r="L283" i="10"/>
  <c r="W264" i="10"/>
  <c r="AB264" i="10" s="1"/>
  <c r="C279" i="10"/>
  <c r="Z264" i="10" l="1"/>
  <c r="I20" i="10" s="1"/>
  <c r="AI233" i="10"/>
  <c r="AI234" i="10"/>
  <c r="H279" i="10"/>
  <c r="F279" i="10"/>
  <c r="E279" i="10"/>
  <c r="G279" i="10"/>
  <c r="M274" i="10"/>
  <c r="M279" i="10"/>
  <c r="M267" i="10"/>
  <c r="M266" i="10"/>
  <c r="M270" i="10"/>
  <c r="M276" i="10"/>
  <c r="M271" i="10"/>
  <c r="M269" i="10"/>
  <c r="M277" i="10"/>
  <c r="M275" i="10"/>
  <c r="M273" i="10"/>
  <c r="M272" i="10"/>
  <c r="M278" i="10"/>
  <c r="M268" i="10"/>
  <c r="D21" i="10"/>
  <c r="N265" i="10"/>
  <c r="AH267" i="10"/>
  <c r="Y272" i="10"/>
  <c r="AD272" i="10" s="1"/>
  <c r="U273" i="10"/>
  <c r="R265" i="10"/>
  <c r="AE264" i="10"/>
  <c r="AF268" i="10" s="1"/>
  <c r="AG268" i="10" s="1"/>
  <c r="G280" i="10"/>
  <c r="H280" i="10"/>
  <c r="F280" i="10"/>
  <c r="E280" i="10"/>
  <c r="D281" i="10"/>
  <c r="C281" i="10" s="1"/>
  <c r="X268" i="10"/>
  <c r="AC268" i="10" s="1"/>
  <c r="T269" i="10"/>
  <c r="J18" i="10" l="1"/>
  <c r="F281" i="10"/>
  <c r="H281" i="10"/>
  <c r="G281" i="10"/>
  <c r="E281" i="10"/>
  <c r="N273" i="10"/>
  <c r="Q273" i="10" s="1"/>
  <c r="N278" i="10"/>
  <c r="Q278" i="10" s="1"/>
  <c r="N276" i="10"/>
  <c r="Q276" i="10" s="1"/>
  <c r="N271" i="10"/>
  <c r="Q271" i="10" s="1"/>
  <c r="N274" i="10"/>
  <c r="Q274" i="10" s="1"/>
  <c r="N279" i="10"/>
  <c r="Q279" i="10" s="1"/>
  <c r="N277" i="10"/>
  <c r="Q277" i="10" s="1"/>
  <c r="N272" i="10"/>
  <c r="Q272" i="10" s="1"/>
  <c r="N267" i="10"/>
  <c r="Q267" i="10" s="1"/>
  <c r="N268" i="10"/>
  <c r="Q268" i="10" s="1"/>
  <c r="N266" i="10"/>
  <c r="Q266" i="10" s="1"/>
  <c r="N270" i="10"/>
  <c r="Q270" i="10" s="1"/>
  <c r="N269" i="10"/>
  <c r="Q269" i="10" s="1"/>
  <c r="N275" i="10"/>
  <c r="Q275" i="10" s="1"/>
  <c r="E21" i="10"/>
  <c r="S265" i="10"/>
  <c r="I285" i="10"/>
  <c r="T270" i="10"/>
  <c r="X269" i="10"/>
  <c r="AC269" i="10" s="1"/>
  <c r="L285" i="10"/>
  <c r="K285" i="10"/>
  <c r="Q265" i="10"/>
  <c r="K284" i="10"/>
  <c r="AA265" i="10"/>
  <c r="R266" i="10"/>
  <c r="V265" i="10"/>
  <c r="I284" i="10"/>
  <c r="D282" i="10"/>
  <c r="J285" i="10"/>
  <c r="J284" i="10"/>
  <c r="AH268" i="10"/>
  <c r="Y273" i="10"/>
  <c r="AD273" i="10" s="1"/>
  <c r="U274" i="10"/>
  <c r="L284" i="10"/>
  <c r="W265" i="10" l="1"/>
  <c r="AB265" i="10" s="1"/>
  <c r="AE265" i="10" s="1"/>
  <c r="AF269" i="10" s="1"/>
  <c r="AG269" i="10" s="1"/>
  <c r="S266" i="10"/>
  <c r="D283" i="10"/>
  <c r="C283" i="10" s="1"/>
  <c r="I286" i="10"/>
  <c r="Y274" i="10"/>
  <c r="AD274" i="10" s="1"/>
  <c r="U275" i="10"/>
  <c r="V266" i="10"/>
  <c r="R267" i="10"/>
  <c r="AA266" i="10"/>
  <c r="X270" i="10"/>
  <c r="AC270" i="10" s="1"/>
  <c r="T271" i="10"/>
  <c r="K286" i="10"/>
  <c r="L286" i="10"/>
  <c r="C282" i="10"/>
  <c r="J286" i="10"/>
  <c r="Z265" i="10" l="1"/>
  <c r="AH269" i="10"/>
  <c r="F283" i="10"/>
  <c r="H283" i="10"/>
  <c r="G283" i="10"/>
  <c r="E283" i="10"/>
  <c r="AA267" i="10"/>
  <c r="V267" i="10"/>
  <c r="R268" i="10"/>
  <c r="U276" i="10"/>
  <c r="Y275" i="10"/>
  <c r="AD275" i="10" s="1"/>
  <c r="D284" i="10"/>
  <c r="W266" i="10"/>
  <c r="AB266" i="10" s="1"/>
  <c r="AE266" i="10" s="1"/>
  <c r="AF270" i="10" s="1"/>
  <c r="AG270" i="10" s="1"/>
  <c r="S267" i="10"/>
  <c r="E282" i="10"/>
  <c r="G282" i="10"/>
  <c r="H282" i="10"/>
  <c r="F282" i="10"/>
  <c r="T272" i="10"/>
  <c r="X271" i="10"/>
  <c r="AC271" i="10" s="1"/>
  <c r="AI235" i="10" l="1"/>
  <c r="AI236" i="10"/>
  <c r="AI237" i="10"/>
  <c r="Z266" i="10"/>
  <c r="AH270" i="10"/>
  <c r="J287" i="10"/>
  <c r="R269" i="10"/>
  <c r="AA268" i="10"/>
  <c r="V268" i="10"/>
  <c r="K287" i="10"/>
  <c r="I287" i="10"/>
  <c r="X272" i="10"/>
  <c r="AC272" i="10" s="1"/>
  <c r="T273" i="10"/>
  <c r="I288" i="10"/>
  <c r="K288" i="10"/>
  <c r="W267" i="10"/>
  <c r="AB267" i="10" s="1"/>
  <c r="AE267" i="10" s="1"/>
  <c r="AF271" i="10" s="1"/>
  <c r="AG271" i="10" s="1"/>
  <c r="S268" i="10"/>
  <c r="L288" i="10"/>
  <c r="J288" i="10"/>
  <c r="U277" i="10"/>
  <c r="Y276" i="10"/>
  <c r="AD276" i="10" s="1"/>
  <c r="D285" i="10"/>
  <c r="C285" i="10" s="1"/>
  <c r="C284" i="10"/>
  <c r="L287" i="10"/>
  <c r="AI238" i="10" l="1"/>
  <c r="AI240" i="10"/>
  <c r="AI239" i="10"/>
  <c r="AI241" i="10"/>
  <c r="AI242" i="10"/>
  <c r="Z267" i="10"/>
  <c r="AH271" i="10"/>
  <c r="F285" i="10"/>
  <c r="E285" i="10"/>
  <c r="H285" i="10"/>
  <c r="G285" i="10"/>
  <c r="V269" i="10"/>
  <c r="R270" i="10"/>
  <c r="AA269" i="10"/>
  <c r="D286" i="10"/>
  <c r="C286" i="10" s="1"/>
  <c r="H284" i="10"/>
  <c r="G284" i="10"/>
  <c r="F284" i="10"/>
  <c r="E284" i="10"/>
  <c r="W268" i="10"/>
  <c r="AB268" i="10" s="1"/>
  <c r="AE268" i="10" s="1"/>
  <c r="AF272" i="10" s="1"/>
  <c r="AG272" i="10" s="1"/>
  <c r="S269" i="10"/>
  <c r="U278" i="10"/>
  <c r="Y277" i="10"/>
  <c r="AD277" i="10" s="1"/>
  <c r="T274" i="10"/>
  <c r="X273" i="10"/>
  <c r="AC273" i="10" s="1"/>
  <c r="AI243" i="10" l="1"/>
  <c r="AI244" i="10"/>
  <c r="AI245" i="10"/>
  <c r="AI246" i="10"/>
  <c r="AI247" i="10"/>
  <c r="Z268" i="10"/>
  <c r="AH272" i="10"/>
  <c r="H286" i="10"/>
  <c r="G286" i="10"/>
  <c r="F286" i="10"/>
  <c r="E286" i="10"/>
  <c r="V270" i="10"/>
  <c r="AA270" i="10"/>
  <c r="R271" i="10"/>
  <c r="K290" i="10"/>
  <c r="I289" i="10"/>
  <c r="L290" i="10"/>
  <c r="J289" i="10"/>
  <c r="I290" i="10"/>
  <c r="U279" i="10"/>
  <c r="Y278" i="10"/>
  <c r="AD278" i="10" s="1"/>
  <c r="K289" i="10"/>
  <c r="J290" i="10"/>
  <c r="D287" i="10"/>
  <c r="C287" i="10" s="1"/>
  <c r="L289" i="10"/>
  <c r="T275" i="10"/>
  <c r="X274" i="10"/>
  <c r="AC274" i="10" s="1"/>
  <c r="W269" i="10"/>
  <c r="AB269" i="10" s="1"/>
  <c r="AE269" i="10" s="1"/>
  <c r="AF273" i="10" s="1"/>
  <c r="AG273" i="10" s="1"/>
  <c r="S270" i="10"/>
  <c r="AI248" i="10" l="1"/>
  <c r="AI250" i="10"/>
  <c r="AI249" i="10"/>
  <c r="AI251" i="10"/>
  <c r="AI252" i="10"/>
  <c r="Z269" i="10"/>
  <c r="AH273" i="10"/>
  <c r="V271" i="10"/>
  <c r="AA271" i="10"/>
  <c r="R272" i="10"/>
  <c r="I291" i="10"/>
  <c r="H287" i="10"/>
  <c r="F287" i="10"/>
  <c r="E287" i="10"/>
  <c r="G287" i="10"/>
  <c r="J291" i="10"/>
  <c r="D288" i="10"/>
  <c r="K291" i="10"/>
  <c r="L291" i="10"/>
  <c r="W270" i="10"/>
  <c r="AB270" i="10" s="1"/>
  <c r="AE270" i="10" s="1"/>
  <c r="AF274" i="10" s="1"/>
  <c r="AG274" i="10" s="1"/>
  <c r="S271" i="10"/>
  <c r="X275" i="10"/>
  <c r="AC275" i="10" s="1"/>
  <c r="T276" i="10"/>
  <c r="P280" i="10"/>
  <c r="U280" i="10" s="1"/>
  <c r="Y279" i="10"/>
  <c r="AD279" i="10" s="1"/>
  <c r="J19" i="10" l="1"/>
  <c r="AI253" i="10"/>
  <c r="AI254" i="10"/>
  <c r="AI255" i="10"/>
  <c r="Z270" i="10"/>
  <c r="Y280" i="10"/>
  <c r="AD280" i="10" s="1"/>
  <c r="AH274" i="10"/>
  <c r="J292" i="10"/>
  <c r="K292" i="10"/>
  <c r="I292" i="10"/>
  <c r="L292" i="10"/>
  <c r="W271" i="10"/>
  <c r="AB271" i="10" s="1"/>
  <c r="AE271" i="10" s="1"/>
  <c r="AF275" i="10" s="1"/>
  <c r="AG275" i="10" s="1"/>
  <c r="S272" i="10"/>
  <c r="R273" i="10"/>
  <c r="AA272" i="10"/>
  <c r="V272" i="10"/>
  <c r="D289" i="10"/>
  <c r="C289" i="10" s="1"/>
  <c r="C288" i="10"/>
  <c r="P283" i="10"/>
  <c r="P294" i="10"/>
  <c r="P288" i="10"/>
  <c r="P282" i="10"/>
  <c r="P286" i="10"/>
  <c r="P281" i="10"/>
  <c r="U281" i="10" s="1"/>
  <c r="P291" i="10"/>
  <c r="P293" i="10"/>
  <c r="P285" i="10"/>
  <c r="P290" i="10"/>
  <c r="P287" i="10"/>
  <c r="P292" i="10"/>
  <c r="P284" i="10"/>
  <c r="P289" i="10"/>
  <c r="G22" i="10"/>
  <c r="X276" i="10"/>
  <c r="AC276" i="10" s="1"/>
  <c r="T277" i="10"/>
  <c r="AI256" i="10" l="1"/>
  <c r="AI257" i="10"/>
  <c r="AI258" i="10"/>
  <c r="Z271" i="10"/>
  <c r="AH275" i="10"/>
  <c r="U282" i="10"/>
  <c r="Y281" i="10"/>
  <c r="AD281" i="10" s="1"/>
  <c r="E289" i="10"/>
  <c r="H289" i="10"/>
  <c r="G289" i="10"/>
  <c r="F289" i="10"/>
  <c r="F288" i="10"/>
  <c r="H288" i="10"/>
  <c r="G288" i="10"/>
  <c r="E288" i="10"/>
  <c r="D290" i="10"/>
  <c r="AA273" i="10"/>
  <c r="R274" i="10"/>
  <c r="V273" i="10"/>
  <c r="W272" i="10"/>
  <c r="AB272" i="10" s="1"/>
  <c r="AE272" i="10" s="1"/>
  <c r="AF276" i="10" s="1"/>
  <c r="AG276" i="10" s="1"/>
  <c r="S273" i="10"/>
  <c r="X277" i="10"/>
  <c r="AC277" i="10" s="1"/>
  <c r="T278" i="10"/>
  <c r="AI259" i="10" l="1"/>
  <c r="AI260" i="10"/>
  <c r="AI261" i="10"/>
  <c r="Z272" i="10"/>
  <c r="AH276" i="10"/>
  <c r="J293" i="10"/>
  <c r="J294" i="10"/>
  <c r="K294" i="10"/>
  <c r="L294" i="10"/>
  <c r="K293" i="10"/>
  <c r="I294" i="10"/>
  <c r="T279" i="10"/>
  <c r="X278" i="10"/>
  <c r="AC278" i="10" s="1"/>
  <c r="Y282" i="10"/>
  <c r="AD282" i="10" s="1"/>
  <c r="U283" i="10"/>
  <c r="W273" i="10"/>
  <c r="AB273" i="10" s="1"/>
  <c r="AE273" i="10" s="1"/>
  <c r="AF277" i="10" s="1"/>
  <c r="AG277" i="10" s="1"/>
  <c r="S274" i="10"/>
  <c r="D291" i="10"/>
  <c r="C291" i="10" s="1"/>
  <c r="L293" i="10"/>
  <c r="R275" i="10"/>
  <c r="AA274" i="10"/>
  <c r="V274" i="10"/>
  <c r="C290" i="10"/>
  <c r="I293" i="10"/>
  <c r="AI262" i="10" l="1"/>
  <c r="AI263" i="10"/>
  <c r="AI264" i="10"/>
  <c r="Z273" i="10"/>
  <c r="H291" i="10"/>
  <c r="G291" i="10"/>
  <c r="F291" i="10"/>
  <c r="E291" i="10"/>
  <c r="AH277" i="10"/>
  <c r="W274" i="10"/>
  <c r="AB274" i="10" s="1"/>
  <c r="AE274" i="10" s="1"/>
  <c r="AF278" i="10" s="1"/>
  <c r="AG278" i="10" s="1"/>
  <c r="S275" i="10"/>
  <c r="U284" i="10"/>
  <c r="Y283" i="10"/>
  <c r="AD283" i="10" s="1"/>
  <c r="O280" i="10"/>
  <c r="T280" i="10" s="1"/>
  <c r="X279" i="10"/>
  <c r="AC279" i="10" s="1"/>
  <c r="G290" i="10"/>
  <c r="H290" i="10"/>
  <c r="F290" i="10"/>
  <c r="E290" i="10"/>
  <c r="D292" i="10"/>
  <c r="AA275" i="10"/>
  <c r="V275" i="10"/>
  <c r="R276" i="10"/>
  <c r="J20" i="10" l="1"/>
  <c r="AI265" i="10"/>
  <c r="AI266" i="10"/>
  <c r="Z274" i="10"/>
  <c r="AH278" i="10"/>
  <c r="U285" i="10"/>
  <c r="Y284" i="10"/>
  <c r="AD284" i="10" s="1"/>
  <c r="W275" i="10"/>
  <c r="AB275" i="10" s="1"/>
  <c r="AE275" i="10" s="1"/>
  <c r="AF279" i="10" s="1"/>
  <c r="AG279" i="10" s="1"/>
  <c r="S276" i="10"/>
  <c r="I295" i="10"/>
  <c r="K295" i="10"/>
  <c r="I296" i="10"/>
  <c r="D293" i="10"/>
  <c r="C293" i="10" s="1"/>
  <c r="J296" i="10"/>
  <c r="X280" i="10"/>
  <c r="AC280" i="10" s="1"/>
  <c r="K296" i="10"/>
  <c r="C292" i="10"/>
  <c r="J295" i="10"/>
  <c r="L295" i="10"/>
  <c r="R277" i="10"/>
  <c r="AA276" i="10"/>
  <c r="V276" i="10"/>
  <c r="O284" i="10"/>
  <c r="O292" i="10"/>
  <c r="O286" i="10"/>
  <c r="O294" i="10"/>
  <c r="O281" i="10"/>
  <c r="T281" i="10" s="1"/>
  <c r="O291" i="10"/>
  <c r="O288" i="10"/>
  <c r="O293" i="10"/>
  <c r="O285" i="10"/>
  <c r="O282" i="10"/>
  <c r="O290" i="10"/>
  <c r="O287" i="10"/>
  <c r="O289" i="10"/>
  <c r="O283" i="10"/>
  <c r="F22" i="10"/>
  <c r="L296" i="10"/>
  <c r="AI267" i="10" l="1"/>
  <c r="AI268" i="10"/>
  <c r="Z275" i="10"/>
  <c r="T282" i="10"/>
  <c r="X281" i="10"/>
  <c r="AC281" i="10" s="1"/>
  <c r="AH279" i="10"/>
  <c r="F293" i="10"/>
  <c r="G293" i="10"/>
  <c r="E293" i="10"/>
  <c r="H293" i="10"/>
  <c r="W276" i="10"/>
  <c r="AB276" i="10" s="1"/>
  <c r="AE276" i="10" s="1"/>
  <c r="AF280" i="10" s="1"/>
  <c r="AG280" i="10" s="1"/>
  <c r="S277" i="10"/>
  <c r="V277" i="10"/>
  <c r="R278" i="10"/>
  <c r="AA277" i="10"/>
  <c r="D294" i="10"/>
  <c r="Y285" i="10"/>
  <c r="AD285" i="10" s="1"/>
  <c r="U286" i="10"/>
  <c r="G292" i="10"/>
  <c r="H292" i="10"/>
  <c r="F292" i="10"/>
  <c r="E292" i="10"/>
  <c r="AI269" i="10" l="1"/>
  <c r="AI270" i="10"/>
  <c r="Z276" i="10"/>
  <c r="AH280" i="10"/>
  <c r="L297" i="10"/>
  <c r="I297" i="10"/>
  <c r="L298" i="10"/>
  <c r="J297" i="10"/>
  <c r="I298" i="10"/>
  <c r="K298" i="10"/>
  <c r="W277" i="10"/>
  <c r="AB277" i="10" s="1"/>
  <c r="AE277" i="10" s="1"/>
  <c r="AF281" i="10" s="1"/>
  <c r="AG281" i="10" s="1"/>
  <c r="S278" i="10"/>
  <c r="Y286" i="10"/>
  <c r="AD286" i="10" s="1"/>
  <c r="U287" i="10"/>
  <c r="D295" i="10"/>
  <c r="C295" i="10" s="1"/>
  <c r="J298" i="10"/>
  <c r="C294" i="10"/>
  <c r="K297" i="10"/>
  <c r="AA278" i="10"/>
  <c r="V278" i="10"/>
  <c r="R279" i="10"/>
  <c r="X282" i="10"/>
  <c r="AC282" i="10" s="1"/>
  <c r="T283" i="10"/>
  <c r="AI271" i="10" l="1"/>
  <c r="Z277" i="10"/>
  <c r="AH281" i="10"/>
  <c r="F295" i="10"/>
  <c r="H295" i="10"/>
  <c r="G295" i="10"/>
  <c r="E295" i="10"/>
  <c r="D296" i="10"/>
  <c r="E294" i="10"/>
  <c r="G294" i="10"/>
  <c r="H294" i="10"/>
  <c r="F294" i="10"/>
  <c r="AA279" i="10"/>
  <c r="M280" i="10"/>
  <c r="V279" i="10"/>
  <c r="Y287" i="10"/>
  <c r="AD287" i="10" s="1"/>
  <c r="U288" i="10"/>
  <c r="W278" i="10"/>
  <c r="AB278" i="10" s="1"/>
  <c r="AE278" i="10" s="1"/>
  <c r="AF282" i="10" s="1"/>
  <c r="AG282" i="10" s="1"/>
  <c r="S279" i="10"/>
  <c r="T284" i="10"/>
  <c r="X283" i="10"/>
  <c r="AC283" i="10" s="1"/>
  <c r="AI272" i="10" l="1"/>
  <c r="AI273" i="10"/>
  <c r="Z278" i="10"/>
  <c r="AH282" i="10"/>
  <c r="K299" i="10"/>
  <c r="D297" i="10"/>
  <c r="C297" i="10" s="1"/>
  <c r="C296" i="10"/>
  <c r="X284" i="10"/>
  <c r="AC284" i="10" s="1"/>
  <c r="T285" i="10"/>
  <c r="I300" i="10"/>
  <c r="L299" i="10"/>
  <c r="U289" i="10"/>
  <c r="Y288" i="10"/>
  <c r="AD288" i="10" s="1"/>
  <c r="K300" i="10"/>
  <c r="I299" i="10"/>
  <c r="L300" i="10"/>
  <c r="W279" i="10"/>
  <c r="AB279" i="10" s="1"/>
  <c r="AE279" i="10" s="1"/>
  <c r="AF283" i="10" s="1"/>
  <c r="AG283" i="10" s="1"/>
  <c r="M286" i="10"/>
  <c r="M291" i="10"/>
  <c r="M284" i="10"/>
  <c r="M289" i="10"/>
  <c r="M294" i="10"/>
  <c r="M281" i="10"/>
  <c r="M283" i="10"/>
  <c r="M288" i="10"/>
  <c r="M293" i="10"/>
  <c r="M285" i="10"/>
  <c r="M282" i="10"/>
  <c r="M290" i="10"/>
  <c r="M287" i="10"/>
  <c r="M292" i="10"/>
  <c r="D22" i="10"/>
  <c r="N280" i="10"/>
  <c r="Q280" i="10" s="1"/>
  <c r="J300" i="10"/>
  <c r="J299" i="10"/>
  <c r="R280" i="10"/>
  <c r="AI274" i="10" l="1"/>
  <c r="Z279" i="10"/>
  <c r="S280" i="10"/>
  <c r="W280" i="10" s="1"/>
  <c r="AB280" i="10" s="1"/>
  <c r="G297" i="10"/>
  <c r="H297" i="10"/>
  <c r="F297" i="10"/>
  <c r="E297" i="10"/>
  <c r="AH283" i="10"/>
  <c r="AI275" i="10" s="1"/>
  <c r="R281" i="10"/>
  <c r="V280" i="10"/>
  <c r="AA280" i="10"/>
  <c r="T286" i="10"/>
  <c r="X285" i="10"/>
  <c r="AC285" i="10" s="1"/>
  <c r="H296" i="10"/>
  <c r="E296" i="10"/>
  <c r="G296" i="10"/>
  <c r="F296" i="10"/>
  <c r="N285" i="10"/>
  <c r="Q285" i="10" s="1"/>
  <c r="N293" i="10"/>
  <c r="Q293" i="10" s="1"/>
  <c r="N287" i="10"/>
  <c r="Q287" i="10" s="1"/>
  <c r="N289" i="10"/>
  <c r="Q289" i="10" s="1"/>
  <c r="N294" i="10"/>
  <c r="Q294" i="10" s="1"/>
  <c r="N286" i="10"/>
  <c r="Q286" i="10" s="1"/>
  <c r="N283" i="10"/>
  <c r="Q283" i="10" s="1"/>
  <c r="N291" i="10"/>
  <c r="Q291" i="10" s="1"/>
  <c r="N288" i="10"/>
  <c r="Q288" i="10" s="1"/>
  <c r="N282" i="10"/>
  <c r="Q282" i="10" s="1"/>
  <c r="N290" i="10"/>
  <c r="Q290" i="10" s="1"/>
  <c r="N284" i="10"/>
  <c r="Q284" i="10" s="1"/>
  <c r="N281" i="10"/>
  <c r="Q281" i="10" s="1"/>
  <c r="N292" i="10"/>
  <c r="Q292" i="10" s="1"/>
  <c r="E22" i="10"/>
  <c r="D298" i="10"/>
  <c r="U290" i="10"/>
  <c r="Y289" i="10"/>
  <c r="AD289" i="10" s="1"/>
  <c r="Z280" i="10" l="1"/>
  <c r="I21" i="10"/>
  <c r="S281" i="10"/>
  <c r="W281" i="10" s="1"/>
  <c r="AB281" i="10" s="1"/>
  <c r="AA281" i="10"/>
  <c r="R282" i="10"/>
  <c r="V281" i="10"/>
  <c r="I301" i="10"/>
  <c r="AE280" i="10"/>
  <c r="AF284" i="10" s="1"/>
  <c r="AG284" i="10" s="1"/>
  <c r="D299" i="10"/>
  <c r="L301" i="10"/>
  <c r="Y290" i="10"/>
  <c r="AD290" i="10" s="1"/>
  <c r="U291" i="10"/>
  <c r="C298" i="10"/>
  <c r="I302" i="10"/>
  <c r="J301" i="10"/>
  <c r="J302" i="10"/>
  <c r="X286" i="10"/>
  <c r="AC286" i="10" s="1"/>
  <c r="T287" i="10"/>
  <c r="L302" i="10"/>
  <c r="K301" i="10"/>
  <c r="K302" i="10"/>
  <c r="Z281" i="10" l="1"/>
  <c r="S282" i="10"/>
  <c r="W282" i="10" s="1"/>
  <c r="AB282" i="10" s="1"/>
  <c r="X287" i="10"/>
  <c r="AC287" i="10" s="1"/>
  <c r="T288" i="10"/>
  <c r="D300" i="10"/>
  <c r="C300" i="10" s="1"/>
  <c r="C299" i="10"/>
  <c r="AH284" i="10"/>
  <c r="H298" i="10"/>
  <c r="G298" i="10"/>
  <c r="E298" i="10"/>
  <c r="F298" i="10"/>
  <c r="U292" i="10"/>
  <c r="Y291" i="10"/>
  <c r="AD291" i="10" s="1"/>
  <c r="R283" i="10"/>
  <c r="AA282" i="10"/>
  <c r="V282" i="10"/>
  <c r="AE281" i="10"/>
  <c r="AF285" i="10" s="1"/>
  <c r="AG285" i="10" s="1"/>
  <c r="AI276" i="10" l="1"/>
  <c r="Z282" i="10"/>
  <c r="S283" i="10"/>
  <c r="S284" i="10" s="1"/>
  <c r="AH285" i="10"/>
  <c r="AI277" i="10" s="1"/>
  <c r="L303" i="10"/>
  <c r="K303" i="10"/>
  <c r="AE282" i="10"/>
  <c r="AF286" i="10" s="1"/>
  <c r="AG286" i="10" s="1"/>
  <c r="V283" i="10"/>
  <c r="AA283" i="10"/>
  <c r="R284" i="10"/>
  <c r="F299" i="10"/>
  <c r="G299" i="10"/>
  <c r="H299" i="10"/>
  <c r="E299" i="10"/>
  <c r="E300" i="10"/>
  <c r="H300" i="10"/>
  <c r="F300" i="10"/>
  <c r="G300" i="10"/>
  <c r="Y292" i="10"/>
  <c r="AD292" i="10" s="1"/>
  <c r="U293" i="10"/>
  <c r="D301" i="10"/>
  <c r="I303" i="10"/>
  <c r="T289" i="10"/>
  <c r="X288" i="10"/>
  <c r="AC288" i="10" s="1"/>
  <c r="J303" i="10"/>
  <c r="W283" i="10" l="1"/>
  <c r="AB283" i="10" s="1"/>
  <c r="AE283" i="10" s="1"/>
  <c r="AF287" i="10" s="1"/>
  <c r="AG287" i="10" s="1"/>
  <c r="AH286" i="10"/>
  <c r="K304" i="10"/>
  <c r="R285" i="10"/>
  <c r="V284" i="10"/>
  <c r="AA284" i="10"/>
  <c r="W284" i="10"/>
  <c r="AB284" i="10" s="1"/>
  <c r="S285" i="10"/>
  <c r="J304" i="10"/>
  <c r="K305" i="10"/>
  <c r="J305" i="10"/>
  <c r="L305" i="10"/>
  <c r="D302" i="10"/>
  <c r="I305" i="10"/>
  <c r="I304" i="10"/>
  <c r="U294" i="10"/>
  <c r="Y293" i="10"/>
  <c r="AD293" i="10" s="1"/>
  <c r="T290" i="10"/>
  <c r="X289" i="10"/>
  <c r="AC289" i="10" s="1"/>
  <c r="C301" i="10"/>
  <c r="L304" i="10"/>
  <c r="Z284" i="10" l="1"/>
  <c r="Z283" i="10"/>
  <c r="W285" i="10"/>
  <c r="AB285" i="10" s="1"/>
  <c r="S286" i="10"/>
  <c r="AE284" i="10"/>
  <c r="AF288" i="10" s="1"/>
  <c r="AG288" i="10" s="1"/>
  <c r="D303" i="10"/>
  <c r="AA285" i="10"/>
  <c r="V285" i="10"/>
  <c r="Z285" i="10" s="1"/>
  <c r="R286" i="10"/>
  <c r="G301" i="10"/>
  <c r="H301" i="10"/>
  <c r="E301" i="10"/>
  <c r="F301" i="10"/>
  <c r="P295" i="10"/>
  <c r="U295" i="10" s="1"/>
  <c r="Y294" i="10"/>
  <c r="AD294" i="10" s="1"/>
  <c r="C302" i="10"/>
  <c r="T291" i="10"/>
  <c r="X290" i="10"/>
  <c r="AC290" i="10" s="1"/>
  <c r="AH287" i="10"/>
  <c r="AI278" i="10" l="1"/>
  <c r="AE285" i="10"/>
  <c r="AF289" i="10" s="1"/>
  <c r="AG289" i="10" s="1"/>
  <c r="J306" i="10"/>
  <c r="L306" i="10"/>
  <c r="K306" i="10"/>
  <c r="AA286" i="10"/>
  <c r="R287" i="10"/>
  <c r="V286" i="10"/>
  <c r="H302" i="10"/>
  <c r="G302" i="10"/>
  <c r="F302" i="10"/>
  <c r="E302" i="10"/>
  <c r="I306" i="10"/>
  <c r="AH288" i="10"/>
  <c r="AI279" i="10" s="1"/>
  <c r="J21" i="10" s="1"/>
  <c r="D304" i="10"/>
  <c r="C304" i="10" s="1"/>
  <c r="C303" i="10"/>
  <c r="T292" i="10"/>
  <c r="X291" i="10"/>
  <c r="AC291" i="10" s="1"/>
  <c r="Y295" i="10"/>
  <c r="AD295" i="10" s="1"/>
  <c r="W286" i="10"/>
  <c r="AB286" i="10" s="1"/>
  <c r="S287" i="10"/>
  <c r="P306" i="10"/>
  <c r="P308" i="10"/>
  <c r="P302" i="10"/>
  <c r="P297" i="10"/>
  <c r="P303" i="10"/>
  <c r="P309" i="10"/>
  <c r="P304" i="10"/>
  <c r="P299" i="10"/>
  <c r="P305" i="10"/>
  <c r="P301" i="10"/>
  <c r="P307" i="10"/>
  <c r="P298" i="10"/>
  <c r="P300" i="10"/>
  <c r="P296" i="10"/>
  <c r="U296" i="10" s="1"/>
  <c r="G23" i="10"/>
  <c r="Z286" i="10" l="1"/>
  <c r="AE286" i="10"/>
  <c r="AF290" i="10" s="1"/>
  <c r="AG290" i="10" s="1"/>
  <c r="U297" i="10"/>
  <c r="Y296" i="10"/>
  <c r="AD296" i="10" s="1"/>
  <c r="L307" i="10"/>
  <c r="R288" i="10"/>
  <c r="AA287" i="10"/>
  <c r="V287" i="10"/>
  <c r="J307" i="10"/>
  <c r="T293" i="10"/>
  <c r="X292" i="10"/>
  <c r="AC292" i="10" s="1"/>
  <c r="E304" i="10"/>
  <c r="H304" i="10"/>
  <c r="G304" i="10"/>
  <c r="F304" i="10"/>
  <c r="D305" i="10"/>
  <c r="C305" i="10" s="1"/>
  <c r="AH289" i="10"/>
  <c r="W287" i="10"/>
  <c r="AB287" i="10" s="1"/>
  <c r="S288" i="10"/>
  <c r="K307" i="10"/>
  <c r="G303" i="10"/>
  <c r="F303" i="10"/>
  <c r="H303" i="10"/>
  <c r="E303" i="10"/>
  <c r="I307" i="10"/>
  <c r="Z287" i="10" l="1"/>
  <c r="W288" i="10"/>
  <c r="AB288" i="10" s="1"/>
  <c r="S289" i="10"/>
  <c r="AE287" i="10"/>
  <c r="AF291" i="10" s="1"/>
  <c r="AG291" i="10" s="1"/>
  <c r="R289" i="10"/>
  <c r="AA288" i="10"/>
  <c r="V288" i="10"/>
  <c r="T294" i="10"/>
  <c r="X293" i="10"/>
  <c r="AC293" i="10" s="1"/>
  <c r="H305" i="10"/>
  <c r="G305" i="10"/>
  <c r="E305" i="10"/>
  <c r="F305" i="10"/>
  <c r="J309" i="10"/>
  <c r="AH290" i="10"/>
  <c r="K309" i="10"/>
  <c r="D306" i="10"/>
  <c r="I308" i="10"/>
  <c r="L308" i="10"/>
  <c r="J308" i="10"/>
  <c r="L309" i="10"/>
  <c r="K308" i="10"/>
  <c r="I309" i="10"/>
  <c r="U298" i="10"/>
  <c r="Y297" i="10"/>
  <c r="AD297" i="10" s="1"/>
  <c r="Z288" i="10" l="1"/>
  <c r="AE288" i="10"/>
  <c r="AF292" i="10" s="1"/>
  <c r="AG292" i="10" s="1"/>
  <c r="U299" i="10"/>
  <c r="Y298" i="10"/>
  <c r="AD298" i="10" s="1"/>
  <c r="K310" i="10"/>
  <c r="D307" i="10"/>
  <c r="C307" i="10" s="1"/>
  <c r="L310" i="10"/>
  <c r="C306" i="10"/>
  <c r="I310" i="10"/>
  <c r="X294" i="10"/>
  <c r="AC294" i="10" s="1"/>
  <c r="O295" i="10"/>
  <c r="J310" i="10"/>
  <c r="V289" i="10"/>
  <c r="AA289" i="10"/>
  <c r="R290" i="10"/>
  <c r="AH291" i="10"/>
  <c r="AI280" i="10" s="1"/>
  <c r="W289" i="10"/>
  <c r="AB289" i="10" s="1"/>
  <c r="S290" i="10"/>
  <c r="Z289" i="10" l="1"/>
  <c r="E307" i="10"/>
  <c r="H307" i="10"/>
  <c r="F307" i="10"/>
  <c r="G307" i="10"/>
  <c r="R291" i="10"/>
  <c r="V290" i="10"/>
  <c r="AA290" i="10"/>
  <c r="D308" i="10"/>
  <c r="C308" i="10" s="1"/>
  <c r="AH292" i="10"/>
  <c r="G306" i="10"/>
  <c r="F306" i="10"/>
  <c r="E306" i="10"/>
  <c r="H306" i="10"/>
  <c r="O303" i="10"/>
  <c r="O297" i="10"/>
  <c r="O309" i="10"/>
  <c r="O304" i="10"/>
  <c r="O306" i="10"/>
  <c r="O296" i="10"/>
  <c r="O308" i="10"/>
  <c r="O298" i="10"/>
  <c r="O302" i="10"/>
  <c r="O305" i="10"/>
  <c r="O301" i="10"/>
  <c r="O299" i="10"/>
  <c r="O307" i="10"/>
  <c r="O300" i="10"/>
  <c r="F23" i="10"/>
  <c r="T295" i="10"/>
  <c r="AE289" i="10"/>
  <c r="AF293" i="10" s="1"/>
  <c r="AG293" i="10" s="1"/>
  <c r="W290" i="10"/>
  <c r="AB290" i="10" s="1"/>
  <c r="S291" i="10"/>
  <c r="Y299" i="10"/>
  <c r="AD299" i="10" s="1"/>
  <c r="U300" i="10"/>
  <c r="AI281" i="10" l="1"/>
  <c r="Z290" i="10"/>
  <c r="D309" i="10"/>
  <c r="C309" i="10" s="1"/>
  <c r="AH293" i="10"/>
  <c r="AI282" i="10" s="1"/>
  <c r="Y300" i="10"/>
  <c r="AD300" i="10" s="1"/>
  <c r="U301" i="10"/>
  <c r="K311" i="10"/>
  <c r="H308" i="10"/>
  <c r="G308" i="10"/>
  <c r="E308" i="10"/>
  <c r="F308" i="10"/>
  <c r="AA291" i="10"/>
  <c r="R292" i="10"/>
  <c r="V291" i="10"/>
  <c r="K312" i="10"/>
  <c r="AE290" i="10"/>
  <c r="AF294" i="10" s="1"/>
  <c r="AG294" i="10" s="1"/>
  <c r="L311" i="10"/>
  <c r="J312" i="10"/>
  <c r="X295" i="10"/>
  <c r="AC295" i="10" s="1"/>
  <c r="T296" i="10"/>
  <c r="I311" i="10"/>
  <c r="L312" i="10"/>
  <c r="W291" i="10"/>
  <c r="AB291" i="10" s="1"/>
  <c r="S292" i="10"/>
  <c r="J311" i="10"/>
  <c r="I312" i="10"/>
  <c r="Z291" i="10" l="1"/>
  <c r="AH294" i="10"/>
  <c r="K313" i="10"/>
  <c r="L313" i="10"/>
  <c r="Y301" i="10"/>
  <c r="AD301" i="10" s="1"/>
  <c r="U302" i="10"/>
  <c r="I313" i="10"/>
  <c r="R293" i="10"/>
  <c r="AA292" i="10"/>
  <c r="V292" i="10"/>
  <c r="W292" i="10"/>
  <c r="AB292" i="10" s="1"/>
  <c r="S293" i="10"/>
  <c r="AE291" i="10"/>
  <c r="AF295" i="10" s="1"/>
  <c r="AG295" i="10" s="1"/>
  <c r="G309" i="10"/>
  <c r="E309" i="10"/>
  <c r="H309" i="10"/>
  <c r="F309" i="10"/>
  <c r="X296" i="10"/>
  <c r="AC296" i="10" s="1"/>
  <c r="T297" i="10"/>
  <c r="J313" i="10"/>
  <c r="D310" i="10"/>
  <c r="C310" i="10" s="1"/>
  <c r="Z292" i="10" l="1"/>
  <c r="AE292" i="10"/>
  <c r="AF296" i="10" s="1"/>
  <c r="AG296" i="10" s="1"/>
  <c r="AH295" i="10"/>
  <c r="F310" i="10"/>
  <c r="H310" i="10"/>
  <c r="E310" i="10"/>
  <c r="G310" i="10"/>
  <c r="V293" i="10"/>
  <c r="AA293" i="10"/>
  <c r="R294" i="10"/>
  <c r="U303" i="10"/>
  <c r="Y302" i="10"/>
  <c r="AD302" i="10" s="1"/>
  <c r="X297" i="10"/>
  <c r="AC297" i="10" s="1"/>
  <c r="T298" i="10"/>
  <c r="I314" i="10"/>
  <c r="J314" i="10"/>
  <c r="K314" i="10"/>
  <c r="L314" i="10"/>
  <c r="W293" i="10"/>
  <c r="AB293" i="10" s="1"/>
  <c r="S294" i="10"/>
  <c r="D311" i="10"/>
  <c r="AI283" i="10" l="1"/>
  <c r="Z293" i="10"/>
  <c r="U304" i="10"/>
  <c r="Y303" i="10"/>
  <c r="AD303" i="10" s="1"/>
  <c r="W294" i="10"/>
  <c r="AB294" i="10" s="1"/>
  <c r="K315" i="10"/>
  <c r="I315" i="10"/>
  <c r="AA294" i="10"/>
  <c r="V294" i="10"/>
  <c r="M295" i="10"/>
  <c r="R295" i="10" s="1"/>
  <c r="L315" i="10"/>
  <c r="J315" i="10"/>
  <c r="AE293" i="10"/>
  <c r="AF297" i="10" s="1"/>
  <c r="AG297" i="10" s="1"/>
  <c r="T299" i="10"/>
  <c r="X298" i="10"/>
  <c r="AC298" i="10" s="1"/>
  <c r="D312" i="10"/>
  <c r="C312" i="10" s="1"/>
  <c r="C311" i="10"/>
  <c r="AH296" i="10"/>
  <c r="AI284" i="10" l="1"/>
  <c r="Z294" i="10"/>
  <c r="I22" i="10" s="1"/>
  <c r="AE294" i="10"/>
  <c r="AF298" i="10" s="1"/>
  <c r="AG298" i="10" s="1"/>
  <c r="G312" i="10"/>
  <c r="F312" i="10"/>
  <c r="E312" i="10"/>
  <c r="H312" i="10"/>
  <c r="AH297" i="10"/>
  <c r="AI285" i="10" s="1"/>
  <c r="D313" i="10"/>
  <c r="T300" i="10"/>
  <c r="X299" i="10"/>
  <c r="AC299" i="10" s="1"/>
  <c r="E311" i="10"/>
  <c r="F311" i="10"/>
  <c r="H311" i="10"/>
  <c r="G311" i="10"/>
  <c r="V295" i="10"/>
  <c r="AA295" i="10"/>
  <c r="M302" i="10"/>
  <c r="M299" i="10"/>
  <c r="M307" i="10"/>
  <c r="M308" i="10"/>
  <c r="M303" i="10"/>
  <c r="M309" i="10"/>
  <c r="M304" i="10"/>
  <c r="M296" i="10"/>
  <c r="R296" i="10" s="1"/>
  <c r="M306" i="10"/>
  <c r="M305" i="10"/>
  <c r="M301" i="10"/>
  <c r="M297" i="10"/>
  <c r="M298" i="10"/>
  <c r="M300" i="10"/>
  <c r="D23" i="10"/>
  <c r="N295" i="10"/>
  <c r="Y304" i="10"/>
  <c r="AD304" i="10" s="1"/>
  <c r="U305" i="10"/>
  <c r="J316" i="10" l="1"/>
  <c r="N305" i="10"/>
  <c r="Q305" i="10" s="1"/>
  <c r="N308" i="10"/>
  <c r="Q308" i="10" s="1"/>
  <c r="N298" i="10"/>
  <c r="Q298" i="10" s="1"/>
  <c r="N309" i="10"/>
  <c r="Q309" i="10" s="1"/>
  <c r="N304" i="10"/>
  <c r="Q304" i="10" s="1"/>
  <c r="N300" i="10"/>
  <c r="Q300" i="10" s="1"/>
  <c r="N303" i="10"/>
  <c r="Q303" i="10" s="1"/>
  <c r="N302" i="10"/>
  <c r="Q302" i="10" s="1"/>
  <c r="N299" i="10"/>
  <c r="Q299" i="10" s="1"/>
  <c r="N296" i="10"/>
  <c r="Q296" i="10" s="1"/>
  <c r="N306" i="10"/>
  <c r="Q306" i="10" s="1"/>
  <c r="N301" i="10"/>
  <c r="Q301" i="10" s="1"/>
  <c r="N307" i="10"/>
  <c r="Q307" i="10" s="1"/>
  <c r="N297" i="10"/>
  <c r="Q297" i="10" s="1"/>
  <c r="E23" i="10"/>
  <c r="S295" i="10"/>
  <c r="X300" i="10"/>
  <c r="AC300" i="10" s="1"/>
  <c r="T301" i="10"/>
  <c r="D314" i="10"/>
  <c r="Q295" i="10"/>
  <c r="C313" i="10"/>
  <c r="AH298" i="10"/>
  <c r="L317" i="10"/>
  <c r="R297" i="10"/>
  <c r="AA296" i="10"/>
  <c r="V296" i="10"/>
  <c r="I317" i="10"/>
  <c r="K316" i="10"/>
  <c r="J317" i="10"/>
  <c r="I316" i="10"/>
  <c r="Y305" i="10"/>
  <c r="AD305" i="10" s="1"/>
  <c r="U306" i="10"/>
  <c r="L316" i="10"/>
  <c r="K317" i="10"/>
  <c r="X301" i="10" l="1"/>
  <c r="AC301" i="10" s="1"/>
  <c r="T302" i="10"/>
  <c r="D315" i="10"/>
  <c r="C315" i="10" s="1"/>
  <c r="W295" i="10"/>
  <c r="S296" i="10"/>
  <c r="U307" i="10"/>
  <c r="Y306" i="10"/>
  <c r="AD306" i="10" s="1"/>
  <c r="R298" i="10"/>
  <c r="AA297" i="10"/>
  <c r="V297" i="10"/>
  <c r="F313" i="10"/>
  <c r="E313" i="10"/>
  <c r="H313" i="10"/>
  <c r="G313" i="10"/>
  <c r="C314" i="10"/>
  <c r="AB295" i="10" l="1"/>
  <c r="AE295" i="10" s="1"/>
  <c r="AF299" i="10" s="1"/>
  <c r="AG299" i="10" s="1"/>
  <c r="AH299" i="10" s="1"/>
  <c r="Z295" i="10"/>
  <c r="U308" i="10"/>
  <c r="Y307" i="10"/>
  <c r="AD307" i="10" s="1"/>
  <c r="W296" i="10"/>
  <c r="S297" i="10"/>
  <c r="E315" i="10"/>
  <c r="H315" i="10"/>
  <c r="G315" i="10"/>
  <c r="F315" i="10"/>
  <c r="I318" i="10"/>
  <c r="D316" i="10"/>
  <c r="E314" i="10"/>
  <c r="G314" i="10"/>
  <c r="H314" i="10"/>
  <c r="F314" i="10"/>
  <c r="X302" i="10"/>
  <c r="AC302" i="10" s="1"/>
  <c r="T303" i="10"/>
  <c r="AA298" i="10"/>
  <c r="V298" i="10"/>
  <c r="R299" i="10"/>
  <c r="K318" i="10"/>
  <c r="L318" i="10"/>
  <c r="J318" i="10"/>
  <c r="AI286" i="10" l="1"/>
  <c r="AB296" i="10"/>
  <c r="AE296" i="10" s="1"/>
  <c r="AF300" i="10" s="1"/>
  <c r="AG300" i="10" s="1"/>
  <c r="AH300" i="10" s="1"/>
  <c r="Z296" i="10"/>
  <c r="T304" i="10"/>
  <c r="X303" i="10"/>
  <c r="AC303" i="10" s="1"/>
  <c r="K320" i="10"/>
  <c r="L320" i="10"/>
  <c r="J319" i="10"/>
  <c r="I320" i="10"/>
  <c r="L319" i="10"/>
  <c r="K319" i="10"/>
  <c r="I319" i="10"/>
  <c r="W297" i="10"/>
  <c r="S298" i="10"/>
  <c r="D317" i="10"/>
  <c r="C317" i="10" s="1"/>
  <c r="C316" i="10"/>
  <c r="J320" i="10"/>
  <c r="R300" i="10"/>
  <c r="AA299" i="10"/>
  <c r="V299" i="10"/>
  <c r="U309" i="10"/>
  <c r="Y308" i="10"/>
  <c r="AD308" i="10" s="1"/>
  <c r="AI287" i="10" l="1"/>
  <c r="AB297" i="10"/>
  <c r="AE297" i="10" s="1"/>
  <c r="AF301" i="10" s="1"/>
  <c r="AG301" i="10" s="1"/>
  <c r="AH301" i="10" s="1"/>
  <c r="AI288" i="10" s="1"/>
  <c r="Z297" i="10"/>
  <c r="F317" i="10"/>
  <c r="G317" i="10"/>
  <c r="E317" i="10"/>
  <c r="H317" i="10"/>
  <c r="G316" i="10"/>
  <c r="F316" i="10"/>
  <c r="H316" i="10"/>
  <c r="E316" i="10"/>
  <c r="P310" i="10"/>
  <c r="Y309" i="10"/>
  <c r="AA300" i="10"/>
  <c r="R301" i="10"/>
  <c r="V300" i="10"/>
  <c r="X304" i="10"/>
  <c r="AC304" i="10" s="1"/>
  <c r="T305" i="10"/>
  <c r="D318" i="10"/>
  <c r="W298" i="10"/>
  <c r="S299" i="10"/>
  <c r="AB298" i="10" l="1"/>
  <c r="AE298" i="10" s="1"/>
  <c r="AF302" i="10" s="1"/>
  <c r="AG302" i="10" s="1"/>
  <c r="AH302" i="10" s="1"/>
  <c r="Z298" i="10"/>
  <c r="I321" i="10"/>
  <c r="X305" i="10"/>
  <c r="AC305" i="10" s="1"/>
  <c r="T306" i="10"/>
  <c r="K321" i="10"/>
  <c r="J321" i="10"/>
  <c r="L321" i="10"/>
  <c r="L322" i="10"/>
  <c r="AD309" i="10"/>
  <c r="I322" i="10"/>
  <c r="D319" i="10"/>
  <c r="C319" i="10" s="1"/>
  <c r="P315" i="10"/>
  <c r="P314" i="10"/>
  <c r="P321" i="10"/>
  <c r="P316" i="10"/>
  <c r="P322" i="10"/>
  <c r="P320" i="10"/>
  <c r="P319" i="10"/>
  <c r="P318" i="10"/>
  <c r="P323" i="10"/>
  <c r="P317" i="10"/>
  <c r="P312" i="10"/>
  <c r="P313" i="10"/>
  <c r="P324" i="10"/>
  <c r="P311" i="10"/>
  <c r="G24" i="10"/>
  <c r="K322" i="10"/>
  <c r="W299" i="10"/>
  <c r="S300" i="10"/>
  <c r="C318" i="10"/>
  <c r="AA301" i="10"/>
  <c r="R302" i="10"/>
  <c r="V301" i="10"/>
  <c r="U310" i="10"/>
  <c r="J322" i="10"/>
  <c r="AB299" i="10" l="1"/>
  <c r="AE299" i="10" s="1"/>
  <c r="AF303" i="10" s="1"/>
  <c r="AG303" i="10" s="1"/>
  <c r="AH303" i="10" s="1"/>
  <c r="AI289" i="10" s="1"/>
  <c r="Z299" i="10"/>
  <c r="F319" i="10"/>
  <c r="H319" i="10"/>
  <c r="E319" i="10"/>
  <c r="G319" i="10"/>
  <c r="AA302" i="10"/>
  <c r="R303" i="10"/>
  <c r="V302" i="10"/>
  <c r="X306" i="10"/>
  <c r="AC306" i="10" s="1"/>
  <c r="T307" i="10"/>
  <c r="H318" i="10"/>
  <c r="G318" i="10"/>
  <c r="E318" i="10"/>
  <c r="F318" i="10"/>
  <c r="Y310" i="10"/>
  <c r="U311" i="10"/>
  <c r="W300" i="10"/>
  <c r="S301" i="10"/>
  <c r="D320" i="10"/>
  <c r="C320" i="10" s="1"/>
  <c r="AB300" i="10" l="1"/>
  <c r="AE300" i="10" s="1"/>
  <c r="AF304" i="10" s="1"/>
  <c r="AG304" i="10" s="1"/>
  <c r="AH304" i="10" s="1"/>
  <c r="Z300" i="10"/>
  <c r="E320" i="10"/>
  <c r="H320" i="10"/>
  <c r="F320" i="10"/>
  <c r="G320" i="10"/>
  <c r="R304" i="10"/>
  <c r="AA303" i="10"/>
  <c r="V303" i="10"/>
  <c r="T308" i="10"/>
  <c r="X307" i="10"/>
  <c r="AC307" i="10" s="1"/>
  <c r="L323" i="10"/>
  <c r="AD310" i="10"/>
  <c r="K324" i="10"/>
  <c r="W301" i="10"/>
  <c r="S302" i="10"/>
  <c r="J323" i="10"/>
  <c r="I324" i="10"/>
  <c r="L324" i="10"/>
  <c r="D321" i="10"/>
  <c r="C321" i="10" s="1"/>
  <c r="U312" i="10"/>
  <c r="Y311" i="10"/>
  <c r="I323" i="10"/>
  <c r="K323" i="10"/>
  <c r="J324" i="10"/>
  <c r="AI290" i="10" l="1"/>
  <c r="AB301" i="10"/>
  <c r="AE301" i="10" s="1"/>
  <c r="AF305" i="10" s="1"/>
  <c r="AG305" i="10" s="1"/>
  <c r="AH305" i="10" s="1"/>
  <c r="AI291" i="10" s="1"/>
  <c r="Z301" i="10"/>
  <c r="T309" i="10"/>
  <c r="X308" i="10"/>
  <c r="AC308" i="10" s="1"/>
  <c r="AA304" i="10"/>
  <c r="R305" i="10"/>
  <c r="V304" i="10"/>
  <c r="U313" i="10"/>
  <c r="Y312" i="10"/>
  <c r="AD312" i="10" s="1"/>
  <c r="W302" i="10"/>
  <c r="S303" i="10"/>
  <c r="G321" i="10"/>
  <c r="E321" i="10"/>
  <c r="H321" i="10"/>
  <c r="F321" i="10"/>
  <c r="K325" i="10"/>
  <c r="AD311" i="10"/>
  <c r="D322" i="10"/>
  <c r="C322" i="10" s="1"/>
  <c r="J325" i="10"/>
  <c r="L325" i="10"/>
  <c r="I325" i="10"/>
  <c r="AB302" i="10" l="1"/>
  <c r="AE302" i="10" s="1"/>
  <c r="AF306" i="10" s="1"/>
  <c r="AG306" i="10" s="1"/>
  <c r="AH306" i="10" s="1"/>
  <c r="Z302" i="10"/>
  <c r="D323" i="10"/>
  <c r="Y313" i="10"/>
  <c r="AD313" i="10" s="1"/>
  <c r="U314" i="10"/>
  <c r="R306" i="10"/>
  <c r="V305" i="10"/>
  <c r="AA305" i="10"/>
  <c r="L326" i="10"/>
  <c r="I326" i="10"/>
  <c r="O310" i="10"/>
  <c r="X309" i="10"/>
  <c r="H322" i="10"/>
  <c r="G322" i="10"/>
  <c r="F322" i="10"/>
  <c r="E322" i="10"/>
  <c r="J326" i="10"/>
  <c r="K326" i="10"/>
  <c r="W303" i="10"/>
  <c r="S304" i="10"/>
  <c r="AB303" i="10" l="1"/>
  <c r="AE303" i="10" s="1"/>
  <c r="AF307" i="10" s="1"/>
  <c r="AG307" i="10" s="1"/>
  <c r="AH307" i="10" s="1"/>
  <c r="AI292" i="10" s="1"/>
  <c r="Z303" i="10"/>
  <c r="J327" i="10"/>
  <c r="K327" i="10"/>
  <c r="L327" i="10"/>
  <c r="V306" i="10"/>
  <c r="R307" i="10"/>
  <c r="AA306" i="10"/>
  <c r="AC309" i="10"/>
  <c r="Y314" i="10"/>
  <c r="AD314" i="10" s="1"/>
  <c r="U315" i="10"/>
  <c r="W304" i="10"/>
  <c r="S305" i="10"/>
  <c r="D324" i="10"/>
  <c r="C324" i="10" s="1"/>
  <c r="C323" i="10"/>
  <c r="I327" i="10"/>
  <c r="O316" i="10"/>
  <c r="O315" i="10"/>
  <c r="O323" i="10"/>
  <c r="O313" i="10"/>
  <c r="O321" i="10"/>
  <c r="O322" i="10"/>
  <c r="O320" i="10"/>
  <c r="O319" i="10"/>
  <c r="O318" i="10"/>
  <c r="O317" i="10"/>
  <c r="O314" i="10"/>
  <c r="O312" i="10"/>
  <c r="O324" i="10"/>
  <c r="O311" i="10"/>
  <c r="F24" i="10"/>
  <c r="T310" i="10"/>
  <c r="AB304" i="10" l="1"/>
  <c r="AE304" i="10" s="1"/>
  <c r="AF308" i="10" s="1"/>
  <c r="AG308" i="10" s="1"/>
  <c r="AH308" i="10" s="1"/>
  <c r="AI293" i="10" s="1"/>
  <c r="Z304" i="10"/>
  <c r="E324" i="10"/>
  <c r="G324" i="10"/>
  <c r="F324" i="10"/>
  <c r="H324" i="10"/>
  <c r="F323" i="10"/>
  <c r="H323" i="10"/>
  <c r="G323" i="10"/>
  <c r="E323" i="10"/>
  <c r="Y315" i="10"/>
  <c r="AD315" i="10" s="1"/>
  <c r="U316" i="10"/>
  <c r="D325" i="10"/>
  <c r="C325" i="10" s="1"/>
  <c r="V307" i="10"/>
  <c r="AA307" i="10"/>
  <c r="R308" i="10"/>
  <c r="W305" i="10"/>
  <c r="S306" i="10"/>
  <c r="T311" i="10"/>
  <c r="X310" i="10"/>
  <c r="AB305" i="10" l="1"/>
  <c r="AE305" i="10" s="1"/>
  <c r="AF309" i="10" s="1"/>
  <c r="AG309" i="10" s="1"/>
  <c r="AH309" i="10" s="1"/>
  <c r="Z305" i="10"/>
  <c r="F325" i="10"/>
  <c r="E325" i="10"/>
  <c r="G325" i="10"/>
  <c r="H325" i="10"/>
  <c r="T312" i="10"/>
  <c r="X311" i="10"/>
  <c r="K328" i="10"/>
  <c r="I328" i="10"/>
  <c r="W306" i="10"/>
  <c r="S307" i="10"/>
  <c r="L329" i="10"/>
  <c r="AC310" i="10"/>
  <c r="J328" i="10"/>
  <c r="D326" i="10"/>
  <c r="J329" i="10"/>
  <c r="K329" i="10"/>
  <c r="L328" i="10"/>
  <c r="V308" i="10"/>
  <c r="R309" i="10"/>
  <c r="AA308" i="10"/>
  <c r="Y316" i="10"/>
  <c r="AD316" i="10" s="1"/>
  <c r="U317" i="10"/>
  <c r="I329" i="10"/>
  <c r="AI294" i="10" l="1"/>
  <c r="J22" i="10" s="1"/>
  <c r="AI295" i="10"/>
  <c r="AB306" i="10"/>
  <c r="AE306" i="10" s="1"/>
  <c r="AF310" i="10" s="1"/>
  <c r="AG310" i="10" s="1"/>
  <c r="AH310" i="10" s="1"/>
  <c r="Z306" i="10"/>
  <c r="D327" i="10"/>
  <c r="C327" i="10" s="1"/>
  <c r="AC311" i="10"/>
  <c r="T313" i="10"/>
  <c r="X312" i="10"/>
  <c r="AC312" i="10" s="1"/>
  <c r="Y317" i="10"/>
  <c r="AD317" i="10" s="1"/>
  <c r="U318" i="10"/>
  <c r="L330" i="10"/>
  <c r="C326" i="10"/>
  <c r="K330" i="10"/>
  <c r="AA309" i="10"/>
  <c r="M310" i="10"/>
  <c r="V309" i="10"/>
  <c r="W307" i="10"/>
  <c r="S308" i="10"/>
  <c r="I330" i="10"/>
  <c r="J330" i="10"/>
  <c r="AB307" i="10" l="1"/>
  <c r="AE307" i="10" s="1"/>
  <c r="AF311" i="10" s="1"/>
  <c r="AG311" i="10" s="1"/>
  <c r="AH311" i="10" s="1"/>
  <c r="AI296" i="10" s="1"/>
  <c r="Z307" i="10"/>
  <c r="F327" i="10"/>
  <c r="E327" i="10"/>
  <c r="H327" i="10"/>
  <c r="G327" i="10"/>
  <c r="Y318" i="10"/>
  <c r="AD318" i="10" s="1"/>
  <c r="U319" i="10"/>
  <c r="M318" i="10"/>
  <c r="M317" i="10"/>
  <c r="M324" i="10"/>
  <c r="M311" i="10"/>
  <c r="M321" i="10"/>
  <c r="M322" i="10"/>
  <c r="M316" i="10"/>
  <c r="M315" i="10"/>
  <c r="M314" i="10"/>
  <c r="M319" i="10"/>
  <c r="M313" i="10"/>
  <c r="M312" i="10"/>
  <c r="M320" i="10"/>
  <c r="M323" i="10"/>
  <c r="D24" i="10"/>
  <c r="N310" i="10"/>
  <c r="Q310" i="10" s="1"/>
  <c r="W308" i="10"/>
  <c r="S309" i="10"/>
  <c r="T314" i="10"/>
  <c r="X313" i="10"/>
  <c r="AC313" i="10" s="1"/>
  <c r="R310" i="10"/>
  <c r="E326" i="10"/>
  <c r="H326" i="10"/>
  <c r="G326" i="10"/>
  <c r="F326" i="10"/>
  <c r="D328" i="10"/>
  <c r="AB308" i="10" l="1"/>
  <c r="AE308" i="10" s="1"/>
  <c r="AF312" i="10" s="1"/>
  <c r="AG312" i="10" s="1"/>
  <c r="AH312" i="10" s="1"/>
  <c r="AI297" i="10" s="1"/>
  <c r="Z308" i="10"/>
  <c r="L331" i="10"/>
  <c r="R311" i="10"/>
  <c r="AA310" i="10"/>
  <c r="V310" i="10"/>
  <c r="Y319" i="10"/>
  <c r="AD319" i="10" s="1"/>
  <c r="U320" i="10"/>
  <c r="K331" i="10"/>
  <c r="K332" i="10"/>
  <c r="T315" i="10"/>
  <c r="X314" i="10"/>
  <c r="AC314" i="10" s="1"/>
  <c r="L332" i="10"/>
  <c r="I331" i="10"/>
  <c r="W309" i="10"/>
  <c r="Z309" i="10" s="1"/>
  <c r="S310" i="10"/>
  <c r="I332" i="10"/>
  <c r="D329" i="10"/>
  <c r="C329" i="10" s="1"/>
  <c r="J332" i="10"/>
  <c r="J331" i="10"/>
  <c r="C328" i="10"/>
  <c r="N317" i="10"/>
  <c r="Q317" i="10" s="1"/>
  <c r="N316" i="10"/>
  <c r="Q316" i="10" s="1"/>
  <c r="N321" i="10"/>
  <c r="Q321" i="10" s="1"/>
  <c r="N311" i="10"/>
  <c r="Q311" i="10" s="1"/>
  <c r="N322" i="10"/>
  <c r="Q322" i="10" s="1"/>
  <c r="N324" i="10"/>
  <c r="Q324" i="10" s="1"/>
  <c r="N323" i="10"/>
  <c r="Q323" i="10" s="1"/>
  <c r="N320" i="10"/>
  <c r="Q320" i="10" s="1"/>
  <c r="N319" i="10"/>
  <c r="Q319" i="10" s="1"/>
  <c r="N318" i="10"/>
  <c r="Q318" i="10" s="1"/>
  <c r="N315" i="10"/>
  <c r="Q315" i="10" s="1"/>
  <c r="N314" i="10"/>
  <c r="Q314" i="10" s="1"/>
  <c r="N313" i="10"/>
  <c r="Q313" i="10" s="1"/>
  <c r="N312" i="10"/>
  <c r="Q312" i="10" s="1"/>
  <c r="E24" i="10"/>
  <c r="I23" i="10" l="1"/>
  <c r="D330" i="10"/>
  <c r="E328" i="10"/>
  <c r="H328" i="10"/>
  <c r="G328" i="10"/>
  <c r="F328" i="10"/>
  <c r="W310" i="10"/>
  <c r="Z310" i="10" s="1"/>
  <c r="S311" i="10"/>
  <c r="R312" i="10"/>
  <c r="AA311" i="10"/>
  <c r="V311" i="10"/>
  <c r="E329" i="10"/>
  <c r="H329" i="10"/>
  <c r="G329" i="10"/>
  <c r="F329" i="10"/>
  <c r="AB309" i="10"/>
  <c r="AE309" i="10" s="1"/>
  <c r="AF313" i="10" s="1"/>
  <c r="AG313" i="10" s="1"/>
  <c r="X315" i="10"/>
  <c r="AC315" i="10" s="1"/>
  <c r="T316" i="10"/>
  <c r="U321" i="10"/>
  <c r="Y320" i="10"/>
  <c r="AD320" i="10" s="1"/>
  <c r="W311" i="10" l="1"/>
  <c r="Z311" i="10" s="1"/>
  <c r="S312" i="10"/>
  <c r="J333" i="10"/>
  <c r="U322" i="10"/>
  <c r="Y321" i="10"/>
  <c r="AD321" i="10" s="1"/>
  <c r="K333" i="10"/>
  <c r="R313" i="10"/>
  <c r="V312" i="10"/>
  <c r="AA312" i="10"/>
  <c r="L333" i="10"/>
  <c r="J334" i="10"/>
  <c r="I333" i="10"/>
  <c r="D331" i="10"/>
  <c r="C331" i="10" s="1"/>
  <c r="L334" i="10"/>
  <c r="C330" i="10"/>
  <c r="AB310" i="10"/>
  <c r="AE310" i="10" s="1"/>
  <c r="AF314" i="10" s="1"/>
  <c r="AG314" i="10" s="1"/>
  <c r="I334" i="10"/>
  <c r="T317" i="10"/>
  <c r="X316" i="10"/>
  <c r="AC316" i="10" s="1"/>
  <c r="AH313" i="10"/>
  <c r="AI298" i="10" s="1"/>
  <c r="K334" i="10"/>
  <c r="F331" i="10" l="1"/>
  <c r="H331" i="10"/>
  <c r="G331" i="10"/>
  <c r="E331" i="10"/>
  <c r="AA313" i="10"/>
  <c r="V313" i="10"/>
  <c r="R314" i="10"/>
  <c r="Y322" i="10"/>
  <c r="AD322" i="10" s="1"/>
  <c r="U323" i="10"/>
  <c r="D332" i="10"/>
  <c r="X317" i="10"/>
  <c r="AC317" i="10" s="1"/>
  <c r="T318" i="10"/>
  <c r="AH314" i="10"/>
  <c r="H330" i="10"/>
  <c r="G330" i="10"/>
  <c r="F330" i="10"/>
  <c r="E330" i="10"/>
  <c r="W312" i="10"/>
  <c r="AB312" i="10" s="1"/>
  <c r="AE312" i="10" s="1"/>
  <c r="AF316" i="10" s="1"/>
  <c r="S313" i="10"/>
  <c r="AB311" i="10"/>
  <c r="AE311" i="10" s="1"/>
  <c r="AF315" i="10" s="1"/>
  <c r="AG315" i="10" s="1"/>
  <c r="Z312" i="10" l="1"/>
  <c r="Y323" i="10"/>
  <c r="AD323" i="10" s="1"/>
  <c r="U324" i="10"/>
  <c r="J335" i="10"/>
  <c r="L335" i="10"/>
  <c r="D333" i="10"/>
  <c r="C333" i="10" s="1"/>
  <c r="V314" i="10"/>
  <c r="R315" i="10"/>
  <c r="AA314" i="10"/>
  <c r="I335" i="10"/>
  <c r="X318" i="10"/>
  <c r="AC318" i="10" s="1"/>
  <c r="T319" i="10"/>
  <c r="I336" i="10"/>
  <c r="AH315" i="10"/>
  <c r="AG316" i="10"/>
  <c r="K336" i="10"/>
  <c r="L336" i="10"/>
  <c r="K335" i="10"/>
  <c r="W313" i="10"/>
  <c r="AB313" i="10" s="1"/>
  <c r="AE313" i="10" s="1"/>
  <c r="AF317" i="10" s="1"/>
  <c r="S314" i="10"/>
  <c r="C332" i="10"/>
  <c r="J336" i="10"/>
  <c r="AI299" i="10" l="1"/>
  <c r="Z313" i="10"/>
  <c r="H333" i="10"/>
  <c r="G333" i="10"/>
  <c r="F333" i="10"/>
  <c r="E333" i="10"/>
  <c r="R316" i="10"/>
  <c r="AA315" i="10"/>
  <c r="V315" i="10"/>
  <c r="AG317" i="10"/>
  <c r="AH316" i="10"/>
  <c r="AI300" i="10" s="1"/>
  <c r="D334" i="10"/>
  <c r="C334" i="10" s="1"/>
  <c r="W314" i="10"/>
  <c r="AB314" i="10" s="1"/>
  <c r="AE314" i="10" s="1"/>
  <c r="AF318" i="10" s="1"/>
  <c r="S315" i="10"/>
  <c r="X319" i="10"/>
  <c r="AC319" i="10" s="1"/>
  <c r="T320" i="10"/>
  <c r="P325" i="10"/>
  <c r="U325" i="10" s="1"/>
  <c r="Y324" i="10"/>
  <c r="AD324" i="10" s="1"/>
  <c r="E332" i="10"/>
  <c r="F332" i="10"/>
  <c r="H332" i="10"/>
  <c r="G332" i="10"/>
  <c r="Z314" i="10" l="1"/>
  <c r="G334" i="10"/>
  <c r="H334" i="10"/>
  <c r="F334" i="10"/>
  <c r="E334" i="10"/>
  <c r="I337" i="10"/>
  <c r="AG318" i="10"/>
  <c r="AH317" i="10"/>
  <c r="J337" i="10"/>
  <c r="AA316" i="10"/>
  <c r="R317" i="10"/>
  <c r="V316" i="10"/>
  <c r="D335" i="10"/>
  <c r="C335" i="10" s="1"/>
  <c r="P337" i="10"/>
  <c r="P339" i="10"/>
  <c r="P327" i="10"/>
  <c r="P338" i="10"/>
  <c r="P326" i="10"/>
  <c r="U326" i="10" s="1"/>
  <c r="P335" i="10"/>
  <c r="P334" i="10"/>
  <c r="P330" i="10"/>
  <c r="P329" i="10"/>
  <c r="P328" i="10"/>
  <c r="P336" i="10"/>
  <c r="P333" i="10"/>
  <c r="P331" i="10"/>
  <c r="P332" i="10"/>
  <c r="G25" i="10"/>
  <c r="X320" i="10"/>
  <c r="AC320" i="10" s="1"/>
  <c r="T321" i="10"/>
  <c r="I338" i="10"/>
  <c r="J338" i="10"/>
  <c r="L337" i="10"/>
  <c r="W315" i="10"/>
  <c r="AB315" i="10" s="1"/>
  <c r="AE315" i="10" s="1"/>
  <c r="AF319" i="10" s="1"/>
  <c r="S316" i="10"/>
  <c r="K338" i="10"/>
  <c r="Y325" i="10"/>
  <c r="AD325" i="10" s="1"/>
  <c r="K337" i="10"/>
  <c r="L338" i="10"/>
  <c r="AI301" i="10" l="1"/>
  <c r="AI302" i="10"/>
  <c r="Z315" i="10"/>
  <c r="U327" i="10"/>
  <c r="Y326" i="10"/>
  <c r="AD326" i="10" s="1"/>
  <c r="AG319" i="10"/>
  <c r="AH318" i="10"/>
  <c r="F335" i="10"/>
  <c r="H335" i="10"/>
  <c r="G335" i="10"/>
  <c r="E335" i="10"/>
  <c r="I339" i="10"/>
  <c r="T322" i="10"/>
  <c r="X321" i="10"/>
  <c r="AC321" i="10" s="1"/>
  <c r="D336" i="10"/>
  <c r="J339" i="10"/>
  <c r="L339" i="10"/>
  <c r="W316" i="10"/>
  <c r="AB316" i="10" s="1"/>
  <c r="AE316" i="10" s="1"/>
  <c r="AF320" i="10" s="1"/>
  <c r="S317" i="10"/>
  <c r="AA317" i="10"/>
  <c r="V317" i="10"/>
  <c r="R318" i="10"/>
  <c r="K339" i="10"/>
  <c r="AI303" i="10" l="1"/>
  <c r="AI304" i="10"/>
  <c r="AI305" i="10"/>
  <c r="AI306" i="10"/>
  <c r="AI307" i="10"/>
  <c r="Z316" i="10"/>
  <c r="D337" i="10"/>
  <c r="C337" i="10" s="1"/>
  <c r="AG320" i="10"/>
  <c r="AH319" i="10"/>
  <c r="W317" i="10"/>
  <c r="AB317" i="10" s="1"/>
  <c r="AE317" i="10" s="1"/>
  <c r="AF321" i="10" s="1"/>
  <c r="S318" i="10"/>
  <c r="C336" i="10"/>
  <c r="R319" i="10"/>
  <c r="AA318" i="10"/>
  <c r="V318" i="10"/>
  <c r="T323" i="10"/>
  <c r="X322" i="10"/>
  <c r="AC322" i="10" s="1"/>
  <c r="Y327" i="10"/>
  <c r="AD327" i="10" s="1"/>
  <c r="U328" i="10"/>
  <c r="AI308" i="10" l="1"/>
  <c r="AI309" i="10"/>
  <c r="J23" i="10" s="1"/>
  <c r="Z317" i="10"/>
  <c r="V319" i="10"/>
  <c r="R320" i="10"/>
  <c r="AA319" i="10"/>
  <c r="E336" i="10"/>
  <c r="H336" i="10"/>
  <c r="G336" i="10"/>
  <c r="F336" i="10"/>
  <c r="W318" i="10"/>
  <c r="AB318" i="10" s="1"/>
  <c r="AE318" i="10" s="1"/>
  <c r="AF322" i="10" s="1"/>
  <c r="S319" i="10"/>
  <c r="AH320" i="10"/>
  <c r="AG321" i="10"/>
  <c r="Y328" i="10"/>
  <c r="AD328" i="10" s="1"/>
  <c r="U329" i="10"/>
  <c r="H337" i="10"/>
  <c r="G337" i="10"/>
  <c r="F337" i="10"/>
  <c r="E337" i="10"/>
  <c r="D338" i="10"/>
  <c r="C338" i="10" s="1"/>
  <c r="T324" i="10"/>
  <c r="X323" i="10"/>
  <c r="AC323" i="10" s="1"/>
  <c r="Z318" i="10" l="1"/>
  <c r="G338" i="10"/>
  <c r="F338" i="10"/>
  <c r="E338" i="10"/>
  <c r="H338" i="10"/>
  <c r="O325" i="10"/>
  <c r="T325" i="10" s="1"/>
  <c r="X324" i="10"/>
  <c r="AC324" i="10" s="1"/>
  <c r="W319" i="10"/>
  <c r="AB319" i="10" s="1"/>
  <c r="AE319" i="10" s="1"/>
  <c r="AF323" i="10" s="1"/>
  <c r="S320" i="10"/>
  <c r="AG322" i="10"/>
  <c r="AH321" i="10"/>
  <c r="D339" i="10"/>
  <c r="C339" i="10" s="1"/>
  <c r="Y329" i="10"/>
  <c r="AD329" i="10" s="1"/>
  <c r="U330" i="10"/>
  <c r="V320" i="10"/>
  <c r="AA320" i="10"/>
  <c r="R321" i="10"/>
  <c r="Z319" i="10" l="1"/>
  <c r="X325" i="10"/>
  <c r="AC325" i="10" s="1"/>
  <c r="W320" i="10"/>
  <c r="AB320" i="10" s="1"/>
  <c r="AE320" i="10" s="1"/>
  <c r="AF324" i="10" s="1"/>
  <c r="S321" i="10"/>
  <c r="Y330" i="10"/>
  <c r="AD330" i="10" s="1"/>
  <c r="U331" i="10"/>
  <c r="O338" i="10"/>
  <c r="O326" i="10"/>
  <c r="T326" i="10" s="1"/>
  <c r="O328" i="10"/>
  <c r="O339" i="10"/>
  <c r="O327" i="10"/>
  <c r="O329" i="10"/>
  <c r="O336" i="10"/>
  <c r="O334" i="10"/>
  <c r="O333" i="10"/>
  <c r="O330" i="10"/>
  <c r="O337" i="10"/>
  <c r="O335" i="10"/>
  <c r="O331" i="10"/>
  <c r="O332" i="10"/>
  <c r="F25" i="10"/>
  <c r="V321" i="10"/>
  <c r="AA321" i="10"/>
  <c r="R322" i="10"/>
  <c r="AG323" i="10"/>
  <c r="AH322" i="10"/>
  <c r="G339" i="10"/>
  <c r="F339" i="10"/>
  <c r="E339" i="10"/>
  <c r="H339" i="10"/>
  <c r="AI310" i="10" l="1"/>
  <c r="AI311" i="10"/>
  <c r="Z320" i="10"/>
  <c r="T327" i="10"/>
  <c r="X326" i="10"/>
  <c r="AC326" i="10" s="1"/>
  <c r="U332" i="10"/>
  <c r="Y331" i="10"/>
  <c r="AD331" i="10" s="1"/>
  <c r="W321" i="10"/>
  <c r="AB321" i="10" s="1"/>
  <c r="AE321" i="10" s="1"/>
  <c r="AF325" i="10" s="1"/>
  <c r="S322" i="10"/>
  <c r="AH323" i="10"/>
  <c r="AG324" i="10"/>
  <c r="R323" i="10"/>
  <c r="V322" i="10"/>
  <c r="AA322" i="10"/>
  <c r="AI312" i="10" l="1"/>
  <c r="AI313" i="10"/>
  <c r="AI314" i="10"/>
  <c r="Z321" i="10"/>
  <c r="W322" i="10"/>
  <c r="AB322" i="10" s="1"/>
  <c r="AE322" i="10" s="1"/>
  <c r="AF326" i="10" s="1"/>
  <c r="S323" i="10"/>
  <c r="AH324" i="10"/>
  <c r="AG325" i="10"/>
  <c r="U333" i="10"/>
  <c r="Y332" i="10"/>
  <c r="AD332" i="10" s="1"/>
  <c r="R324" i="10"/>
  <c r="V323" i="10"/>
  <c r="AA323" i="10"/>
  <c r="T328" i="10"/>
  <c r="X327" i="10"/>
  <c r="AC327" i="10" s="1"/>
  <c r="AI315" i="10" l="1"/>
  <c r="AI316" i="10"/>
  <c r="Z322" i="10"/>
  <c r="X328" i="10"/>
  <c r="AC328" i="10" s="1"/>
  <c r="T329" i="10"/>
  <c r="AA324" i="10"/>
  <c r="M325" i="10"/>
  <c r="V324" i="10"/>
  <c r="W323" i="10"/>
  <c r="AB323" i="10" s="1"/>
  <c r="AE323" i="10" s="1"/>
  <c r="AF327" i="10" s="1"/>
  <c r="S324" i="10"/>
  <c r="U334" i="10"/>
  <c r="Y333" i="10"/>
  <c r="AD333" i="10" s="1"/>
  <c r="AG326" i="10"/>
  <c r="AH325" i="10"/>
  <c r="AI317" i="10" l="1"/>
  <c r="AI318" i="10"/>
  <c r="Z323" i="10"/>
  <c r="M326" i="10"/>
  <c r="D25" i="10"/>
  <c r="N325" i="10"/>
  <c r="Q325" i="10" s="1"/>
  <c r="R325" i="10"/>
  <c r="X329" i="10"/>
  <c r="AC329" i="10" s="1"/>
  <c r="T330" i="10"/>
  <c r="W324" i="10"/>
  <c r="AB324" i="10" s="1"/>
  <c r="AE324" i="10" s="1"/>
  <c r="AF328" i="10" s="1"/>
  <c r="U335" i="10"/>
  <c r="Y334" i="10"/>
  <c r="AD334" i="10" s="1"/>
  <c r="AH326" i="10"/>
  <c r="AG327" i="10"/>
  <c r="AI319" i="10" l="1"/>
  <c r="AI320" i="10"/>
  <c r="Z324" i="10"/>
  <c r="S325" i="10"/>
  <c r="U336" i="10"/>
  <c r="Y335" i="10"/>
  <c r="AD335" i="10" s="1"/>
  <c r="X330" i="10"/>
  <c r="AC330" i="10" s="1"/>
  <c r="T331" i="10"/>
  <c r="R326" i="10"/>
  <c r="V325" i="10"/>
  <c r="AA325" i="10"/>
  <c r="N339" i="10"/>
  <c r="N327" i="10"/>
  <c r="N335" i="10"/>
  <c r="N329" i="10"/>
  <c r="N328" i="10"/>
  <c r="N326" i="10"/>
  <c r="Q326" i="10" s="1"/>
  <c r="N332" i="10"/>
  <c r="N330" i="10"/>
  <c r="N337" i="10"/>
  <c r="N336" i="10"/>
  <c r="N338" i="10"/>
  <c r="N333" i="10"/>
  <c r="N331" i="10"/>
  <c r="N334" i="10"/>
  <c r="E25" i="10"/>
  <c r="AH327" i="10"/>
  <c r="AI322" i="10" s="1"/>
  <c r="AG328" i="10"/>
  <c r="M327" i="10"/>
  <c r="AI321" i="10" l="1"/>
  <c r="I24" i="10"/>
  <c r="S326" i="10"/>
  <c r="W326" i="10" s="1"/>
  <c r="AB326" i="10" s="1"/>
  <c r="W325" i="10"/>
  <c r="AB325" i="10" s="1"/>
  <c r="AE325" i="10" s="1"/>
  <c r="AF329" i="10" s="1"/>
  <c r="AG329" i="10" s="1"/>
  <c r="R327" i="10"/>
  <c r="AA326" i="10"/>
  <c r="V326" i="10"/>
  <c r="X331" i="10"/>
  <c r="AC331" i="10" s="1"/>
  <c r="T332" i="10"/>
  <c r="M328" i="10"/>
  <c r="Q327" i="10"/>
  <c r="AH328" i="10"/>
  <c r="AI323" i="10" s="1"/>
  <c r="Y336" i="10"/>
  <c r="AD336" i="10" s="1"/>
  <c r="U337" i="10"/>
  <c r="Z326" i="10" l="1"/>
  <c r="Z325" i="10"/>
  <c r="S327" i="10"/>
  <c r="W327" i="10" s="1"/>
  <c r="AB327" i="10" s="1"/>
  <c r="AH329" i="10"/>
  <c r="AI324" i="10" s="1"/>
  <c r="J24" i="10" s="1"/>
  <c r="T333" i="10"/>
  <c r="X332" i="10"/>
  <c r="AC332" i="10" s="1"/>
  <c r="AE326" i="10"/>
  <c r="AF330" i="10" s="1"/>
  <c r="AG330" i="10" s="1"/>
  <c r="Y337" i="10"/>
  <c r="AD337" i="10" s="1"/>
  <c r="U338" i="10"/>
  <c r="AA327" i="10"/>
  <c r="V327" i="10"/>
  <c r="R328" i="10"/>
  <c r="M329" i="10"/>
  <c r="Q328" i="10"/>
  <c r="Z327" i="10" l="1"/>
  <c r="S328" i="10"/>
  <c r="S329" i="10" s="1"/>
  <c r="AH330" i="10"/>
  <c r="AI325" i="10" s="1"/>
  <c r="AA328" i="10"/>
  <c r="V328" i="10"/>
  <c r="R329" i="10"/>
  <c r="T334" i="10"/>
  <c r="X333" i="10"/>
  <c r="AC333" i="10" s="1"/>
  <c r="U339" i="10"/>
  <c r="Y338" i="10"/>
  <c r="AD338" i="10" s="1"/>
  <c r="M330" i="10"/>
  <c r="Q329" i="10"/>
  <c r="AE327" i="10"/>
  <c r="AF331" i="10" s="1"/>
  <c r="AG331" i="10" s="1"/>
  <c r="W328" i="10" l="1"/>
  <c r="AB328" i="10" s="1"/>
  <c r="AE328" i="10" s="1"/>
  <c r="AF332" i="10" s="1"/>
  <c r="AG332" i="10" s="1"/>
  <c r="T335" i="10"/>
  <c r="X334" i="10"/>
  <c r="AC334" i="10" s="1"/>
  <c r="M331" i="10"/>
  <c r="Q330" i="10"/>
  <c r="Y339" i="10"/>
  <c r="AA329" i="10"/>
  <c r="V329" i="10"/>
  <c r="R330" i="10"/>
  <c r="W329" i="10"/>
  <c r="AB329" i="10" s="1"/>
  <c r="S330" i="10"/>
  <c r="AH331" i="10"/>
  <c r="AI326" i="10" s="1"/>
  <c r="Z329" i="10" l="1"/>
  <c r="Z328" i="10"/>
  <c r="AH332" i="10"/>
  <c r="AI327" i="10" s="1"/>
  <c r="AD339" i="10"/>
  <c r="AA330" i="10"/>
  <c r="R331" i="10"/>
  <c r="V330" i="10"/>
  <c r="W330" i="10"/>
  <c r="AB330" i="10" s="1"/>
  <c r="S331" i="10"/>
  <c r="AE329" i="10"/>
  <c r="AF333" i="10" s="1"/>
  <c r="AG333" i="10" s="1"/>
  <c r="M332" i="10"/>
  <c r="Q331" i="10"/>
  <c r="T336" i="10"/>
  <c r="X335" i="10"/>
  <c r="AC335" i="10" s="1"/>
  <c r="Z330" i="10" l="1"/>
  <c r="AH333" i="10"/>
  <c r="AI328" i="10" s="1"/>
  <c r="M333" i="10"/>
  <c r="Q332" i="10"/>
  <c r="W331" i="10"/>
  <c r="AB331" i="10" s="1"/>
  <c r="S332" i="10"/>
  <c r="AE330" i="10"/>
  <c r="AF334" i="10" s="1"/>
  <c r="AG334" i="10" s="1"/>
  <c r="V331" i="10"/>
  <c r="AA331" i="10"/>
  <c r="R332" i="10"/>
  <c r="X336" i="10"/>
  <c r="AC336" i="10" s="1"/>
  <c r="T337" i="10"/>
  <c r="Z331" i="10" l="1"/>
  <c r="AE331" i="10"/>
  <c r="AF335" i="10" s="1"/>
  <c r="AG335" i="10" s="1"/>
  <c r="AH334" i="10"/>
  <c r="AI329" i="10" s="1"/>
  <c r="V332" i="10"/>
  <c r="R333" i="10"/>
  <c r="AA332" i="10"/>
  <c r="X337" i="10"/>
  <c r="AC337" i="10" s="1"/>
  <c r="T338" i="10"/>
  <c r="W332" i="10"/>
  <c r="AB332" i="10" s="1"/>
  <c r="S333" i="10"/>
  <c r="Q333" i="10"/>
  <c r="M334" i="10"/>
  <c r="Z332" i="10" l="1"/>
  <c r="W333" i="10"/>
  <c r="AB333" i="10" s="1"/>
  <c r="S334" i="10"/>
  <c r="T339" i="10"/>
  <c r="X339" i="10" s="1"/>
  <c r="AC339" i="10" s="1"/>
  <c r="X338" i="10"/>
  <c r="AC338" i="10" s="1"/>
  <c r="AE332" i="10"/>
  <c r="AF336" i="10" s="1"/>
  <c r="AG336" i="10" s="1"/>
  <c r="V333" i="10"/>
  <c r="AA333" i="10"/>
  <c r="R334" i="10"/>
  <c r="M335" i="10"/>
  <c r="Q334" i="10"/>
  <c r="AH335" i="10"/>
  <c r="AI330" i="10" s="1"/>
  <c r="Z333" i="10" l="1"/>
  <c r="AE333" i="10"/>
  <c r="AF337" i="10" s="1"/>
  <c r="AG337" i="10" s="1"/>
  <c r="R335" i="10"/>
  <c r="V334" i="10"/>
  <c r="AA334" i="10"/>
  <c r="W334" i="10"/>
  <c r="AB334" i="10" s="1"/>
  <c r="S335" i="10"/>
  <c r="AH336" i="10"/>
  <c r="AI331" i="10" s="1"/>
  <c r="M336" i="10"/>
  <c r="Q335" i="10"/>
  <c r="Z334" i="10" l="1"/>
  <c r="AH337" i="10"/>
  <c r="AI332" i="10" s="1"/>
  <c r="AE334" i="10"/>
  <c r="AF338" i="10" s="1"/>
  <c r="AG338" i="10" s="1"/>
  <c r="Q336" i="10"/>
  <c r="M337" i="10"/>
  <c r="W335" i="10"/>
  <c r="AB335" i="10" s="1"/>
  <c r="S336" i="10"/>
  <c r="AA335" i="10"/>
  <c r="V335" i="10"/>
  <c r="R336" i="10"/>
  <c r="Z335" i="10" l="1"/>
  <c r="AI335" i="10" s="1"/>
  <c r="AE335" i="10"/>
  <c r="AF339" i="10" s="1"/>
  <c r="AG339" i="10" s="1"/>
  <c r="AH339" i="10" s="1"/>
  <c r="AI334" i="10" s="1"/>
  <c r="AH338" i="10"/>
  <c r="AI333" i="10" s="1"/>
  <c r="R337" i="10"/>
  <c r="AA336" i="10"/>
  <c r="V336" i="10"/>
  <c r="W336" i="10"/>
  <c r="AB336" i="10" s="1"/>
  <c r="S337" i="10"/>
  <c r="Q337" i="10"/>
  <c r="M338" i="10"/>
  <c r="Z336" i="10" l="1"/>
  <c r="AI336" i="10" s="1"/>
  <c r="AE336" i="10"/>
  <c r="Q338" i="10"/>
  <c r="M339" i="10"/>
  <c r="Q339" i="10" s="1"/>
  <c r="W337" i="10"/>
  <c r="AB337" i="10" s="1"/>
  <c r="S338" i="10"/>
  <c r="R338" i="10"/>
  <c r="V337" i="10"/>
  <c r="AA337" i="10"/>
  <c r="Z337" i="10" l="1"/>
  <c r="AI337" i="10" s="1"/>
  <c r="AE337" i="10"/>
  <c r="V338" i="10"/>
  <c r="R339" i="10"/>
  <c r="AA338" i="10"/>
  <c r="W338" i="10"/>
  <c r="AB338" i="10" s="1"/>
  <c r="S339" i="10"/>
  <c r="W339" i="10" s="1"/>
  <c r="AB339" i="10" s="1"/>
  <c r="Z338" i="10" l="1"/>
  <c r="AI338" i="10" s="1"/>
  <c r="AA339" i="10"/>
  <c r="AE339" i="10" s="1"/>
  <c r="V339" i="10"/>
  <c r="Z339" i="10" s="1"/>
  <c r="M15" i="10" s="1"/>
  <c r="AE338" i="10"/>
  <c r="AI339" i="10" l="1"/>
  <c r="M11" i="10"/>
  <c r="I25" i="10"/>
  <c r="M6" i="10"/>
  <c r="M8" i="10" s="1"/>
  <c r="M13" i="10" l="1"/>
  <c r="J2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1E293C-C459-40A4-9D11-770ED1B17D1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2" xr16:uid="{4868B553-78E6-4692-86EF-2B2F98A6CC02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  <connection id="3" xr16:uid="{5F666E55-65B6-4B46-A766-E4C47578B3F3}" keepAlive="1" name="Query - Table2 (3)" description="Connection to the 'Table2 (3)' query in the workbook." type="5" refreshedVersion="8" background="1" saveData="1">
    <dbPr connection="Provider=Microsoft.Mashup.OleDb.1;Data Source=$Workbook$;Location=&quot;Table2 (3)&quot;;Extended Properties=&quot;&quot;" command="SELECT * FROM [Table2 (3)]"/>
  </connection>
</connections>
</file>

<file path=xl/sharedStrings.xml><?xml version="1.0" encoding="utf-8"?>
<sst xmlns="http://schemas.openxmlformats.org/spreadsheetml/2006/main" count="2374" uniqueCount="217">
  <si>
    <t>13:00-13:15</t>
  </si>
  <si>
    <t>Probability of Each Passenger Type in FIS</t>
  </si>
  <si>
    <t>US Citizen</t>
  </si>
  <si>
    <t>Non-US Citizen</t>
  </si>
  <si>
    <t>MPC</t>
  </si>
  <si>
    <t>Global Entry</t>
  </si>
  <si>
    <t>Non-Citizen</t>
  </si>
  <si>
    <t>MAD</t>
  </si>
  <si>
    <t>C1</t>
  </si>
  <si>
    <t>LHR</t>
  </si>
  <si>
    <t>C8</t>
  </si>
  <si>
    <t>BCN</t>
  </si>
  <si>
    <t>C5</t>
  </si>
  <si>
    <t>BRU</t>
  </si>
  <si>
    <t>C4</t>
  </si>
  <si>
    <t>FCO</t>
  </si>
  <si>
    <t>C12</t>
  </si>
  <si>
    <t>AMS</t>
  </si>
  <si>
    <t>C6</t>
  </si>
  <si>
    <t>MEX</t>
  </si>
  <si>
    <t>C9</t>
  </si>
  <si>
    <t>GVA</t>
  </si>
  <si>
    <t>C3</t>
  </si>
  <si>
    <t>CDG</t>
  </si>
  <si>
    <t>C2</t>
  </si>
  <si>
    <t>LIS</t>
  </si>
  <si>
    <t>ATH</t>
  </si>
  <si>
    <t>CUN</t>
  </si>
  <si>
    <t>C11</t>
  </si>
  <si>
    <t>EDI</t>
  </si>
  <si>
    <t>C7</t>
  </si>
  <si>
    <t>ZRH</t>
  </si>
  <si>
    <t>BER</t>
  </si>
  <si>
    <t>PUJ</t>
  </si>
  <si>
    <t>MUC</t>
  </si>
  <si>
    <t>FRA</t>
  </si>
  <si>
    <t>HND</t>
  </si>
  <si>
    <t>AUA</t>
  </si>
  <si>
    <t>D6</t>
  </si>
  <si>
    <t>C Gates</t>
  </si>
  <si>
    <t>Flight</t>
  </si>
  <si>
    <t>Origin</t>
  </si>
  <si>
    <t>ETA</t>
  </si>
  <si>
    <t>Gate</t>
  </si>
  <si>
    <t>IAB PAX</t>
  </si>
  <si>
    <t>IAB BAGS</t>
  </si>
  <si>
    <t>FIS PAX</t>
  </si>
  <si>
    <t>FIS BAGS</t>
  </si>
  <si>
    <t>TK187</t>
  </si>
  <si>
    <t>NO INFO</t>
  </si>
  <si>
    <t>LH416</t>
  </si>
  <si>
    <t>SN515</t>
  </si>
  <si>
    <t>TP231</t>
  </si>
  <si>
    <t>OS93</t>
  </si>
  <si>
    <t>SK925</t>
  </si>
  <si>
    <t>LH418</t>
  </si>
  <si>
    <t>TK7</t>
  </si>
  <si>
    <t>PRECLEAR</t>
  </si>
  <si>
    <t>76L</t>
  </si>
  <si>
    <t>37K</t>
  </si>
  <si>
    <t>77U</t>
  </si>
  <si>
    <t>78H</t>
  </si>
  <si>
    <t>77X</t>
  </si>
  <si>
    <t>73G</t>
  </si>
  <si>
    <t>Average:</t>
  </si>
  <si>
    <t>Bag Retrieval Times</t>
  </si>
  <si>
    <t>Start</t>
  </si>
  <si>
    <t>End</t>
  </si>
  <si>
    <t>Difference</t>
  </si>
  <si>
    <t>min</t>
  </si>
  <si>
    <t>Airport</t>
  </si>
  <si>
    <t>Checkpoint</t>
  </si>
  <si>
    <t>CP Name</t>
  </si>
  <si>
    <t>Date</t>
  </si>
  <si>
    <t>Hour of Day</t>
  </si>
  <si>
    <t>Total Customer Throughput</t>
  </si>
  <si>
    <t>Non-PreCheck Throughput</t>
  </si>
  <si>
    <t>PreCheck Throughput</t>
  </si>
  <si>
    <t>Standard Wait Time</t>
  </si>
  <si>
    <t>PreCheck Wait Time</t>
  </si>
  <si>
    <t>IAD</t>
  </si>
  <si>
    <t>Terminal FIS</t>
  </si>
  <si>
    <t>FIS Checkpoint</t>
  </si>
  <si>
    <t>Min/Pax</t>
  </si>
  <si>
    <t>Average Baggage Retrieval Time (min)</t>
  </si>
  <si>
    <t>A Gates</t>
  </si>
  <si>
    <t>Z Gates</t>
  </si>
  <si>
    <t>D Gates</t>
  </si>
  <si>
    <t>TSA Processing Time (min/pax)</t>
  </si>
  <si>
    <t>Time</t>
  </si>
  <si>
    <t># of Pax</t>
  </si>
  <si>
    <t># Pax Arriving to FIS at time T by Pax Type</t>
  </si>
  <si>
    <t># of CBP Officers at time T</t>
  </si>
  <si>
    <t>Queue Length in FIS at time T</t>
  </si>
  <si>
    <t>Total</t>
  </si>
  <si>
    <t>Wait time in FIS from back of line at time T</t>
  </si>
  <si>
    <t>13:16-13:30</t>
  </si>
  <si>
    <t>13:31-13:45</t>
  </si>
  <si>
    <t>13:46-14:00</t>
  </si>
  <si>
    <t>14:01-14:15</t>
  </si>
  <si>
    <t>14:16-14:30</t>
  </si>
  <si>
    <t>14:31-14:45</t>
  </si>
  <si>
    <t>14:46-15:00</t>
  </si>
  <si>
    <t>15:01-15:15</t>
  </si>
  <si>
    <t>15:16-15:30</t>
  </si>
  <si>
    <t>15:31-15:45</t>
  </si>
  <si>
    <t>15:46-16:00</t>
  </si>
  <si>
    <t>16:01-16:15</t>
  </si>
  <si>
    <t>16:16-16:30</t>
  </si>
  <si>
    <t>16:31-16:45</t>
  </si>
  <si>
    <t>16:46-17:00</t>
  </si>
  <si>
    <t>17:01-17:15</t>
  </si>
  <si>
    <t>17:16-17:30</t>
  </si>
  <si>
    <t>17:31-17:45</t>
  </si>
  <si>
    <t>17:46-18:00</t>
  </si>
  <si>
    <t>TSA Service Rate (pax/min)</t>
  </si>
  <si>
    <t># of Pax Processed through CBP at Time T</t>
  </si>
  <si>
    <t># of Pax Arriving to TSA</t>
  </si>
  <si>
    <t>Queue Length in TSA</t>
  </si>
  <si>
    <t>Min/Pax for fastest 100 sample</t>
  </si>
  <si>
    <t>Min/Pax for fastest 150 sample</t>
  </si>
  <si>
    <t>Min/Pax for fastest 50 sample</t>
  </si>
  <si>
    <t>Min/Pax for fastest 200 sample</t>
  </si>
  <si>
    <t>Min/Pax for fastest 175 sample</t>
  </si>
  <si>
    <t>Min/Pax for fastest 160 sample</t>
  </si>
  <si>
    <t>Wait Time in TSA (min)</t>
  </si>
  <si>
    <t>Average</t>
  </si>
  <si>
    <t>US</t>
  </si>
  <si>
    <t>Non US</t>
  </si>
  <si>
    <t>GE</t>
  </si>
  <si>
    <t>Max</t>
  </si>
  <si>
    <t>Pax Capacity</t>
  </si>
  <si>
    <t>pax/min</t>
  </si>
  <si>
    <t>Average Deplaning Rate (pax/min)</t>
  </si>
  <si>
    <t># of Pax Remaining on Airplane</t>
  </si>
  <si>
    <t>Deplaning Process</t>
  </si>
  <si>
    <t># Pax Exiting Airplane at time T by Pax Type</t>
  </si>
  <si>
    <t>CBP Officer Productivity Factor</t>
  </si>
  <si>
    <t>Max CBP Wait Time (minutes)</t>
  </si>
  <si>
    <t># of Pax Exiting Airplane at time T</t>
  </si>
  <si>
    <t>RESULTS</t>
  </si>
  <si>
    <t>INPUTS</t>
  </si>
  <si>
    <t>FORMULAS</t>
  </si>
  <si>
    <t># Arriving Pax</t>
  </si>
  <si>
    <t>Customs Processing</t>
  </si>
  <si>
    <t>Throughput (pax/min)</t>
  </si>
  <si>
    <t>Processing time (minutes/pax)</t>
  </si>
  <si>
    <t>Arriving Pax</t>
  </si>
  <si>
    <t>Fleet Type</t>
  </si>
  <si>
    <t>Deplaning Time</t>
  </si>
  <si>
    <t>Pax Capacity*Seat Factor</t>
  </si>
  <si>
    <t>Deplaning Time Converted</t>
  </si>
  <si>
    <t>Pax/Min</t>
  </si>
  <si>
    <t>Seat factor</t>
  </si>
  <si>
    <t>Deplaning Data</t>
  </si>
  <si>
    <t>A5/A6</t>
  </si>
  <si>
    <t>A3/A4</t>
  </si>
  <si>
    <t>A1/A2</t>
  </si>
  <si>
    <t>C1/2</t>
  </si>
  <si>
    <t>C3/4</t>
  </si>
  <si>
    <t>C5/6</t>
  </si>
  <si>
    <t>C9/11</t>
  </si>
  <si>
    <t>C12/14</t>
  </si>
  <si>
    <t>C17-20</t>
  </si>
  <si>
    <t>C22</t>
  </si>
  <si>
    <t>C23-26</t>
  </si>
  <si>
    <t>C27/28</t>
  </si>
  <si>
    <t>Z9/10</t>
  </si>
  <si>
    <t>Z7</t>
  </si>
  <si>
    <t>Z5/6</t>
  </si>
  <si>
    <t>Walking Times from TSA to Departing Gates</t>
  </si>
  <si>
    <t>Time Stamp</t>
  </si>
  <si>
    <t>Minutes</t>
  </si>
  <si>
    <t>Averages</t>
  </si>
  <si>
    <t>TSA to Departing Gate (min)</t>
  </si>
  <si>
    <t>Walking time from Gate to FIS (min)</t>
  </si>
  <si>
    <t>Change cells highlighted in blue to reflect current day arrivals and remove any asterisks.</t>
  </si>
  <si>
    <t>Passenger Count</t>
  </si>
  <si>
    <t>CBP Officer Calculations</t>
  </si>
  <si>
    <t># Optimal CBP Officers</t>
  </si>
  <si>
    <t>Time of Day</t>
  </si>
  <si>
    <t>*Change Max to match maximum number of available officers at each time of day</t>
  </si>
  <si>
    <t>Total Maximum Cycle Time (minutes)</t>
  </si>
  <si>
    <t>Average Total Cycle Time</t>
  </si>
  <si>
    <t>Optimization Model (Solver constraints)</t>
  </si>
  <si>
    <t># Pax Arriving to IAB at time T by Pax Type</t>
  </si>
  <si>
    <t>Probability of Each Passenger Type in IAB</t>
  </si>
  <si>
    <t>Walking time from Gate to IAB (min)</t>
  </si>
  <si>
    <t>Queue Length in IAB at time T</t>
  </si>
  <si>
    <t>Wait time in IAB from back of line at time T</t>
  </si>
  <si>
    <t>FIS OPTIMIZATION MODEL</t>
  </si>
  <si>
    <t>IAB OPTIMIZATION MODEL</t>
  </si>
  <si>
    <t>D1</t>
  </si>
  <si>
    <t>D2/3</t>
  </si>
  <si>
    <t>D4</t>
  </si>
  <si>
    <t>D5/6</t>
  </si>
  <si>
    <t>D7-10</t>
  </si>
  <si>
    <t>D11/12</t>
  </si>
  <si>
    <t>D14/16</t>
  </si>
  <si>
    <t>D15/18</t>
  </si>
  <si>
    <t>D19-24</t>
  </si>
  <si>
    <t>D32</t>
  </si>
  <si>
    <t>Expected Wait Time</t>
  </si>
  <si>
    <t>All Pax</t>
  </si>
  <si>
    <t>Expected Total Cycle Time</t>
  </si>
  <si>
    <t>Expected Total Cycle Time (min) for Pax Arriving at Time T</t>
  </si>
  <si>
    <t>Expected CPB Wait Time</t>
  </si>
  <si>
    <t>Average Expected CBP Wait Time</t>
  </si>
  <si>
    <t>Average Expected Cycle Time</t>
  </si>
  <si>
    <t>Expected Wait Times</t>
  </si>
  <si>
    <t>Percent of Pax Served within Expected CBP Wait Time</t>
  </si>
  <si>
    <t>Max Permissible wait time:</t>
  </si>
  <si>
    <t>Percent of Pax with under 40 min CBP Wait Time</t>
  </si>
  <si>
    <t>Non-US</t>
  </si>
  <si>
    <t>Percent of Pax Meeting 75 Min MCT</t>
  </si>
  <si>
    <t>Min/Pax for Pax from 1500-1700</t>
  </si>
  <si>
    <t>Min/Pax for Pax from 1600-1800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</si>
</sst>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8"/>
      <color rgb="FF0B428E"/>
      <name val="Arial"/>
      <family val="2"/>
    </font>
    <font>
      <sz val="8"/>
      <color rgb="FF25396E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C09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7BEE5"/>
        <bgColor indexed="64"/>
      </patternFill>
    </fill>
    <fill>
      <patternFill patternType="solid">
        <fgColor rgb="FFD7E6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D7DF"/>
        <bgColor indexed="64"/>
      </patternFill>
    </fill>
    <fill>
      <patternFill patternType="solid">
        <fgColor rgb="FF5DBEE5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1" fillId="0" borderId="0" xfId="0" applyFont="1"/>
    <xf numFmtId="0" fontId="3" fillId="6" borderId="0" xfId="0" applyFont="1" applyFill="1" applyAlignment="1">
      <alignment horizontal="left"/>
    </xf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center"/>
    </xf>
    <xf numFmtId="0" fontId="0" fillId="0" borderId="4" xfId="0" applyBorder="1"/>
    <xf numFmtId="0" fontId="0" fillId="0" borderId="0" xfId="0" applyAlignment="1">
      <alignment wrapText="1"/>
    </xf>
    <xf numFmtId="0" fontId="0" fillId="0" borderId="5" xfId="0" applyBorder="1"/>
    <xf numFmtId="0" fontId="0" fillId="0" borderId="7" xfId="0" applyBorder="1"/>
    <xf numFmtId="2" fontId="0" fillId="0" borderId="0" xfId="0" applyNumberFormat="1"/>
    <xf numFmtId="0" fontId="5" fillId="7" borderId="13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vertical="center" wrapText="1"/>
    </xf>
    <xf numFmtId="0" fontId="5" fillId="7" borderId="13" xfId="0" applyFont="1" applyFill="1" applyBorder="1" applyAlignment="1">
      <alignment horizontal="center" wrapText="1"/>
    </xf>
    <xf numFmtId="0" fontId="5" fillId="7" borderId="14" xfId="0" applyFont="1" applyFill="1" applyBorder="1" applyAlignment="1">
      <alignment horizontal="center" wrapText="1"/>
    </xf>
    <xf numFmtId="0" fontId="6" fillId="8" borderId="15" xfId="0" applyFont="1" applyFill="1" applyBorder="1" applyAlignment="1">
      <alignment horizontal="left" vertical="center" wrapText="1"/>
    </xf>
    <xf numFmtId="14" fontId="6" fillId="8" borderId="15" xfId="0" applyNumberFormat="1" applyFont="1" applyFill="1" applyBorder="1" applyAlignment="1">
      <alignment horizontal="left" vertical="center" wrapText="1"/>
    </xf>
    <xf numFmtId="20" fontId="6" fillId="8" borderId="15" xfId="0" applyNumberFormat="1" applyFont="1" applyFill="1" applyBorder="1" applyAlignment="1">
      <alignment horizontal="left" vertical="center" wrapText="1"/>
    </xf>
    <xf numFmtId="0" fontId="7" fillId="8" borderId="15" xfId="0" applyFont="1" applyFill="1" applyBorder="1" applyAlignment="1">
      <alignment horizontal="right" vertical="center"/>
    </xf>
    <xf numFmtId="0" fontId="7" fillId="8" borderId="16" xfId="0" applyFont="1" applyFill="1" applyBorder="1" applyAlignment="1">
      <alignment horizontal="right" vertical="center"/>
    </xf>
    <xf numFmtId="3" fontId="7" fillId="8" borderId="15" xfId="0" applyNumberFormat="1" applyFont="1" applyFill="1" applyBorder="1" applyAlignment="1">
      <alignment horizontal="right" vertical="center"/>
    </xf>
    <xf numFmtId="0" fontId="5" fillId="7" borderId="17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" fontId="0" fillId="10" borderId="8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/>
    <xf numFmtId="0" fontId="8" fillId="0" borderId="15" xfId="0" applyFont="1" applyBorder="1"/>
    <xf numFmtId="0" fontId="6" fillId="8" borderId="0" xfId="0" applyFont="1" applyFill="1" applyBorder="1" applyAlignment="1">
      <alignment horizontal="left" vertical="center" wrapText="1"/>
    </xf>
    <xf numFmtId="14" fontId="6" fillId="8" borderId="0" xfId="0" applyNumberFormat="1" applyFont="1" applyFill="1" applyBorder="1" applyAlignment="1">
      <alignment horizontal="left" vertical="center" wrapText="1"/>
    </xf>
    <xf numFmtId="20" fontId="6" fillId="8" borderId="0" xfId="0" applyNumberFormat="1" applyFont="1" applyFill="1" applyBorder="1" applyAlignment="1">
      <alignment horizontal="left" vertical="center" wrapText="1"/>
    </xf>
    <xf numFmtId="0" fontId="7" fillId="8" borderId="0" xfId="0" applyFont="1" applyFill="1" applyBorder="1" applyAlignment="1">
      <alignment horizontal="right" vertical="center"/>
    </xf>
    <xf numFmtId="0" fontId="8" fillId="0" borderId="16" xfId="0" applyFont="1" applyBorder="1"/>
    <xf numFmtId="0" fontId="0" fillId="13" borderId="1" xfId="0" applyFill="1" applyBorder="1"/>
    <xf numFmtId="0" fontId="0" fillId="0" borderId="0" xfId="0" applyBorder="1"/>
    <xf numFmtId="0" fontId="0" fillId="14" borderId="0" xfId="0" applyFill="1"/>
    <xf numFmtId="0" fontId="1" fillId="0" borderId="18" xfId="0" applyFont="1" applyBorder="1" applyAlignment="1">
      <alignment wrapText="1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2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2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6" borderId="26" xfId="0" applyFill="1" applyBorder="1" applyAlignment="1">
      <alignment horizontal="center"/>
    </xf>
    <xf numFmtId="0" fontId="0" fillId="0" borderId="28" xfId="0" applyBorder="1"/>
    <xf numFmtId="0" fontId="1" fillId="0" borderId="38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5" borderId="26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1" fontId="0" fillId="10" borderId="26" xfId="0" applyNumberFormat="1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26" xfId="0" applyFill="1" applyBorder="1"/>
    <xf numFmtId="0" fontId="0" fillId="12" borderId="26" xfId="0" applyFill="1" applyBorder="1"/>
    <xf numFmtId="0" fontId="0" fillId="13" borderId="26" xfId="0" applyFill="1" applyBorder="1"/>
    <xf numFmtId="0" fontId="1" fillId="6" borderId="22" xfId="0" applyFont="1" applyFill="1" applyBorder="1"/>
    <xf numFmtId="0" fontId="1" fillId="6" borderId="0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23" xfId="0" applyFont="1" applyFill="1" applyBorder="1"/>
    <xf numFmtId="0" fontId="0" fillId="6" borderId="2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64" fontId="0" fillId="6" borderId="22" xfId="0" applyNumberFormat="1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6" xfId="0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0" xfId="0" applyFill="1" applyBorder="1" applyAlignment="1">
      <alignment horizont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9" fontId="0" fillId="6" borderId="1" xfId="0" applyNumberFormat="1" applyFill="1" applyBorder="1"/>
    <xf numFmtId="0" fontId="0" fillId="6" borderId="1" xfId="0" applyFill="1" applyBorder="1" applyAlignment="1"/>
    <xf numFmtId="0" fontId="0" fillId="6" borderId="0" xfId="0" applyFont="1" applyFill="1" applyBorder="1" applyAlignment="1"/>
    <xf numFmtId="0" fontId="0" fillId="6" borderId="1" xfId="0" applyFill="1" applyBorder="1" applyAlignment="1">
      <alignment wrapText="1"/>
    </xf>
    <xf numFmtId="0" fontId="0" fillId="6" borderId="38" xfId="0" applyFill="1" applyBorder="1"/>
    <xf numFmtId="0" fontId="0" fillId="6" borderId="39" xfId="0" applyFill="1" applyBorder="1"/>
    <xf numFmtId="9" fontId="0" fillId="6" borderId="26" xfId="0" applyNumberFormat="1" applyFill="1" applyBorder="1"/>
    <xf numFmtId="0" fontId="0" fillId="6" borderId="26" xfId="0" applyFill="1" applyBorder="1" applyAlignment="1"/>
    <xf numFmtId="0" fontId="0" fillId="6" borderId="26" xfId="0" applyFill="1" applyBorder="1" applyAlignment="1">
      <alignment vertical="center"/>
    </xf>
    <xf numFmtId="0" fontId="3" fillId="17" borderId="0" xfId="0" applyFont="1" applyFill="1"/>
    <xf numFmtId="0" fontId="0" fillId="17" borderId="0" xfId="0" applyFill="1"/>
    <xf numFmtId="0" fontId="2" fillId="17" borderId="0" xfId="0" applyFont="1" applyFill="1" applyAlignment="1">
      <alignment horizontal="center"/>
    </xf>
    <xf numFmtId="0" fontId="0" fillId="0" borderId="21" xfId="0" applyBorder="1"/>
    <xf numFmtId="0" fontId="4" fillId="0" borderId="4" xfId="0" applyFont="1" applyBorder="1" applyAlignment="1">
      <alignment vertical="center"/>
    </xf>
    <xf numFmtId="20" fontId="4" fillId="0" borderId="0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20" fontId="0" fillId="0" borderId="12" xfId="0" applyNumberFormat="1" applyBorder="1"/>
    <xf numFmtId="0" fontId="0" fillId="0" borderId="12" xfId="0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7" xfId="0" applyNumberFormat="1" applyBorder="1"/>
    <xf numFmtId="0" fontId="0" fillId="6" borderId="24" xfId="0" applyFill="1" applyBorder="1" applyAlignment="1"/>
    <xf numFmtId="0" fontId="0" fillId="6" borderId="0" xfId="0" applyFill="1"/>
    <xf numFmtId="0" fontId="9" fillId="6" borderId="0" xfId="0" applyFont="1" applyFill="1" applyBorder="1" applyAlignment="1"/>
    <xf numFmtId="0" fontId="0" fillId="6" borderId="1" xfId="0" applyFill="1" applyBorder="1" applyAlignment="1">
      <alignment horizontal="center" vertical="center"/>
    </xf>
    <xf numFmtId="0" fontId="1" fillId="6" borderId="0" xfId="0" applyFont="1" applyFill="1" applyBorder="1" applyAlignment="1"/>
    <xf numFmtId="0" fontId="1" fillId="6" borderId="23" xfId="0" applyFont="1" applyFill="1" applyBorder="1" applyAlignment="1"/>
    <xf numFmtId="2" fontId="0" fillId="6" borderId="0" xfId="0" applyNumberFormat="1" applyFill="1" applyBorder="1" applyAlignment="1">
      <alignment horizontal="center"/>
    </xf>
    <xf numFmtId="0" fontId="0" fillId="16" borderId="0" xfId="0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center"/>
    </xf>
    <xf numFmtId="0" fontId="0" fillId="6" borderId="23" xfId="0" applyFont="1" applyFill="1" applyBorder="1" applyAlignment="1"/>
    <xf numFmtId="1" fontId="0" fillId="6" borderId="23" xfId="0" applyNumberFormat="1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/>
    </xf>
    <xf numFmtId="0" fontId="0" fillId="6" borderId="22" xfId="0" applyFill="1" applyBorder="1" applyAlignment="1">
      <alignment horizontal="right"/>
    </xf>
    <xf numFmtId="164" fontId="0" fillId="6" borderId="22" xfId="0" applyNumberFormat="1" applyFill="1" applyBorder="1" applyAlignment="1">
      <alignment horizontal="right"/>
    </xf>
    <xf numFmtId="0" fontId="0" fillId="6" borderId="22" xfId="0" applyFont="1" applyFill="1" applyBorder="1" applyAlignment="1">
      <alignment horizontal="right"/>
    </xf>
    <xf numFmtId="0" fontId="0" fillId="6" borderId="25" xfId="0" applyFill="1" applyBorder="1" applyAlignment="1">
      <alignment horizontal="right"/>
    </xf>
    <xf numFmtId="0" fontId="0" fillId="16" borderId="27" xfId="0" applyFill="1" applyBorder="1"/>
    <xf numFmtId="0" fontId="1" fillId="6" borderId="22" xfId="0" applyFont="1" applyFill="1" applyBorder="1" applyAlignment="1"/>
    <xf numFmtId="0" fontId="1" fillId="0" borderId="24" xfId="0" applyFont="1" applyBorder="1"/>
    <xf numFmtId="2" fontId="0" fillId="6" borderId="23" xfId="0" applyNumberFormat="1" applyFill="1" applyBorder="1" applyAlignment="1">
      <alignment horizontal="center"/>
    </xf>
    <xf numFmtId="0" fontId="0" fillId="14" borderId="23" xfId="0" applyFill="1" applyBorder="1"/>
    <xf numFmtId="0" fontId="0" fillId="14" borderId="37" xfId="0" applyFill="1" applyBorder="1"/>
    <xf numFmtId="9" fontId="0" fillId="0" borderId="1" xfId="0" applyNumberFormat="1" applyBorder="1"/>
    <xf numFmtId="9" fontId="0" fillId="0" borderId="26" xfId="0" applyNumberFormat="1" applyBorder="1"/>
    <xf numFmtId="0" fontId="0" fillId="6" borderId="5" xfId="0" applyFill="1" applyBorder="1" applyAlignment="1">
      <alignment horizontal="center"/>
    </xf>
    <xf numFmtId="0" fontId="0" fillId="6" borderId="5" xfId="0" applyFill="1" applyBorder="1" applyAlignment="1"/>
    <xf numFmtId="0" fontId="0" fillId="6" borderId="36" xfId="0" applyFill="1" applyBorder="1" applyAlignment="1"/>
    <xf numFmtId="0" fontId="0" fillId="6" borderId="3" xfId="0" applyFill="1" applyBorder="1" applyAlignment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9" fillId="10" borderId="32" xfId="0" applyFont="1" applyFill="1" applyBorder="1" applyAlignment="1">
      <alignment horizontal="center"/>
    </xf>
    <xf numFmtId="0" fontId="9" fillId="10" borderId="33" xfId="0" applyFont="1" applyFill="1" applyBorder="1" applyAlignment="1">
      <alignment horizontal="center"/>
    </xf>
    <xf numFmtId="0" fontId="9" fillId="10" borderId="34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26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10" fillId="18" borderId="32" xfId="0" applyFont="1" applyFill="1" applyBorder="1" applyAlignment="1">
      <alignment horizontal="center"/>
    </xf>
    <xf numFmtId="0" fontId="0" fillId="18" borderId="33" xfId="0" applyFill="1" applyBorder="1" applyAlignment="1">
      <alignment horizontal="center"/>
    </xf>
    <xf numFmtId="0" fontId="0" fillId="18" borderId="3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0" fillId="18" borderId="33" xfId="0" applyFont="1" applyFill="1" applyBorder="1" applyAlignment="1">
      <alignment horizontal="center"/>
    </xf>
    <xf numFmtId="0" fontId="10" fillId="18" borderId="34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24" xfId="0" applyFill="1" applyBorder="1" applyAlignment="1">
      <alignment horizontal="center" wrapText="1"/>
    </xf>
    <xf numFmtId="0" fontId="0" fillId="6" borderId="35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8" xfId="0" applyFill="1" applyBorder="1" applyAlignment="1">
      <alignment horizontal="center" wrapText="1"/>
    </xf>
    <xf numFmtId="0" fontId="0" fillId="6" borderId="9" xfId="0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2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1" fillId="18" borderId="32" xfId="0" applyFont="1" applyFill="1" applyBorder="1" applyAlignment="1">
      <alignment horizontal="center"/>
    </xf>
    <xf numFmtId="0" fontId="11" fillId="18" borderId="33" xfId="0" applyFont="1" applyFill="1" applyBorder="1" applyAlignment="1">
      <alignment horizontal="center"/>
    </xf>
    <xf numFmtId="0" fontId="11" fillId="18" borderId="34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0" fillId="14" borderId="0" xfId="0" applyFill="1" applyBorder="1" applyAlignment="1">
      <alignment horizontal="center" wrapText="1"/>
    </xf>
    <xf numFmtId="0" fontId="0" fillId="14" borderId="0" xfId="0" applyFill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6" borderId="38" xfId="0" applyFill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6" borderId="26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16" borderId="0" xfId="0" applyFill="1"/>
    <xf numFmtId="1" fontId="0" fillId="6" borderId="0" xfId="0" applyNumberFormat="1" applyFill="1" applyAlignment="1">
      <alignment horizontal="center"/>
    </xf>
    <xf numFmtId="0" fontId="1" fillId="6" borderId="0" xfId="0" applyFon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9" fillId="6" borderId="0" xfId="0" applyFont="1" applyFill="1"/>
    <xf numFmtId="20" fontId="0" fillId="0" borderId="0" xfId="0" applyNumberFormat="1" applyBorder="1"/>
    <xf numFmtId="0" fontId="0" fillId="0" borderId="5" xfId="0" applyBorder="1" applyAlignment="1">
      <alignment horizontal="center" vertical="center"/>
    </xf>
    <xf numFmtId="0" fontId="0" fillId="0" borderId="0" xfId="0" applyNumberFormat="1" applyBorder="1"/>
    <xf numFmtId="0" fontId="0" fillId="0" borderId="6" xfId="0" applyBorder="1"/>
    <xf numFmtId="0" fontId="0" fillId="15" borderId="1" xfId="0" applyNumberFormat="1" applyFill="1" applyBorder="1" applyAlignment="1">
      <alignment horizontal="center"/>
    </xf>
    <xf numFmtId="0" fontId="10" fillId="6" borderId="0" xfId="0" applyFont="1" applyFill="1" applyBorder="1" applyAlignment="1"/>
    <xf numFmtId="0" fontId="0" fillId="19" borderId="1" xfId="0" applyFill="1" applyBorder="1" applyAlignment="1">
      <alignment horizontal="center"/>
    </xf>
    <xf numFmtId="0" fontId="1" fillId="0" borderId="18" xfId="0" applyFont="1" applyBorder="1"/>
    <xf numFmtId="0" fontId="0" fillId="0" borderId="18" xfId="0" applyFill="1" applyBorder="1" applyAlignment="1">
      <alignment horizontal="center"/>
    </xf>
    <xf numFmtId="0" fontId="0" fillId="10" borderId="18" xfId="0" applyFill="1" applyBorder="1"/>
    <xf numFmtId="0" fontId="0" fillId="10" borderId="42" xfId="0" applyFill="1" applyBorder="1"/>
    <xf numFmtId="0" fontId="0" fillId="20" borderId="1" xfId="0" applyFill="1" applyBorder="1"/>
    <xf numFmtId="0" fontId="0" fillId="20" borderId="24" xfId="0" applyFill="1" applyBorder="1"/>
    <xf numFmtId="0" fontId="0" fillId="19" borderId="26" xfId="0" applyFill="1" applyBorder="1" applyAlignment="1">
      <alignment horizontal="center"/>
    </xf>
    <xf numFmtId="0" fontId="1" fillId="0" borderId="24" xfId="0" applyFont="1" applyFill="1" applyBorder="1"/>
    <xf numFmtId="0" fontId="9" fillId="10" borderId="32" xfId="0" applyFont="1" applyFill="1" applyBorder="1" applyAlignment="1"/>
    <xf numFmtId="0" fontId="9" fillId="10" borderId="33" xfId="0" applyFont="1" applyFill="1" applyBorder="1" applyAlignment="1"/>
    <xf numFmtId="0" fontId="9" fillId="10" borderId="34" xfId="0" applyFont="1" applyFill="1" applyBorder="1" applyAlignment="1"/>
    <xf numFmtId="0" fontId="0" fillId="6" borderId="43" xfId="0" applyFill="1" applyBorder="1" applyAlignment="1">
      <alignment horizontal="center" wrapText="1"/>
    </xf>
    <xf numFmtId="0" fontId="0" fillId="6" borderId="44" xfId="0" applyFill="1" applyBorder="1" applyAlignment="1">
      <alignment horizontal="center" wrapText="1"/>
    </xf>
    <xf numFmtId="0" fontId="0" fillId="6" borderId="45" xfId="0" applyFill="1" applyBorder="1" applyAlignment="1">
      <alignment horizontal="center" wrapText="1"/>
    </xf>
    <xf numFmtId="0" fontId="0" fillId="6" borderId="2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6" borderId="36" xfId="0" applyFill="1" applyBorder="1"/>
    <xf numFmtId="0" fontId="0" fillId="6" borderId="24" xfId="0" applyFill="1" applyBorder="1"/>
    <xf numFmtId="0" fontId="0" fillId="6" borderId="5" xfId="0" applyFill="1" applyBorder="1"/>
    <xf numFmtId="0" fontId="0" fillId="6" borderId="3" xfId="0" applyFill="1" applyBorder="1"/>
    <xf numFmtId="0" fontId="10" fillId="6" borderId="0" xfId="0" applyFont="1" applyFill="1"/>
    <xf numFmtId="0" fontId="0" fillId="6" borderId="0" xfId="0" applyFill="1" applyAlignment="1">
      <alignment horizontal="center"/>
    </xf>
    <xf numFmtId="0" fontId="1" fillId="6" borderId="1" xfId="0" applyFont="1" applyFill="1" applyBorder="1" applyAlignment="1"/>
    <xf numFmtId="0" fontId="1" fillId="6" borderId="1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2" fontId="0" fillId="15" borderId="8" xfId="0" applyNumberFormat="1" applyFill="1" applyBorder="1" applyAlignment="1">
      <alignment horizontal="center"/>
    </xf>
    <xf numFmtId="2" fontId="0" fillId="15" borderId="9" xfId="0" applyNumberFormat="1" applyFill="1" applyBorder="1" applyAlignment="1">
      <alignment horizontal="center"/>
    </xf>
    <xf numFmtId="2" fontId="0" fillId="15" borderId="26" xfId="0" applyNumberFormat="1" applyFill="1" applyBorder="1" applyAlignment="1">
      <alignment horizontal="center"/>
    </xf>
    <xf numFmtId="0" fontId="1" fillId="6" borderId="26" xfId="0" applyFont="1" applyFill="1" applyBorder="1" applyAlignment="1">
      <alignment horizontal="center" wrapText="1"/>
    </xf>
    <xf numFmtId="2" fontId="0" fillId="15" borderId="46" xfId="0" applyNumberFormat="1" applyFill="1" applyBorder="1" applyAlignment="1">
      <alignment horizontal="center"/>
    </xf>
    <xf numFmtId="0" fontId="0" fillId="21" borderId="1" xfId="0" applyFill="1" applyBorder="1"/>
    <xf numFmtId="0" fontId="0" fillId="6" borderId="47" xfId="0" applyFill="1" applyBorder="1"/>
    <xf numFmtId="0" fontId="10" fillId="18" borderId="47" xfId="0" applyFont="1" applyFill="1" applyBorder="1" applyAlignment="1">
      <alignment horizontal="center"/>
    </xf>
    <xf numFmtId="0" fontId="10" fillId="18" borderId="48" xfId="0" applyFont="1" applyFill="1" applyBorder="1" applyAlignment="1">
      <alignment horizontal="center"/>
    </xf>
    <xf numFmtId="0" fontId="10" fillId="18" borderId="49" xfId="0" applyFont="1" applyFill="1" applyBorder="1" applyAlignment="1">
      <alignment horizontal="center"/>
    </xf>
    <xf numFmtId="0" fontId="1" fillId="0" borderId="22" xfId="0" applyFont="1" applyBorder="1"/>
    <xf numFmtId="0" fontId="0" fillId="0" borderId="22" xfId="0" applyBorder="1" applyAlignment="1">
      <alignment horizontal="center"/>
    </xf>
    <xf numFmtId="0" fontId="0" fillId="21" borderId="24" xfId="0" applyFill="1" applyBorder="1"/>
    <xf numFmtId="0" fontId="0" fillId="0" borderId="25" xfId="0" applyBorder="1" applyAlignment="1">
      <alignment horizontal="center"/>
    </xf>
    <xf numFmtId="0" fontId="0" fillId="20" borderId="26" xfId="0" applyFill="1" applyBorder="1"/>
    <xf numFmtId="0" fontId="0" fillId="21" borderId="26" xfId="0" applyFill="1" applyBorder="1"/>
    <xf numFmtId="0" fontId="0" fillId="21" borderId="28" xfId="0" applyFill="1" applyBorder="1"/>
    <xf numFmtId="0" fontId="1" fillId="0" borderId="50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/>
    <xf numFmtId="0" fontId="1" fillId="0" borderId="6" xfId="0" applyFont="1" applyBorder="1"/>
    <xf numFmtId="0" fontId="1" fillId="0" borderId="10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17" borderId="29" xfId="0" applyFill="1" applyBorder="1" applyAlignment="1">
      <alignment horizontal="center" vertical="center" wrapText="1"/>
    </xf>
    <xf numFmtId="0" fontId="0" fillId="17" borderId="30" xfId="0" applyFill="1" applyBorder="1" applyAlignment="1">
      <alignment horizontal="center" vertical="center" wrapText="1"/>
    </xf>
    <xf numFmtId="0" fontId="0" fillId="17" borderId="31" xfId="0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7E6F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7E6F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7E6F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FFFFF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color theme="0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DD7DF"/>
      <color rgb="FF5DBEE5"/>
      <color rgb="FFD7E6F5"/>
      <color rgb="FF97BEE5"/>
      <color rgb="FFC5DBF1"/>
      <color rgb="FF5997D5"/>
      <color rgb="FF23A6DB"/>
      <color rgb="FFD4EE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AB%20Optimal%20Model%20(3)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401795\AppData\Local\Microsoft\Windows\INetCache\Content.Outlook\8K223HHG\FIS%20ARRIVALS%20SHEET%208%20AUG.%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AB Optimal Model (3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l Arrivals"/>
      <sheetName val="Sheet1"/>
      <sheetName val="FIS Optimal Model (2)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0CE35FC-B7CA-4EF6-AC17-EFE33254FA7C}" autoFormatId="16" applyNumberFormats="0" applyBorderFormats="0" applyFontFormats="0" applyPatternFormats="0" applyAlignmentFormats="0" applyWidthHeightFormats="0">
  <queryTableRefresh nextId="20">
    <queryTableFields count="8">
      <queryTableField id="1" name="Flight" tableColumnId="1"/>
      <queryTableField id="18" name="Origin" tableColumnId="12"/>
      <queryTableField id="3" name="ETA" tableColumnId="3"/>
      <queryTableField id="4" name="Gate" tableColumnId="4"/>
      <queryTableField id="5" name="IAB PAX" tableColumnId="5"/>
      <queryTableField id="6" name="IAB BAGS" tableColumnId="6"/>
      <queryTableField id="7" name="FIS PAX" tableColumnId="7"/>
      <queryTableField id="8" name="FIS BAG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C4E603-A058-4629-B4CF-E6C811DD0713}" name="Table2_23" displayName="Table2_23" ref="A3:H35" tableType="queryTable" totalsRowShown="0" headerRowDxfId="9" dataDxfId="8">
  <autoFilter ref="A3:H35" xr:uid="{822F0733-1B74-40CA-8524-EAF779FF5463}"/>
  <tableColumns count="8">
    <tableColumn id="1" xr3:uid="{8D6A5524-61AE-4710-9970-93E6F8D99931}" uniqueName="1" name="Flight" queryTableFieldId="1" dataDxfId="7"/>
    <tableColumn id="12" xr3:uid="{D9B5C522-3D6C-4B12-8DC0-1497B4A69D0E}" uniqueName="12" name="Origin" queryTableFieldId="18" dataDxfId="6"/>
    <tableColumn id="3" xr3:uid="{F488ECDE-91EC-41F9-A436-0C51EFD1EB2D}" uniqueName="3" name="ETA" queryTableFieldId="3" dataDxfId="5"/>
    <tableColumn id="4" xr3:uid="{5337A8D5-97E4-4AAA-93F5-084F9A86B101}" uniqueName="4" name="Gate" queryTableFieldId="4" dataDxfId="4"/>
    <tableColumn id="5" xr3:uid="{18169D46-4D14-44BF-A948-AF3492E0F2F0}" uniqueName="5" name="IAB PAX" queryTableFieldId="5" dataDxfId="3"/>
    <tableColumn id="6" xr3:uid="{3DAF5EA4-F1E2-4C38-A7F6-EE7D39305D11}" uniqueName="6" name="IAB BAGS" queryTableFieldId="6" dataDxfId="2"/>
    <tableColumn id="7" xr3:uid="{393F997E-0690-4E69-B1C8-991D4D71C13A}" uniqueName="7" name="FIS PAX" queryTableFieldId="7" dataDxfId="1"/>
    <tableColumn id="8" xr3:uid="{A3A826C1-37ED-4CD8-BB2E-19F4999EE375}" uniqueName="8" name="FIS BAGS" queryTableFieldId="8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A034-65F1-4BBC-8FA8-FC6354CC44A5}">
  <dimension ref="A1:I45"/>
  <sheetViews>
    <sheetView workbookViewId="0">
      <selection activeCell="F19" sqref="F19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11.1796875" bestFit="1" customWidth="1"/>
    <col min="4" max="4" width="21.6328125" bestFit="1" customWidth="1"/>
    <col min="5" max="5" width="23.08984375" bestFit="1" customWidth="1"/>
    <col min="6" max="6" width="11.81640625" bestFit="1" customWidth="1"/>
    <col min="8" max="8" width="9.6328125" bestFit="1" customWidth="1"/>
  </cols>
  <sheetData>
    <row r="1" spans="1:8" x14ac:dyDescent="0.35">
      <c r="A1" s="154" t="s">
        <v>154</v>
      </c>
      <c r="B1" s="155"/>
      <c r="C1" s="155"/>
      <c r="D1" s="155"/>
      <c r="E1" s="155"/>
      <c r="F1" s="155"/>
      <c r="G1" s="155"/>
      <c r="H1" s="156"/>
    </row>
    <row r="2" spans="1:8" x14ac:dyDescent="0.35">
      <c r="A2" s="5" t="s">
        <v>148</v>
      </c>
      <c r="B2" s="41" t="s">
        <v>149</v>
      </c>
      <c r="C2" s="41" t="s">
        <v>131</v>
      </c>
      <c r="D2" s="41" t="s">
        <v>150</v>
      </c>
      <c r="E2" s="41" t="s">
        <v>151</v>
      </c>
      <c r="F2" s="41" t="s">
        <v>152</v>
      </c>
      <c r="G2" s="41"/>
      <c r="H2" s="7" t="s">
        <v>153</v>
      </c>
    </row>
    <row r="3" spans="1:8" ht="15.5" x14ac:dyDescent="0.35">
      <c r="A3" s="107" t="s">
        <v>58</v>
      </c>
      <c r="B3" s="108">
        <v>0.38958333333333334</v>
      </c>
      <c r="C3" s="41">
        <v>211</v>
      </c>
      <c r="D3" s="41">
        <f t="shared" ref="D3:D8" si="0">C3*$H$3</f>
        <v>192.221</v>
      </c>
      <c r="E3" s="41">
        <f>9+(21/60)</f>
        <v>9.35</v>
      </c>
      <c r="F3" s="41">
        <f>D3/E3</f>
        <v>20.558395721925134</v>
      </c>
      <c r="G3" s="41"/>
      <c r="H3" s="7">
        <v>0.91100000000000003</v>
      </c>
    </row>
    <row r="4" spans="1:8" ht="15.5" x14ac:dyDescent="0.35">
      <c r="A4" s="107" t="s">
        <v>59</v>
      </c>
      <c r="B4" s="108">
        <v>0.60972222222222217</v>
      </c>
      <c r="C4" s="41">
        <v>150</v>
      </c>
      <c r="D4" s="41">
        <f t="shared" si="0"/>
        <v>136.65</v>
      </c>
      <c r="E4" s="41">
        <f>14+(38/60)</f>
        <v>14.633333333333333</v>
      </c>
      <c r="F4" s="41">
        <f t="shared" ref="F4:F8" si="1">D4/E4</f>
        <v>9.3382687927107071</v>
      </c>
      <c r="G4" s="41"/>
      <c r="H4" s="7"/>
    </row>
    <row r="5" spans="1:8" ht="15.5" x14ac:dyDescent="0.35">
      <c r="A5" s="107" t="s">
        <v>60</v>
      </c>
      <c r="B5" s="108">
        <v>0.51666666666666672</v>
      </c>
      <c r="C5" s="41">
        <f>204+62+24+60</f>
        <v>350</v>
      </c>
      <c r="D5" s="41">
        <f t="shared" si="0"/>
        <v>318.85000000000002</v>
      </c>
      <c r="E5" s="41">
        <f>12+(24/60)</f>
        <v>12.4</v>
      </c>
      <c r="F5" s="41">
        <f t="shared" si="1"/>
        <v>25.713709677419356</v>
      </c>
      <c r="G5" s="41"/>
      <c r="H5" s="7"/>
    </row>
    <row r="6" spans="1:8" ht="15.5" x14ac:dyDescent="0.35">
      <c r="A6" s="107" t="s">
        <v>61</v>
      </c>
      <c r="B6" s="108">
        <v>0.44513888888888892</v>
      </c>
      <c r="C6" s="41">
        <f>28+21+36+158</f>
        <v>243</v>
      </c>
      <c r="D6" s="41">
        <f t="shared" si="0"/>
        <v>221.37300000000002</v>
      </c>
      <c r="E6" s="41">
        <f>10+(41/60)</f>
        <v>10.683333333333334</v>
      </c>
      <c r="F6" s="41">
        <f t="shared" si="1"/>
        <v>20.721341653666148</v>
      </c>
      <c r="G6" s="41"/>
      <c r="H6" s="7"/>
    </row>
    <row r="7" spans="1:8" ht="15.5" x14ac:dyDescent="0.35">
      <c r="A7" s="107" t="s">
        <v>62</v>
      </c>
      <c r="B7" s="108">
        <v>0.55625000000000002</v>
      </c>
      <c r="C7" s="41">
        <f>50+24+46+156</f>
        <v>276</v>
      </c>
      <c r="D7" s="41">
        <f t="shared" si="0"/>
        <v>251.43600000000001</v>
      </c>
      <c r="E7" s="41">
        <f>13+(21/60)</f>
        <v>13.35</v>
      </c>
      <c r="F7" s="41">
        <f t="shared" si="1"/>
        <v>18.834157303370787</v>
      </c>
      <c r="G7" s="41"/>
      <c r="H7" s="7"/>
    </row>
    <row r="8" spans="1:8" ht="15.5" x14ac:dyDescent="0.35">
      <c r="A8" s="107" t="s">
        <v>63</v>
      </c>
      <c r="B8" s="108">
        <v>0.54791666666666672</v>
      </c>
      <c r="C8" s="41">
        <f>12+36+78</f>
        <v>126</v>
      </c>
      <c r="D8" s="41">
        <f t="shared" si="0"/>
        <v>114.786</v>
      </c>
      <c r="E8" s="41">
        <f>13+(9/60)</f>
        <v>13.15</v>
      </c>
      <c r="F8" s="41">
        <f t="shared" si="1"/>
        <v>8.728973384030418</v>
      </c>
      <c r="G8" s="41"/>
      <c r="H8" s="7"/>
    </row>
    <row r="9" spans="1:8" ht="14.5" customHeight="1" x14ac:dyDescent="0.35">
      <c r="A9" s="109" t="s">
        <v>64</v>
      </c>
      <c r="B9" s="110">
        <f>AVERAGE(B3:B8)</f>
        <v>0.51087962962962963</v>
      </c>
      <c r="C9" s="111"/>
      <c r="D9" s="111">
        <f>12+(15/60)</f>
        <v>12.25</v>
      </c>
      <c r="E9" s="111" t="s">
        <v>69</v>
      </c>
      <c r="F9" s="111">
        <f>ROUNDUP(AVERAGE(F3:F8),0)</f>
        <v>18</v>
      </c>
      <c r="G9" s="111" t="s">
        <v>132</v>
      </c>
      <c r="H9" s="8"/>
    </row>
    <row r="11" spans="1:8" ht="15.5" x14ac:dyDescent="0.35">
      <c r="A11" s="151" t="s">
        <v>65</v>
      </c>
      <c r="B11" s="152"/>
      <c r="C11" s="153"/>
      <c r="E11" s="154" t="s">
        <v>170</v>
      </c>
      <c r="F11" s="155"/>
      <c r="G11" s="155"/>
      <c r="H11" s="156"/>
    </row>
    <row r="12" spans="1:8" ht="15.5" x14ac:dyDescent="0.35">
      <c r="A12" s="107" t="s">
        <v>66</v>
      </c>
      <c r="B12" s="41" t="s">
        <v>67</v>
      </c>
      <c r="C12" s="7" t="s">
        <v>68</v>
      </c>
      <c r="E12" s="5" t="s">
        <v>85</v>
      </c>
      <c r="F12" s="41" t="s">
        <v>171</v>
      </c>
      <c r="G12" s="41" t="s">
        <v>172</v>
      </c>
      <c r="H12" s="7" t="s">
        <v>173</v>
      </c>
    </row>
    <row r="13" spans="1:8" x14ac:dyDescent="0.35">
      <c r="A13" s="112">
        <v>0.12024305555555555</v>
      </c>
      <c r="B13" s="113">
        <v>0.12232638888888887</v>
      </c>
      <c r="C13" s="114">
        <f>B13-A13</f>
        <v>2.0833333333333259E-3</v>
      </c>
      <c r="E13" s="5" t="s">
        <v>155</v>
      </c>
      <c r="F13" s="215">
        <v>0.60138888888888886</v>
      </c>
      <c r="G13" s="41">
        <f>14+(26/60)</f>
        <v>14.433333333333334</v>
      </c>
      <c r="H13" s="216">
        <f>ROUNDUP(AVERAGE(G13:G15),0)</f>
        <v>16</v>
      </c>
    </row>
    <row r="14" spans="1:8" x14ac:dyDescent="0.35">
      <c r="A14" s="112">
        <v>0.12506944444444443</v>
      </c>
      <c r="B14" s="113">
        <v>0.12989583333333335</v>
      </c>
      <c r="C14" s="114">
        <f t="shared" ref="C14:C43" si="2">B14-A14</f>
        <v>4.8263888888889217E-3</v>
      </c>
      <c r="E14" s="5" t="s">
        <v>156</v>
      </c>
      <c r="F14" s="215">
        <v>0.63680555555555551</v>
      </c>
      <c r="G14" s="41">
        <f>15+(17/30)</f>
        <v>15.566666666666666</v>
      </c>
      <c r="H14" s="216"/>
    </row>
    <row r="15" spans="1:8" x14ac:dyDescent="0.35">
      <c r="A15" s="112">
        <v>0.13202546296296297</v>
      </c>
      <c r="B15" s="113">
        <v>0.1348148148148148</v>
      </c>
      <c r="C15" s="114">
        <f t="shared" si="2"/>
        <v>2.7893518518518345E-3</v>
      </c>
      <c r="E15" s="5" t="s">
        <v>157</v>
      </c>
      <c r="F15" s="215">
        <v>0.67222222222222217</v>
      </c>
      <c r="G15" s="41">
        <f>16+(8/30)</f>
        <v>16.266666666666666</v>
      </c>
      <c r="H15" s="216"/>
    </row>
    <row r="16" spans="1:8" x14ac:dyDescent="0.35">
      <c r="A16" s="112">
        <v>0.1376273148148148</v>
      </c>
      <c r="B16" s="113">
        <v>0.14395833333333333</v>
      </c>
      <c r="C16" s="114">
        <f t="shared" si="2"/>
        <v>6.3310185185185275E-3</v>
      </c>
      <c r="E16" s="5" t="s">
        <v>39</v>
      </c>
      <c r="F16" s="41"/>
      <c r="G16" s="41"/>
      <c r="H16" s="7"/>
    </row>
    <row r="17" spans="1:9" x14ac:dyDescent="0.35">
      <c r="A17" s="112">
        <v>0.14635416666666667</v>
      </c>
      <c r="B17" s="113">
        <v>0.14842592592592593</v>
      </c>
      <c r="C17" s="114">
        <f t="shared" si="2"/>
        <v>2.0717592592592593E-3</v>
      </c>
      <c r="E17" s="5" t="s">
        <v>158</v>
      </c>
      <c r="F17" s="215">
        <v>9.375E-2</v>
      </c>
      <c r="G17" s="41">
        <f>2+(15/30)</f>
        <v>2.5</v>
      </c>
      <c r="H17" s="216">
        <f>ROUNDUP(AVERAGE(G17:G26),0)</f>
        <v>3</v>
      </c>
    </row>
    <row r="18" spans="1:9" x14ac:dyDescent="0.35">
      <c r="A18" s="112">
        <v>0.15166666666666667</v>
      </c>
      <c r="B18" s="113">
        <v>0.15285879629629631</v>
      </c>
      <c r="C18" s="114">
        <f t="shared" si="2"/>
        <v>1.1921296296296402E-3</v>
      </c>
      <c r="E18" s="5" t="s">
        <v>159</v>
      </c>
      <c r="F18" s="215">
        <v>6.25E-2</v>
      </c>
      <c r="G18" s="41">
        <f>1.5</f>
        <v>1.5</v>
      </c>
      <c r="H18" s="216"/>
    </row>
    <row r="19" spans="1:9" x14ac:dyDescent="0.35">
      <c r="A19" s="112">
        <v>0.15434027777777778</v>
      </c>
      <c r="B19" s="113">
        <v>0.15547453703703704</v>
      </c>
      <c r="C19" s="114">
        <f t="shared" si="2"/>
        <v>1.1342592592592515E-3</v>
      </c>
      <c r="E19" s="5" t="s">
        <v>160</v>
      </c>
      <c r="F19" s="215">
        <v>3.125E-2</v>
      </c>
      <c r="G19" s="41">
        <f>0.75</f>
        <v>0.75</v>
      </c>
      <c r="H19" s="216"/>
    </row>
    <row r="20" spans="1:9" x14ac:dyDescent="0.35">
      <c r="A20" s="112">
        <v>0.12233796296296295</v>
      </c>
      <c r="B20" s="113">
        <v>0.12542824074074074</v>
      </c>
      <c r="C20" s="114">
        <f t="shared" si="2"/>
        <v>3.090277777777789E-3</v>
      </c>
      <c r="E20" s="5" t="s">
        <v>30</v>
      </c>
      <c r="F20" s="215">
        <v>6.9444444444444441E-3</v>
      </c>
      <c r="G20" s="41">
        <f>1/6</f>
        <v>0.16666666666666666</v>
      </c>
      <c r="H20" s="216"/>
    </row>
    <row r="21" spans="1:9" x14ac:dyDescent="0.35">
      <c r="A21" s="112">
        <v>0.12520833333333334</v>
      </c>
      <c r="B21" s="113">
        <v>0.12762731481481482</v>
      </c>
      <c r="C21" s="114">
        <f t="shared" si="2"/>
        <v>2.4189814814814803E-3</v>
      </c>
      <c r="E21" s="5" t="s">
        <v>161</v>
      </c>
      <c r="F21" s="215">
        <v>3.125E-2</v>
      </c>
      <c r="G21" s="41">
        <f>0.75</f>
        <v>0.75</v>
      </c>
      <c r="H21" s="216"/>
    </row>
    <row r="22" spans="1:9" x14ac:dyDescent="0.35">
      <c r="A22" s="112">
        <v>0.12878472222222223</v>
      </c>
      <c r="B22" s="113">
        <v>0.13097222222222224</v>
      </c>
      <c r="C22" s="114">
        <f t="shared" si="2"/>
        <v>2.1875000000000089E-3</v>
      </c>
      <c r="E22" s="5" t="s">
        <v>162</v>
      </c>
      <c r="F22" s="215">
        <v>4.1666666666666664E-2</v>
      </c>
      <c r="G22" s="41">
        <v>1</v>
      </c>
      <c r="H22" s="216"/>
    </row>
    <row r="23" spans="1:9" x14ac:dyDescent="0.35">
      <c r="A23" s="112">
        <v>0.11975694444444444</v>
      </c>
      <c r="B23" s="113">
        <v>0.12280092592592594</v>
      </c>
      <c r="C23" s="114">
        <f t="shared" si="2"/>
        <v>3.0439814814814947E-3</v>
      </c>
      <c r="E23" s="5" t="s">
        <v>163</v>
      </c>
      <c r="F23" s="215">
        <v>0.10416666666666667</v>
      </c>
      <c r="G23" s="41">
        <v>2.5</v>
      </c>
      <c r="H23" s="216"/>
    </row>
    <row r="24" spans="1:9" x14ac:dyDescent="0.35">
      <c r="A24" s="112">
        <v>0.12800925925925927</v>
      </c>
      <c r="B24" s="113">
        <v>0.13340277777777779</v>
      </c>
      <c r="C24" s="114">
        <f t="shared" si="2"/>
        <v>5.3935185185185197E-3</v>
      </c>
      <c r="E24" s="5" t="s">
        <v>164</v>
      </c>
      <c r="F24" s="215">
        <v>0.13541666666666666</v>
      </c>
      <c r="G24" s="41">
        <f>3+(15/60)</f>
        <v>3.25</v>
      </c>
      <c r="H24" s="216"/>
    </row>
    <row r="25" spans="1:9" x14ac:dyDescent="0.35">
      <c r="A25" s="112">
        <v>0.1285300925925926</v>
      </c>
      <c r="B25" s="113">
        <v>0.13403935185185187</v>
      </c>
      <c r="C25" s="114">
        <f t="shared" si="2"/>
        <v>5.5092592592592693E-3</v>
      </c>
      <c r="E25" s="5" t="s">
        <v>165</v>
      </c>
      <c r="F25" s="215">
        <v>0.16666666666666666</v>
      </c>
      <c r="G25" s="41">
        <f>4</f>
        <v>4</v>
      </c>
      <c r="H25" s="216"/>
    </row>
    <row r="26" spans="1:9" x14ac:dyDescent="0.35">
      <c r="A26" s="112">
        <v>0.12858796296296296</v>
      </c>
      <c r="B26" s="113">
        <v>0.13</v>
      </c>
      <c r="C26" s="114">
        <f t="shared" si="2"/>
        <v>1.412037037037045E-3</v>
      </c>
      <c r="E26" s="5" t="s">
        <v>166</v>
      </c>
      <c r="F26" s="215">
        <v>0.1875</v>
      </c>
      <c r="G26" s="41">
        <v>4.5</v>
      </c>
      <c r="H26" s="216"/>
    </row>
    <row r="27" spans="1:9" x14ac:dyDescent="0.35">
      <c r="A27" s="112">
        <v>0.13040509259259259</v>
      </c>
      <c r="B27" s="113">
        <v>0.13221064814814815</v>
      </c>
      <c r="C27" s="114">
        <f t="shared" si="2"/>
        <v>1.8055555555555602E-3</v>
      </c>
      <c r="E27" s="5" t="s">
        <v>86</v>
      </c>
      <c r="F27" s="41"/>
      <c r="G27" s="41"/>
      <c r="H27" s="7"/>
    </row>
    <row r="28" spans="1:9" x14ac:dyDescent="0.35">
      <c r="A28" s="112">
        <v>0.13144675925925928</v>
      </c>
      <c r="B28" s="113">
        <v>0.13668981481481482</v>
      </c>
      <c r="C28" s="114">
        <f t="shared" si="2"/>
        <v>5.2430555555555425E-3</v>
      </c>
      <c r="E28" s="5" t="s">
        <v>167</v>
      </c>
      <c r="F28" s="215">
        <v>0.57291666666666663</v>
      </c>
      <c r="G28" s="41">
        <v>13.75</v>
      </c>
      <c r="H28" s="216">
        <f>ROUNDUP(AVERAGE(G28:G30),0)</f>
        <v>15</v>
      </c>
    </row>
    <row r="29" spans="1:9" x14ac:dyDescent="0.35">
      <c r="A29" s="112">
        <v>0.13240740740740739</v>
      </c>
      <c r="B29" s="113">
        <v>0.1337962962962963</v>
      </c>
      <c r="C29" s="114">
        <f t="shared" si="2"/>
        <v>1.3888888888889117E-3</v>
      </c>
      <c r="E29" s="5" t="s">
        <v>168</v>
      </c>
      <c r="F29" s="215">
        <v>0.59375</v>
      </c>
      <c r="G29" s="41">
        <f>14+(15/60)</f>
        <v>14.25</v>
      </c>
      <c r="H29" s="216"/>
    </row>
    <row r="30" spans="1:9" x14ac:dyDescent="0.35">
      <c r="A30" s="112">
        <v>0.13344907407407408</v>
      </c>
      <c r="B30" s="113">
        <v>0.13567129629629629</v>
      </c>
      <c r="C30" s="114">
        <f t="shared" si="2"/>
        <v>2.2222222222222088E-3</v>
      </c>
      <c r="E30" s="5" t="s">
        <v>169</v>
      </c>
      <c r="F30" s="215">
        <v>0.61458333333333337</v>
      </c>
      <c r="G30" s="41">
        <f>14.75</f>
        <v>14.75</v>
      </c>
      <c r="H30" s="216"/>
    </row>
    <row r="31" spans="1:9" x14ac:dyDescent="0.35">
      <c r="A31" s="112">
        <v>0.1361111111111111</v>
      </c>
      <c r="B31" s="113">
        <v>0.13825231481481481</v>
      </c>
      <c r="C31" s="114">
        <f t="shared" si="2"/>
        <v>2.1412037037037146E-3</v>
      </c>
      <c r="E31" s="5" t="s">
        <v>87</v>
      </c>
      <c r="F31" s="41"/>
      <c r="G31" s="41"/>
      <c r="H31" s="7"/>
    </row>
    <row r="32" spans="1:9" x14ac:dyDescent="0.35">
      <c r="A32" s="112">
        <v>0.13668981481481482</v>
      </c>
      <c r="B32" s="113">
        <v>0.13859953703703703</v>
      </c>
      <c r="C32" s="114">
        <f t="shared" si="2"/>
        <v>1.9097222222222154E-3</v>
      </c>
      <c r="E32" s="5" t="s">
        <v>192</v>
      </c>
      <c r="F32" s="217">
        <v>5</v>
      </c>
      <c r="G32" s="217">
        <v>34</v>
      </c>
      <c r="H32" s="7">
        <f>F32+(G32/60)</f>
        <v>5.5666666666666664</v>
      </c>
      <c r="I32" s="157"/>
    </row>
    <row r="33" spans="1:9" x14ac:dyDescent="0.35">
      <c r="A33" s="112">
        <v>0.13770833333333335</v>
      </c>
      <c r="B33" s="113">
        <v>0.14249999999999999</v>
      </c>
      <c r="C33" s="114">
        <f t="shared" si="2"/>
        <v>4.7916666666666385E-3</v>
      </c>
      <c r="E33" s="5" t="s">
        <v>193</v>
      </c>
      <c r="F33" s="217">
        <v>6</v>
      </c>
      <c r="G33" s="217">
        <v>25</v>
      </c>
      <c r="H33" s="7">
        <f t="shared" ref="H33:H41" si="3">F33+(G33/60)</f>
        <v>6.416666666666667</v>
      </c>
      <c r="I33" s="157"/>
    </row>
    <row r="34" spans="1:9" x14ac:dyDescent="0.35">
      <c r="A34" s="112">
        <v>0.1380787037037037</v>
      </c>
      <c r="B34" s="113">
        <v>0.14432870370370371</v>
      </c>
      <c r="C34" s="114">
        <f t="shared" si="2"/>
        <v>6.2500000000000056E-3</v>
      </c>
      <c r="E34" s="5" t="s">
        <v>194</v>
      </c>
      <c r="F34" s="217">
        <v>6</v>
      </c>
      <c r="G34" s="217">
        <v>42</v>
      </c>
      <c r="H34" s="7">
        <f t="shared" si="3"/>
        <v>6.7</v>
      </c>
      <c r="I34" s="157"/>
    </row>
    <row r="35" spans="1:9" x14ac:dyDescent="0.35">
      <c r="A35" s="112">
        <v>0.14432870370370371</v>
      </c>
      <c r="B35" s="113">
        <v>0.14768518518518517</v>
      </c>
      <c r="C35" s="114">
        <f t="shared" si="2"/>
        <v>3.3564814814814603E-3</v>
      </c>
      <c r="E35" s="5" t="s">
        <v>195</v>
      </c>
      <c r="F35" s="217">
        <v>7</v>
      </c>
      <c r="G35" s="217">
        <v>45</v>
      </c>
      <c r="H35" s="7">
        <f t="shared" si="3"/>
        <v>7.75</v>
      </c>
      <c r="I35" s="157"/>
    </row>
    <row r="36" spans="1:9" x14ac:dyDescent="0.35">
      <c r="A36" s="112">
        <v>0.14519675925925926</v>
      </c>
      <c r="B36" s="113">
        <v>0.14688657407407407</v>
      </c>
      <c r="C36" s="114">
        <f t="shared" si="2"/>
        <v>1.6898148148148107E-3</v>
      </c>
      <c r="E36" s="5" t="s">
        <v>196</v>
      </c>
      <c r="F36" s="217">
        <v>8</v>
      </c>
      <c r="G36" s="217">
        <v>49</v>
      </c>
      <c r="H36" s="7">
        <f t="shared" si="3"/>
        <v>8.8166666666666664</v>
      </c>
      <c r="I36" s="157"/>
    </row>
    <row r="37" spans="1:9" x14ac:dyDescent="0.35">
      <c r="A37" s="112">
        <v>0.14606481481481481</v>
      </c>
      <c r="B37" s="113">
        <v>0.14719907407407407</v>
      </c>
      <c r="C37" s="114">
        <f t="shared" si="2"/>
        <v>1.1342592592592515E-3</v>
      </c>
      <c r="E37" s="5" t="s">
        <v>197</v>
      </c>
      <c r="F37" s="217">
        <v>9</v>
      </c>
      <c r="G37" s="217">
        <v>20</v>
      </c>
      <c r="H37" s="7">
        <f t="shared" si="3"/>
        <v>9.3333333333333339</v>
      </c>
      <c r="I37" s="157"/>
    </row>
    <row r="38" spans="1:9" x14ac:dyDescent="0.35">
      <c r="A38" s="112">
        <v>0.1489351851851852</v>
      </c>
      <c r="B38" s="113">
        <v>0.14982638888888888</v>
      </c>
      <c r="C38" s="114">
        <f t="shared" si="2"/>
        <v>8.9120370370368573E-4</v>
      </c>
      <c r="E38" s="5" t="s">
        <v>198</v>
      </c>
      <c r="F38" s="217">
        <v>10</v>
      </c>
      <c r="G38" s="217">
        <v>5</v>
      </c>
      <c r="H38" s="7">
        <f t="shared" si="3"/>
        <v>10.083333333333334</v>
      </c>
      <c r="I38" s="157"/>
    </row>
    <row r="39" spans="1:9" x14ac:dyDescent="0.35">
      <c r="A39" s="112">
        <v>0.14918981481481483</v>
      </c>
      <c r="B39" s="113">
        <v>0.15072916666666666</v>
      </c>
      <c r="C39" s="114">
        <f t="shared" si="2"/>
        <v>1.5393518518518334E-3</v>
      </c>
      <c r="E39" s="5" t="s">
        <v>199</v>
      </c>
      <c r="F39" s="217">
        <v>10</v>
      </c>
      <c r="G39" s="217">
        <v>58</v>
      </c>
      <c r="H39" s="7">
        <f t="shared" si="3"/>
        <v>10.966666666666667</v>
      </c>
      <c r="I39" s="157"/>
    </row>
    <row r="40" spans="1:9" x14ac:dyDescent="0.35">
      <c r="A40" s="112">
        <v>0.14994212962962963</v>
      </c>
      <c r="B40" s="113">
        <v>0.15129629629629629</v>
      </c>
      <c r="C40" s="114">
        <f t="shared" si="2"/>
        <v>1.3541666666666563E-3</v>
      </c>
      <c r="E40" s="5" t="s">
        <v>200</v>
      </c>
      <c r="F40" s="217">
        <v>12</v>
      </c>
      <c r="G40" s="217">
        <v>25</v>
      </c>
      <c r="H40" s="7">
        <f t="shared" si="3"/>
        <v>12.416666666666666</v>
      </c>
      <c r="I40" s="157"/>
    </row>
    <row r="41" spans="1:9" x14ac:dyDescent="0.35">
      <c r="A41" s="112">
        <v>0.1517361111111111</v>
      </c>
      <c r="B41" s="113">
        <v>0.15565972222222221</v>
      </c>
      <c r="C41" s="114">
        <f t="shared" si="2"/>
        <v>3.9236111111111138E-3</v>
      </c>
      <c r="E41" s="5" t="s">
        <v>201</v>
      </c>
      <c r="F41" s="217">
        <v>14</v>
      </c>
      <c r="G41" s="217">
        <v>8</v>
      </c>
      <c r="H41" s="7">
        <f t="shared" si="3"/>
        <v>14.133333333333333</v>
      </c>
      <c r="I41" s="157"/>
    </row>
    <row r="42" spans="1:9" x14ac:dyDescent="0.35">
      <c r="A42" s="112">
        <v>0.1547685185185185</v>
      </c>
      <c r="B42" s="113">
        <v>0.15734953703703705</v>
      </c>
      <c r="C42" s="114">
        <f t="shared" si="2"/>
        <v>2.5810185185185519E-3</v>
      </c>
      <c r="E42" s="218"/>
      <c r="F42" s="111"/>
      <c r="G42" s="111"/>
      <c r="H42" s="8">
        <f>ROUNDUP(AVERAGE(H32:H41),0)</f>
        <v>10</v>
      </c>
    </row>
    <row r="43" spans="1:9" x14ac:dyDescent="0.35">
      <c r="A43" s="112">
        <v>0.15488425925925928</v>
      </c>
      <c r="B43" s="113">
        <v>0.15625</v>
      </c>
      <c r="C43" s="114">
        <f t="shared" si="2"/>
        <v>1.3657407407407229E-3</v>
      </c>
    </row>
    <row r="44" spans="1:9" x14ac:dyDescent="0.35">
      <c r="A44" s="149" t="s">
        <v>64</v>
      </c>
      <c r="B44" s="150"/>
      <c r="C44" s="115">
        <f>AVERAGE(C13:C43)</f>
        <v>2.8087664277180405E-3</v>
      </c>
    </row>
    <row r="45" spans="1:9" x14ac:dyDescent="0.35">
      <c r="C45" s="9">
        <f>4+3/60</f>
        <v>4.05</v>
      </c>
      <c r="D45" t="s">
        <v>69</v>
      </c>
    </row>
  </sheetData>
  <mergeCells count="8">
    <mergeCell ref="I32:I41"/>
    <mergeCell ref="A44:B44"/>
    <mergeCell ref="A11:C11"/>
    <mergeCell ref="A1:H1"/>
    <mergeCell ref="H13:H15"/>
    <mergeCell ref="H17:H26"/>
    <mergeCell ref="H28:H30"/>
    <mergeCell ref="E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6DC0-7703-482F-9268-4E250ACF7B94}">
  <sheetPr filterMode="1"/>
  <dimension ref="A1:R511"/>
  <sheetViews>
    <sheetView workbookViewId="0">
      <selection activeCell="O2" sqref="O2"/>
    </sheetView>
  </sheetViews>
  <sheetFormatPr defaultColWidth="8.81640625" defaultRowHeight="14.5" x14ac:dyDescent="0.35"/>
  <cols>
    <col min="6" max="6" width="9.6328125" customWidth="1"/>
    <col min="7" max="7" width="9.453125" hidden="1" customWidth="1"/>
    <col min="8" max="8" width="9.81640625" hidden="1" customWidth="1"/>
    <col min="10" max="10" width="0" hidden="1" customWidth="1"/>
  </cols>
  <sheetData>
    <row r="1" spans="1:18" ht="72.5" x14ac:dyDescent="0.35">
      <c r="A1" s="10" t="s">
        <v>70</v>
      </c>
      <c r="B1" s="11" t="s">
        <v>71</v>
      </c>
      <c r="C1" s="11" t="s">
        <v>72</v>
      </c>
      <c r="D1" s="10" t="s">
        <v>73</v>
      </c>
      <c r="E1" s="10" t="s">
        <v>74</v>
      </c>
      <c r="F1" s="12" t="s">
        <v>75</v>
      </c>
      <c r="G1" s="12" t="s">
        <v>76</v>
      </c>
      <c r="H1" s="12" t="s">
        <v>77</v>
      </c>
      <c r="I1" s="12" t="s">
        <v>78</v>
      </c>
      <c r="J1" s="13" t="s">
        <v>79</v>
      </c>
      <c r="K1" s="20" t="s">
        <v>83</v>
      </c>
      <c r="M1" s="6" t="s">
        <v>121</v>
      </c>
      <c r="N1" s="6" t="s">
        <v>119</v>
      </c>
      <c r="O1" s="6" t="s">
        <v>120</v>
      </c>
      <c r="P1" s="6" t="s">
        <v>124</v>
      </c>
      <c r="Q1" s="6" t="s">
        <v>123</v>
      </c>
      <c r="R1" s="6" t="s">
        <v>122</v>
      </c>
    </row>
    <row r="2" spans="1:18" ht="20" x14ac:dyDescent="0.35">
      <c r="A2" s="14" t="s">
        <v>80</v>
      </c>
      <c r="B2" s="14" t="s">
        <v>81</v>
      </c>
      <c r="C2" s="14" t="s">
        <v>82</v>
      </c>
      <c r="D2" s="15">
        <v>45110</v>
      </c>
      <c r="E2" s="16">
        <v>0.66666666666666663</v>
      </c>
      <c r="F2" s="19">
        <v>1200</v>
      </c>
      <c r="G2" s="19">
        <v>1200</v>
      </c>
      <c r="H2" s="17"/>
      <c r="I2" s="17">
        <v>8</v>
      </c>
      <c r="J2" s="18"/>
      <c r="K2">
        <f>60/F2</f>
        <v>0.05</v>
      </c>
      <c r="M2">
        <f>AVERAGE(K2:K52)</f>
        <v>6.7631064229883756E-2</v>
      </c>
      <c r="N2">
        <f>AVERAGE(K2:K102)</f>
        <v>7.4884699821875914E-2</v>
      </c>
      <c r="O2" s="42">
        <f>AVERAGE(K2:K152)</f>
        <v>8.3868649946370943E-2</v>
      </c>
      <c r="P2">
        <f>AVERAGE(K2:K162)</f>
        <v>8.6118175058068014E-2</v>
      </c>
      <c r="Q2">
        <f>AVERAGE(K2:K177)</f>
        <v>8.9880825863980801E-2</v>
      </c>
      <c r="R2">
        <f>AVERAGE(K2:K202)</f>
        <v>9.7894667412798897E-2</v>
      </c>
    </row>
    <row r="3" spans="1:18" ht="20" x14ac:dyDescent="0.35">
      <c r="A3" s="14" t="s">
        <v>80</v>
      </c>
      <c r="B3" s="14" t="s">
        <v>81</v>
      </c>
      <c r="C3" s="14" t="s">
        <v>82</v>
      </c>
      <c r="D3" s="15">
        <v>45114</v>
      </c>
      <c r="E3" s="16">
        <v>0.66666666666666663</v>
      </c>
      <c r="F3" s="19">
        <v>1081</v>
      </c>
      <c r="G3" s="19">
        <v>1081</v>
      </c>
      <c r="H3" s="17"/>
      <c r="I3" s="17">
        <v>3</v>
      </c>
      <c r="J3" s="18"/>
      <c r="K3">
        <f>60/F3</f>
        <v>5.5504162812210912E-2</v>
      </c>
    </row>
    <row r="4" spans="1:18" ht="20" x14ac:dyDescent="0.35">
      <c r="A4" s="14" t="s">
        <v>80</v>
      </c>
      <c r="B4" s="14" t="s">
        <v>81</v>
      </c>
      <c r="C4" s="14" t="s">
        <v>82</v>
      </c>
      <c r="D4" s="15">
        <v>45109</v>
      </c>
      <c r="E4" s="16">
        <v>0.66666666666666663</v>
      </c>
      <c r="F4" s="19">
        <v>1056</v>
      </c>
      <c r="G4" s="19">
        <v>1056</v>
      </c>
      <c r="H4" s="17"/>
      <c r="I4" s="17">
        <v>4</v>
      </c>
      <c r="J4" s="18"/>
      <c r="K4">
        <f>60/F4</f>
        <v>5.6818181818181816E-2</v>
      </c>
      <c r="M4" t="s">
        <v>215</v>
      </c>
    </row>
    <row r="5" spans="1:18" ht="20" x14ac:dyDescent="0.35">
      <c r="A5" s="14" t="s">
        <v>80</v>
      </c>
      <c r="B5" s="14" t="s">
        <v>81</v>
      </c>
      <c r="C5" s="14" t="s">
        <v>82</v>
      </c>
      <c r="D5" s="15">
        <v>45132</v>
      </c>
      <c r="E5" s="16">
        <v>0.66666666666666663</v>
      </c>
      <c r="F5" s="19">
        <v>1056</v>
      </c>
      <c r="G5" s="19">
        <v>1056</v>
      </c>
      <c r="H5" s="17"/>
      <c r="I5" s="17">
        <v>3</v>
      </c>
      <c r="J5" s="18"/>
      <c r="K5">
        <f>60/F5</f>
        <v>5.6818181818181816E-2</v>
      </c>
      <c r="M5">
        <f>AVERAGE(K2:K216)</f>
        <v>0.10422326900634432</v>
      </c>
    </row>
    <row r="6" spans="1:18" ht="20" hidden="1" x14ac:dyDescent="0.35">
      <c r="A6" s="14" t="s">
        <v>80</v>
      </c>
      <c r="B6" s="14" t="s">
        <v>81</v>
      </c>
      <c r="C6" s="14" t="s">
        <v>82</v>
      </c>
      <c r="D6" s="15">
        <v>45138</v>
      </c>
      <c r="E6" s="16">
        <v>0.70833333333333337</v>
      </c>
      <c r="F6" s="19">
        <v>1033</v>
      </c>
      <c r="G6" s="19">
        <v>1033</v>
      </c>
      <c r="H6" s="17"/>
      <c r="I6" s="17">
        <v>4</v>
      </c>
      <c r="J6" s="18"/>
      <c r="K6">
        <f>60/F6</f>
        <v>5.8083252662149081E-2</v>
      </c>
      <c r="M6" t="s">
        <v>216</v>
      </c>
    </row>
    <row r="7" spans="1:18" ht="20" hidden="1" x14ac:dyDescent="0.35">
      <c r="A7" s="14" t="s">
        <v>80</v>
      </c>
      <c r="B7" s="14" t="s">
        <v>81</v>
      </c>
      <c r="C7" s="14" t="s">
        <v>82</v>
      </c>
      <c r="D7" s="15">
        <v>45131</v>
      </c>
      <c r="E7" s="16">
        <v>0.70833333333333337</v>
      </c>
      <c r="F7" s="19">
        <v>1031</v>
      </c>
      <c r="G7" s="19">
        <v>1031</v>
      </c>
      <c r="H7" s="17"/>
      <c r="I7" s="17">
        <v>3</v>
      </c>
      <c r="J7" s="18"/>
      <c r="K7">
        <f>60/F7</f>
        <v>5.8195926285160036E-2</v>
      </c>
      <c r="M7">
        <f>AVERAGE(K2:K285)</f>
        <v>0.23845745633285811</v>
      </c>
    </row>
    <row r="8" spans="1:18" ht="20" x14ac:dyDescent="0.35">
      <c r="A8" s="14" t="s">
        <v>80</v>
      </c>
      <c r="B8" s="14" t="s">
        <v>81</v>
      </c>
      <c r="C8" s="14" t="s">
        <v>82</v>
      </c>
      <c r="D8" s="15">
        <v>45112</v>
      </c>
      <c r="E8" s="16">
        <v>0.66666666666666663</v>
      </c>
      <c r="F8" s="19">
        <v>1015</v>
      </c>
      <c r="G8" s="19">
        <v>1015</v>
      </c>
      <c r="H8" s="17"/>
      <c r="I8" s="17">
        <v>3</v>
      </c>
      <c r="J8" s="18"/>
      <c r="K8">
        <f>60/F8</f>
        <v>5.9113300492610835E-2</v>
      </c>
      <c r="M8">
        <f>AVERAGE(K2:K216)</f>
        <v>0.10422326900634432</v>
      </c>
    </row>
    <row r="9" spans="1:18" ht="20" x14ac:dyDescent="0.35">
      <c r="A9" s="14" t="s">
        <v>80</v>
      </c>
      <c r="B9" s="14" t="s">
        <v>81</v>
      </c>
      <c r="C9" s="14" t="s">
        <v>82</v>
      </c>
      <c r="D9" s="15">
        <v>45110</v>
      </c>
      <c r="E9" s="16">
        <v>0.625</v>
      </c>
      <c r="F9" s="17">
        <v>985</v>
      </c>
      <c r="G9" s="17">
        <v>985</v>
      </c>
      <c r="H9" s="17"/>
      <c r="I9" s="17">
        <v>6</v>
      </c>
      <c r="J9" s="18"/>
      <c r="K9">
        <f>60/F9</f>
        <v>6.0913705583756347E-2</v>
      </c>
    </row>
    <row r="10" spans="1:18" ht="20" x14ac:dyDescent="0.35">
      <c r="A10" s="14" t="s">
        <v>80</v>
      </c>
      <c r="B10" s="14" t="s">
        <v>81</v>
      </c>
      <c r="C10" s="14" t="s">
        <v>82</v>
      </c>
      <c r="D10" s="15">
        <v>45126</v>
      </c>
      <c r="E10" s="16">
        <v>0.66666666666666663</v>
      </c>
      <c r="F10" s="17">
        <v>964</v>
      </c>
      <c r="G10" s="17">
        <v>964</v>
      </c>
      <c r="H10" s="17"/>
      <c r="I10" s="17">
        <v>3</v>
      </c>
      <c r="J10" s="18"/>
      <c r="K10">
        <f>60/F10</f>
        <v>6.2240663900414939E-2</v>
      </c>
    </row>
    <row r="11" spans="1:18" ht="20" x14ac:dyDescent="0.35">
      <c r="A11" s="14" t="s">
        <v>80</v>
      </c>
      <c r="B11" s="14" t="s">
        <v>81</v>
      </c>
      <c r="C11" s="14" t="s">
        <v>82</v>
      </c>
      <c r="D11" s="15">
        <v>45120</v>
      </c>
      <c r="E11" s="16">
        <v>0.66666666666666663</v>
      </c>
      <c r="F11" s="17">
        <v>963</v>
      </c>
      <c r="G11" s="17">
        <v>963</v>
      </c>
      <c r="H11" s="17"/>
      <c r="I11" s="17">
        <v>5</v>
      </c>
      <c r="J11" s="18"/>
      <c r="K11">
        <f>60/F11</f>
        <v>6.2305295950155763E-2</v>
      </c>
    </row>
    <row r="12" spans="1:18" ht="20" x14ac:dyDescent="0.35">
      <c r="A12" s="14" t="s">
        <v>80</v>
      </c>
      <c r="B12" s="14" t="s">
        <v>81</v>
      </c>
      <c r="C12" s="14" t="s">
        <v>82</v>
      </c>
      <c r="D12" s="15">
        <v>45113</v>
      </c>
      <c r="E12" s="16">
        <v>0.66666666666666663</v>
      </c>
      <c r="F12" s="17">
        <v>961</v>
      </c>
      <c r="G12" s="17">
        <v>961</v>
      </c>
      <c r="H12" s="17"/>
      <c r="I12" s="17">
        <v>7</v>
      </c>
      <c r="J12" s="18"/>
      <c r="K12">
        <f>60/F12</f>
        <v>6.2434963579604576E-2</v>
      </c>
    </row>
    <row r="13" spans="1:18" ht="20" hidden="1" x14ac:dyDescent="0.35">
      <c r="A13" s="14" t="s">
        <v>80</v>
      </c>
      <c r="B13" s="14" t="s">
        <v>81</v>
      </c>
      <c r="C13" s="14" t="s">
        <v>82</v>
      </c>
      <c r="D13" s="15">
        <v>45125</v>
      </c>
      <c r="E13" s="16">
        <v>0.70833333333333337</v>
      </c>
      <c r="F13" s="17">
        <v>958</v>
      </c>
      <c r="G13" s="17">
        <v>958</v>
      </c>
      <c r="H13" s="17"/>
      <c r="I13" s="17">
        <v>10</v>
      </c>
      <c r="J13" s="18"/>
      <c r="K13">
        <f>60/F13</f>
        <v>6.2630480167014613E-2</v>
      </c>
    </row>
    <row r="14" spans="1:18" ht="20" x14ac:dyDescent="0.35">
      <c r="A14" s="14" t="s">
        <v>80</v>
      </c>
      <c r="B14" s="14" t="s">
        <v>81</v>
      </c>
      <c r="C14" s="14" t="s">
        <v>82</v>
      </c>
      <c r="D14" s="15">
        <v>45100</v>
      </c>
      <c r="E14" s="16">
        <v>0.625</v>
      </c>
      <c r="F14" s="17">
        <v>957</v>
      </c>
      <c r="G14" s="17">
        <v>957</v>
      </c>
      <c r="H14" s="17"/>
      <c r="I14" s="17">
        <v>5</v>
      </c>
      <c r="J14" s="18"/>
      <c r="K14">
        <f>60/F14</f>
        <v>6.2695924764890276E-2</v>
      </c>
    </row>
    <row r="15" spans="1:18" ht="20" x14ac:dyDescent="0.35">
      <c r="A15" s="14" t="s">
        <v>80</v>
      </c>
      <c r="B15" s="14" t="s">
        <v>81</v>
      </c>
      <c r="C15" s="14" t="s">
        <v>82</v>
      </c>
      <c r="D15" s="15">
        <v>45113</v>
      </c>
      <c r="E15" s="16">
        <v>0.625</v>
      </c>
      <c r="F15" s="17">
        <v>950</v>
      </c>
      <c r="G15" s="17">
        <v>950</v>
      </c>
      <c r="H15" s="17"/>
      <c r="I15" s="17">
        <v>3</v>
      </c>
      <c r="J15" s="18"/>
      <c r="K15">
        <f>60/F15</f>
        <v>6.3157894736842107E-2</v>
      </c>
    </row>
    <row r="16" spans="1:18" ht="20" hidden="1" x14ac:dyDescent="0.35">
      <c r="A16" s="14" t="s">
        <v>80</v>
      </c>
      <c r="B16" s="14" t="s">
        <v>81</v>
      </c>
      <c r="C16" s="14" t="s">
        <v>82</v>
      </c>
      <c r="D16" s="15">
        <v>45115</v>
      </c>
      <c r="E16" s="16">
        <v>0.58333333333333337</v>
      </c>
      <c r="F16" s="17">
        <v>928</v>
      </c>
      <c r="G16" s="17">
        <v>928</v>
      </c>
      <c r="H16" s="17"/>
      <c r="I16" s="17">
        <v>3</v>
      </c>
      <c r="J16" s="18"/>
      <c r="K16">
        <f>60/F16</f>
        <v>6.4655172413793108E-2</v>
      </c>
    </row>
    <row r="17" spans="1:11" ht="20" x14ac:dyDescent="0.35">
      <c r="A17" s="14" t="s">
        <v>80</v>
      </c>
      <c r="B17" s="14" t="s">
        <v>81</v>
      </c>
      <c r="C17" s="14" t="s">
        <v>82</v>
      </c>
      <c r="D17" s="15">
        <v>45138</v>
      </c>
      <c r="E17" s="16">
        <v>0.66666666666666663</v>
      </c>
      <c r="F17" s="17">
        <v>925</v>
      </c>
      <c r="G17" s="17">
        <v>925</v>
      </c>
      <c r="H17" s="17"/>
      <c r="I17" s="17">
        <v>13</v>
      </c>
      <c r="J17" s="18"/>
      <c r="K17">
        <f>60/F17</f>
        <v>6.4864864864864868E-2</v>
      </c>
    </row>
    <row r="18" spans="1:11" ht="20" x14ac:dyDescent="0.35">
      <c r="A18" s="14" t="s">
        <v>80</v>
      </c>
      <c r="B18" s="14" t="s">
        <v>81</v>
      </c>
      <c r="C18" s="14" t="s">
        <v>82</v>
      </c>
      <c r="D18" s="15">
        <v>45119</v>
      </c>
      <c r="E18" s="16">
        <v>0.66666666666666663</v>
      </c>
      <c r="F18" s="17">
        <v>918</v>
      </c>
      <c r="G18" s="17">
        <v>918</v>
      </c>
      <c r="H18" s="17"/>
      <c r="I18" s="17">
        <v>3</v>
      </c>
      <c r="J18" s="18"/>
      <c r="K18">
        <f>60/F18</f>
        <v>6.535947712418301E-2</v>
      </c>
    </row>
    <row r="19" spans="1:11" ht="20" x14ac:dyDescent="0.35">
      <c r="A19" s="14" t="s">
        <v>80</v>
      </c>
      <c r="B19" s="14" t="s">
        <v>81</v>
      </c>
      <c r="C19" s="14" t="s">
        <v>82</v>
      </c>
      <c r="D19" s="15">
        <v>45135</v>
      </c>
      <c r="E19" s="16">
        <v>0.66666666666666663</v>
      </c>
      <c r="F19" s="17">
        <v>917</v>
      </c>
      <c r="G19" s="17">
        <v>917</v>
      </c>
      <c r="H19" s="17"/>
      <c r="I19" s="17">
        <v>3</v>
      </c>
      <c r="J19" s="18"/>
      <c r="K19">
        <f>60/F19</f>
        <v>6.5430752453653221E-2</v>
      </c>
    </row>
    <row r="20" spans="1:11" ht="20" x14ac:dyDescent="0.35">
      <c r="A20" s="14" t="s">
        <v>80</v>
      </c>
      <c r="B20" s="14" t="s">
        <v>81</v>
      </c>
      <c r="C20" s="14" t="s">
        <v>82</v>
      </c>
      <c r="D20" s="15">
        <v>45088</v>
      </c>
      <c r="E20" s="16">
        <v>0.625</v>
      </c>
      <c r="F20" s="17">
        <v>913</v>
      </c>
      <c r="G20" s="17">
        <v>913</v>
      </c>
      <c r="H20" s="17"/>
      <c r="I20" s="17">
        <v>4</v>
      </c>
      <c r="J20" s="18"/>
      <c r="K20">
        <f>60/F20</f>
        <v>6.5717415115005479E-2</v>
      </c>
    </row>
    <row r="21" spans="1:11" ht="20" x14ac:dyDescent="0.35">
      <c r="A21" s="14" t="s">
        <v>80</v>
      </c>
      <c r="B21" s="14" t="s">
        <v>81</v>
      </c>
      <c r="C21" s="14" t="s">
        <v>82</v>
      </c>
      <c r="D21" s="15">
        <v>45116</v>
      </c>
      <c r="E21" s="16">
        <v>0.66666666666666663</v>
      </c>
      <c r="F21" s="17">
        <v>909</v>
      </c>
      <c r="G21" s="17">
        <v>909</v>
      </c>
      <c r="H21" s="17"/>
      <c r="I21" s="17">
        <v>9</v>
      </c>
      <c r="J21" s="18"/>
      <c r="K21">
        <f>60/F21</f>
        <v>6.6006600660066E-2</v>
      </c>
    </row>
    <row r="22" spans="1:11" ht="20" x14ac:dyDescent="0.35">
      <c r="A22" s="14" t="s">
        <v>80</v>
      </c>
      <c r="B22" s="14" t="s">
        <v>81</v>
      </c>
      <c r="C22" s="14" t="s">
        <v>82</v>
      </c>
      <c r="D22" s="15">
        <v>45123</v>
      </c>
      <c r="E22" s="16">
        <v>0.625</v>
      </c>
      <c r="F22" s="17">
        <v>907</v>
      </c>
      <c r="G22" s="17">
        <v>907</v>
      </c>
      <c r="H22" s="17"/>
      <c r="I22" s="17">
        <v>4</v>
      </c>
      <c r="J22" s="18"/>
      <c r="K22">
        <f>60/F22</f>
        <v>6.6152149944873215E-2</v>
      </c>
    </row>
    <row r="23" spans="1:11" ht="20" x14ac:dyDescent="0.35">
      <c r="A23" s="14" t="s">
        <v>80</v>
      </c>
      <c r="B23" s="14" t="s">
        <v>81</v>
      </c>
      <c r="C23" s="14" t="s">
        <v>82</v>
      </c>
      <c r="D23" s="15">
        <v>45083</v>
      </c>
      <c r="E23" s="16">
        <v>0.625</v>
      </c>
      <c r="F23" s="17">
        <v>903</v>
      </c>
      <c r="G23" s="17">
        <v>903</v>
      </c>
      <c r="H23" s="17"/>
      <c r="I23" s="17">
        <v>3</v>
      </c>
      <c r="J23" s="18"/>
      <c r="K23">
        <f>60/F23</f>
        <v>6.6445182724252497E-2</v>
      </c>
    </row>
    <row r="24" spans="1:11" ht="20" x14ac:dyDescent="0.35">
      <c r="A24" s="14" t="s">
        <v>80</v>
      </c>
      <c r="B24" s="14" t="s">
        <v>81</v>
      </c>
      <c r="C24" s="14" t="s">
        <v>82</v>
      </c>
      <c r="D24" s="15">
        <v>45081</v>
      </c>
      <c r="E24" s="16">
        <v>0.625</v>
      </c>
      <c r="F24" s="17">
        <v>893</v>
      </c>
      <c r="G24" s="17">
        <v>893</v>
      </c>
      <c r="H24" s="17"/>
      <c r="I24" s="17">
        <v>5</v>
      </c>
      <c r="J24" s="18"/>
      <c r="K24">
        <f>60/F24</f>
        <v>6.7189249720044794E-2</v>
      </c>
    </row>
    <row r="25" spans="1:11" ht="20" x14ac:dyDescent="0.35">
      <c r="A25" s="14" t="s">
        <v>80</v>
      </c>
      <c r="B25" s="14" t="s">
        <v>81</v>
      </c>
      <c r="C25" s="14" t="s">
        <v>82</v>
      </c>
      <c r="D25" s="15">
        <v>45084</v>
      </c>
      <c r="E25" s="16">
        <v>0.625</v>
      </c>
      <c r="F25" s="17">
        <v>891</v>
      </c>
      <c r="G25" s="17">
        <v>0</v>
      </c>
      <c r="H25" s="17">
        <v>891</v>
      </c>
      <c r="I25" s="17"/>
      <c r="J25" s="18">
        <v>3</v>
      </c>
      <c r="K25">
        <f>60/F25</f>
        <v>6.7340067340067339E-2</v>
      </c>
    </row>
    <row r="26" spans="1:11" ht="20" hidden="1" x14ac:dyDescent="0.35">
      <c r="A26" s="14" t="s">
        <v>80</v>
      </c>
      <c r="B26" s="14" t="s">
        <v>81</v>
      </c>
      <c r="C26" s="14" t="s">
        <v>82</v>
      </c>
      <c r="D26" s="15">
        <v>45118</v>
      </c>
      <c r="E26" s="16">
        <v>0.70833333333333337</v>
      </c>
      <c r="F26" s="17">
        <v>890</v>
      </c>
      <c r="G26" s="17">
        <v>890</v>
      </c>
      <c r="H26" s="17"/>
      <c r="I26" s="17">
        <v>4</v>
      </c>
      <c r="J26" s="18"/>
      <c r="K26">
        <f>60/F26</f>
        <v>6.741573033707865E-2</v>
      </c>
    </row>
    <row r="27" spans="1:11" ht="20" x14ac:dyDescent="0.35">
      <c r="A27" s="14" t="s">
        <v>80</v>
      </c>
      <c r="B27" s="14" t="s">
        <v>81</v>
      </c>
      <c r="C27" s="14" t="s">
        <v>82</v>
      </c>
      <c r="D27" s="15">
        <v>45133</v>
      </c>
      <c r="E27" s="16">
        <v>0.66666666666666663</v>
      </c>
      <c r="F27" s="17">
        <v>882</v>
      </c>
      <c r="G27" s="17">
        <v>882</v>
      </c>
      <c r="H27" s="17"/>
      <c r="I27" s="17">
        <v>8</v>
      </c>
      <c r="J27" s="18"/>
      <c r="K27">
        <f>60/F27</f>
        <v>6.8027210884353748E-2</v>
      </c>
    </row>
    <row r="28" spans="1:11" ht="20" x14ac:dyDescent="0.35">
      <c r="A28" s="14" t="s">
        <v>80</v>
      </c>
      <c r="B28" s="14" t="s">
        <v>81</v>
      </c>
      <c r="C28" s="14" t="s">
        <v>82</v>
      </c>
      <c r="D28" s="15">
        <v>45134</v>
      </c>
      <c r="E28" s="16">
        <v>0.66666666666666663</v>
      </c>
      <c r="F28" s="17">
        <v>869</v>
      </c>
      <c r="G28" s="17">
        <v>869</v>
      </c>
      <c r="H28" s="17"/>
      <c r="I28" s="17">
        <v>8</v>
      </c>
      <c r="J28" s="18"/>
      <c r="K28">
        <f>60/F28</f>
        <v>6.9044879171461446E-2</v>
      </c>
    </row>
    <row r="29" spans="1:11" ht="20" x14ac:dyDescent="0.35">
      <c r="A29" s="14" t="s">
        <v>80</v>
      </c>
      <c r="B29" s="14" t="s">
        <v>81</v>
      </c>
      <c r="C29" s="14" t="s">
        <v>82</v>
      </c>
      <c r="D29" s="15">
        <v>45101</v>
      </c>
      <c r="E29" s="16">
        <v>0.625</v>
      </c>
      <c r="F29" s="17">
        <v>861</v>
      </c>
      <c r="G29" s="17">
        <v>861</v>
      </c>
      <c r="H29" s="17"/>
      <c r="I29" s="17">
        <v>5</v>
      </c>
      <c r="J29" s="18"/>
      <c r="K29">
        <f>60/F29</f>
        <v>6.968641114982578E-2</v>
      </c>
    </row>
    <row r="30" spans="1:11" ht="20" x14ac:dyDescent="0.35">
      <c r="A30" s="14" t="s">
        <v>80</v>
      </c>
      <c r="B30" s="14" t="s">
        <v>81</v>
      </c>
      <c r="C30" s="14" t="s">
        <v>82</v>
      </c>
      <c r="D30" s="15">
        <v>45098</v>
      </c>
      <c r="E30" s="16">
        <v>0.66666666666666663</v>
      </c>
      <c r="F30" s="17">
        <v>860</v>
      </c>
      <c r="G30" s="17">
        <v>860</v>
      </c>
      <c r="H30" s="17"/>
      <c r="I30" s="17">
        <v>6</v>
      </c>
      <c r="J30" s="18"/>
      <c r="K30">
        <f>60/F30</f>
        <v>6.9767441860465115E-2</v>
      </c>
    </row>
    <row r="31" spans="1:11" ht="20" x14ac:dyDescent="0.35">
      <c r="A31" s="14" t="s">
        <v>80</v>
      </c>
      <c r="B31" s="14" t="s">
        <v>81</v>
      </c>
      <c r="C31" s="14" t="s">
        <v>82</v>
      </c>
      <c r="D31" s="15">
        <v>45104</v>
      </c>
      <c r="E31" s="16">
        <v>0.66666666666666663</v>
      </c>
      <c r="F31" s="17">
        <v>859</v>
      </c>
      <c r="G31" s="17">
        <v>859</v>
      </c>
      <c r="H31" s="17"/>
      <c r="I31" s="17">
        <v>12</v>
      </c>
      <c r="J31" s="18"/>
      <c r="K31">
        <f>60/F31</f>
        <v>6.9848661233993012E-2</v>
      </c>
    </row>
    <row r="32" spans="1:11" ht="20" x14ac:dyDescent="0.35">
      <c r="A32" s="14" t="s">
        <v>80</v>
      </c>
      <c r="B32" s="14" t="s">
        <v>81</v>
      </c>
      <c r="C32" s="14" t="s">
        <v>82</v>
      </c>
      <c r="D32" s="15">
        <v>45095</v>
      </c>
      <c r="E32" s="16">
        <v>0.66666666666666663</v>
      </c>
      <c r="F32" s="17">
        <v>849</v>
      </c>
      <c r="G32" s="17">
        <v>849</v>
      </c>
      <c r="H32" s="17"/>
      <c r="I32" s="17">
        <v>3</v>
      </c>
      <c r="J32" s="18"/>
      <c r="K32">
        <f>60/F32</f>
        <v>7.0671378091872794E-2</v>
      </c>
    </row>
    <row r="33" spans="1:11" ht="20" x14ac:dyDescent="0.35">
      <c r="A33" s="14" t="s">
        <v>80</v>
      </c>
      <c r="B33" s="14" t="s">
        <v>81</v>
      </c>
      <c r="C33" s="14" t="s">
        <v>82</v>
      </c>
      <c r="D33" s="15">
        <v>45123</v>
      </c>
      <c r="E33" s="16">
        <v>0.66666666666666663</v>
      </c>
      <c r="F33" s="17">
        <v>849</v>
      </c>
      <c r="G33" s="17">
        <v>849</v>
      </c>
      <c r="H33" s="17"/>
      <c r="I33" s="17">
        <v>3</v>
      </c>
      <c r="J33" s="18"/>
      <c r="K33">
        <f>60/F33</f>
        <v>7.0671378091872794E-2</v>
      </c>
    </row>
    <row r="34" spans="1:11" ht="20" x14ac:dyDescent="0.35">
      <c r="A34" s="14" t="s">
        <v>80</v>
      </c>
      <c r="B34" s="14" t="s">
        <v>81</v>
      </c>
      <c r="C34" s="14" t="s">
        <v>82</v>
      </c>
      <c r="D34" s="15">
        <v>45099</v>
      </c>
      <c r="E34" s="16">
        <v>0.66666666666666663</v>
      </c>
      <c r="F34" s="17">
        <v>846</v>
      </c>
      <c r="G34" s="17">
        <v>846</v>
      </c>
      <c r="H34" s="17"/>
      <c r="I34" s="17">
        <v>2</v>
      </c>
      <c r="J34" s="18"/>
      <c r="K34">
        <f>60/F34</f>
        <v>7.0921985815602842E-2</v>
      </c>
    </row>
    <row r="35" spans="1:11" ht="20" x14ac:dyDescent="0.35">
      <c r="A35" s="14" t="s">
        <v>80</v>
      </c>
      <c r="B35" s="14" t="s">
        <v>81</v>
      </c>
      <c r="C35" s="14" t="s">
        <v>82</v>
      </c>
      <c r="D35" s="15">
        <v>45092</v>
      </c>
      <c r="E35" s="16">
        <v>0.66666666666666663</v>
      </c>
      <c r="F35" s="17">
        <v>844</v>
      </c>
      <c r="G35" s="17">
        <v>844</v>
      </c>
      <c r="H35" s="17"/>
      <c r="I35" s="17">
        <v>20</v>
      </c>
      <c r="J35" s="18"/>
      <c r="K35">
        <f>60/F35</f>
        <v>7.1090047393364927E-2</v>
      </c>
    </row>
    <row r="36" spans="1:11" ht="20" x14ac:dyDescent="0.35">
      <c r="A36" s="14" t="s">
        <v>80</v>
      </c>
      <c r="B36" s="14" t="s">
        <v>81</v>
      </c>
      <c r="C36" s="14" t="s">
        <v>82</v>
      </c>
      <c r="D36" s="15">
        <v>45131</v>
      </c>
      <c r="E36" s="16">
        <v>0.66666666666666663</v>
      </c>
      <c r="F36" s="17">
        <v>841</v>
      </c>
      <c r="G36" s="17">
        <v>841</v>
      </c>
      <c r="H36" s="17"/>
      <c r="I36" s="17">
        <v>4</v>
      </c>
      <c r="J36" s="18"/>
      <c r="K36">
        <f>60/F36</f>
        <v>7.1343638525564801E-2</v>
      </c>
    </row>
    <row r="37" spans="1:11" ht="20" x14ac:dyDescent="0.35">
      <c r="A37" s="14" t="s">
        <v>80</v>
      </c>
      <c r="B37" s="14" t="s">
        <v>81</v>
      </c>
      <c r="C37" s="14" t="s">
        <v>82</v>
      </c>
      <c r="D37" s="15">
        <v>45095</v>
      </c>
      <c r="E37" s="16">
        <v>0.625</v>
      </c>
      <c r="F37" s="17">
        <v>840</v>
      </c>
      <c r="G37" s="17">
        <v>840</v>
      </c>
      <c r="H37" s="17"/>
      <c r="I37" s="17">
        <v>3</v>
      </c>
      <c r="J37" s="18"/>
      <c r="K37">
        <f>60/F37</f>
        <v>7.1428571428571425E-2</v>
      </c>
    </row>
    <row r="38" spans="1:11" ht="20" x14ac:dyDescent="0.35">
      <c r="A38" s="14" t="s">
        <v>80</v>
      </c>
      <c r="B38" s="14" t="s">
        <v>81</v>
      </c>
      <c r="C38" s="14" t="s">
        <v>82</v>
      </c>
      <c r="D38" s="15">
        <v>45094</v>
      </c>
      <c r="E38" s="16">
        <v>0.625</v>
      </c>
      <c r="F38" s="17">
        <v>823</v>
      </c>
      <c r="G38" s="17">
        <v>823</v>
      </c>
      <c r="H38" s="17"/>
      <c r="I38" s="17">
        <v>7</v>
      </c>
      <c r="J38" s="18"/>
      <c r="K38">
        <f>60/F38</f>
        <v>7.2904009720534624E-2</v>
      </c>
    </row>
    <row r="39" spans="1:11" ht="20" x14ac:dyDescent="0.35">
      <c r="A39" s="14" t="s">
        <v>80</v>
      </c>
      <c r="B39" s="14" t="s">
        <v>81</v>
      </c>
      <c r="C39" s="14" t="s">
        <v>82</v>
      </c>
      <c r="D39" s="15">
        <v>45124</v>
      </c>
      <c r="E39" s="16">
        <v>0.625</v>
      </c>
      <c r="F39" s="17">
        <v>821</v>
      </c>
      <c r="G39" s="17">
        <v>821</v>
      </c>
      <c r="H39" s="17"/>
      <c r="I39" s="17">
        <v>3</v>
      </c>
      <c r="J39" s="18"/>
      <c r="K39">
        <f>60/F39</f>
        <v>7.3081607795371498E-2</v>
      </c>
    </row>
    <row r="40" spans="1:11" ht="20" x14ac:dyDescent="0.35">
      <c r="A40" s="14" t="s">
        <v>80</v>
      </c>
      <c r="B40" s="14" t="s">
        <v>81</v>
      </c>
      <c r="C40" s="14" t="s">
        <v>82</v>
      </c>
      <c r="D40" s="15">
        <v>45088</v>
      </c>
      <c r="E40" s="16">
        <v>0.66666666666666663</v>
      </c>
      <c r="F40" s="17">
        <v>820</v>
      </c>
      <c r="G40" s="17">
        <v>820</v>
      </c>
      <c r="H40" s="17"/>
      <c r="I40" s="17">
        <v>4</v>
      </c>
      <c r="J40" s="18"/>
      <c r="K40">
        <f>60/F40</f>
        <v>7.3170731707317069E-2</v>
      </c>
    </row>
    <row r="41" spans="1:11" ht="20" x14ac:dyDescent="0.35">
      <c r="A41" s="14" t="s">
        <v>80</v>
      </c>
      <c r="B41" s="14" t="s">
        <v>81</v>
      </c>
      <c r="C41" s="14" t="s">
        <v>82</v>
      </c>
      <c r="D41" s="15">
        <v>45111</v>
      </c>
      <c r="E41" s="16">
        <v>0.625</v>
      </c>
      <c r="F41" s="17">
        <v>818</v>
      </c>
      <c r="G41" s="17">
        <v>818</v>
      </c>
      <c r="H41" s="17"/>
      <c r="I41" s="17">
        <v>3</v>
      </c>
      <c r="J41" s="18"/>
      <c r="K41">
        <f>60/F41</f>
        <v>7.3349633251833746E-2</v>
      </c>
    </row>
    <row r="42" spans="1:11" ht="20" x14ac:dyDescent="0.35">
      <c r="A42" s="14" t="s">
        <v>80</v>
      </c>
      <c r="B42" s="14" t="s">
        <v>81</v>
      </c>
      <c r="C42" s="14" t="s">
        <v>82</v>
      </c>
      <c r="D42" s="15">
        <v>45081</v>
      </c>
      <c r="E42" s="16">
        <v>0.66666666666666663</v>
      </c>
      <c r="F42" s="17">
        <v>808</v>
      </c>
      <c r="G42" s="17">
        <v>808</v>
      </c>
      <c r="H42" s="17"/>
      <c r="I42" s="17">
        <v>4</v>
      </c>
      <c r="J42" s="18"/>
      <c r="K42">
        <f>60/F42</f>
        <v>7.4257425742574254E-2</v>
      </c>
    </row>
    <row r="43" spans="1:11" ht="20" x14ac:dyDescent="0.35">
      <c r="A43" s="14" t="s">
        <v>80</v>
      </c>
      <c r="B43" s="14" t="s">
        <v>81</v>
      </c>
      <c r="C43" s="14" t="s">
        <v>82</v>
      </c>
      <c r="D43" s="15">
        <v>45121</v>
      </c>
      <c r="E43" s="16">
        <v>0.625</v>
      </c>
      <c r="F43" s="17">
        <v>808</v>
      </c>
      <c r="G43" s="17">
        <v>808</v>
      </c>
      <c r="H43" s="17"/>
      <c r="I43" s="17">
        <v>3</v>
      </c>
      <c r="J43" s="18"/>
      <c r="K43">
        <f>60/F43</f>
        <v>7.4257425742574254E-2</v>
      </c>
    </row>
    <row r="44" spans="1:11" ht="20" x14ac:dyDescent="0.35">
      <c r="A44" s="14" t="s">
        <v>80</v>
      </c>
      <c r="B44" s="14" t="s">
        <v>81</v>
      </c>
      <c r="C44" s="14" t="s">
        <v>82</v>
      </c>
      <c r="D44" s="15">
        <v>45111</v>
      </c>
      <c r="E44" s="16">
        <v>0.66666666666666663</v>
      </c>
      <c r="F44" s="17">
        <v>805</v>
      </c>
      <c r="G44" s="17">
        <v>805</v>
      </c>
      <c r="H44" s="17"/>
      <c r="I44" s="17">
        <v>3</v>
      </c>
      <c r="J44" s="18"/>
      <c r="K44">
        <f>60/F44</f>
        <v>7.4534161490683232E-2</v>
      </c>
    </row>
    <row r="45" spans="1:11" ht="20" x14ac:dyDescent="0.35">
      <c r="A45" s="14" t="s">
        <v>80</v>
      </c>
      <c r="B45" s="14" t="s">
        <v>81</v>
      </c>
      <c r="C45" s="14" t="s">
        <v>82</v>
      </c>
      <c r="D45" s="15">
        <v>45136</v>
      </c>
      <c r="E45" s="16">
        <v>0.625</v>
      </c>
      <c r="F45" s="17">
        <v>805</v>
      </c>
      <c r="G45" s="17">
        <v>805</v>
      </c>
      <c r="H45" s="17"/>
      <c r="I45" s="17">
        <v>4</v>
      </c>
      <c r="J45" s="18"/>
      <c r="K45">
        <f>60/F45</f>
        <v>7.4534161490683232E-2</v>
      </c>
    </row>
    <row r="46" spans="1:11" ht="20" hidden="1" x14ac:dyDescent="0.35">
      <c r="A46" s="14" t="s">
        <v>80</v>
      </c>
      <c r="B46" s="14" t="s">
        <v>81</v>
      </c>
      <c r="C46" s="14" t="s">
        <v>82</v>
      </c>
      <c r="D46" s="15">
        <v>45136</v>
      </c>
      <c r="E46" s="16">
        <v>0.70833333333333337</v>
      </c>
      <c r="F46" s="17">
        <v>804</v>
      </c>
      <c r="G46" s="17">
        <v>804</v>
      </c>
      <c r="H46" s="17"/>
      <c r="I46" s="17">
        <v>4</v>
      </c>
      <c r="J46" s="18"/>
      <c r="K46">
        <f>60/F46</f>
        <v>7.4626865671641784E-2</v>
      </c>
    </row>
    <row r="47" spans="1:11" ht="20" x14ac:dyDescent="0.35">
      <c r="A47" s="14" t="s">
        <v>80</v>
      </c>
      <c r="B47" s="14" t="s">
        <v>81</v>
      </c>
      <c r="C47" s="14" t="s">
        <v>82</v>
      </c>
      <c r="D47" s="15">
        <v>45137</v>
      </c>
      <c r="E47" s="16">
        <v>0.66666666666666663</v>
      </c>
      <c r="F47" s="17">
        <v>802</v>
      </c>
      <c r="G47" s="17">
        <v>802</v>
      </c>
      <c r="H47" s="17"/>
      <c r="I47" s="17">
        <v>2</v>
      </c>
      <c r="J47" s="18"/>
      <c r="K47">
        <f>60/F47</f>
        <v>7.4812967581047385E-2</v>
      </c>
    </row>
    <row r="48" spans="1:11" ht="20" x14ac:dyDescent="0.35">
      <c r="A48" s="14" t="s">
        <v>80</v>
      </c>
      <c r="B48" s="14" t="s">
        <v>81</v>
      </c>
      <c r="C48" s="14" t="s">
        <v>82</v>
      </c>
      <c r="D48" s="15">
        <v>45077</v>
      </c>
      <c r="E48" s="16">
        <v>0.625</v>
      </c>
      <c r="F48" s="17">
        <v>799</v>
      </c>
      <c r="G48" s="17">
        <v>799</v>
      </c>
      <c r="H48" s="17"/>
      <c r="I48" s="17">
        <v>8</v>
      </c>
      <c r="J48" s="18"/>
      <c r="K48">
        <f>60/F48</f>
        <v>7.5093867334167716E-2</v>
      </c>
    </row>
    <row r="49" spans="1:11" ht="20" x14ac:dyDescent="0.35">
      <c r="A49" s="14" t="s">
        <v>80</v>
      </c>
      <c r="B49" s="14" t="s">
        <v>81</v>
      </c>
      <c r="C49" s="14" t="s">
        <v>82</v>
      </c>
      <c r="D49" s="15">
        <v>45101</v>
      </c>
      <c r="E49" s="16">
        <v>0.66666666666666663</v>
      </c>
      <c r="F49" s="17">
        <v>792</v>
      </c>
      <c r="G49" s="17">
        <v>792</v>
      </c>
      <c r="H49" s="17"/>
      <c r="I49" s="17">
        <v>7</v>
      </c>
      <c r="J49" s="18"/>
      <c r="K49">
        <f>60/F49</f>
        <v>7.575757575757576E-2</v>
      </c>
    </row>
    <row r="50" spans="1:11" ht="20" x14ac:dyDescent="0.35">
      <c r="A50" s="14" t="s">
        <v>80</v>
      </c>
      <c r="B50" s="14" t="s">
        <v>81</v>
      </c>
      <c r="C50" s="14" t="s">
        <v>82</v>
      </c>
      <c r="D50" s="15">
        <v>45080</v>
      </c>
      <c r="E50" s="16">
        <v>0.66666666666666663</v>
      </c>
      <c r="F50" s="17">
        <v>787</v>
      </c>
      <c r="G50" s="17">
        <v>787</v>
      </c>
      <c r="H50" s="17"/>
      <c r="I50" s="17">
        <v>2</v>
      </c>
      <c r="J50" s="18"/>
      <c r="K50">
        <f>60/F50</f>
        <v>7.6238881829733166E-2</v>
      </c>
    </row>
    <row r="51" spans="1:11" ht="20" x14ac:dyDescent="0.35">
      <c r="A51" s="14" t="s">
        <v>80</v>
      </c>
      <c r="B51" s="14" t="s">
        <v>81</v>
      </c>
      <c r="C51" s="14" t="s">
        <v>82</v>
      </c>
      <c r="D51" s="15">
        <v>45133</v>
      </c>
      <c r="E51" s="16">
        <v>0.625</v>
      </c>
      <c r="F51" s="17">
        <v>787</v>
      </c>
      <c r="G51" s="17">
        <v>787</v>
      </c>
      <c r="H51" s="17"/>
      <c r="I51" s="17">
        <v>6</v>
      </c>
      <c r="J51" s="18"/>
      <c r="K51">
        <f>60/F51</f>
        <v>7.6238881829733166E-2</v>
      </c>
    </row>
    <row r="52" spans="1:11" ht="20" hidden="1" x14ac:dyDescent="0.35">
      <c r="A52" s="14" t="s">
        <v>80</v>
      </c>
      <c r="B52" s="14" t="s">
        <v>81</v>
      </c>
      <c r="C52" s="14" t="s">
        <v>82</v>
      </c>
      <c r="D52" s="15">
        <v>45119</v>
      </c>
      <c r="E52" s="16">
        <v>0.58333333333333337</v>
      </c>
      <c r="F52" s="17">
        <v>786</v>
      </c>
      <c r="G52" s="17">
        <v>786</v>
      </c>
      <c r="H52" s="17"/>
      <c r="I52" s="17">
        <v>3</v>
      </c>
      <c r="J52" s="18"/>
      <c r="K52">
        <f>60/F52</f>
        <v>7.6335877862595422E-2</v>
      </c>
    </row>
    <row r="53" spans="1:11" ht="20" x14ac:dyDescent="0.35">
      <c r="A53" s="14" t="s">
        <v>80</v>
      </c>
      <c r="B53" s="14" t="s">
        <v>81</v>
      </c>
      <c r="C53" s="14" t="s">
        <v>82</v>
      </c>
      <c r="D53" s="15">
        <v>45099</v>
      </c>
      <c r="E53" s="16">
        <v>0.625</v>
      </c>
      <c r="F53" s="17">
        <v>784</v>
      </c>
      <c r="G53" s="17">
        <v>784</v>
      </c>
      <c r="H53" s="17"/>
      <c r="I53" s="17">
        <v>3</v>
      </c>
      <c r="J53" s="18"/>
      <c r="K53">
        <f>60/F53</f>
        <v>7.6530612244897961E-2</v>
      </c>
    </row>
    <row r="54" spans="1:11" ht="20" x14ac:dyDescent="0.35">
      <c r="A54" s="14" t="s">
        <v>80</v>
      </c>
      <c r="B54" s="14" t="s">
        <v>81</v>
      </c>
      <c r="C54" s="14" t="s">
        <v>82</v>
      </c>
      <c r="D54" s="15">
        <v>45078</v>
      </c>
      <c r="E54" s="16">
        <v>0.625</v>
      </c>
      <c r="F54" s="17">
        <v>780</v>
      </c>
      <c r="G54" s="17">
        <v>780</v>
      </c>
      <c r="H54" s="17"/>
      <c r="I54" s="17">
        <v>3</v>
      </c>
      <c r="J54" s="18"/>
      <c r="K54">
        <f>60/F54</f>
        <v>7.6923076923076927E-2</v>
      </c>
    </row>
    <row r="55" spans="1:11" ht="20" x14ac:dyDescent="0.35">
      <c r="A55" s="14" t="s">
        <v>80</v>
      </c>
      <c r="B55" s="14" t="s">
        <v>81</v>
      </c>
      <c r="C55" s="14" t="s">
        <v>82</v>
      </c>
      <c r="D55" s="15">
        <v>45096</v>
      </c>
      <c r="E55" s="16">
        <v>0.66666666666666663</v>
      </c>
      <c r="F55" s="17">
        <v>780</v>
      </c>
      <c r="G55" s="17">
        <v>780</v>
      </c>
      <c r="H55" s="17"/>
      <c r="I55" s="17">
        <v>4</v>
      </c>
      <c r="J55" s="18"/>
      <c r="K55">
        <f>60/F55</f>
        <v>7.6923076923076927E-2</v>
      </c>
    </row>
    <row r="56" spans="1:11" ht="20" x14ac:dyDescent="0.35">
      <c r="A56" s="14" t="s">
        <v>80</v>
      </c>
      <c r="B56" s="14" t="s">
        <v>81</v>
      </c>
      <c r="C56" s="14" t="s">
        <v>82</v>
      </c>
      <c r="D56" s="15">
        <v>45102</v>
      </c>
      <c r="E56" s="16">
        <v>0.625</v>
      </c>
      <c r="F56" s="17">
        <v>780</v>
      </c>
      <c r="G56" s="17">
        <v>780</v>
      </c>
      <c r="H56" s="17"/>
      <c r="I56" s="17">
        <v>4</v>
      </c>
      <c r="J56" s="18"/>
      <c r="K56">
        <f>60/F56</f>
        <v>7.6923076923076927E-2</v>
      </c>
    </row>
    <row r="57" spans="1:11" ht="20" x14ac:dyDescent="0.35">
      <c r="A57" s="14" t="s">
        <v>80</v>
      </c>
      <c r="B57" s="14" t="s">
        <v>81</v>
      </c>
      <c r="C57" s="14" t="s">
        <v>82</v>
      </c>
      <c r="D57" s="15">
        <v>45125</v>
      </c>
      <c r="E57" s="16">
        <v>0.66666666666666663</v>
      </c>
      <c r="F57" s="17">
        <v>779</v>
      </c>
      <c r="G57" s="17">
        <v>779</v>
      </c>
      <c r="H57" s="17"/>
      <c r="I57" s="17">
        <v>8</v>
      </c>
      <c r="J57" s="18"/>
      <c r="K57">
        <f>60/F57</f>
        <v>7.702182284980745E-2</v>
      </c>
    </row>
    <row r="58" spans="1:11" ht="20" x14ac:dyDescent="0.35">
      <c r="A58" s="14" t="s">
        <v>80</v>
      </c>
      <c r="B58" s="14" t="s">
        <v>81</v>
      </c>
      <c r="C58" s="14" t="s">
        <v>82</v>
      </c>
      <c r="D58" s="15">
        <v>45121</v>
      </c>
      <c r="E58" s="16">
        <v>0.66666666666666663</v>
      </c>
      <c r="F58" s="17">
        <v>777</v>
      </c>
      <c r="G58" s="17">
        <v>777</v>
      </c>
      <c r="H58" s="17"/>
      <c r="I58" s="17">
        <v>2</v>
      </c>
      <c r="J58" s="18"/>
      <c r="K58">
        <f>60/F58</f>
        <v>7.7220077220077218E-2</v>
      </c>
    </row>
    <row r="59" spans="1:11" ht="20" x14ac:dyDescent="0.35">
      <c r="A59" s="14" t="s">
        <v>80</v>
      </c>
      <c r="B59" s="14" t="s">
        <v>81</v>
      </c>
      <c r="C59" s="14" t="s">
        <v>82</v>
      </c>
      <c r="D59" s="15">
        <v>45103</v>
      </c>
      <c r="E59" s="16">
        <v>0.625</v>
      </c>
      <c r="F59" s="17">
        <v>775</v>
      </c>
      <c r="G59" s="17">
        <v>775</v>
      </c>
      <c r="H59" s="17"/>
      <c r="I59" s="17">
        <v>6</v>
      </c>
      <c r="J59" s="18"/>
      <c r="K59">
        <f>60/F59</f>
        <v>7.7419354838709681E-2</v>
      </c>
    </row>
    <row r="60" spans="1:11" ht="20" x14ac:dyDescent="0.35">
      <c r="A60" s="14" t="s">
        <v>80</v>
      </c>
      <c r="B60" s="14" t="s">
        <v>81</v>
      </c>
      <c r="C60" s="14" t="s">
        <v>82</v>
      </c>
      <c r="D60" s="15">
        <v>45130</v>
      </c>
      <c r="E60" s="16">
        <v>0.625</v>
      </c>
      <c r="F60" s="17">
        <v>775</v>
      </c>
      <c r="G60" s="17">
        <v>775</v>
      </c>
      <c r="H60" s="17"/>
      <c r="I60" s="17">
        <v>4</v>
      </c>
      <c r="J60" s="18"/>
      <c r="K60">
        <f>60/F60</f>
        <v>7.7419354838709681E-2</v>
      </c>
    </row>
    <row r="61" spans="1:11" ht="20" x14ac:dyDescent="0.35">
      <c r="A61" s="14" t="s">
        <v>80</v>
      </c>
      <c r="B61" s="14" t="s">
        <v>81</v>
      </c>
      <c r="C61" s="14" t="s">
        <v>82</v>
      </c>
      <c r="D61" s="15">
        <v>45106</v>
      </c>
      <c r="E61" s="16">
        <v>0.66666666666666663</v>
      </c>
      <c r="F61" s="17">
        <v>773</v>
      </c>
      <c r="G61" s="17">
        <v>773</v>
      </c>
      <c r="H61" s="17"/>
      <c r="I61" s="17">
        <v>8</v>
      </c>
      <c r="J61" s="18"/>
      <c r="K61">
        <f>60/F61</f>
        <v>7.7619663648124185E-2</v>
      </c>
    </row>
    <row r="62" spans="1:11" ht="20" x14ac:dyDescent="0.35">
      <c r="A62" s="14" t="s">
        <v>80</v>
      </c>
      <c r="B62" s="14" t="s">
        <v>81</v>
      </c>
      <c r="C62" s="14" t="s">
        <v>82</v>
      </c>
      <c r="D62" s="15">
        <v>45115</v>
      </c>
      <c r="E62" s="16">
        <v>0.625</v>
      </c>
      <c r="F62" s="17">
        <v>772</v>
      </c>
      <c r="G62" s="17">
        <v>772</v>
      </c>
      <c r="H62" s="17"/>
      <c r="I62" s="17">
        <v>6</v>
      </c>
      <c r="J62" s="18"/>
      <c r="K62">
        <f>60/F62</f>
        <v>7.7720207253886009E-2</v>
      </c>
    </row>
    <row r="63" spans="1:11" ht="20" x14ac:dyDescent="0.35">
      <c r="A63" s="14" t="s">
        <v>80</v>
      </c>
      <c r="B63" s="14" t="s">
        <v>81</v>
      </c>
      <c r="C63" s="14" t="s">
        <v>82</v>
      </c>
      <c r="D63" s="15">
        <v>45090</v>
      </c>
      <c r="E63" s="16">
        <v>0.625</v>
      </c>
      <c r="F63" s="17">
        <v>768</v>
      </c>
      <c r="G63" s="17">
        <v>768</v>
      </c>
      <c r="H63" s="17"/>
      <c r="I63" s="17">
        <v>9</v>
      </c>
      <c r="J63" s="18"/>
      <c r="K63">
        <f>60/F63</f>
        <v>7.8125E-2</v>
      </c>
    </row>
    <row r="64" spans="1:11" ht="20" hidden="1" x14ac:dyDescent="0.35">
      <c r="A64" s="14" t="s">
        <v>80</v>
      </c>
      <c r="B64" s="14" t="s">
        <v>81</v>
      </c>
      <c r="C64" s="14" t="s">
        <v>82</v>
      </c>
      <c r="D64" s="15">
        <v>45094</v>
      </c>
      <c r="E64" s="16">
        <v>0.58333333333333337</v>
      </c>
      <c r="F64" s="17">
        <v>767</v>
      </c>
      <c r="G64" s="17">
        <v>767</v>
      </c>
      <c r="H64" s="17"/>
      <c r="I64" s="17">
        <v>5</v>
      </c>
      <c r="J64" s="18"/>
      <c r="K64">
        <f>60/F64</f>
        <v>7.822685788787484E-2</v>
      </c>
    </row>
    <row r="65" spans="1:11" ht="20" x14ac:dyDescent="0.35">
      <c r="A65" s="14" t="s">
        <v>80</v>
      </c>
      <c r="B65" s="14" t="s">
        <v>81</v>
      </c>
      <c r="C65" s="14" t="s">
        <v>82</v>
      </c>
      <c r="D65" s="15">
        <v>45117</v>
      </c>
      <c r="E65" s="16">
        <v>0.66666666666666663</v>
      </c>
      <c r="F65" s="17">
        <v>764</v>
      </c>
      <c r="G65" s="17">
        <v>764</v>
      </c>
      <c r="H65" s="17"/>
      <c r="I65" s="17">
        <v>3</v>
      </c>
      <c r="J65" s="18"/>
      <c r="K65">
        <f>60/F65</f>
        <v>7.8534031413612565E-2</v>
      </c>
    </row>
    <row r="66" spans="1:11" ht="20" x14ac:dyDescent="0.35">
      <c r="A66" s="14" t="s">
        <v>80</v>
      </c>
      <c r="B66" s="14" t="s">
        <v>81</v>
      </c>
      <c r="C66" s="14" t="s">
        <v>82</v>
      </c>
      <c r="D66" s="15">
        <v>45097</v>
      </c>
      <c r="E66" s="16">
        <v>0.66666666666666663</v>
      </c>
      <c r="F66" s="17">
        <v>763</v>
      </c>
      <c r="G66" s="17">
        <v>763</v>
      </c>
      <c r="H66" s="17"/>
      <c r="I66" s="17">
        <v>2</v>
      </c>
      <c r="J66" s="18"/>
      <c r="K66">
        <f>60/F66</f>
        <v>7.8636959370904327E-2</v>
      </c>
    </row>
    <row r="67" spans="1:11" ht="20" hidden="1" x14ac:dyDescent="0.35">
      <c r="A67" s="14" t="s">
        <v>80</v>
      </c>
      <c r="B67" s="14" t="s">
        <v>81</v>
      </c>
      <c r="C67" s="14" t="s">
        <v>82</v>
      </c>
      <c r="D67" s="15">
        <v>45098</v>
      </c>
      <c r="E67" s="16">
        <v>0.58333333333333337</v>
      </c>
      <c r="F67" s="17">
        <v>762</v>
      </c>
      <c r="G67" s="17">
        <v>762</v>
      </c>
      <c r="H67" s="17"/>
      <c r="I67" s="17">
        <v>4</v>
      </c>
      <c r="J67" s="18"/>
      <c r="K67">
        <f>60/F67</f>
        <v>7.874015748031496E-2</v>
      </c>
    </row>
    <row r="68" spans="1:11" ht="20" x14ac:dyDescent="0.35">
      <c r="A68" s="14" t="s">
        <v>80</v>
      </c>
      <c r="B68" s="14" t="s">
        <v>81</v>
      </c>
      <c r="C68" s="14" t="s">
        <v>82</v>
      </c>
      <c r="D68" s="15">
        <v>45122</v>
      </c>
      <c r="E68" s="16">
        <v>0.625</v>
      </c>
      <c r="F68" s="17">
        <v>762</v>
      </c>
      <c r="G68" s="17">
        <v>762</v>
      </c>
      <c r="H68" s="17"/>
      <c r="I68" s="17">
        <v>3</v>
      </c>
      <c r="J68" s="18"/>
      <c r="K68">
        <f>60/F68</f>
        <v>7.874015748031496E-2</v>
      </c>
    </row>
    <row r="69" spans="1:11" ht="20" x14ac:dyDescent="0.35">
      <c r="A69" s="14" t="s">
        <v>80</v>
      </c>
      <c r="B69" s="14" t="s">
        <v>81</v>
      </c>
      <c r="C69" s="14" t="s">
        <v>82</v>
      </c>
      <c r="D69" s="15">
        <v>45134</v>
      </c>
      <c r="E69" s="16">
        <v>0.625</v>
      </c>
      <c r="F69" s="17">
        <v>762</v>
      </c>
      <c r="G69" s="17">
        <v>762</v>
      </c>
      <c r="H69" s="17"/>
      <c r="I69" s="17">
        <v>9</v>
      </c>
      <c r="J69" s="18"/>
      <c r="K69">
        <f>60/F69</f>
        <v>7.874015748031496E-2</v>
      </c>
    </row>
    <row r="70" spans="1:11" ht="20" x14ac:dyDescent="0.35">
      <c r="A70" s="14" t="s">
        <v>80</v>
      </c>
      <c r="B70" s="14" t="s">
        <v>81</v>
      </c>
      <c r="C70" s="14" t="s">
        <v>82</v>
      </c>
      <c r="D70" s="15">
        <v>45109</v>
      </c>
      <c r="E70" s="16">
        <v>0.625</v>
      </c>
      <c r="F70" s="17">
        <v>758</v>
      </c>
      <c r="G70" s="17">
        <v>758</v>
      </c>
      <c r="H70" s="17"/>
      <c r="I70" s="17">
        <v>3</v>
      </c>
      <c r="J70" s="18"/>
      <c r="K70">
        <f>60/F70</f>
        <v>7.9155672823219003E-2</v>
      </c>
    </row>
    <row r="71" spans="1:11" ht="20" x14ac:dyDescent="0.35">
      <c r="A71" s="14" t="s">
        <v>80</v>
      </c>
      <c r="B71" s="14" t="s">
        <v>81</v>
      </c>
      <c r="C71" s="14" t="s">
        <v>82</v>
      </c>
      <c r="D71" s="15">
        <v>45087</v>
      </c>
      <c r="E71" s="16">
        <v>0.625</v>
      </c>
      <c r="F71" s="17">
        <v>757</v>
      </c>
      <c r="G71" s="17">
        <v>757</v>
      </c>
      <c r="H71" s="17"/>
      <c r="I71" s="17">
        <v>4</v>
      </c>
      <c r="J71" s="18"/>
      <c r="K71">
        <f>60/F71</f>
        <v>7.9260237780713338E-2</v>
      </c>
    </row>
    <row r="72" spans="1:11" ht="20" x14ac:dyDescent="0.35">
      <c r="A72" s="14" t="s">
        <v>80</v>
      </c>
      <c r="B72" s="14" t="s">
        <v>81</v>
      </c>
      <c r="C72" s="14" t="s">
        <v>82</v>
      </c>
      <c r="D72" s="15">
        <v>45107</v>
      </c>
      <c r="E72" s="16">
        <v>0.625</v>
      </c>
      <c r="F72" s="17">
        <v>752</v>
      </c>
      <c r="G72" s="17">
        <v>752</v>
      </c>
      <c r="H72" s="17"/>
      <c r="I72" s="17">
        <v>3</v>
      </c>
      <c r="J72" s="18"/>
      <c r="K72">
        <f>60/F72</f>
        <v>7.9787234042553196E-2</v>
      </c>
    </row>
    <row r="73" spans="1:11" ht="20" x14ac:dyDescent="0.35">
      <c r="A73" s="14" t="s">
        <v>80</v>
      </c>
      <c r="B73" s="14" t="s">
        <v>81</v>
      </c>
      <c r="C73" s="14" t="s">
        <v>82</v>
      </c>
      <c r="D73" s="15">
        <v>45129</v>
      </c>
      <c r="E73" s="16">
        <v>0.66666666666666663</v>
      </c>
      <c r="F73" s="17">
        <v>751</v>
      </c>
      <c r="G73" s="17">
        <v>751</v>
      </c>
      <c r="H73" s="17"/>
      <c r="I73" s="17">
        <v>4</v>
      </c>
      <c r="J73" s="18"/>
      <c r="K73">
        <f>60/F73</f>
        <v>7.9893475366178426E-2</v>
      </c>
    </row>
    <row r="74" spans="1:11" ht="20" x14ac:dyDescent="0.35">
      <c r="A74" s="14" t="s">
        <v>80</v>
      </c>
      <c r="B74" s="14" t="s">
        <v>81</v>
      </c>
      <c r="C74" s="14" t="s">
        <v>82</v>
      </c>
      <c r="D74" s="15">
        <v>45131</v>
      </c>
      <c r="E74" s="16">
        <v>0.625</v>
      </c>
      <c r="F74" s="17">
        <v>750</v>
      </c>
      <c r="G74" s="17">
        <v>750</v>
      </c>
      <c r="H74" s="17"/>
      <c r="I74" s="17">
        <v>4</v>
      </c>
      <c r="J74" s="18"/>
      <c r="K74">
        <f>60/F74</f>
        <v>0.08</v>
      </c>
    </row>
    <row r="75" spans="1:11" ht="20" x14ac:dyDescent="0.35">
      <c r="A75" s="14" t="s">
        <v>80</v>
      </c>
      <c r="B75" s="14" t="s">
        <v>81</v>
      </c>
      <c r="C75" s="14" t="s">
        <v>82</v>
      </c>
      <c r="D75" s="15">
        <v>45080</v>
      </c>
      <c r="E75" s="16">
        <v>0.625</v>
      </c>
      <c r="F75" s="17">
        <v>749</v>
      </c>
      <c r="G75" s="17">
        <v>749</v>
      </c>
      <c r="H75" s="17"/>
      <c r="I75" s="17">
        <v>3</v>
      </c>
      <c r="J75" s="18"/>
      <c r="K75">
        <f>60/F75</f>
        <v>8.0106809078771699E-2</v>
      </c>
    </row>
    <row r="76" spans="1:11" ht="20" x14ac:dyDescent="0.35">
      <c r="A76" s="14" t="s">
        <v>80</v>
      </c>
      <c r="B76" s="14" t="s">
        <v>81</v>
      </c>
      <c r="C76" s="14" t="s">
        <v>82</v>
      </c>
      <c r="D76" s="15">
        <v>45126</v>
      </c>
      <c r="E76" s="16">
        <v>0.625</v>
      </c>
      <c r="F76" s="17">
        <v>746</v>
      </c>
      <c r="G76" s="17">
        <v>746</v>
      </c>
      <c r="H76" s="17"/>
      <c r="I76" s="17">
        <v>3</v>
      </c>
      <c r="J76" s="18"/>
      <c r="K76">
        <f>60/F76</f>
        <v>8.0428954423592491E-2</v>
      </c>
    </row>
    <row r="77" spans="1:11" ht="20" x14ac:dyDescent="0.35">
      <c r="A77" s="14" t="s">
        <v>80</v>
      </c>
      <c r="B77" s="14" t="s">
        <v>81</v>
      </c>
      <c r="C77" s="14" t="s">
        <v>82</v>
      </c>
      <c r="D77" s="15">
        <v>45105</v>
      </c>
      <c r="E77" s="16">
        <v>0.66666666666666663</v>
      </c>
      <c r="F77" s="17">
        <v>741</v>
      </c>
      <c r="G77" s="17">
        <v>741</v>
      </c>
      <c r="H77" s="17"/>
      <c r="I77" s="17">
        <v>2</v>
      </c>
      <c r="J77" s="18"/>
      <c r="K77">
        <f>60/F77</f>
        <v>8.0971659919028341E-2</v>
      </c>
    </row>
    <row r="78" spans="1:11" ht="20" x14ac:dyDescent="0.35">
      <c r="A78" s="14" t="s">
        <v>80</v>
      </c>
      <c r="B78" s="14" t="s">
        <v>81</v>
      </c>
      <c r="C78" s="14" t="s">
        <v>82</v>
      </c>
      <c r="D78" s="15">
        <v>45127</v>
      </c>
      <c r="E78" s="16">
        <v>0.66666666666666663</v>
      </c>
      <c r="F78" s="17">
        <v>741</v>
      </c>
      <c r="G78" s="17">
        <v>741</v>
      </c>
      <c r="H78" s="17"/>
      <c r="I78" s="17">
        <v>5</v>
      </c>
      <c r="J78" s="18"/>
      <c r="K78">
        <f>60/F78</f>
        <v>8.0971659919028341E-2</v>
      </c>
    </row>
    <row r="79" spans="1:11" ht="20" hidden="1" x14ac:dyDescent="0.35">
      <c r="A79" s="14" t="s">
        <v>80</v>
      </c>
      <c r="B79" s="14" t="s">
        <v>81</v>
      </c>
      <c r="C79" s="14" t="s">
        <v>82</v>
      </c>
      <c r="D79" s="15">
        <v>45130</v>
      </c>
      <c r="E79" s="16">
        <v>0.70833333333333337</v>
      </c>
      <c r="F79" s="17">
        <v>734</v>
      </c>
      <c r="G79" s="17">
        <v>734</v>
      </c>
      <c r="H79" s="17"/>
      <c r="I79" s="17">
        <v>4</v>
      </c>
      <c r="J79" s="18"/>
      <c r="K79">
        <f>60/F79</f>
        <v>8.1743869209809264E-2</v>
      </c>
    </row>
    <row r="80" spans="1:11" ht="20" hidden="1" x14ac:dyDescent="0.35">
      <c r="A80" s="14" t="s">
        <v>80</v>
      </c>
      <c r="B80" s="14" t="s">
        <v>81</v>
      </c>
      <c r="C80" s="14" t="s">
        <v>82</v>
      </c>
      <c r="D80" s="15">
        <v>45111</v>
      </c>
      <c r="E80" s="16">
        <v>0.54166666666666663</v>
      </c>
      <c r="F80" s="17">
        <v>733</v>
      </c>
      <c r="G80" s="17">
        <v>733</v>
      </c>
      <c r="H80" s="17"/>
      <c r="I80" s="17">
        <v>2</v>
      </c>
      <c r="J80" s="18"/>
      <c r="K80">
        <f>60/F80</f>
        <v>8.1855388813096869E-2</v>
      </c>
    </row>
    <row r="81" spans="1:11" ht="20" x14ac:dyDescent="0.35">
      <c r="A81" s="14" t="s">
        <v>80</v>
      </c>
      <c r="B81" s="14" t="s">
        <v>81</v>
      </c>
      <c r="C81" s="14" t="s">
        <v>82</v>
      </c>
      <c r="D81" s="15">
        <v>45089</v>
      </c>
      <c r="E81" s="16">
        <v>0.625</v>
      </c>
      <c r="F81" s="17">
        <v>729</v>
      </c>
      <c r="G81" s="17">
        <v>729</v>
      </c>
      <c r="H81" s="17"/>
      <c r="I81" s="17">
        <v>3</v>
      </c>
      <c r="J81" s="18"/>
      <c r="K81">
        <f>60/F81</f>
        <v>8.2304526748971193E-2</v>
      </c>
    </row>
    <row r="82" spans="1:11" ht="20" x14ac:dyDescent="0.35">
      <c r="A82" s="14" t="s">
        <v>80</v>
      </c>
      <c r="B82" s="14" t="s">
        <v>81</v>
      </c>
      <c r="C82" s="14" t="s">
        <v>82</v>
      </c>
      <c r="D82" s="15">
        <v>45129</v>
      </c>
      <c r="E82" s="16">
        <v>0.625</v>
      </c>
      <c r="F82" s="17">
        <v>727</v>
      </c>
      <c r="G82" s="17">
        <v>727</v>
      </c>
      <c r="H82" s="17"/>
      <c r="I82" s="17">
        <v>3</v>
      </c>
      <c r="J82" s="18"/>
      <c r="K82">
        <f>60/F82</f>
        <v>8.2530949105914714E-2</v>
      </c>
    </row>
    <row r="83" spans="1:11" ht="20" x14ac:dyDescent="0.35">
      <c r="A83" s="14" t="s">
        <v>80</v>
      </c>
      <c r="B83" s="14" t="s">
        <v>81</v>
      </c>
      <c r="C83" s="14" t="s">
        <v>82</v>
      </c>
      <c r="D83" s="15">
        <v>45082</v>
      </c>
      <c r="E83" s="16">
        <v>0.66666666666666663</v>
      </c>
      <c r="F83" s="17">
        <v>720</v>
      </c>
      <c r="G83" s="17">
        <v>720</v>
      </c>
      <c r="H83" s="17"/>
      <c r="I83" s="17">
        <v>12</v>
      </c>
      <c r="J83" s="18"/>
      <c r="K83">
        <f>60/F83</f>
        <v>8.3333333333333329E-2</v>
      </c>
    </row>
    <row r="84" spans="1:11" ht="20" hidden="1" x14ac:dyDescent="0.35">
      <c r="A84" s="14" t="s">
        <v>80</v>
      </c>
      <c r="B84" s="14" t="s">
        <v>81</v>
      </c>
      <c r="C84" s="14" t="s">
        <v>82</v>
      </c>
      <c r="D84" s="15">
        <v>45137</v>
      </c>
      <c r="E84" s="16">
        <v>0.70833333333333337</v>
      </c>
      <c r="F84" s="17">
        <v>716</v>
      </c>
      <c r="G84" s="17">
        <v>716</v>
      </c>
      <c r="H84" s="17"/>
      <c r="I84" s="17">
        <v>2</v>
      </c>
      <c r="J84" s="18"/>
      <c r="K84">
        <f>60/F84</f>
        <v>8.3798882681564241E-2</v>
      </c>
    </row>
    <row r="85" spans="1:11" ht="20" x14ac:dyDescent="0.35">
      <c r="A85" s="14" t="s">
        <v>80</v>
      </c>
      <c r="B85" s="14" t="s">
        <v>81</v>
      </c>
      <c r="C85" s="14" t="s">
        <v>82</v>
      </c>
      <c r="D85" s="15">
        <v>45079</v>
      </c>
      <c r="E85" s="16">
        <v>0.66666666666666663</v>
      </c>
      <c r="F85" s="17">
        <v>712</v>
      </c>
      <c r="G85" s="17">
        <v>712</v>
      </c>
      <c r="H85" s="17"/>
      <c r="I85" s="17">
        <v>3</v>
      </c>
      <c r="J85" s="18"/>
      <c r="K85">
        <f>60/F85</f>
        <v>8.4269662921348312E-2</v>
      </c>
    </row>
    <row r="86" spans="1:11" ht="20" x14ac:dyDescent="0.35">
      <c r="A86" s="14" t="s">
        <v>80</v>
      </c>
      <c r="B86" s="14" t="s">
        <v>81</v>
      </c>
      <c r="C86" s="14" t="s">
        <v>82</v>
      </c>
      <c r="D86" s="15">
        <v>45091</v>
      </c>
      <c r="E86" s="16">
        <v>0.625</v>
      </c>
      <c r="F86" s="17">
        <v>703</v>
      </c>
      <c r="G86" s="17">
        <v>703</v>
      </c>
      <c r="H86" s="17"/>
      <c r="I86" s="17">
        <v>16</v>
      </c>
      <c r="J86" s="18"/>
      <c r="K86">
        <f>60/F86</f>
        <v>8.5348506401137975E-2</v>
      </c>
    </row>
    <row r="87" spans="1:11" ht="20" x14ac:dyDescent="0.35">
      <c r="A87" s="14" t="s">
        <v>80</v>
      </c>
      <c r="B87" s="14" t="s">
        <v>81</v>
      </c>
      <c r="C87" s="14" t="s">
        <v>82</v>
      </c>
      <c r="D87" s="15">
        <v>45093</v>
      </c>
      <c r="E87" s="16">
        <v>0.66666666666666663</v>
      </c>
      <c r="F87" s="17">
        <v>700</v>
      </c>
      <c r="G87" s="17">
        <v>700</v>
      </c>
      <c r="H87" s="17"/>
      <c r="I87" s="17">
        <v>13</v>
      </c>
      <c r="J87" s="18"/>
      <c r="K87">
        <f>60/F87</f>
        <v>8.5714285714285715E-2</v>
      </c>
    </row>
    <row r="88" spans="1:11" ht="20" x14ac:dyDescent="0.35">
      <c r="A88" s="14" t="s">
        <v>80</v>
      </c>
      <c r="B88" s="14" t="s">
        <v>81</v>
      </c>
      <c r="C88" s="14" t="s">
        <v>82</v>
      </c>
      <c r="D88" s="15">
        <v>45122</v>
      </c>
      <c r="E88" s="16">
        <v>0.66666666666666663</v>
      </c>
      <c r="F88" s="17">
        <v>699</v>
      </c>
      <c r="G88" s="17">
        <v>699</v>
      </c>
      <c r="H88" s="17"/>
      <c r="I88" s="17">
        <v>3</v>
      </c>
      <c r="J88" s="18"/>
      <c r="K88">
        <f>60/F88</f>
        <v>8.5836909871244635E-2</v>
      </c>
    </row>
    <row r="89" spans="1:11" ht="20" hidden="1" x14ac:dyDescent="0.35">
      <c r="A89" s="14" t="s">
        <v>80</v>
      </c>
      <c r="B89" s="14" t="s">
        <v>81</v>
      </c>
      <c r="C89" s="14" t="s">
        <v>82</v>
      </c>
      <c r="D89" s="15">
        <v>45129</v>
      </c>
      <c r="E89" s="16">
        <v>0.70833333333333337</v>
      </c>
      <c r="F89" s="17">
        <v>696</v>
      </c>
      <c r="G89" s="17">
        <v>696</v>
      </c>
      <c r="H89" s="17"/>
      <c r="I89" s="17">
        <v>4</v>
      </c>
      <c r="J89" s="18"/>
      <c r="K89">
        <f>60/F89</f>
        <v>8.6206896551724144E-2</v>
      </c>
    </row>
    <row r="90" spans="1:11" ht="20" x14ac:dyDescent="0.35">
      <c r="A90" s="14" t="s">
        <v>80</v>
      </c>
      <c r="B90" s="14" t="s">
        <v>81</v>
      </c>
      <c r="C90" s="14" t="s">
        <v>82</v>
      </c>
      <c r="D90" s="15">
        <v>45117</v>
      </c>
      <c r="E90" s="16">
        <v>0.625</v>
      </c>
      <c r="F90" s="17">
        <v>695</v>
      </c>
      <c r="G90" s="17">
        <v>695</v>
      </c>
      <c r="H90" s="17"/>
      <c r="I90" s="17">
        <v>2</v>
      </c>
      <c r="J90" s="18"/>
      <c r="K90">
        <f>60/F90</f>
        <v>8.6330935251798566E-2</v>
      </c>
    </row>
    <row r="91" spans="1:11" ht="20" x14ac:dyDescent="0.35">
      <c r="A91" s="14" t="s">
        <v>80</v>
      </c>
      <c r="B91" s="14" t="s">
        <v>81</v>
      </c>
      <c r="C91" s="14" t="s">
        <v>82</v>
      </c>
      <c r="D91" s="15">
        <v>45130</v>
      </c>
      <c r="E91" s="16">
        <v>0.66666666666666663</v>
      </c>
      <c r="F91" s="17">
        <v>694</v>
      </c>
      <c r="G91" s="17">
        <v>694</v>
      </c>
      <c r="H91" s="17"/>
      <c r="I91" s="17">
        <v>4</v>
      </c>
      <c r="J91" s="18"/>
      <c r="K91">
        <f>60/F91</f>
        <v>8.645533141210375E-2</v>
      </c>
    </row>
    <row r="92" spans="1:11" ht="20" hidden="1" x14ac:dyDescent="0.35">
      <c r="A92" s="14" t="s">
        <v>80</v>
      </c>
      <c r="B92" s="14" t="s">
        <v>81</v>
      </c>
      <c r="C92" s="14" t="s">
        <v>82</v>
      </c>
      <c r="D92" s="15">
        <v>45112</v>
      </c>
      <c r="E92" s="16">
        <v>0.70833333333333337</v>
      </c>
      <c r="F92" s="17">
        <v>684</v>
      </c>
      <c r="G92" s="17">
        <v>684</v>
      </c>
      <c r="H92" s="17"/>
      <c r="I92" s="17">
        <v>3</v>
      </c>
      <c r="J92" s="18"/>
      <c r="K92">
        <f>60/F92</f>
        <v>8.771929824561403E-2</v>
      </c>
    </row>
    <row r="93" spans="1:11" ht="20" hidden="1" x14ac:dyDescent="0.35">
      <c r="A93" s="14" t="s">
        <v>80</v>
      </c>
      <c r="B93" s="14" t="s">
        <v>81</v>
      </c>
      <c r="C93" s="14" t="s">
        <v>82</v>
      </c>
      <c r="D93" s="15">
        <v>45128</v>
      </c>
      <c r="E93" s="16">
        <v>0.70833333333333337</v>
      </c>
      <c r="F93" s="17">
        <v>683</v>
      </c>
      <c r="G93" s="17">
        <v>683</v>
      </c>
      <c r="H93" s="17"/>
      <c r="I93" s="17">
        <v>5</v>
      </c>
      <c r="J93" s="18"/>
      <c r="K93">
        <f>60/F93</f>
        <v>8.7847730600292828E-2</v>
      </c>
    </row>
    <row r="94" spans="1:11" ht="20" hidden="1" x14ac:dyDescent="0.35">
      <c r="A94" s="14" t="s">
        <v>80</v>
      </c>
      <c r="B94" s="14" t="s">
        <v>81</v>
      </c>
      <c r="C94" s="14" t="s">
        <v>82</v>
      </c>
      <c r="D94" s="15">
        <v>45104</v>
      </c>
      <c r="E94" s="16">
        <v>0.70833333333333337</v>
      </c>
      <c r="F94" s="17">
        <v>681</v>
      </c>
      <c r="G94" s="17">
        <v>681</v>
      </c>
      <c r="H94" s="17"/>
      <c r="I94" s="17">
        <v>2</v>
      </c>
      <c r="J94" s="18"/>
      <c r="K94">
        <f>60/F94</f>
        <v>8.8105726872246701E-2</v>
      </c>
    </row>
    <row r="95" spans="1:11" ht="20" x14ac:dyDescent="0.35">
      <c r="A95" s="14" t="s">
        <v>80</v>
      </c>
      <c r="B95" s="14" t="s">
        <v>81</v>
      </c>
      <c r="C95" s="14" t="s">
        <v>82</v>
      </c>
      <c r="D95" s="15">
        <v>45124</v>
      </c>
      <c r="E95" s="16">
        <v>0.66666666666666663</v>
      </c>
      <c r="F95" s="17">
        <v>680</v>
      </c>
      <c r="G95" s="17">
        <v>680</v>
      </c>
      <c r="H95" s="17"/>
      <c r="I95" s="17">
        <v>2</v>
      </c>
      <c r="J95" s="18"/>
      <c r="K95">
        <f>60/F95</f>
        <v>8.8235294117647065E-2</v>
      </c>
    </row>
    <row r="96" spans="1:11" ht="20" x14ac:dyDescent="0.35">
      <c r="A96" s="14" t="s">
        <v>80</v>
      </c>
      <c r="B96" s="14" t="s">
        <v>81</v>
      </c>
      <c r="C96" s="14" t="s">
        <v>82</v>
      </c>
      <c r="D96" s="15">
        <v>45090</v>
      </c>
      <c r="E96" s="16">
        <v>0.66666666666666663</v>
      </c>
      <c r="F96" s="17">
        <v>677</v>
      </c>
      <c r="G96" s="17">
        <v>677</v>
      </c>
      <c r="H96" s="17"/>
      <c r="I96" s="17">
        <v>13</v>
      </c>
      <c r="J96" s="18"/>
      <c r="K96">
        <f>60/F96</f>
        <v>8.8626292466765136E-2</v>
      </c>
    </row>
    <row r="97" spans="1:11" ht="20" x14ac:dyDescent="0.35">
      <c r="A97" s="14" t="s">
        <v>80</v>
      </c>
      <c r="B97" s="14" t="s">
        <v>81</v>
      </c>
      <c r="C97" s="14" t="s">
        <v>82</v>
      </c>
      <c r="D97" s="15">
        <v>45089</v>
      </c>
      <c r="E97" s="16">
        <v>0.66666666666666663</v>
      </c>
      <c r="F97" s="17">
        <v>676</v>
      </c>
      <c r="G97" s="17">
        <v>676</v>
      </c>
      <c r="H97" s="17"/>
      <c r="I97" s="17">
        <v>3</v>
      </c>
      <c r="J97" s="18"/>
      <c r="K97">
        <f>60/F97</f>
        <v>8.8757396449704137E-2</v>
      </c>
    </row>
    <row r="98" spans="1:11" ht="20" x14ac:dyDescent="0.35">
      <c r="A98" s="14" t="s">
        <v>80</v>
      </c>
      <c r="B98" s="14" t="s">
        <v>81</v>
      </c>
      <c r="C98" s="14" t="s">
        <v>82</v>
      </c>
      <c r="D98" s="15">
        <v>45092</v>
      </c>
      <c r="E98" s="16">
        <v>0.625</v>
      </c>
      <c r="F98" s="17">
        <v>676</v>
      </c>
      <c r="G98" s="17">
        <v>676</v>
      </c>
      <c r="H98" s="17"/>
      <c r="I98" s="17">
        <v>14</v>
      </c>
      <c r="J98" s="18"/>
      <c r="K98">
        <f>60/F98</f>
        <v>8.8757396449704137E-2</v>
      </c>
    </row>
    <row r="99" spans="1:11" ht="20" hidden="1" x14ac:dyDescent="0.35">
      <c r="A99" s="14" t="s">
        <v>80</v>
      </c>
      <c r="B99" s="14" t="s">
        <v>81</v>
      </c>
      <c r="C99" s="14" t="s">
        <v>82</v>
      </c>
      <c r="D99" s="15">
        <v>45097</v>
      </c>
      <c r="E99" s="16">
        <v>0.58333333333333337</v>
      </c>
      <c r="F99" s="17">
        <v>673</v>
      </c>
      <c r="G99" s="17">
        <v>673</v>
      </c>
      <c r="H99" s="17"/>
      <c r="I99" s="17">
        <v>3</v>
      </c>
      <c r="J99" s="18"/>
      <c r="K99">
        <f>60/F99</f>
        <v>8.9153046062407135E-2</v>
      </c>
    </row>
    <row r="100" spans="1:11" ht="20" x14ac:dyDescent="0.35">
      <c r="A100" s="14" t="s">
        <v>80</v>
      </c>
      <c r="B100" s="14" t="s">
        <v>81</v>
      </c>
      <c r="C100" s="14" t="s">
        <v>82</v>
      </c>
      <c r="D100" s="15">
        <v>45093</v>
      </c>
      <c r="E100" s="16">
        <v>0.625</v>
      </c>
      <c r="F100" s="17">
        <v>672</v>
      </c>
      <c r="G100" s="17">
        <v>672</v>
      </c>
      <c r="H100" s="17"/>
      <c r="I100" s="17">
        <v>12</v>
      </c>
      <c r="J100" s="18"/>
      <c r="K100">
        <f>60/F100</f>
        <v>8.9285714285714288E-2</v>
      </c>
    </row>
    <row r="101" spans="1:11" ht="20" x14ac:dyDescent="0.35">
      <c r="A101" s="14" t="s">
        <v>80</v>
      </c>
      <c r="B101" s="14" t="s">
        <v>81</v>
      </c>
      <c r="C101" s="14" t="s">
        <v>82</v>
      </c>
      <c r="D101" s="15">
        <v>45082</v>
      </c>
      <c r="E101" s="16">
        <v>0.625</v>
      </c>
      <c r="F101" s="17">
        <v>670</v>
      </c>
      <c r="G101" s="17">
        <v>670</v>
      </c>
      <c r="H101" s="17"/>
      <c r="I101" s="17">
        <v>11</v>
      </c>
      <c r="J101" s="18"/>
      <c r="K101">
        <f>60/F101</f>
        <v>8.9552238805970144E-2</v>
      </c>
    </row>
    <row r="102" spans="1:11" ht="20" x14ac:dyDescent="0.35">
      <c r="A102" s="14" t="s">
        <v>80</v>
      </c>
      <c r="B102" s="14" t="s">
        <v>81</v>
      </c>
      <c r="C102" s="14" t="s">
        <v>82</v>
      </c>
      <c r="D102" s="15">
        <v>45115</v>
      </c>
      <c r="E102" s="16">
        <v>0.66666666666666663</v>
      </c>
      <c r="F102" s="17">
        <v>664</v>
      </c>
      <c r="G102" s="17">
        <v>664</v>
      </c>
      <c r="H102" s="17"/>
      <c r="I102" s="17">
        <v>3</v>
      </c>
      <c r="J102" s="18"/>
      <c r="K102">
        <f>60/F102</f>
        <v>9.036144578313253E-2</v>
      </c>
    </row>
    <row r="103" spans="1:11" ht="20" x14ac:dyDescent="0.35">
      <c r="A103" s="14" t="s">
        <v>80</v>
      </c>
      <c r="B103" s="14" t="s">
        <v>81</v>
      </c>
      <c r="C103" s="14" t="s">
        <v>82</v>
      </c>
      <c r="D103" s="15">
        <v>45138</v>
      </c>
      <c r="E103" s="16">
        <v>0.625</v>
      </c>
      <c r="F103" s="17">
        <v>662</v>
      </c>
      <c r="G103" s="17">
        <v>662</v>
      </c>
      <c r="H103" s="17"/>
      <c r="I103" s="17">
        <v>8</v>
      </c>
      <c r="J103" s="18"/>
      <c r="K103">
        <f>60/F103</f>
        <v>9.0634441087613288E-2</v>
      </c>
    </row>
    <row r="104" spans="1:11" ht="20" hidden="1" x14ac:dyDescent="0.35">
      <c r="A104" s="14" t="s">
        <v>80</v>
      </c>
      <c r="B104" s="14" t="s">
        <v>81</v>
      </c>
      <c r="C104" s="14" t="s">
        <v>82</v>
      </c>
      <c r="D104" s="15">
        <v>45080</v>
      </c>
      <c r="E104" s="16">
        <v>0.58333333333333337</v>
      </c>
      <c r="F104" s="17">
        <v>660</v>
      </c>
      <c r="G104" s="17">
        <v>660</v>
      </c>
      <c r="H104" s="17"/>
      <c r="I104" s="17">
        <v>3</v>
      </c>
      <c r="J104" s="18"/>
      <c r="K104">
        <f>60/F104</f>
        <v>9.0909090909090912E-2</v>
      </c>
    </row>
    <row r="105" spans="1:11" ht="20" x14ac:dyDescent="0.35">
      <c r="A105" s="14" t="s">
        <v>80</v>
      </c>
      <c r="B105" s="14" t="s">
        <v>81</v>
      </c>
      <c r="C105" s="14" t="s">
        <v>82</v>
      </c>
      <c r="D105" s="15">
        <v>45096</v>
      </c>
      <c r="E105" s="16">
        <v>0.625</v>
      </c>
      <c r="F105" s="17">
        <v>660</v>
      </c>
      <c r="G105" s="17">
        <v>660</v>
      </c>
      <c r="H105" s="17"/>
      <c r="I105" s="17">
        <v>4</v>
      </c>
      <c r="J105" s="18"/>
      <c r="K105">
        <f>60/F105</f>
        <v>9.0909090909090912E-2</v>
      </c>
    </row>
    <row r="106" spans="1:11" ht="20" hidden="1" x14ac:dyDescent="0.35">
      <c r="A106" s="14" t="s">
        <v>80</v>
      </c>
      <c r="B106" s="14" t="s">
        <v>81</v>
      </c>
      <c r="C106" s="14" t="s">
        <v>82</v>
      </c>
      <c r="D106" s="15">
        <v>45118</v>
      </c>
      <c r="E106" s="16">
        <v>0.75</v>
      </c>
      <c r="F106" s="17">
        <v>657</v>
      </c>
      <c r="G106" s="17">
        <v>657</v>
      </c>
      <c r="H106" s="17"/>
      <c r="I106" s="17">
        <v>3</v>
      </c>
      <c r="J106" s="18"/>
      <c r="K106">
        <f>60/F106</f>
        <v>9.1324200913242004E-2</v>
      </c>
    </row>
    <row r="107" spans="1:11" ht="20" x14ac:dyDescent="0.35">
      <c r="A107" s="14" t="s">
        <v>80</v>
      </c>
      <c r="B107" s="14" t="s">
        <v>81</v>
      </c>
      <c r="C107" s="14" t="s">
        <v>82</v>
      </c>
      <c r="D107" s="15">
        <v>45087</v>
      </c>
      <c r="E107" s="16">
        <v>0.66666666666666663</v>
      </c>
      <c r="F107" s="17">
        <v>654</v>
      </c>
      <c r="G107" s="17">
        <v>654</v>
      </c>
      <c r="H107" s="17"/>
      <c r="I107" s="17">
        <v>4</v>
      </c>
      <c r="J107" s="18"/>
      <c r="K107">
        <f>60/F107</f>
        <v>9.1743119266055051E-2</v>
      </c>
    </row>
    <row r="108" spans="1:11" ht="20" hidden="1" x14ac:dyDescent="0.35">
      <c r="A108" s="14" t="s">
        <v>80</v>
      </c>
      <c r="B108" s="14" t="s">
        <v>81</v>
      </c>
      <c r="C108" s="14" t="s">
        <v>82</v>
      </c>
      <c r="D108" s="15">
        <v>45089</v>
      </c>
      <c r="E108" s="16">
        <v>0.58333333333333337</v>
      </c>
      <c r="F108" s="17">
        <v>652</v>
      </c>
      <c r="G108" s="17">
        <v>652</v>
      </c>
      <c r="H108" s="17"/>
      <c r="I108" s="17">
        <v>3</v>
      </c>
      <c r="J108" s="18"/>
      <c r="K108">
        <f>60/F108</f>
        <v>9.202453987730061E-2</v>
      </c>
    </row>
    <row r="109" spans="1:11" ht="20" x14ac:dyDescent="0.35">
      <c r="A109" s="14" t="s">
        <v>80</v>
      </c>
      <c r="B109" s="14" t="s">
        <v>81</v>
      </c>
      <c r="C109" s="14" t="s">
        <v>82</v>
      </c>
      <c r="D109" s="15">
        <v>45107</v>
      </c>
      <c r="E109" s="16">
        <v>0.66666666666666663</v>
      </c>
      <c r="F109" s="17">
        <v>648</v>
      </c>
      <c r="G109" s="17">
        <v>648</v>
      </c>
      <c r="H109" s="17"/>
      <c r="I109" s="17">
        <v>3</v>
      </c>
      <c r="J109" s="18"/>
      <c r="K109">
        <f>60/F109</f>
        <v>9.2592592592592587E-2</v>
      </c>
    </row>
    <row r="110" spans="1:11" ht="20" hidden="1" x14ac:dyDescent="0.35">
      <c r="A110" s="14" t="s">
        <v>80</v>
      </c>
      <c r="B110" s="14" t="s">
        <v>81</v>
      </c>
      <c r="C110" s="14" t="s">
        <v>82</v>
      </c>
      <c r="D110" s="15">
        <v>45120</v>
      </c>
      <c r="E110" s="16">
        <v>0.58333333333333337</v>
      </c>
      <c r="F110" s="17">
        <v>645</v>
      </c>
      <c r="G110" s="17">
        <v>645</v>
      </c>
      <c r="H110" s="17"/>
      <c r="I110" s="17">
        <v>3</v>
      </c>
      <c r="J110" s="18"/>
      <c r="K110">
        <f>60/F110</f>
        <v>9.3023255813953487E-2</v>
      </c>
    </row>
    <row r="111" spans="1:11" ht="20" hidden="1" x14ac:dyDescent="0.35">
      <c r="A111" s="14" t="s">
        <v>80</v>
      </c>
      <c r="B111" s="14" t="s">
        <v>81</v>
      </c>
      <c r="C111" s="14" t="s">
        <v>82</v>
      </c>
      <c r="D111" s="15">
        <v>45127</v>
      </c>
      <c r="E111" s="16">
        <v>0.58333333333333337</v>
      </c>
      <c r="F111" s="17">
        <v>644</v>
      </c>
      <c r="G111" s="17">
        <v>644</v>
      </c>
      <c r="H111" s="17"/>
      <c r="I111" s="17">
        <v>2</v>
      </c>
      <c r="J111" s="18"/>
      <c r="K111">
        <f>60/F111</f>
        <v>9.3167701863354033E-2</v>
      </c>
    </row>
    <row r="112" spans="1:11" ht="20" x14ac:dyDescent="0.35">
      <c r="A112" s="14" t="s">
        <v>80</v>
      </c>
      <c r="B112" s="14" t="s">
        <v>81</v>
      </c>
      <c r="C112" s="14" t="s">
        <v>82</v>
      </c>
      <c r="D112" s="15">
        <v>45132</v>
      </c>
      <c r="E112" s="16">
        <v>0.625</v>
      </c>
      <c r="F112" s="17">
        <v>644</v>
      </c>
      <c r="G112" s="17">
        <v>644</v>
      </c>
      <c r="H112" s="17"/>
      <c r="I112" s="17">
        <v>3</v>
      </c>
      <c r="J112" s="18"/>
      <c r="K112">
        <f>60/F112</f>
        <v>9.3167701863354033E-2</v>
      </c>
    </row>
    <row r="113" spans="1:11" ht="20" x14ac:dyDescent="0.35">
      <c r="A113" s="14" t="s">
        <v>80</v>
      </c>
      <c r="B113" s="14" t="s">
        <v>81</v>
      </c>
      <c r="C113" s="14" t="s">
        <v>82</v>
      </c>
      <c r="D113" s="15">
        <v>45128</v>
      </c>
      <c r="E113" s="16">
        <v>0.66666666666666663</v>
      </c>
      <c r="F113" s="17">
        <v>641</v>
      </c>
      <c r="G113" s="17">
        <v>641</v>
      </c>
      <c r="H113" s="17"/>
      <c r="I113" s="17">
        <v>6</v>
      </c>
      <c r="J113" s="18"/>
      <c r="K113">
        <f>60/F113</f>
        <v>9.3603744149765994E-2</v>
      </c>
    </row>
    <row r="114" spans="1:11" ht="20" hidden="1" x14ac:dyDescent="0.35">
      <c r="A114" s="14" t="s">
        <v>80</v>
      </c>
      <c r="B114" s="14" t="s">
        <v>81</v>
      </c>
      <c r="C114" s="14" t="s">
        <v>82</v>
      </c>
      <c r="D114" s="15">
        <v>45114</v>
      </c>
      <c r="E114" s="16">
        <v>0.58333333333333337</v>
      </c>
      <c r="F114" s="17">
        <v>630</v>
      </c>
      <c r="G114" s="17">
        <v>630</v>
      </c>
      <c r="H114" s="17"/>
      <c r="I114" s="17">
        <v>2</v>
      </c>
      <c r="J114" s="18"/>
      <c r="K114">
        <f>60/F114</f>
        <v>9.5238095238095233E-2</v>
      </c>
    </row>
    <row r="115" spans="1:11" ht="20" x14ac:dyDescent="0.35">
      <c r="A115" s="14" t="s">
        <v>80</v>
      </c>
      <c r="B115" s="14" t="s">
        <v>81</v>
      </c>
      <c r="C115" s="14" t="s">
        <v>82</v>
      </c>
      <c r="D115" s="15">
        <v>45100</v>
      </c>
      <c r="E115" s="16">
        <v>0.66666666666666663</v>
      </c>
      <c r="F115" s="17">
        <v>628</v>
      </c>
      <c r="G115" s="17">
        <v>628</v>
      </c>
      <c r="H115" s="17"/>
      <c r="I115" s="17">
        <v>3</v>
      </c>
      <c r="J115" s="18"/>
      <c r="K115">
        <f>60/F115</f>
        <v>9.5541401273885357E-2</v>
      </c>
    </row>
    <row r="116" spans="1:11" ht="20" x14ac:dyDescent="0.35">
      <c r="A116" s="14" t="s">
        <v>80</v>
      </c>
      <c r="B116" s="14" t="s">
        <v>81</v>
      </c>
      <c r="C116" s="14" t="s">
        <v>82</v>
      </c>
      <c r="D116" s="15">
        <v>45125</v>
      </c>
      <c r="E116" s="16">
        <v>0.625</v>
      </c>
      <c r="F116" s="17">
        <v>618</v>
      </c>
      <c r="G116" s="17">
        <v>618</v>
      </c>
      <c r="H116" s="17"/>
      <c r="I116" s="17">
        <v>6</v>
      </c>
      <c r="J116" s="18"/>
      <c r="K116">
        <f>60/F116</f>
        <v>9.7087378640776698E-2</v>
      </c>
    </row>
    <row r="117" spans="1:11" ht="20" hidden="1" x14ac:dyDescent="0.35">
      <c r="A117" s="14" t="s">
        <v>80</v>
      </c>
      <c r="B117" s="14" t="s">
        <v>81</v>
      </c>
      <c r="C117" s="14" t="s">
        <v>82</v>
      </c>
      <c r="D117" s="15">
        <v>45086</v>
      </c>
      <c r="E117" s="16">
        <v>0.58333333333333337</v>
      </c>
      <c r="F117" s="17">
        <v>614</v>
      </c>
      <c r="G117" s="17">
        <v>614</v>
      </c>
      <c r="H117" s="17"/>
      <c r="I117" s="17">
        <v>4</v>
      </c>
      <c r="J117" s="18"/>
      <c r="K117">
        <f>60/F117</f>
        <v>9.7719869706840393E-2</v>
      </c>
    </row>
    <row r="118" spans="1:11" ht="20" x14ac:dyDescent="0.35">
      <c r="A118" s="14" t="s">
        <v>80</v>
      </c>
      <c r="B118" s="14" t="s">
        <v>81</v>
      </c>
      <c r="C118" s="14" t="s">
        <v>82</v>
      </c>
      <c r="D118" s="15">
        <v>45106</v>
      </c>
      <c r="E118" s="16">
        <v>0.625</v>
      </c>
      <c r="F118" s="17">
        <v>614</v>
      </c>
      <c r="G118" s="17">
        <v>614</v>
      </c>
      <c r="H118" s="17"/>
      <c r="I118" s="17">
        <v>12</v>
      </c>
      <c r="J118" s="18"/>
      <c r="K118">
        <f>60/F118</f>
        <v>9.7719869706840393E-2</v>
      </c>
    </row>
    <row r="119" spans="1:11" ht="20" x14ac:dyDescent="0.35">
      <c r="A119" s="14" t="s">
        <v>80</v>
      </c>
      <c r="B119" s="14" t="s">
        <v>81</v>
      </c>
      <c r="C119" s="14" t="s">
        <v>82</v>
      </c>
      <c r="D119" s="15">
        <v>45084</v>
      </c>
      <c r="E119" s="16">
        <v>0.66666666666666663</v>
      </c>
      <c r="F119" s="17">
        <v>610</v>
      </c>
      <c r="G119" s="17">
        <v>0</v>
      </c>
      <c r="H119" s="17">
        <v>610</v>
      </c>
      <c r="I119" s="17"/>
      <c r="J119" s="18">
        <v>5</v>
      </c>
      <c r="K119">
        <f>60/F119</f>
        <v>9.8360655737704916E-2</v>
      </c>
    </row>
    <row r="120" spans="1:11" ht="20" hidden="1" x14ac:dyDescent="0.35">
      <c r="A120" s="14" t="s">
        <v>80</v>
      </c>
      <c r="B120" s="14" t="s">
        <v>81</v>
      </c>
      <c r="C120" s="14" t="s">
        <v>82</v>
      </c>
      <c r="D120" s="15">
        <v>45093</v>
      </c>
      <c r="E120" s="16">
        <v>0.70833333333333337</v>
      </c>
      <c r="F120" s="17">
        <v>607</v>
      </c>
      <c r="G120" s="17">
        <v>607</v>
      </c>
      <c r="H120" s="17"/>
      <c r="I120" s="17">
        <v>8</v>
      </c>
      <c r="J120" s="18"/>
      <c r="K120">
        <f>60/F120</f>
        <v>9.8846787479406922E-2</v>
      </c>
    </row>
    <row r="121" spans="1:11" ht="20" x14ac:dyDescent="0.35">
      <c r="A121" s="14" t="s">
        <v>80</v>
      </c>
      <c r="B121" s="14" t="s">
        <v>81</v>
      </c>
      <c r="C121" s="14" t="s">
        <v>82</v>
      </c>
      <c r="D121" s="15">
        <v>45127</v>
      </c>
      <c r="E121" s="16">
        <v>0.625</v>
      </c>
      <c r="F121" s="17">
        <v>607</v>
      </c>
      <c r="G121" s="17">
        <v>607</v>
      </c>
      <c r="H121" s="17"/>
      <c r="I121" s="17">
        <v>4</v>
      </c>
      <c r="J121" s="18"/>
      <c r="K121">
        <f>60/F121</f>
        <v>9.8846787479406922E-2</v>
      </c>
    </row>
    <row r="122" spans="1:11" ht="20" x14ac:dyDescent="0.35">
      <c r="A122" s="14" t="s">
        <v>80</v>
      </c>
      <c r="B122" s="14" t="s">
        <v>81</v>
      </c>
      <c r="C122" s="14" t="s">
        <v>82</v>
      </c>
      <c r="D122" s="15">
        <v>45102</v>
      </c>
      <c r="E122" s="16">
        <v>0.66666666666666663</v>
      </c>
      <c r="F122" s="17">
        <v>603</v>
      </c>
      <c r="G122" s="17">
        <v>603</v>
      </c>
      <c r="H122" s="17"/>
      <c r="I122" s="17">
        <v>4</v>
      </c>
      <c r="J122" s="18"/>
      <c r="K122">
        <f>60/F122</f>
        <v>9.950248756218906E-2</v>
      </c>
    </row>
    <row r="123" spans="1:11" ht="20" x14ac:dyDescent="0.35">
      <c r="A123" s="14" t="s">
        <v>80</v>
      </c>
      <c r="B123" s="14" t="s">
        <v>81</v>
      </c>
      <c r="C123" s="14" t="s">
        <v>82</v>
      </c>
      <c r="D123" s="15">
        <v>45086</v>
      </c>
      <c r="E123" s="16">
        <v>0.625</v>
      </c>
      <c r="F123" s="17">
        <v>600</v>
      </c>
      <c r="G123" s="17">
        <v>600</v>
      </c>
      <c r="H123" s="17"/>
      <c r="I123" s="17">
        <v>4</v>
      </c>
      <c r="J123" s="18"/>
      <c r="K123">
        <f>60/F123</f>
        <v>0.1</v>
      </c>
    </row>
    <row r="124" spans="1:11" ht="20" x14ac:dyDescent="0.35">
      <c r="A124" s="14" t="s">
        <v>80</v>
      </c>
      <c r="B124" s="14" t="s">
        <v>81</v>
      </c>
      <c r="C124" s="14" t="s">
        <v>82</v>
      </c>
      <c r="D124" s="15">
        <v>45091</v>
      </c>
      <c r="E124" s="16">
        <v>0.66666666666666663</v>
      </c>
      <c r="F124" s="17">
        <v>600</v>
      </c>
      <c r="G124" s="17">
        <v>600</v>
      </c>
      <c r="H124" s="17"/>
      <c r="I124" s="17">
        <v>18</v>
      </c>
      <c r="J124" s="18"/>
      <c r="K124">
        <f>60/F124</f>
        <v>0.1</v>
      </c>
    </row>
    <row r="125" spans="1:11" ht="20" hidden="1" x14ac:dyDescent="0.35">
      <c r="A125" s="14" t="s">
        <v>80</v>
      </c>
      <c r="B125" s="14" t="s">
        <v>81</v>
      </c>
      <c r="C125" s="14" t="s">
        <v>82</v>
      </c>
      <c r="D125" s="15">
        <v>45084</v>
      </c>
      <c r="E125" s="16">
        <v>0.58333333333333337</v>
      </c>
      <c r="F125" s="17">
        <v>598</v>
      </c>
      <c r="G125" s="17">
        <v>0</v>
      </c>
      <c r="H125" s="17">
        <v>598</v>
      </c>
      <c r="I125" s="17"/>
      <c r="J125" s="18">
        <v>3</v>
      </c>
      <c r="K125">
        <f>60/F125</f>
        <v>0.10033444816053512</v>
      </c>
    </row>
    <row r="126" spans="1:11" ht="20" hidden="1" x14ac:dyDescent="0.35">
      <c r="A126" s="14" t="s">
        <v>80</v>
      </c>
      <c r="B126" s="14" t="s">
        <v>81</v>
      </c>
      <c r="C126" s="14" t="s">
        <v>82</v>
      </c>
      <c r="D126" s="15">
        <v>45079</v>
      </c>
      <c r="E126" s="16">
        <v>0.58333333333333337</v>
      </c>
      <c r="F126" s="17">
        <v>592</v>
      </c>
      <c r="G126" s="17">
        <v>592</v>
      </c>
      <c r="H126" s="17"/>
      <c r="I126" s="17">
        <v>3</v>
      </c>
      <c r="J126" s="18"/>
      <c r="K126">
        <f>60/F126</f>
        <v>0.10135135135135136</v>
      </c>
    </row>
    <row r="127" spans="1:11" ht="20" hidden="1" x14ac:dyDescent="0.35">
      <c r="A127" s="14" t="s">
        <v>80</v>
      </c>
      <c r="B127" s="14" t="s">
        <v>81</v>
      </c>
      <c r="C127" s="14" t="s">
        <v>82</v>
      </c>
      <c r="D127" s="15">
        <v>45135</v>
      </c>
      <c r="E127" s="16">
        <v>0.58333333333333337</v>
      </c>
      <c r="F127" s="17">
        <v>592</v>
      </c>
      <c r="G127" s="17">
        <v>592</v>
      </c>
      <c r="H127" s="17"/>
      <c r="I127" s="17">
        <v>3</v>
      </c>
      <c r="J127" s="18"/>
      <c r="K127">
        <f>60/F127</f>
        <v>0.10135135135135136</v>
      </c>
    </row>
    <row r="128" spans="1:11" ht="20" x14ac:dyDescent="0.35">
      <c r="A128" s="14" t="s">
        <v>80</v>
      </c>
      <c r="B128" s="14" t="s">
        <v>81</v>
      </c>
      <c r="C128" s="14" t="s">
        <v>82</v>
      </c>
      <c r="D128" s="15">
        <v>45119</v>
      </c>
      <c r="E128" s="16">
        <v>0.625</v>
      </c>
      <c r="F128" s="17">
        <v>584</v>
      </c>
      <c r="G128" s="17">
        <v>584</v>
      </c>
      <c r="H128" s="17"/>
      <c r="I128" s="17">
        <v>3</v>
      </c>
      <c r="J128" s="18"/>
      <c r="K128">
        <f>60/F128</f>
        <v>0.10273972602739725</v>
      </c>
    </row>
    <row r="129" spans="1:11" ht="20" x14ac:dyDescent="0.35">
      <c r="A129" s="14" t="s">
        <v>80</v>
      </c>
      <c r="B129" s="14" t="s">
        <v>81</v>
      </c>
      <c r="C129" s="14" t="s">
        <v>82</v>
      </c>
      <c r="D129" s="15">
        <v>45086</v>
      </c>
      <c r="E129" s="16">
        <v>0.66666666666666663</v>
      </c>
      <c r="F129" s="17">
        <v>582</v>
      </c>
      <c r="G129" s="17">
        <v>582</v>
      </c>
      <c r="H129" s="17"/>
      <c r="I129" s="17">
        <v>4</v>
      </c>
      <c r="J129" s="18"/>
      <c r="K129">
        <f>60/F129</f>
        <v>0.10309278350515463</v>
      </c>
    </row>
    <row r="130" spans="1:11" ht="20" x14ac:dyDescent="0.35">
      <c r="A130" s="14" t="s">
        <v>80</v>
      </c>
      <c r="B130" s="14" t="s">
        <v>81</v>
      </c>
      <c r="C130" s="14" t="s">
        <v>82</v>
      </c>
      <c r="D130" s="15">
        <v>45128</v>
      </c>
      <c r="E130" s="16">
        <v>0.625</v>
      </c>
      <c r="F130" s="17">
        <v>582</v>
      </c>
      <c r="G130" s="17">
        <v>582</v>
      </c>
      <c r="H130" s="17"/>
      <c r="I130" s="17">
        <v>4</v>
      </c>
      <c r="J130" s="18"/>
      <c r="K130">
        <f>60/F130</f>
        <v>0.10309278350515463</v>
      </c>
    </row>
    <row r="131" spans="1:11" ht="20" hidden="1" x14ac:dyDescent="0.35">
      <c r="A131" s="14" t="s">
        <v>80</v>
      </c>
      <c r="B131" s="14" t="s">
        <v>81</v>
      </c>
      <c r="C131" s="14" t="s">
        <v>82</v>
      </c>
      <c r="D131" s="15">
        <v>45087</v>
      </c>
      <c r="E131" s="16">
        <v>0.58333333333333337</v>
      </c>
      <c r="F131" s="17">
        <v>581</v>
      </c>
      <c r="G131" s="17">
        <v>581</v>
      </c>
      <c r="H131" s="17"/>
      <c r="I131" s="17">
        <v>4</v>
      </c>
      <c r="J131" s="18"/>
      <c r="K131">
        <f>60/F131</f>
        <v>0.10327022375215146</v>
      </c>
    </row>
    <row r="132" spans="1:11" ht="20" x14ac:dyDescent="0.35">
      <c r="A132" s="14" t="s">
        <v>80</v>
      </c>
      <c r="B132" s="14" t="s">
        <v>81</v>
      </c>
      <c r="C132" s="14" t="s">
        <v>82</v>
      </c>
      <c r="D132" s="15">
        <v>45118</v>
      </c>
      <c r="E132" s="16">
        <v>0.66666666666666663</v>
      </c>
      <c r="F132" s="17">
        <v>579</v>
      </c>
      <c r="G132" s="17">
        <v>579</v>
      </c>
      <c r="H132" s="17"/>
      <c r="I132" s="17">
        <v>6</v>
      </c>
      <c r="J132" s="18"/>
      <c r="K132">
        <f>60/F132</f>
        <v>0.10362694300518134</v>
      </c>
    </row>
    <row r="133" spans="1:11" ht="20" hidden="1" x14ac:dyDescent="0.35">
      <c r="A133" s="14" t="s">
        <v>80</v>
      </c>
      <c r="B133" s="14" t="s">
        <v>81</v>
      </c>
      <c r="C133" s="14" t="s">
        <v>82</v>
      </c>
      <c r="D133" s="15">
        <v>45129</v>
      </c>
      <c r="E133" s="16">
        <v>0.58333333333333337</v>
      </c>
      <c r="F133" s="17">
        <v>573</v>
      </c>
      <c r="G133" s="17">
        <v>573</v>
      </c>
      <c r="H133" s="17"/>
      <c r="I133" s="17">
        <v>3</v>
      </c>
      <c r="J133" s="18"/>
      <c r="K133">
        <f>60/F133</f>
        <v>0.10471204188481675</v>
      </c>
    </row>
    <row r="134" spans="1:11" ht="20" x14ac:dyDescent="0.35">
      <c r="A134" s="14" t="s">
        <v>80</v>
      </c>
      <c r="B134" s="14" t="s">
        <v>81</v>
      </c>
      <c r="C134" s="14" t="s">
        <v>82</v>
      </c>
      <c r="D134" s="15">
        <v>45108</v>
      </c>
      <c r="E134" s="16">
        <v>0.625</v>
      </c>
      <c r="F134" s="17">
        <v>572</v>
      </c>
      <c r="G134" s="17">
        <v>572</v>
      </c>
      <c r="H134" s="17"/>
      <c r="I134" s="17">
        <v>4</v>
      </c>
      <c r="J134" s="18"/>
      <c r="K134">
        <f>60/F134</f>
        <v>0.1048951048951049</v>
      </c>
    </row>
    <row r="135" spans="1:11" ht="20" x14ac:dyDescent="0.35">
      <c r="A135" s="14" t="s">
        <v>80</v>
      </c>
      <c r="B135" s="14" t="s">
        <v>81</v>
      </c>
      <c r="C135" s="14" t="s">
        <v>82</v>
      </c>
      <c r="D135" s="15">
        <v>45135</v>
      </c>
      <c r="E135" s="16">
        <v>0.625</v>
      </c>
      <c r="F135" s="17">
        <v>571</v>
      </c>
      <c r="G135" s="17">
        <v>571</v>
      </c>
      <c r="H135" s="17"/>
      <c r="I135" s="17">
        <v>3</v>
      </c>
      <c r="J135" s="18"/>
      <c r="K135">
        <f>60/F135</f>
        <v>0.10507880910683012</v>
      </c>
    </row>
    <row r="136" spans="1:11" ht="20" x14ac:dyDescent="0.35">
      <c r="A136" s="14" t="s">
        <v>80</v>
      </c>
      <c r="B136" s="14" t="s">
        <v>81</v>
      </c>
      <c r="C136" s="14" t="s">
        <v>82</v>
      </c>
      <c r="D136" s="15">
        <v>45085</v>
      </c>
      <c r="E136" s="16">
        <v>0.66666666666666663</v>
      </c>
      <c r="F136" s="17">
        <v>567</v>
      </c>
      <c r="G136" s="17">
        <v>0</v>
      </c>
      <c r="H136" s="17">
        <v>567</v>
      </c>
      <c r="I136" s="17"/>
      <c r="J136" s="18">
        <v>5</v>
      </c>
      <c r="K136">
        <f>60/F136</f>
        <v>0.10582010582010581</v>
      </c>
    </row>
    <row r="137" spans="1:11" ht="20" x14ac:dyDescent="0.35">
      <c r="A137" s="14" t="s">
        <v>80</v>
      </c>
      <c r="B137" s="14" t="s">
        <v>81</v>
      </c>
      <c r="C137" s="14" t="s">
        <v>82</v>
      </c>
      <c r="D137" s="15">
        <v>45077</v>
      </c>
      <c r="E137" s="16">
        <v>0.66666666666666663</v>
      </c>
      <c r="F137" s="17">
        <v>565</v>
      </c>
      <c r="G137" s="17">
        <v>565</v>
      </c>
      <c r="H137" s="17"/>
      <c r="I137" s="17">
        <v>10</v>
      </c>
      <c r="J137" s="18"/>
      <c r="K137">
        <f>60/F137</f>
        <v>0.10619469026548672</v>
      </c>
    </row>
    <row r="138" spans="1:11" ht="20" hidden="1" x14ac:dyDescent="0.35">
      <c r="A138" s="14" t="s">
        <v>80</v>
      </c>
      <c r="B138" s="14" t="s">
        <v>81</v>
      </c>
      <c r="C138" s="14" t="s">
        <v>82</v>
      </c>
      <c r="D138" s="15">
        <v>45082</v>
      </c>
      <c r="E138" s="16">
        <v>0.58333333333333337</v>
      </c>
      <c r="F138" s="17">
        <v>563</v>
      </c>
      <c r="G138" s="17">
        <v>563</v>
      </c>
      <c r="H138" s="17"/>
      <c r="I138" s="17">
        <v>6</v>
      </c>
      <c r="J138" s="18"/>
      <c r="K138">
        <f>60/F138</f>
        <v>0.10657193605683836</v>
      </c>
    </row>
    <row r="139" spans="1:11" ht="20" hidden="1" x14ac:dyDescent="0.35">
      <c r="A139" s="14" t="s">
        <v>80</v>
      </c>
      <c r="B139" s="14" t="s">
        <v>81</v>
      </c>
      <c r="C139" s="14" t="s">
        <v>82</v>
      </c>
      <c r="D139" s="15">
        <v>45128</v>
      </c>
      <c r="E139" s="16">
        <v>0.75</v>
      </c>
      <c r="F139" s="17">
        <v>560</v>
      </c>
      <c r="G139" s="17">
        <v>560</v>
      </c>
      <c r="H139" s="17"/>
      <c r="I139" s="17">
        <v>3</v>
      </c>
      <c r="J139" s="18"/>
      <c r="K139">
        <f>60/F139</f>
        <v>0.10714285714285714</v>
      </c>
    </row>
    <row r="140" spans="1:11" ht="20" hidden="1" x14ac:dyDescent="0.35">
      <c r="A140" s="14" t="s">
        <v>80</v>
      </c>
      <c r="B140" s="14" t="s">
        <v>81</v>
      </c>
      <c r="C140" s="14" t="s">
        <v>82</v>
      </c>
      <c r="D140" s="15">
        <v>45108</v>
      </c>
      <c r="E140" s="16">
        <v>0.58333333333333337</v>
      </c>
      <c r="F140" s="17">
        <v>559</v>
      </c>
      <c r="G140" s="17">
        <v>559</v>
      </c>
      <c r="H140" s="17"/>
      <c r="I140" s="17">
        <v>4</v>
      </c>
      <c r="J140" s="18"/>
      <c r="K140">
        <f>60/F140</f>
        <v>0.1073345259391771</v>
      </c>
    </row>
    <row r="141" spans="1:11" ht="20" hidden="1" x14ac:dyDescent="0.35">
      <c r="A141" s="14" t="s">
        <v>80</v>
      </c>
      <c r="B141" s="14" t="s">
        <v>81</v>
      </c>
      <c r="C141" s="14" t="s">
        <v>82</v>
      </c>
      <c r="D141" s="15">
        <v>45117</v>
      </c>
      <c r="E141" s="16">
        <v>0.70833333333333337</v>
      </c>
      <c r="F141" s="17">
        <v>559</v>
      </c>
      <c r="G141" s="17">
        <v>559</v>
      </c>
      <c r="H141" s="17"/>
      <c r="I141" s="17">
        <v>2</v>
      </c>
      <c r="J141" s="18"/>
      <c r="K141">
        <f>60/F141</f>
        <v>0.1073345259391771</v>
      </c>
    </row>
    <row r="142" spans="1:11" ht="20" x14ac:dyDescent="0.35">
      <c r="A142" s="14" t="s">
        <v>80</v>
      </c>
      <c r="B142" s="14" t="s">
        <v>81</v>
      </c>
      <c r="C142" s="14" t="s">
        <v>82</v>
      </c>
      <c r="D142" s="15">
        <v>45103</v>
      </c>
      <c r="E142" s="16">
        <v>0.66666666666666663</v>
      </c>
      <c r="F142" s="17">
        <v>557</v>
      </c>
      <c r="G142" s="17">
        <v>557</v>
      </c>
      <c r="H142" s="17"/>
      <c r="I142" s="17">
        <v>4</v>
      </c>
      <c r="J142" s="18"/>
      <c r="K142">
        <f>60/F142</f>
        <v>0.10771992818671454</v>
      </c>
    </row>
    <row r="143" spans="1:11" ht="20" x14ac:dyDescent="0.35">
      <c r="A143" s="14" t="s">
        <v>80</v>
      </c>
      <c r="B143" s="14" t="s">
        <v>81</v>
      </c>
      <c r="C143" s="14" t="s">
        <v>82</v>
      </c>
      <c r="D143" s="15">
        <v>45137</v>
      </c>
      <c r="E143" s="16">
        <v>0.625</v>
      </c>
      <c r="F143" s="17">
        <v>556</v>
      </c>
      <c r="G143" s="17">
        <v>556</v>
      </c>
      <c r="H143" s="17"/>
      <c r="I143" s="17">
        <v>2</v>
      </c>
      <c r="J143" s="18"/>
      <c r="K143">
        <f>60/F143</f>
        <v>0.1079136690647482</v>
      </c>
    </row>
    <row r="144" spans="1:11" ht="20" hidden="1" x14ac:dyDescent="0.35">
      <c r="A144" s="14" t="s">
        <v>80</v>
      </c>
      <c r="B144" s="14" t="s">
        <v>81</v>
      </c>
      <c r="C144" s="14" t="s">
        <v>82</v>
      </c>
      <c r="D144" s="15">
        <v>45105</v>
      </c>
      <c r="E144" s="16">
        <v>0.70833333333333337</v>
      </c>
      <c r="F144" s="17">
        <v>552</v>
      </c>
      <c r="G144" s="17">
        <v>552</v>
      </c>
      <c r="H144" s="17"/>
      <c r="I144" s="17">
        <v>2</v>
      </c>
      <c r="J144" s="18"/>
      <c r="K144">
        <f>60/F144</f>
        <v>0.10869565217391304</v>
      </c>
    </row>
    <row r="145" spans="1:11" ht="20" hidden="1" x14ac:dyDescent="0.35">
      <c r="A145" s="14" t="s">
        <v>80</v>
      </c>
      <c r="B145" s="14" t="s">
        <v>81</v>
      </c>
      <c r="C145" s="14" t="s">
        <v>82</v>
      </c>
      <c r="D145" s="15">
        <v>45088</v>
      </c>
      <c r="E145" s="16">
        <v>0.58333333333333337</v>
      </c>
      <c r="F145" s="17">
        <v>548</v>
      </c>
      <c r="G145" s="17">
        <v>548</v>
      </c>
      <c r="H145" s="17"/>
      <c r="I145" s="17">
        <v>4</v>
      </c>
      <c r="J145" s="18"/>
      <c r="K145">
        <f>60/F145</f>
        <v>0.10948905109489052</v>
      </c>
    </row>
    <row r="146" spans="1:11" ht="20" x14ac:dyDescent="0.35">
      <c r="A146" s="14" t="s">
        <v>80</v>
      </c>
      <c r="B146" s="14" t="s">
        <v>81</v>
      </c>
      <c r="C146" s="14" t="s">
        <v>82</v>
      </c>
      <c r="D146" s="15">
        <v>45079</v>
      </c>
      <c r="E146" s="16">
        <v>0.625</v>
      </c>
      <c r="F146" s="17">
        <v>543</v>
      </c>
      <c r="G146" s="17">
        <v>543</v>
      </c>
      <c r="H146" s="17"/>
      <c r="I146" s="17">
        <v>3</v>
      </c>
      <c r="J146" s="18"/>
      <c r="K146">
        <f>60/F146</f>
        <v>0.11049723756906077</v>
      </c>
    </row>
    <row r="147" spans="1:11" ht="20" x14ac:dyDescent="0.35">
      <c r="A147" s="14" t="s">
        <v>80</v>
      </c>
      <c r="B147" s="14" t="s">
        <v>81</v>
      </c>
      <c r="C147" s="14" t="s">
        <v>82</v>
      </c>
      <c r="D147" s="15">
        <v>45094</v>
      </c>
      <c r="E147" s="16">
        <v>0.66666666666666663</v>
      </c>
      <c r="F147" s="17">
        <v>530</v>
      </c>
      <c r="G147" s="17">
        <v>530</v>
      </c>
      <c r="H147" s="17"/>
      <c r="I147" s="17">
        <v>7</v>
      </c>
      <c r="J147" s="18"/>
      <c r="K147">
        <f>60/F147</f>
        <v>0.11320754716981132</v>
      </c>
    </row>
    <row r="148" spans="1:11" ht="20" x14ac:dyDescent="0.35">
      <c r="A148" s="14" t="s">
        <v>80</v>
      </c>
      <c r="B148" s="14" t="s">
        <v>81</v>
      </c>
      <c r="C148" s="14" t="s">
        <v>82</v>
      </c>
      <c r="D148" s="15">
        <v>45078</v>
      </c>
      <c r="E148" s="16">
        <v>0.66666666666666663</v>
      </c>
      <c r="F148" s="17">
        <v>524</v>
      </c>
      <c r="G148" s="17">
        <v>524</v>
      </c>
      <c r="H148" s="17"/>
      <c r="I148" s="17">
        <v>4</v>
      </c>
      <c r="J148" s="18"/>
      <c r="K148">
        <f>60/F148</f>
        <v>0.11450381679389313</v>
      </c>
    </row>
    <row r="149" spans="1:11" ht="20" hidden="1" x14ac:dyDescent="0.35">
      <c r="A149" s="14" t="s">
        <v>80</v>
      </c>
      <c r="B149" s="14" t="s">
        <v>81</v>
      </c>
      <c r="C149" s="14" t="s">
        <v>82</v>
      </c>
      <c r="D149" s="15">
        <v>45117</v>
      </c>
      <c r="E149" s="16">
        <v>0.58333333333333337</v>
      </c>
      <c r="F149" s="17">
        <v>521</v>
      </c>
      <c r="G149" s="17">
        <v>521</v>
      </c>
      <c r="H149" s="17"/>
      <c r="I149" s="17">
        <v>2</v>
      </c>
      <c r="J149" s="18"/>
      <c r="K149">
        <f>60/F149</f>
        <v>0.11516314779270634</v>
      </c>
    </row>
    <row r="150" spans="1:11" ht="20" hidden="1" x14ac:dyDescent="0.35">
      <c r="A150" s="14" t="s">
        <v>80</v>
      </c>
      <c r="B150" s="14" t="s">
        <v>81</v>
      </c>
      <c r="C150" s="14" t="s">
        <v>82</v>
      </c>
      <c r="D150" s="15">
        <v>45106</v>
      </c>
      <c r="E150" s="16">
        <v>0.58333333333333337</v>
      </c>
      <c r="F150" s="17">
        <v>518</v>
      </c>
      <c r="G150" s="17">
        <v>518</v>
      </c>
      <c r="H150" s="17"/>
      <c r="I150" s="17">
        <v>7</v>
      </c>
      <c r="J150" s="18"/>
      <c r="K150">
        <f>60/F150</f>
        <v>0.11583011583011583</v>
      </c>
    </row>
    <row r="151" spans="1:11" ht="20" hidden="1" x14ac:dyDescent="0.35">
      <c r="A151" s="14" t="s">
        <v>80</v>
      </c>
      <c r="B151" s="14" t="s">
        <v>81</v>
      </c>
      <c r="C151" s="14" t="s">
        <v>82</v>
      </c>
      <c r="D151" s="15">
        <v>45133</v>
      </c>
      <c r="E151" s="16">
        <v>0.58333333333333337</v>
      </c>
      <c r="F151" s="17">
        <v>518</v>
      </c>
      <c r="G151" s="17">
        <v>518</v>
      </c>
      <c r="H151" s="17"/>
      <c r="I151" s="17">
        <v>4</v>
      </c>
      <c r="J151" s="18"/>
      <c r="K151">
        <f>60/F151</f>
        <v>0.11583011583011583</v>
      </c>
    </row>
    <row r="152" spans="1:11" ht="20" hidden="1" x14ac:dyDescent="0.35">
      <c r="A152" s="14" t="s">
        <v>80</v>
      </c>
      <c r="B152" s="14" t="s">
        <v>81</v>
      </c>
      <c r="C152" s="14" t="s">
        <v>82</v>
      </c>
      <c r="D152" s="15">
        <v>45077</v>
      </c>
      <c r="E152" s="16">
        <v>0.58333333333333337</v>
      </c>
      <c r="F152" s="17">
        <v>517</v>
      </c>
      <c r="G152" s="17">
        <v>517</v>
      </c>
      <c r="H152" s="17"/>
      <c r="I152" s="17">
        <v>6</v>
      </c>
      <c r="J152" s="18"/>
      <c r="K152">
        <f>60/F152</f>
        <v>0.11605415860735009</v>
      </c>
    </row>
    <row r="153" spans="1:11" ht="20" x14ac:dyDescent="0.35">
      <c r="A153" s="14" t="s">
        <v>80</v>
      </c>
      <c r="B153" s="14" t="s">
        <v>81</v>
      </c>
      <c r="C153" s="14" t="s">
        <v>82</v>
      </c>
      <c r="D153" s="15">
        <v>45136</v>
      </c>
      <c r="E153" s="16">
        <v>0.66666666666666663</v>
      </c>
      <c r="F153" s="17">
        <v>516</v>
      </c>
      <c r="G153" s="17">
        <v>516</v>
      </c>
      <c r="H153" s="17"/>
      <c r="I153" s="17">
        <v>5</v>
      </c>
      <c r="J153" s="18"/>
      <c r="K153">
        <f>60/F153</f>
        <v>0.11627906976744186</v>
      </c>
    </row>
    <row r="154" spans="1:11" ht="20" hidden="1" x14ac:dyDescent="0.35">
      <c r="A154" s="14" t="s">
        <v>80</v>
      </c>
      <c r="B154" s="14" t="s">
        <v>81</v>
      </c>
      <c r="C154" s="14" t="s">
        <v>82</v>
      </c>
      <c r="D154" s="15">
        <v>45090</v>
      </c>
      <c r="E154" s="16">
        <v>0.58333333333333337</v>
      </c>
      <c r="F154" s="17">
        <v>513</v>
      </c>
      <c r="G154" s="17">
        <v>513</v>
      </c>
      <c r="H154" s="17"/>
      <c r="I154" s="17">
        <v>4</v>
      </c>
      <c r="J154" s="18"/>
      <c r="K154">
        <f>60/F154</f>
        <v>0.11695906432748537</v>
      </c>
    </row>
    <row r="155" spans="1:11" ht="20" hidden="1" x14ac:dyDescent="0.35">
      <c r="A155" s="14" t="s">
        <v>80</v>
      </c>
      <c r="B155" s="14" t="s">
        <v>81</v>
      </c>
      <c r="C155" s="14" t="s">
        <v>82</v>
      </c>
      <c r="D155" s="15">
        <v>45081</v>
      </c>
      <c r="E155" s="16">
        <v>0.58333333333333337</v>
      </c>
      <c r="F155" s="17">
        <v>503</v>
      </c>
      <c r="G155" s="17">
        <v>503</v>
      </c>
      <c r="H155" s="17"/>
      <c r="I155" s="17">
        <v>4</v>
      </c>
      <c r="J155" s="18"/>
      <c r="K155">
        <f>60/F155</f>
        <v>0.11928429423459244</v>
      </c>
    </row>
    <row r="156" spans="1:11" ht="20" x14ac:dyDescent="0.35">
      <c r="A156" s="14" t="s">
        <v>80</v>
      </c>
      <c r="B156" s="14" t="s">
        <v>81</v>
      </c>
      <c r="C156" s="14" t="s">
        <v>82</v>
      </c>
      <c r="D156" s="15">
        <v>45098</v>
      </c>
      <c r="E156" s="16">
        <v>0.625</v>
      </c>
      <c r="F156" s="17">
        <v>503</v>
      </c>
      <c r="G156" s="17">
        <v>503</v>
      </c>
      <c r="H156" s="17"/>
      <c r="I156" s="17">
        <v>5</v>
      </c>
      <c r="J156" s="18"/>
      <c r="K156">
        <f>60/F156</f>
        <v>0.11928429423459244</v>
      </c>
    </row>
    <row r="157" spans="1:11" ht="20" hidden="1" x14ac:dyDescent="0.35">
      <c r="A157" s="14" t="s">
        <v>80</v>
      </c>
      <c r="B157" s="14" t="s">
        <v>81</v>
      </c>
      <c r="C157" s="14" t="s">
        <v>82</v>
      </c>
      <c r="D157" s="15">
        <v>45078</v>
      </c>
      <c r="E157" s="16">
        <v>0.58333333333333337</v>
      </c>
      <c r="F157" s="17">
        <v>499</v>
      </c>
      <c r="G157" s="17">
        <v>499</v>
      </c>
      <c r="H157" s="17"/>
      <c r="I157" s="17">
        <v>2</v>
      </c>
      <c r="J157" s="18"/>
      <c r="K157">
        <f>60/F157</f>
        <v>0.12024048096192384</v>
      </c>
    </row>
    <row r="158" spans="1:11" ht="20" hidden="1" x14ac:dyDescent="0.35">
      <c r="A158" s="14" t="s">
        <v>80</v>
      </c>
      <c r="B158" s="14" t="s">
        <v>81</v>
      </c>
      <c r="C158" s="14" t="s">
        <v>82</v>
      </c>
      <c r="D158" s="15">
        <v>45124</v>
      </c>
      <c r="E158" s="16">
        <v>0.70833333333333337</v>
      </c>
      <c r="F158" s="17">
        <v>499</v>
      </c>
      <c r="G158" s="17">
        <v>499</v>
      </c>
      <c r="H158" s="17"/>
      <c r="I158" s="17">
        <v>3</v>
      </c>
      <c r="J158" s="18"/>
      <c r="K158">
        <f>60/F158</f>
        <v>0.12024048096192384</v>
      </c>
    </row>
    <row r="159" spans="1:11" ht="20" hidden="1" x14ac:dyDescent="0.35">
      <c r="A159" s="14" t="s">
        <v>80</v>
      </c>
      <c r="B159" s="14" t="s">
        <v>81</v>
      </c>
      <c r="C159" s="14" t="s">
        <v>82</v>
      </c>
      <c r="D159" s="15">
        <v>45107</v>
      </c>
      <c r="E159" s="16">
        <v>0.58333333333333337</v>
      </c>
      <c r="F159" s="17">
        <v>495</v>
      </c>
      <c r="G159" s="17">
        <v>495</v>
      </c>
      <c r="H159" s="17"/>
      <c r="I159" s="17">
        <v>4</v>
      </c>
      <c r="J159" s="18"/>
      <c r="K159">
        <f>60/F159</f>
        <v>0.12121212121212122</v>
      </c>
    </row>
    <row r="160" spans="1:11" ht="20" x14ac:dyDescent="0.35">
      <c r="A160" s="14" t="s">
        <v>80</v>
      </c>
      <c r="B160" s="14" t="s">
        <v>81</v>
      </c>
      <c r="C160" s="14" t="s">
        <v>82</v>
      </c>
      <c r="D160" s="15">
        <v>45120</v>
      </c>
      <c r="E160" s="16">
        <v>0.625</v>
      </c>
      <c r="F160" s="17">
        <v>493</v>
      </c>
      <c r="G160" s="17">
        <v>493</v>
      </c>
      <c r="H160" s="17"/>
      <c r="I160" s="17">
        <v>6</v>
      </c>
      <c r="J160" s="18"/>
      <c r="K160">
        <f>60/F160</f>
        <v>0.12170385395537525</v>
      </c>
    </row>
    <row r="161" spans="1:11" ht="20" hidden="1" x14ac:dyDescent="0.35">
      <c r="A161" s="14" t="s">
        <v>80</v>
      </c>
      <c r="B161" s="14" t="s">
        <v>81</v>
      </c>
      <c r="C161" s="14" t="s">
        <v>82</v>
      </c>
      <c r="D161" s="15">
        <v>45097</v>
      </c>
      <c r="E161" s="16">
        <v>0.70833333333333337</v>
      </c>
      <c r="F161" s="17">
        <v>491</v>
      </c>
      <c r="G161" s="17">
        <v>491</v>
      </c>
      <c r="H161" s="17"/>
      <c r="I161" s="17">
        <v>2</v>
      </c>
      <c r="J161" s="18"/>
      <c r="K161">
        <f>60/F161</f>
        <v>0.12219959266802444</v>
      </c>
    </row>
    <row r="162" spans="1:11" ht="20" x14ac:dyDescent="0.35">
      <c r="A162" s="14" t="s">
        <v>80</v>
      </c>
      <c r="B162" s="14" t="s">
        <v>81</v>
      </c>
      <c r="C162" s="14" t="s">
        <v>82</v>
      </c>
      <c r="D162" s="15">
        <v>45085</v>
      </c>
      <c r="E162" s="16">
        <v>0.625</v>
      </c>
      <c r="F162" s="17">
        <v>486</v>
      </c>
      <c r="G162" s="17">
        <v>0</v>
      </c>
      <c r="H162" s="17">
        <v>486</v>
      </c>
      <c r="I162" s="17"/>
      <c r="J162" s="18">
        <v>3</v>
      </c>
      <c r="K162">
        <f>60/F162</f>
        <v>0.12345679012345678</v>
      </c>
    </row>
    <row r="163" spans="1:11" ht="20" hidden="1" x14ac:dyDescent="0.35">
      <c r="A163" s="14" t="s">
        <v>80</v>
      </c>
      <c r="B163" s="14" t="s">
        <v>81</v>
      </c>
      <c r="C163" s="14" t="s">
        <v>82</v>
      </c>
      <c r="D163" s="15">
        <v>45091</v>
      </c>
      <c r="E163" s="16">
        <v>0.58333333333333337</v>
      </c>
      <c r="F163" s="17">
        <v>484</v>
      </c>
      <c r="G163" s="17">
        <v>484</v>
      </c>
      <c r="H163" s="17"/>
      <c r="I163" s="17">
        <v>7</v>
      </c>
      <c r="J163" s="18"/>
      <c r="K163">
        <f>60/F163</f>
        <v>0.12396694214876033</v>
      </c>
    </row>
    <row r="164" spans="1:11" ht="20" hidden="1" x14ac:dyDescent="0.35">
      <c r="A164" s="14" t="s">
        <v>80</v>
      </c>
      <c r="B164" s="14" t="s">
        <v>81</v>
      </c>
      <c r="C164" s="14" t="s">
        <v>82</v>
      </c>
      <c r="D164" s="15">
        <v>45125</v>
      </c>
      <c r="E164" s="16">
        <v>0.75</v>
      </c>
      <c r="F164" s="17">
        <v>483</v>
      </c>
      <c r="G164" s="17">
        <v>483</v>
      </c>
      <c r="H164" s="17"/>
      <c r="I164" s="17">
        <v>2</v>
      </c>
      <c r="J164" s="18"/>
      <c r="K164">
        <f>60/F164</f>
        <v>0.12422360248447205</v>
      </c>
    </row>
    <row r="165" spans="1:11" ht="20" x14ac:dyDescent="0.35">
      <c r="A165" s="14" t="s">
        <v>80</v>
      </c>
      <c r="B165" s="14" t="s">
        <v>81</v>
      </c>
      <c r="C165" s="14" t="s">
        <v>82</v>
      </c>
      <c r="D165" s="15">
        <v>45108</v>
      </c>
      <c r="E165" s="16">
        <v>0.66666666666666663</v>
      </c>
      <c r="F165" s="17">
        <v>482</v>
      </c>
      <c r="G165" s="17">
        <v>482</v>
      </c>
      <c r="H165" s="17"/>
      <c r="I165" s="17">
        <v>3</v>
      </c>
      <c r="J165" s="18"/>
      <c r="K165">
        <f>60/F165</f>
        <v>0.12448132780082988</v>
      </c>
    </row>
    <row r="166" spans="1:11" ht="20" x14ac:dyDescent="0.35">
      <c r="A166" s="14" t="s">
        <v>80</v>
      </c>
      <c r="B166" s="14" t="s">
        <v>81</v>
      </c>
      <c r="C166" s="14" t="s">
        <v>82</v>
      </c>
      <c r="D166" s="15">
        <v>45105</v>
      </c>
      <c r="E166" s="16">
        <v>0.625</v>
      </c>
      <c r="F166" s="17">
        <v>479</v>
      </c>
      <c r="G166" s="17">
        <v>479</v>
      </c>
      <c r="H166" s="17"/>
      <c r="I166" s="17">
        <v>2</v>
      </c>
      <c r="J166" s="18"/>
      <c r="K166">
        <f>60/F166</f>
        <v>0.12526096033402923</v>
      </c>
    </row>
    <row r="167" spans="1:11" ht="20" x14ac:dyDescent="0.35">
      <c r="A167" s="14" t="s">
        <v>80</v>
      </c>
      <c r="B167" s="14" t="s">
        <v>81</v>
      </c>
      <c r="C167" s="14" t="s">
        <v>82</v>
      </c>
      <c r="D167" s="15">
        <v>45116</v>
      </c>
      <c r="E167" s="16">
        <v>0.625</v>
      </c>
      <c r="F167" s="17">
        <v>478</v>
      </c>
      <c r="G167" s="17">
        <v>478</v>
      </c>
      <c r="H167" s="17"/>
      <c r="I167" s="17">
        <v>5</v>
      </c>
      <c r="J167" s="18"/>
      <c r="K167">
        <f>60/F167</f>
        <v>0.12552301255230125</v>
      </c>
    </row>
    <row r="168" spans="1:11" ht="20" hidden="1" x14ac:dyDescent="0.35">
      <c r="A168" s="14" t="s">
        <v>80</v>
      </c>
      <c r="B168" s="14" t="s">
        <v>81</v>
      </c>
      <c r="C168" s="14" t="s">
        <v>82</v>
      </c>
      <c r="D168" s="15">
        <v>45099</v>
      </c>
      <c r="E168" s="16">
        <v>0.58333333333333337</v>
      </c>
      <c r="F168" s="17">
        <v>471</v>
      </c>
      <c r="G168" s="17">
        <v>471</v>
      </c>
      <c r="H168" s="17"/>
      <c r="I168" s="17">
        <v>4</v>
      </c>
      <c r="J168" s="18"/>
      <c r="K168">
        <f>60/F168</f>
        <v>0.12738853503184713</v>
      </c>
    </row>
    <row r="169" spans="1:11" ht="20" hidden="1" x14ac:dyDescent="0.35">
      <c r="A169" s="14" t="s">
        <v>80</v>
      </c>
      <c r="B169" s="14" t="s">
        <v>81</v>
      </c>
      <c r="C169" s="14" t="s">
        <v>82</v>
      </c>
      <c r="D169" s="15">
        <v>45091</v>
      </c>
      <c r="E169" s="16">
        <v>0.70833333333333337</v>
      </c>
      <c r="F169" s="17">
        <v>464</v>
      </c>
      <c r="G169" s="17">
        <v>464</v>
      </c>
      <c r="H169" s="17"/>
      <c r="I169" s="17">
        <v>2</v>
      </c>
      <c r="J169" s="18"/>
      <c r="K169">
        <f>60/F169</f>
        <v>0.12931034482758622</v>
      </c>
    </row>
    <row r="170" spans="1:11" ht="20" hidden="1" x14ac:dyDescent="0.35">
      <c r="A170" s="14" t="s">
        <v>80</v>
      </c>
      <c r="B170" s="14" t="s">
        <v>81</v>
      </c>
      <c r="C170" s="14" t="s">
        <v>82</v>
      </c>
      <c r="D170" s="15">
        <v>45126</v>
      </c>
      <c r="E170" s="16">
        <v>0.58333333333333337</v>
      </c>
      <c r="F170" s="17">
        <v>463</v>
      </c>
      <c r="G170" s="17">
        <v>463</v>
      </c>
      <c r="H170" s="17"/>
      <c r="I170" s="17">
        <v>4</v>
      </c>
      <c r="J170" s="18"/>
      <c r="K170">
        <f>60/F170</f>
        <v>0.12958963282937366</v>
      </c>
    </row>
    <row r="171" spans="1:11" ht="20" hidden="1" x14ac:dyDescent="0.35">
      <c r="A171" s="14" t="s">
        <v>80</v>
      </c>
      <c r="B171" s="14" t="s">
        <v>81</v>
      </c>
      <c r="C171" s="14" t="s">
        <v>82</v>
      </c>
      <c r="D171" s="15">
        <v>45085</v>
      </c>
      <c r="E171" s="16">
        <v>0.58333333333333337</v>
      </c>
      <c r="F171" s="17">
        <v>461</v>
      </c>
      <c r="G171" s="17">
        <v>69</v>
      </c>
      <c r="H171" s="17">
        <v>392</v>
      </c>
      <c r="I171" s="17">
        <v>2</v>
      </c>
      <c r="J171" s="18">
        <v>3</v>
      </c>
      <c r="K171">
        <f>60/F171</f>
        <v>0.13015184381778741</v>
      </c>
    </row>
    <row r="172" spans="1:11" ht="20" hidden="1" x14ac:dyDescent="0.35">
      <c r="A172" s="14" t="s">
        <v>80</v>
      </c>
      <c r="B172" s="14" t="s">
        <v>81</v>
      </c>
      <c r="C172" s="14" t="s">
        <v>82</v>
      </c>
      <c r="D172" s="15">
        <v>45100</v>
      </c>
      <c r="E172" s="16">
        <v>0.70833333333333337</v>
      </c>
      <c r="F172" s="17">
        <v>455</v>
      </c>
      <c r="G172" s="17">
        <v>455</v>
      </c>
      <c r="H172" s="17"/>
      <c r="I172" s="17">
        <v>3</v>
      </c>
      <c r="J172" s="18"/>
      <c r="K172">
        <f>60/F172</f>
        <v>0.13186813186813187</v>
      </c>
    </row>
    <row r="173" spans="1:11" ht="20" hidden="1" x14ac:dyDescent="0.35">
      <c r="A173" s="14" t="s">
        <v>80</v>
      </c>
      <c r="B173" s="14" t="s">
        <v>81</v>
      </c>
      <c r="C173" s="14" t="s">
        <v>82</v>
      </c>
      <c r="D173" s="15">
        <v>45095</v>
      </c>
      <c r="E173" s="16">
        <v>0.58333333333333337</v>
      </c>
      <c r="F173" s="17">
        <v>448</v>
      </c>
      <c r="G173" s="17">
        <v>448</v>
      </c>
      <c r="H173" s="17"/>
      <c r="I173" s="17">
        <v>2</v>
      </c>
      <c r="J173" s="18"/>
      <c r="K173">
        <f>60/F173</f>
        <v>0.13392857142857142</v>
      </c>
    </row>
    <row r="174" spans="1:11" ht="20" hidden="1" x14ac:dyDescent="0.35">
      <c r="A174" s="14" t="s">
        <v>80</v>
      </c>
      <c r="B174" s="14" t="s">
        <v>81</v>
      </c>
      <c r="C174" s="14" t="s">
        <v>82</v>
      </c>
      <c r="D174" s="15">
        <v>45083</v>
      </c>
      <c r="E174" s="16">
        <v>0.58333333333333337</v>
      </c>
      <c r="F174" s="17">
        <v>442</v>
      </c>
      <c r="G174" s="17">
        <v>442</v>
      </c>
      <c r="H174" s="17"/>
      <c r="I174" s="17">
        <v>3</v>
      </c>
      <c r="J174" s="18"/>
      <c r="K174">
        <f>60/F174</f>
        <v>0.13574660633484162</v>
      </c>
    </row>
    <row r="175" spans="1:11" ht="20" hidden="1" x14ac:dyDescent="0.35">
      <c r="A175" s="14" t="s">
        <v>80</v>
      </c>
      <c r="B175" s="14" t="s">
        <v>81</v>
      </c>
      <c r="C175" s="14" t="s">
        <v>82</v>
      </c>
      <c r="D175" s="15">
        <v>45092</v>
      </c>
      <c r="E175" s="16">
        <v>0.58333333333333337</v>
      </c>
      <c r="F175" s="17">
        <v>439</v>
      </c>
      <c r="G175" s="17">
        <v>439</v>
      </c>
      <c r="H175" s="17"/>
      <c r="I175" s="17">
        <v>6</v>
      </c>
      <c r="J175" s="18"/>
      <c r="K175">
        <f>60/F175</f>
        <v>0.1366742596810934</v>
      </c>
    </row>
    <row r="176" spans="1:11" ht="20" hidden="1" x14ac:dyDescent="0.35">
      <c r="A176" s="14" t="s">
        <v>80</v>
      </c>
      <c r="B176" s="14" t="s">
        <v>81</v>
      </c>
      <c r="C176" s="14" t="s">
        <v>82</v>
      </c>
      <c r="D176" s="15">
        <v>45134</v>
      </c>
      <c r="E176" s="16">
        <v>0.58333333333333337</v>
      </c>
      <c r="F176" s="17">
        <v>439</v>
      </c>
      <c r="G176" s="17">
        <v>439</v>
      </c>
      <c r="H176" s="17"/>
      <c r="I176" s="17">
        <v>5</v>
      </c>
      <c r="J176" s="18"/>
      <c r="K176">
        <f>60/F176</f>
        <v>0.1366742596810934</v>
      </c>
    </row>
    <row r="177" spans="1:11" ht="20" hidden="1" x14ac:dyDescent="0.35">
      <c r="A177" s="14" t="s">
        <v>80</v>
      </c>
      <c r="B177" s="14" t="s">
        <v>81</v>
      </c>
      <c r="C177" s="14" t="s">
        <v>82</v>
      </c>
      <c r="D177" s="15">
        <v>45136</v>
      </c>
      <c r="E177" s="16">
        <v>0.75</v>
      </c>
      <c r="F177" s="17">
        <v>431</v>
      </c>
      <c r="G177" s="17">
        <v>431</v>
      </c>
      <c r="H177" s="17"/>
      <c r="I177" s="17">
        <v>3</v>
      </c>
      <c r="J177" s="18"/>
      <c r="K177">
        <f>60/F177</f>
        <v>0.13921113689095127</v>
      </c>
    </row>
    <row r="178" spans="1:11" ht="20" hidden="1" x14ac:dyDescent="0.35">
      <c r="A178" s="14" t="s">
        <v>80</v>
      </c>
      <c r="B178" s="14" t="s">
        <v>81</v>
      </c>
      <c r="C178" s="14" t="s">
        <v>82</v>
      </c>
      <c r="D178" s="15">
        <v>45082</v>
      </c>
      <c r="E178" s="16">
        <v>0.70833333333333337</v>
      </c>
      <c r="F178" s="17">
        <v>427</v>
      </c>
      <c r="G178" s="17">
        <v>427</v>
      </c>
      <c r="H178" s="17"/>
      <c r="I178" s="17">
        <v>5</v>
      </c>
      <c r="J178" s="18"/>
      <c r="K178">
        <f>60/F178</f>
        <v>0.14051522248243559</v>
      </c>
    </row>
    <row r="179" spans="1:11" ht="20" hidden="1" x14ac:dyDescent="0.35">
      <c r="A179" s="14" t="s">
        <v>80</v>
      </c>
      <c r="B179" s="14" t="s">
        <v>81</v>
      </c>
      <c r="C179" s="14" t="s">
        <v>82</v>
      </c>
      <c r="D179" s="15">
        <v>45126</v>
      </c>
      <c r="E179" s="16">
        <v>0.70833333333333337</v>
      </c>
      <c r="F179" s="17">
        <v>427</v>
      </c>
      <c r="G179" s="17">
        <v>427</v>
      </c>
      <c r="H179" s="17"/>
      <c r="I179" s="17">
        <v>2</v>
      </c>
      <c r="J179" s="18"/>
      <c r="K179">
        <f>60/F179</f>
        <v>0.14051522248243559</v>
      </c>
    </row>
    <row r="180" spans="1:11" ht="20" hidden="1" x14ac:dyDescent="0.35">
      <c r="A180" s="14" t="s">
        <v>80</v>
      </c>
      <c r="B180" s="14" t="s">
        <v>81</v>
      </c>
      <c r="C180" s="14" t="s">
        <v>82</v>
      </c>
      <c r="D180" s="15">
        <v>45096</v>
      </c>
      <c r="E180" s="16">
        <v>0.58333333333333337</v>
      </c>
      <c r="F180" s="17">
        <v>425</v>
      </c>
      <c r="G180" s="17">
        <v>425</v>
      </c>
      <c r="H180" s="17"/>
      <c r="I180" s="17">
        <v>4</v>
      </c>
      <c r="J180" s="18"/>
      <c r="K180">
        <f>60/F180</f>
        <v>0.14117647058823529</v>
      </c>
    </row>
    <row r="181" spans="1:11" ht="20" hidden="1" x14ac:dyDescent="0.35">
      <c r="A181" s="14" t="s">
        <v>80</v>
      </c>
      <c r="B181" s="14" t="s">
        <v>81</v>
      </c>
      <c r="C181" s="14" t="s">
        <v>82</v>
      </c>
      <c r="D181" s="15">
        <v>45114</v>
      </c>
      <c r="E181" s="16">
        <v>0.70833333333333337</v>
      </c>
      <c r="F181" s="17">
        <v>420</v>
      </c>
      <c r="G181" s="17">
        <v>420</v>
      </c>
      <c r="H181" s="17"/>
      <c r="I181" s="17">
        <v>3</v>
      </c>
      <c r="J181" s="18"/>
      <c r="K181">
        <f>60/F181</f>
        <v>0.14285714285714285</v>
      </c>
    </row>
    <row r="182" spans="1:11" ht="20" hidden="1" x14ac:dyDescent="0.35">
      <c r="A182" s="14" t="s">
        <v>80</v>
      </c>
      <c r="B182" s="14" t="s">
        <v>81</v>
      </c>
      <c r="C182" s="14" t="s">
        <v>82</v>
      </c>
      <c r="D182" s="15">
        <v>45138</v>
      </c>
      <c r="E182" s="16">
        <v>0.58333333333333337</v>
      </c>
      <c r="F182" s="17">
        <v>420</v>
      </c>
      <c r="G182" s="17">
        <v>420</v>
      </c>
      <c r="H182" s="17"/>
      <c r="I182" s="17">
        <v>3</v>
      </c>
      <c r="J182" s="18"/>
      <c r="K182">
        <f>60/F182</f>
        <v>0.14285714285714285</v>
      </c>
    </row>
    <row r="183" spans="1:11" ht="20" hidden="1" x14ac:dyDescent="0.35">
      <c r="A183" s="14" t="s">
        <v>80</v>
      </c>
      <c r="B183" s="14" t="s">
        <v>81</v>
      </c>
      <c r="C183" s="14" t="s">
        <v>82</v>
      </c>
      <c r="D183" s="15">
        <v>45102</v>
      </c>
      <c r="E183" s="16">
        <v>0.58333333333333337</v>
      </c>
      <c r="F183" s="17">
        <v>416</v>
      </c>
      <c r="G183" s="17">
        <v>416</v>
      </c>
      <c r="H183" s="17"/>
      <c r="I183" s="17">
        <v>3</v>
      </c>
      <c r="J183" s="18"/>
      <c r="K183">
        <f>60/F183</f>
        <v>0.14423076923076922</v>
      </c>
    </row>
    <row r="184" spans="1:11" ht="20" hidden="1" x14ac:dyDescent="0.35">
      <c r="A184" s="14" t="s">
        <v>80</v>
      </c>
      <c r="B184" s="14" t="s">
        <v>81</v>
      </c>
      <c r="C184" s="14" t="s">
        <v>82</v>
      </c>
      <c r="D184" s="15">
        <v>45121</v>
      </c>
      <c r="E184" s="16">
        <v>0.58333333333333337</v>
      </c>
      <c r="F184" s="17">
        <v>413</v>
      </c>
      <c r="G184" s="17">
        <v>413</v>
      </c>
      <c r="H184" s="17"/>
      <c r="I184" s="17">
        <v>3</v>
      </c>
      <c r="J184" s="18"/>
      <c r="K184">
        <f>60/F184</f>
        <v>0.14527845036319612</v>
      </c>
    </row>
    <row r="185" spans="1:11" ht="20" hidden="1" x14ac:dyDescent="0.35">
      <c r="A185" s="14" t="s">
        <v>80</v>
      </c>
      <c r="B185" s="14" t="s">
        <v>81</v>
      </c>
      <c r="C185" s="14" t="s">
        <v>82</v>
      </c>
      <c r="D185" s="15">
        <v>45112</v>
      </c>
      <c r="E185" s="16">
        <v>0.58333333333333337</v>
      </c>
      <c r="F185" s="17">
        <v>411</v>
      </c>
      <c r="G185" s="17">
        <v>411</v>
      </c>
      <c r="H185" s="17"/>
      <c r="I185" s="17">
        <v>3</v>
      </c>
      <c r="J185" s="18"/>
      <c r="K185">
        <f>60/F185</f>
        <v>0.145985401459854</v>
      </c>
    </row>
    <row r="186" spans="1:11" ht="20" x14ac:dyDescent="0.35">
      <c r="A186" s="14" t="s">
        <v>80</v>
      </c>
      <c r="B186" s="14" t="s">
        <v>81</v>
      </c>
      <c r="C186" s="14" t="s">
        <v>82</v>
      </c>
      <c r="D186" s="15">
        <v>45083</v>
      </c>
      <c r="E186" s="16">
        <v>0.66666666666666663</v>
      </c>
      <c r="F186" s="17">
        <v>404</v>
      </c>
      <c r="G186" s="17">
        <v>404</v>
      </c>
      <c r="H186" s="17"/>
      <c r="I186" s="17">
        <v>3</v>
      </c>
      <c r="J186" s="18"/>
      <c r="K186">
        <f>60/F186</f>
        <v>0.14851485148514851</v>
      </c>
    </row>
    <row r="187" spans="1:11" ht="20" hidden="1" x14ac:dyDescent="0.35">
      <c r="A187" s="14" t="s">
        <v>80</v>
      </c>
      <c r="B187" s="14" t="s">
        <v>81</v>
      </c>
      <c r="C187" s="14" t="s">
        <v>82</v>
      </c>
      <c r="D187" s="15">
        <v>45101</v>
      </c>
      <c r="E187" s="16">
        <v>0.58333333333333337</v>
      </c>
      <c r="F187" s="17">
        <v>399</v>
      </c>
      <c r="G187" s="17">
        <v>399</v>
      </c>
      <c r="H187" s="17"/>
      <c r="I187" s="17">
        <v>2</v>
      </c>
      <c r="J187" s="18"/>
      <c r="K187">
        <f>60/F187</f>
        <v>0.15037593984962405</v>
      </c>
    </row>
    <row r="188" spans="1:11" ht="20" hidden="1" x14ac:dyDescent="0.35">
      <c r="A188" s="14" t="s">
        <v>80</v>
      </c>
      <c r="B188" s="14" t="s">
        <v>81</v>
      </c>
      <c r="C188" s="14" t="s">
        <v>82</v>
      </c>
      <c r="D188" s="15">
        <v>45103</v>
      </c>
      <c r="E188" s="16">
        <v>0.58333333333333337</v>
      </c>
      <c r="F188" s="17">
        <v>396</v>
      </c>
      <c r="G188" s="17">
        <v>396</v>
      </c>
      <c r="H188" s="17"/>
      <c r="I188" s="17">
        <v>3</v>
      </c>
      <c r="J188" s="18"/>
      <c r="K188">
        <f>60/F188</f>
        <v>0.15151515151515152</v>
      </c>
    </row>
    <row r="189" spans="1:11" ht="20" hidden="1" x14ac:dyDescent="0.35">
      <c r="A189" s="14" t="s">
        <v>80</v>
      </c>
      <c r="B189" s="14" t="s">
        <v>81</v>
      </c>
      <c r="C189" s="14" t="s">
        <v>82</v>
      </c>
      <c r="D189" s="15">
        <v>45111</v>
      </c>
      <c r="E189" s="16">
        <v>0.58333333333333337</v>
      </c>
      <c r="F189" s="17">
        <v>394</v>
      </c>
      <c r="G189" s="17">
        <v>394</v>
      </c>
      <c r="H189" s="17"/>
      <c r="I189" s="17">
        <v>3</v>
      </c>
      <c r="J189" s="18"/>
      <c r="K189">
        <f>60/F189</f>
        <v>0.15228426395939088</v>
      </c>
    </row>
    <row r="190" spans="1:11" ht="20" x14ac:dyDescent="0.35">
      <c r="A190" s="14" t="s">
        <v>80</v>
      </c>
      <c r="B190" s="14" t="s">
        <v>81</v>
      </c>
      <c r="C190" s="14" t="s">
        <v>82</v>
      </c>
      <c r="D190" s="15">
        <v>45112</v>
      </c>
      <c r="E190" s="16">
        <v>0.625</v>
      </c>
      <c r="F190" s="17">
        <v>391</v>
      </c>
      <c r="G190" s="17">
        <v>391</v>
      </c>
      <c r="H190" s="17"/>
      <c r="I190" s="17">
        <v>3</v>
      </c>
      <c r="J190" s="18"/>
      <c r="K190">
        <f>60/F190</f>
        <v>0.15345268542199489</v>
      </c>
    </row>
    <row r="191" spans="1:11" ht="20" hidden="1" x14ac:dyDescent="0.35">
      <c r="A191" s="14" t="s">
        <v>80</v>
      </c>
      <c r="B191" s="14" t="s">
        <v>81</v>
      </c>
      <c r="C191" s="14" t="s">
        <v>82</v>
      </c>
      <c r="D191" s="15">
        <v>45093</v>
      </c>
      <c r="E191" s="16">
        <v>0.58333333333333337</v>
      </c>
      <c r="F191" s="17">
        <v>390</v>
      </c>
      <c r="G191" s="17">
        <v>390</v>
      </c>
      <c r="H191" s="17"/>
      <c r="I191" s="17">
        <v>2</v>
      </c>
      <c r="J191" s="18"/>
      <c r="K191">
        <f>60/F191</f>
        <v>0.15384615384615385</v>
      </c>
    </row>
    <row r="192" spans="1:11" ht="20" hidden="1" x14ac:dyDescent="0.35">
      <c r="A192" s="14" t="s">
        <v>80</v>
      </c>
      <c r="B192" s="14" t="s">
        <v>81</v>
      </c>
      <c r="C192" s="14" t="s">
        <v>82</v>
      </c>
      <c r="D192" s="15">
        <v>45122</v>
      </c>
      <c r="E192" s="16">
        <v>0.70833333333333337</v>
      </c>
      <c r="F192" s="17">
        <v>390</v>
      </c>
      <c r="G192" s="17">
        <v>390</v>
      </c>
      <c r="H192" s="17"/>
      <c r="I192" s="17">
        <v>3</v>
      </c>
      <c r="J192" s="18"/>
      <c r="K192">
        <f>60/F192</f>
        <v>0.15384615384615385</v>
      </c>
    </row>
    <row r="193" spans="1:11" ht="20" x14ac:dyDescent="0.35">
      <c r="A193" s="14" t="s">
        <v>80</v>
      </c>
      <c r="B193" s="14" t="s">
        <v>81</v>
      </c>
      <c r="C193" s="14" t="s">
        <v>82</v>
      </c>
      <c r="D193" s="15">
        <v>45118</v>
      </c>
      <c r="E193" s="16">
        <v>0.625</v>
      </c>
      <c r="F193" s="17">
        <v>383</v>
      </c>
      <c r="G193" s="17">
        <v>383</v>
      </c>
      <c r="H193" s="17"/>
      <c r="I193" s="17">
        <v>4</v>
      </c>
      <c r="J193" s="18"/>
      <c r="K193">
        <f>60/F193</f>
        <v>0.1566579634464752</v>
      </c>
    </row>
    <row r="194" spans="1:11" ht="20" hidden="1" x14ac:dyDescent="0.35">
      <c r="A194" s="14" t="s">
        <v>80</v>
      </c>
      <c r="B194" s="14" t="s">
        <v>81</v>
      </c>
      <c r="C194" s="14" t="s">
        <v>82</v>
      </c>
      <c r="D194" s="15">
        <v>45137</v>
      </c>
      <c r="E194" s="16">
        <v>0.58333333333333337</v>
      </c>
      <c r="F194" s="17">
        <v>383</v>
      </c>
      <c r="G194" s="17">
        <v>383</v>
      </c>
      <c r="H194" s="17"/>
      <c r="I194" s="17">
        <v>2</v>
      </c>
      <c r="J194" s="18"/>
      <c r="K194">
        <f>60/F194</f>
        <v>0.1566579634464752</v>
      </c>
    </row>
    <row r="195" spans="1:11" ht="20" hidden="1" x14ac:dyDescent="0.35">
      <c r="A195" s="14" t="s">
        <v>80</v>
      </c>
      <c r="B195" s="14" t="s">
        <v>81</v>
      </c>
      <c r="C195" s="14" t="s">
        <v>82</v>
      </c>
      <c r="D195" s="15">
        <v>45103</v>
      </c>
      <c r="E195" s="16">
        <v>0.70833333333333337</v>
      </c>
      <c r="F195" s="17">
        <v>379</v>
      </c>
      <c r="G195" s="17">
        <v>379</v>
      </c>
      <c r="H195" s="17"/>
      <c r="I195" s="17">
        <v>2</v>
      </c>
      <c r="J195" s="18"/>
      <c r="K195">
        <f>60/F195</f>
        <v>0.15831134564643801</v>
      </c>
    </row>
    <row r="196" spans="1:11" ht="20" hidden="1" x14ac:dyDescent="0.35">
      <c r="A196" s="14" t="s">
        <v>80</v>
      </c>
      <c r="B196" s="14" t="s">
        <v>81</v>
      </c>
      <c r="C196" s="14" t="s">
        <v>82</v>
      </c>
      <c r="D196" s="15">
        <v>45132</v>
      </c>
      <c r="E196" s="16">
        <v>0.58333333333333337</v>
      </c>
      <c r="F196" s="17">
        <v>367</v>
      </c>
      <c r="G196" s="17">
        <v>367</v>
      </c>
      <c r="H196" s="17"/>
      <c r="I196" s="17">
        <v>2</v>
      </c>
      <c r="J196" s="18"/>
      <c r="K196">
        <f>60/F196</f>
        <v>0.16348773841961853</v>
      </c>
    </row>
    <row r="197" spans="1:11" ht="20" hidden="1" x14ac:dyDescent="0.35">
      <c r="A197" s="14" t="s">
        <v>80</v>
      </c>
      <c r="B197" s="14" t="s">
        <v>81</v>
      </c>
      <c r="C197" s="14" t="s">
        <v>82</v>
      </c>
      <c r="D197" s="15">
        <v>45096</v>
      </c>
      <c r="E197" s="16">
        <v>0.70833333333333337</v>
      </c>
      <c r="F197" s="17">
        <v>365</v>
      </c>
      <c r="G197" s="17">
        <v>365</v>
      </c>
      <c r="H197" s="17"/>
      <c r="I197" s="17">
        <v>1</v>
      </c>
      <c r="J197" s="18"/>
      <c r="K197">
        <f>60/F197</f>
        <v>0.16438356164383561</v>
      </c>
    </row>
    <row r="198" spans="1:11" ht="20" x14ac:dyDescent="0.35">
      <c r="A198" s="14" t="s">
        <v>80</v>
      </c>
      <c r="B198" s="14" t="s">
        <v>81</v>
      </c>
      <c r="C198" s="14" t="s">
        <v>82</v>
      </c>
      <c r="D198" s="15">
        <v>45104</v>
      </c>
      <c r="E198" s="16">
        <v>0.625</v>
      </c>
      <c r="F198" s="17">
        <v>360</v>
      </c>
      <c r="G198" s="17">
        <v>360</v>
      </c>
      <c r="H198" s="17"/>
      <c r="I198" s="17">
        <v>10</v>
      </c>
      <c r="J198" s="18"/>
      <c r="K198">
        <f>60/F198</f>
        <v>0.16666666666666666</v>
      </c>
    </row>
    <row r="199" spans="1:11" ht="20" hidden="1" x14ac:dyDescent="0.35">
      <c r="A199" s="14" t="s">
        <v>80</v>
      </c>
      <c r="B199" s="14" t="s">
        <v>81</v>
      </c>
      <c r="C199" s="14" t="s">
        <v>82</v>
      </c>
      <c r="D199" s="15">
        <v>45137</v>
      </c>
      <c r="E199" s="16">
        <v>0.75</v>
      </c>
      <c r="F199" s="17">
        <v>356</v>
      </c>
      <c r="G199" s="17">
        <v>356</v>
      </c>
      <c r="H199" s="17"/>
      <c r="I199" s="17">
        <v>2</v>
      </c>
      <c r="J199" s="18"/>
      <c r="K199">
        <f>60/F199</f>
        <v>0.16853932584269662</v>
      </c>
    </row>
    <row r="200" spans="1:11" ht="20" hidden="1" x14ac:dyDescent="0.35">
      <c r="A200" s="14" t="s">
        <v>80</v>
      </c>
      <c r="B200" s="14" t="s">
        <v>81</v>
      </c>
      <c r="C200" s="14" t="s">
        <v>82</v>
      </c>
      <c r="D200" s="15">
        <v>45105</v>
      </c>
      <c r="E200" s="16">
        <v>0.75</v>
      </c>
      <c r="F200" s="17">
        <v>354</v>
      </c>
      <c r="G200" s="17">
        <v>354</v>
      </c>
      <c r="H200" s="17"/>
      <c r="I200" s="17">
        <v>1</v>
      </c>
      <c r="J200" s="18"/>
      <c r="K200">
        <f>60/F200</f>
        <v>0.16949152542372881</v>
      </c>
    </row>
    <row r="201" spans="1:11" ht="20" hidden="1" x14ac:dyDescent="0.35">
      <c r="A201" s="14" t="s">
        <v>80</v>
      </c>
      <c r="B201" s="14" t="s">
        <v>81</v>
      </c>
      <c r="C201" s="14" t="s">
        <v>82</v>
      </c>
      <c r="D201" s="15">
        <v>45113</v>
      </c>
      <c r="E201" s="16">
        <v>0.58333333333333337</v>
      </c>
      <c r="F201" s="17">
        <v>350</v>
      </c>
      <c r="G201" s="17">
        <v>350</v>
      </c>
      <c r="H201" s="17"/>
      <c r="I201" s="17">
        <v>2</v>
      </c>
      <c r="J201" s="18"/>
      <c r="K201">
        <f>60/F201</f>
        <v>0.17142857142857143</v>
      </c>
    </row>
    <row r="202" spans="1:11" ht="20" x14ac:dyDescent="0.35">
      <c r="A202" s="14" t="s">
        <v>80</v>
      </c>
      <c r="B202" s="14" t="s">
        <v>81</v>
      </c>
      <c r="C202" s="14" t="s">
        <v>82</v>
      </c>
      <c r="D202" s="15">
        <v>45097</v>
      </c>
      <c r="E202" s="16">
        <v>0.625</v>
      </c>
      <c r="F202" s="17">
        <v>343</v>
      </c>
      <c r="G202" s="17">
        <v>343</v>
      </c>
      <c r="H202" s="17"/>
      <c r="I202" s="17">
        <v>3</v>
      </c>
      <c r="J202" s="18"/>
      <c r="K202">
        <f>60/F202</f>
        <v>0.1749271137026239</v>
      </c>
    </row>
    <row r="203" spans="1:11" ht="20" hidden="1" x14ac:dyDescent="0.35">
      <c r="A203" s="14" t="s">
        <v>80</v>
      </c>
      <c r="B203" s="14" t="s">
        <v>81</v>
      </c>
      <c r="C203" s="14" t="s">
        <v>82</v>
      </c>
      <c r="D203" s="15">
        <v>45124</v>
      </c>
      <c r="E203" s="16">
        <v>0.58333333333333337</v>
      </c>
      <c r="F203" s="17">
        <v>342</v>
      </c>
      <c r="G203" s="17">
        <v>342</v>
      </c>
      <c r="H203" s="17"/>
      <c r="I203" s="17">
        <v>1</v>
      </c>
      <c r="J203" s="18"/>
      <c r="K203">
        <f>60/F203</f>
        <v>0.17543859649122806</v>
      </c>
    </row>
    <row r="204" spans="1:11" ht="20" hidden="1" x14ac:dyDescent="0.35">
      <c r="A204" s="14" t="s">
        <v>80</v>
      </c>
      <c r="B204" s="14" t="s">
        <v>81</v>
      </c>
      <c r="C204" s="14" t="s">
        <v>82</v>
      </c>
      <c r="D204" s="15">
        <v>45132</v>
      </c>
      <c r="E204" s="16">
        <v>0.70833333333333337</v>
      </c>
      <c r="F204" s="17">
        <v>342</v>
      </c>
      <c r="G204" s="17">
        <v>342</v>
      </c>
      <c r="H204" s="17"/>
      <c r="I204" s="17">
        <v>3</v>
      </c>
      <c r="J204" s="18"/>
      <c r="K204">
        <f>60/F204</f>
        <v>0.17543859649122806</v>
      </c>
    </row>
    <row r="205" spans="1:11" ht="20" hidden="1" x14ac:dyDescent="0.35">
      <c r="A205" s="14" t="s">
        <v>80</v>
      </c>
      <c r="B205" s="14" t="s">
        <v>81</v>
      </c>
      <c r="C205" s="14" t="s">
        <v>82</v>
      </c>
      <c r="D205" s="15">
        <v>45132</v>
      </c>
      <c r="E205" s="16">
        <v>0.75</v>
      </c>
      <c r="F205" s="17">
        <v>340</v>
      </c>
      <c r="G205" s="17">
        <v>340</v>
      </c>
      <c r="H205" s="17"/>
      <c r="I205" s="17">
        <v>3</v>
      </c>
      <c r="J205" s="18"/>
      <c r="K205">
        <f>60/F205</f>
        <v>0.17647058823529413</v>
      </c>
    </row>
    <row r="206" spans="1:11" ht="20" hidden="1" x14ac:dyDescent="0.35">
      <c r="A206" s="14" t="s">
        <v>80</v>
      </c>
      <c r="B206" s="14" t="s">
        <v>81</v>
      </c>
      <c r="C206" s="14" t="s">
        <v>82</v>
      </c>
      <c r="D206" s="15">
        <v>45098</v>
      </c>
      <c r="E206" s="16">
        <v>0.70833333333333337</v>
      </c>
      <c r="F206" s="17">
        <v>333</v>
      </c>
      <c r="G206" s="17">
        <v>333</v>
      </c>
      <c r="H206" s="17"/>
      <c r="I206" s="17">
        <v>3</v>
      </c>
      <c r="J206" s="18"/>
      <c r="K206">
        <f>60/F206</f>
        <v>0.18018018018018017</v>
      </c>
    </row>
    <row r="207" spans="1:11" ht="20" hidden="1" x14ac:dyDescent="0.35">
      <c r="A207" s="14" t="s">
        <v>80</v>
      </c>
      <c r="B207" s="14" t="s">
        <v>81</v>
      </c>
      <c r="C207" s="14" t="s">
        <v>82</v>
      </c>
      <c r="D207" s="15">
        <v>45102</v>
      </c>
      <c r="E207" s="16">
        <v>0.70833333333333337</v>
      </c>
      <c r="F207" s="17">
        <v>329</v>
      </c>
      <c r="G207" s="17">
        <v>329</v>
      </c>
      <c r="H207" s="17"/>
      <c r="I207" s="17">
        <v>2</v>
      </c>
      <c r="J207" s="18"/>
      <c r="K207">
        <f>60/F207</f>
        <v>0.18237082066869301</v>
      </c>
    </row>
    <row r="208" spans="1:11" ht="20" hidden="1" x14ac:dyDescent="0.35">
      <c r="A208" s="14" t="s">
        <v>80</v>
      </c>
      <c r="B208" s="14" t="s">
        <v>81</v>
      </c>
      <c r="C208" s="14" t="s">
        <v>82</v>
      </c>
      <c r="D208" s="15">
        <v>45109</v>
      </c>
      <c r="E208" s="16">
        <v>0.58333333333333337</v>
      </c>
      <c r="F208" s="17">
        <v>325</v>
      </c>
      <c r="G208" s="17">
        <v>325</v>
      </c>
      <c r="H208" s="17"/>
      <c r="I208" s="17">
        <v>3</v>
      </c>
      <c r="J208" s="18"/>
      <c r="K208">
        <f>60/F208</f>
        <v>0.18461538461538463</v>
      </c>
    </row>
    <row r="209" spans="1:11" ht="20" hidden="1" x14ac:dyDescent="0.35">
      <c r="A209" s="14" t="s">
        <v>80</v>
      </c>
      <c r="B209" s="14" t="s">
        <v>81</v>
      </c>
      <c r="C209" s="14" t="s">
        <v>82</v>
      </c>
      <c r="D209" s="15">
        <v>45108</v>
      </c>
      <c r="E209" s="16">
        <v>0.70833333333333337</v>
      </c>
      <c r="F209" s="17">
        <v>319</v>
      </c>
      <c r="G209" s="17">
        <v>319</v>
      </c>
      <c r="H209" s="17"/>
      <c r="I209" s="17">
        <v>3</v>
      </c>
      <c r="J209" s="18"/>
      <c r="K209">
        <f>60/F209</f>
        <v>0.18808777429467086</v>
      </c>
    </row>
    <row r="210" spans="1:11" ht="20" hidden="1" x14ac:dyDescent="0.35">
      <c r="A210" s="14" t="s">
        <v>80</v>
      </c>
      <c r="B210" s="14" t="s">
        <v>81</v>
      </c>
      <c r="C210" s="14" t="s">
        <v>82</v>
      </c>
      <c r="D210" s="15">
        <v>45133</v>
      </c>
      <c r="E210" s="16">
        <v>0.75</v>
      </c>
      <c r="F210" s="17">
        <v>310</v>
      </c>
      <c r="G210" s="17">
        <v>310</v>
      </c>
      <c r="H210" s="17"/>
      <c r="I210" s="17">
        <v>4</v>
      </c>
      <c r="J210" s="18"/>
      <c r="K210">
        <f>60/F210</f>
        <v>0.19354838709677419</v>
      </c>
    </row>
    <row r="211" spans="1:11" ht="20" hidden="1" x14ac:dyDescent="0.35">
      <c r="A211" s="14" t="s">
        <v>80</v>
      </c>
      <c r="B211" s="14" t="s">
        <v>81</v>
      </c>
      <c r="C211" s="14" t="s">
        <v>82</v>
      </c>
      <c r="D211" s="15">
        <v>45133</v>
      </c>
      <c r="E211" s="16">
        <v>0.70833333333333337</v>
      </c>
      <c r="F211" s="17">
        <v>309</v>
      </c>
      <c r="G211" s="17">
        <v>309</v>
      </c>
      <c r="H211" s="17"/>
      <c r="I211" s="17">
        <v>3</v>
      </c>
      <c r="J211" s="18"/>
      <c r="K211">
        <f>60/F211</f>
        <v>0.1941747572815534</v>
      </c>
    </row>
    <row r="212" spans="1:11" ht="20" hidden="1" x14ac:dyDescent="0.35">
      <c r="A212" s="14" t="s">
        <v>80</v>
      </c>
      <c r="B212" s="14" t="s">
        <v>81</v>
      </c>
      <c r="C212" s="14" t="s">
        <v>82</v>
      </c>
      <c r="D212" s="15">
        <v>45110</v>
      </c>
      <c r="E212" s="16">
        <v>0.70833333333333337</v>
      </c>
      <c r="F212" s="17">
        <v>289</v>
      </c>
      <c r="G212" s="17">
        <v>289</v>
      </c>
      <c r="H212" s="17"/>
      <c r="I212" s="17">
        <v>8</v>
      </c>
      <c r="J212" s="18"/>
      <c r="K212">
        <f>60/F212</f>
        <v>0.20761245674740483</v>
      </c>
    </row>
    <row r="213" spans="1:11" ht="20" hidden="1" x14ac:dyDescent="0.35">
      <c r="A213" s="14" t="s">
        <v>80</v>
      </c>
      <c r="B213" s="14" t="s">
        <v>81</v>
      </c>
      <c r="C213" s="14" t="s">
        <v>82</v>
      </c>
      <c r="D213" s="15">
        <v>45131</v>
      </c>
      <c r="E213" s="16">
        <v>0.58333333333333337</v>
      </c>
      <c r="F213" s="17">
        <v>286</v>
      </c>
      <c r="G213" s="17">
        <v>286</v>
      </c>
      <c r="H213" s="17"/>
      <c r="I213" s="17">
        <v>3</v>
      </c>
      <c r="J213" s="18"/>
      <c r="K213">
        <f>60/F213</f>
        <v>0.20979020979020979</v>
      </c>
    </row>
    <row r="214" spans="1:11" ht="20" hidden="1" x14ac:dyDescent="0.35">
      <c r="A214" s="14" t="s">
        <v>80</v>
      </c>
      <c r="B214" s="14" t="s">
        <v>81</v>
      </c>
      <c r="C214" s="14" t="s">
        <v>82</v>
      </c>
      <c r="D214" s="15">
        <v>45127</v>
      </c>
      <c r="E214" s="16">
        <v>0.70833333333333337</v>
      </c>
      <c r="F214" s="17">
        <v>274</v>
      </c>
      <c r="G214" s="17">
        <v>274</v>
      </c>
      <c r="H214" s="17"/>
      <c r="I214" s="17">
        <v>4</v>
      </c>
      <c r="J214" s="18"/>
      <c r="K214">
        <f>60/F214</f>
        <v>0.21897810218978103</v>
      </c>
    </row>
    <row r="215" spans="1:11" ht="20" hidden="1" x14ac:dyDescent="0.35">
      <c r="A215" s="14" t="s">
        <v>80</v>
      </c>
      <c r="B215" s="14" t="s">
        <v>81</v>
      </c>
      <c r="C215" s="14" t="s">
        <v>82</v>
      </c>
      <c r="D215" s="15">
        <v>45106</v>
      </c>
      <c r="E215" s="16">
        <v>0.70833333333333337</v>
      </c>
      <c r="F215" s="17">
        <v>272</v>
      </c>
      <c r="G215" s="17">
        <v>272</v>
      </c>
      <c r="H215" s="17"/>
      <c r="I215" s="17">
        <v>2</v>
      </c>
      <c r="J215" s="18"/>
      <c r="K215">
        <f>60/F215</f>
        <v>0.22058823529411764</v>
      </c>
    </row>
    <row r="216" spans="1:11" ht="20" x14ac:dyDescent="0.35">
      <c r="A216" s="14" t="s">
        <v>80</v>
      </c>
      <c r="B216" s="14" t="s">
        <v>81</v>
      </c>
      <c r="C216" s="14" t="s">
        <v>82</v>
      </c>
      <c r="D216" s="15">
        <v>45114</v>
      </c>
      <c r="E216" s="16">
        <v>0.625</v>
      </c>
      <c r="F216" s="17">
        <v>268</v>
      </c>
      <c r="G216" s="17">
        <v>268</v>
      </c>
      <c r="H216" s="17"/>
      <c r="I216" s="17">
        <v>3</v>
      </c>
      <c r="J216" s="18"/>
      <c r="K216">
        <f>60/F216</f>
        <v>0.22388059701492538</v>
      </c>
    </row>
    <row r="217" spans="1:11" ht="20" hidden="1" x14ac:dyDescent="0.35">
      <c r="A217" s="14" t="s">
        <v>80</v>
      </c>
      <c r="B217" s="14" t="s">
        <v>81</v>
      </c>
      <c r="C217" s="14" t="s">
        <v>82</v>
      </c>
      <c r="D217" s="15">
        <v>45110</v>
      </c>
      <c r="E217" s="16">
        <v>0.58333333333333337</v>
      </c>
      <c r="F217" s="17">
        <v>266</v>
      </c>
      <c r="G217" s="17">
        <v>266</v>
      </c>
      <c r="H217" s="17"/>
      <c r="I217" s="17">
        <v>3</v>
      </c>
      <c r="J217" s="18"/>
      <c r="K217">
        <f t="shared" ref="K194:K260" si="0">60/F217</f>
        <v>0.22556390977443608</v>
      </c>
    </row>
    <row r="218" spans="1:11" ht="20" hidden="1" x14ac:dyDescent="0.35">
      <c r="A218" s="14" t="s">
        <v>80</v>
      </c>
      <c r="B218" s="14" t="s">
        <v>81</v>
      </c>
      <c r="C218" s="14" t="s">
        <v>82</v>
      </c>
      <c r="D218" s="15">
        <v>45100</v>
      </c>
      <c r="E218" s="16">
        <v>0.58333333333333337</v>
      </c>
      <c r="F218" s="17">
        <v>257</v>
      </c>
      <c r="G218" s="17">
        <v>257</v>
      </c>
      <c r="H218" s="17"/>
      <c r="I218" s="17">
        <v>3</v>
      </c>
      <c r="J218" s="18"/>
      <c r="K218">
        <f t="shared" si="0"/>
        <v>0.23346303501945526</v>
      </c>
    </row>
    <row r="219" spans="1:11" ht="20" hidden="1" x14ac:dyDescent="0.35">
      <c r="A219" s="14" t="s">
        <v>80</v>
      </c>
      <c r="B219" s="14" t="s">
        <v>81</v>
      </c>
      <c r="C219" s="14" t="s">
        <v>82</v>
      </c>
      <c r="D219" s="15">
        <v>45119</v>
      </c>
      <c r="E219" s="16">
        <v>0.70833333333333337</v>
      </c>
      <c r="F219" s="17">
        <v>254</v>
      </c>
      <c r="G219" s="17">
        <v>254</v>
      </c>
      <c r="H219" s="17"/>
      <c r="I219" s="17">
        <v>2</v>
      </c>
      <c r="J219" s="18"/>
      <c r="K219">
        <f t="shared" si="0"/>
        <v>0.23622047244094488</v>
      </c>
    </row>
    <row r="220" spans="1:11" ht="20" hidden="1" x14ac:dyDescent="0.35">
      <c r="A220" s="14" t="s">
        <v>80</v>
      </c>
      <c r="B220" s="14" t="s">
        <v>81</v>
      </c>
      <c r="C220" s="14" t="s">
        <v>82</v>
      </c>
      <c r="D220" s="15">
        <v>45089</v>
      </c>
      <c r="E220" s="16">
        <v>0.70833333333333337</v>
      </c>
      <c r="F220" s="17">
        <v>244</v>
      </c>
      <c r="G220" s="17">
        <v>244</v>
      </c>
      <c r="H220" s="17"/>
      <c r="I220" s="17">
        <v>2</v>
      </c>
      <c r="J220" s="18"/>
      <c r="K220">
        <f t="shared" si="0"/>
        <v>0.24590163934426229</v>
      </c>
    </row>
    <row r="221" spans="1:11" ht="20" hidden="1" x14ac:dyDescent="0.35">
      <c r="A221" s="14" t="s">
        <v>80</v>
      </c>
      <c r="B221" s="14" t="s">
        <v>81</v>
      </c>
      <c r="C221" s="14" t="s">
        <v>82</v>
      </c>
      <c r="D221" s="15">
        <v>45130</v>
      </c>
      <c r="E221" s="16">
        <v>0.75</v>
      </c>
      <c r="F221" s="17">
        <v>237</v>
      </c>
      <c r="G221" s="17">
        <v>237</v>
      </c>
      <c r="H221" s="17"/>
      <c r="I221" s="17">
        <v>5</v>
      </c>
      <c r="J221" s="18"/>
      <c r="K221">
        <f t="shared" si="0"/>
        <v>0.25316455696202533</v>
      </c>
    </row>
    <row r="222" spans="1:11" ht="20" hidden="1" x14ac:dyDescent="0.35">
      <c r="A222" s="14" t="s">
        <v>80</v>
      </c>
      <c r="B222" s="14" t="s">
        <v>81</v>
      </c>
      <c r="C222" s="14" t="s">
        <v>82</v>
      </c>
      <c r="D222" s="15">
        <v>45121</v>
      </c>
      <c r="E222" s="16">
        <v>0.75</v>
      </c>
      <c r="F222" s="17">
        <v>233</v>
      </c>
      <c r="G222" s="17">
        <v>233</v>
      </c>
      <c r="H222" s="17"/>
      <c r="I222" s="17">
        <v>2</v>
      </c>
      <c r="J222" s="18"/>
      <c r="K222">
        <f t="shared" si="0"/>
        <v>0.25751072961373389</v>
      </c>
    </row>
    <row r="223" spans="1:11" ht="20" hidden="1" x14ac:dyDescent="0.35">
      <c r="A223" s="14" t="s">
        <v>80</v>
      </c>
      <c r="B223" s="14" t="s">
        <v>81</v>
      </c>
      <c r="C223" s="14" t="s">
        <v>82</v>
      </c>
      <c r="D223" s="15">
        <v>45094</v>
      </c>
      <c r="E223" s="16">
        <v>0.75</v>
      </c>
      <c r="F223" s="17">
        <v>226</v>
      </c>
      <c r="G223" s="17">
        <v>226</v>
      </c>
      <c r="H223" s="17"/>
      <c r="I223" s="17">
        <v>3</v>
      </c>
      <c r="J223" s="18"/>
      <c r="K223">
        <f t="shared" si="0"/>
        <v>0.26548672566371684</v>
      </c>
    </row>
    <row r="224" spans="1:11" ht="20" hidden="1" x14ac:dyDescent="0.35">
      <c r="A224" s="14" t="s">
        <v>80</v>
      </c>
      <c r="B224" s="14" t="s">
        <v>81</v>
      </c>
      <c r="C224" s="14" t="s">
        <v>82</v>
      </c>
      <c r="D224" s="15">
        <v>45123</v>
      </c>
      <c r="E224" s="16">
        <v>0.58333333333333337</v>
      </c>
      <c r="F224" s="17">
        <v>226</v>
      </c>
      <c r="G224" s="17">
        <v>226</v>
      </c>
      <c r="H224" s="17"/>
      <c r="I224" s="17">
        <v>3</v>
      </c>
      <c r="J224" s="18"/>
      <c r="K224">
        <f t="shared" si="0"/>
        <v>0.26548672566371684</v>
      </c>
    </row>
    <row r="225" spans="1:11" ht="20" hidden="1" x14ac:dyDescent="0.35">
      <c r="A225" s="14" t="s">
        <v>80</v>
      </c>
      <c r="B225" s="14" t="s">
        <v>81</v>
      </c>
      <c r="C225" s="14" t="s">
        <v>82</v>
      </c>
      <c r="D225" s="15">
        <v>45135</v>
      </c>
      <c r="E225" s="16">
        <v>0.70833333333333337</v>
      </c>
      <c r="F225" s="17">
        <v>223</v>
      </c>
      <c r="G225" s="17">
        <v>223</v>
      </c>
      <c r="H225" s="17"/>
      <c r="I225" s="17">
        <v>2</v>
      </c>
      <c r="J225" s="18"/>
      <c r="K225">
        <f t="shared" si="0"/>
        <v>0.26905829596412556</v>
      </c>
    </row>
    <row r="226" spans="1:11" ht="20" hidden="1" x14ac:dyDescent="0.35">
      <c r="A226" s="14" t="s">
        <v>80</v>
      </c>
      <c r="B226" s="14" t="s">
        <v>81</v>
      </c>
      <c r="C226" s="14" t="s">
        <v>82</v>
      </c>
      <c r="D226" s="15">
        <v>45087</v>
      </c>
      <c r="E226" s="16">
        <v>0.70833333333333337</v>
      </c>
      <c r="F226" s="17">
        <v>213</v>
      </c>
      <c r="G226" s="17">
        <v>213</v>
      </c>
      <c r="H226" s="17"/>
      <c r="I226" s="17">
        <v>3</v>
      </c>
      <c r="J226" s="18"/>
      <c r="K226">
        <f t="shared" si="0"/>
        <v>0.28169014084507044</v>
      </c>
    </row>
    <row r="227" spans="1:11" ht="20" hidden="1" x14ac:dyDescent="0.35">
      <c r="A227" s="14" t="s">
        <v>80</v>
      </c>
      <c r="B227" s="14" t="s">
        <v>81</v>
      </c>
      <c r="C227" s="14" t="s">
        <v>82</v>
      </c>
      <c r="D227" s="15">
        <v>45083</v>
      </c>
      <c r="E227" s="16">
        <v>0.70833333333333337</v>
      </c>
      <c r="F227" s="17">
        <v>207</v>
      </c>
      <c r="G227" s="17">
        <v>207</v>
      </c>
      <c r="H227" s="17"/>
      <c r="I227" s="17">
        <v>2</v>
      </c>
      <c r="J227" s="18"/>
      <c r="K227">
        <f t="shared" si="0"/>
        <v>0.28985507246376813</v>
      </c>
    </row>
    <row r="228" spans="1:11" ht="20" hidden="1" x14ac:dyDescent="0.35">
      <c r="A228" s="14" t="s">
        <v>80</v>
      </c>
      <c r="B228" s="14" t="s">
        <v>81</v>
      </c>
      <c r="C228" s="14" t="s">
        <v>82</v>
      </c>
      <c r="D228" s="15">
        <v>45116</v>
      </c>
      <c r="E228" s="16">
        <v>0.70833333333333337</v>
      </c>
      <c r="F228" s="17">
        <v>204</v>
      </c>
      <c r="G228" s="17">
        <v>204</v>
      </c>
      <c r="H228" s="17"/>
      <c r="I228" s="17">
        <v>4</v>
      </c>
      <c r="J228" s="18"/>
      <c r="K228">
        <f t="shared" si="0"/>
        <v>0.29411764705882354</v>
      </c>
    </row>
    <row r="229" spans="1:11" ht="20" hidden="1" x14ac:dyDescent="0.35">
      <c r="A229" s="14" t="s">
        <v>80</v>
      </c>
      <c r="B229" s="14" t="s">
        <v>81</v>
      </c>
      <c r="C229" s="14" t="s">
        <v>82</v>
      </c>
      <c r="D229" s="15">
        <v>45120</v>
      </c>
      <c r="E229" s="16">
        <v>0.70833333333333337</v>
      </c>
      <c r="F229" s="17">
        <v>202</v>
      </c>
      <c r="G229" s="17">
        <v>202</v>
      </c>
      <c r="H229" s="17"/>
      <c r="I229" s="17">
        <v>2</v>
      </c>
      <c r="J229" s="18"/>
      <c r="K229">
        <f t="shared" si="0"/>
        <v>0.29702970297029702</v>
      </c>
    </row>
    <row r="230" spans="1:11" ht="20" hidden="1" x14ac:dyDescent="0.35">
      <c r="A230" s="14" t="s">
        <v>80</v>
      </c>
      <c r="B230" s="14" t="s">
        <v>81</v>
      </c>
      <c r="C230" s="14" t="s">
        <v>82</v>
      </c>
      <c r="D230" s="15">
        <v>45136</v>
      </c>
      <c r="E230" s="16">
        <v>0.58333333333333337</v>
      </c>
      <c r="F230" s="17">
        <v>196</v>
      </c>
      <c r="G230" s="17">
        <v>196</v>
      </c>
      <c r="H230" s="17"/>
      <c r="I230" s="17">
        <v>3</v>
      </c>
      <c r="J230" s="18"/>
      <c r="K230">
        <f t="shared" si="0"/>
        <v>0.30612244897959184</v>
      </c>
    </row>
    <row r="231" spans="1:11" ht="20" hidden="1" x14ac:dyDescent="0.35">
      <c r="A231" s="14" t="s">
        <v>80</v>
      </c>
      <c r="B231" s="14" t="s">
        <v>81</v>
      </c>
      <c r="C231" s="14" t="s">
        <v>82</v>
      </c>
      <c r="D231" s="15">
        <v>45107</v>
      </c>
      <c r="E231" s="16">
        <v>0.70833333333333337</v>
      </c>
      <c r="F231" s="17">
        <v>188</v>
      </c>
      <c r="G231" s="17">
        <v>188</v>
      </c>
      <c r="H231" s="17"/>
      <c r="I231" s="17">
        <v>2</v>
      </c>
      <c r="J231" s="18"/>
      <c r="K231">
        <f t="shared" si="0"/>
        <v>0.31914893617021278</v>
      </c>
    </row>
    <row r="232" spans="1:11" ht="20" hidden="1" x14ac:dyDescent="0.35">
      <c r="A232" s="14" t="s">
        <v>80</v>
      </c>
      <c r="B232" s="14" t="s">
        <v>81</v>
      </c>
      <c r="C232" s="14" t="s">
        <v>82</v>
      </c>
      <c r="D232" s="15">
        <v>45122</v>
      </c>
      <c r="E232" s="16">
        <v>0.58333333333333337</v>
      </c>
      <c r="F232" s="17">
        <v>186</v>
      </c>
      <c r="G232" s="17">
        <v>186</v>
      </c>
      <c r="H232" s="17"/>
      <c r="I232" s="17">
        <v>3</v>
      </c>
      <c r="J232" s="18"/>
      <c r="K232">
        <f t="shared" si="0"/>
        <v>0.32258064516129031</v>
      </c>
    </row>
    <row r="233" spans="1:11" ht="20" hidden="1" x14ac:dyDescent="0.35">
      <c r="A233" s="14" t="s">
        <v>80</v>
      </c>
      <c r="B233" s="14" t="s">
        <v>81</v>
      </c>
      <c r="C233" s="14" t="s">
        <v>82</v>
      </c>
      <c r="D233" s="15">
        <v>45097</v>
      </c>
      <c r="E233" s="16">
        <v>0.54166666666666663</v>
      </c>
      <c r="F233" s="17">
        <v>185</v>
      </c>
      <c r="G233" s="17">
        <v>185</v>
      </c>
      <c r="H233" s="17"/>
      <c r="I233" s="17">
        <v>2</v>
      </c>
      <c r="J233" s="18"/>
      <c r="K233">
        <f t="shared" si="0"/>
        <v>0.32432432432432434</v>
      </c>
    </row>
    <row r="234" spans="1:11" ht="20" hidden="1" x14ac:dyDescent="0.35">
      <c r="A234" s="14" t="s">
        <v>80</v>
      </c>
      <c r="B234" s="14" t="s">
        <v>81</v>
      </c>
      <c r="C234" s="14" t="s">
        <v>82</v>
      </c>
      <c r="D234" s="15">
        <v>45123</v>
      </c>
      <c r="E234" s="16">
        <v>0.70833333333333337</v>
      </c>
      <c r="F234" s="17">
        <v>185</v>
      </c>
      <c r="G234" s="17">
        <v>185</v>
      </c>
      <c r="H234" s="17"/>
      <c r="I234" s="17">
        <v>2</v>
      </c>
      <c r="J234" s="18"/>
      <c r="K234">
        <f t="shared" si="0"/>
        <v>0.32432432432432434</v>
      </c>
    </row>
    <row r="235" spans="1:11" ht="20" hidden="1" x14ac:dyDescent="0.35">
      <c r="A235" s="14" t="s">
        <v>80</v>
      </c>
      <c r="B235" s="14" t="s">
        <v>81</v>
      </c>
      <c r="C235" s="14" t="s">
        <v>82</v>
      </c>
      <c r="D235" s="15">
        <v>45092</v>
      </c>
      <c r="E235" s="16">
        <v>0.70833333333333337</v>
      </c>
      <c r="F235" s="17">
        <v>183</v>
      </c>
      <c r="G235" s="17">
        <v>183</v>
      </c>
      <c r="H235" s="17"/>
      <c r="I235" s="17">
        <v>5</v>
      </c>
      <c r="J235" s="18"/>
      <c r="K235">
        <f t="shared" si="0"/>
        <v>0.32786885245901637</v>
      </c>
    </row>
    <row r="236" spans="1:11" ht="20" hidden="1" x14ac:dyDescent="0.35">
      <c r="A236" s="14" t="s">
        <v>80</v>
      </c>
      <c r="B236" s="14" t="s">
        <v>81</v>
      </c>
      <c r="C236" s="14" t="s">
        <v>82</v>
      </c>
      <c r="D236" s="15">
        <v>45113</v>
      </c>
      <c r="E236" s="16">
        <v>0.70833333333333337</v>
      </c>
      <c r="F236" s="17">
        <v>176</v>
      </c>
      <c r="G236" s="17">
        <v>176</v>
      </c>
      <c r="H236" s="17"/>
      <c r="I236" s="17">
        <v>5</v>
      </c>
      <c r="J236" s="18"/>
      <c r="K236">
        <f t="shared" si="0"/>
        <v>0.34090909090909088</v>
      </c>
    </row>
    <row r="237" spans="1:11" ht="20" hidden="1" x14ac:dyDescent="0.35">
      <c r="A237" s="14" t="s">
        <v>80</v>
      </c>
      <c r="B237" s="14" t="s">
        <v>81</v>
      </c>
      <c r="C237" s="14" t="s">
        <v>82</v>
      </c>
      <c r="D237" s="15">
        <v>45107</v>
      </c>
      <c r="E237" s="16">
        <v>0.54166666666666663</v>
      </c>
      <c r="F237" s="17">
        <v>173</v>
      </c>
      <c r="G237" s="17">
        <v>173</v>
      </c>
      <c r="H237" s="17"/>
      <c r="I237" s="17">
        <v>4</v>
      </c>
      <c r="J237" s="18"/>
      <c r="K237">
        <f t="shared" si="0"/>
        <v>0.34682080924855491</v>
      </c>
    </row>
    <row r="238" spans="1:11" ht="20" hidden="1" x14ac:dyDescent="0.35">
      <c r="A238" s="14" t="s">
        <v>80</v>
      </c>
      <c r="B238" s="14" t="s">
        <v>81</v>
      </c>
      <c r="C238" s="14" t="s">
        <v>82</v>
      </c>
      <c r="D238" s="15">
        <v>45090</v>
      </c>
      <c r="E238" s="16">
        <v>0.70833333333333337</v>
      </c>
      <c r="F238" s="17">
        <v>160</v>
      </c>
      <c r="G238" s="17">
        <v>160</v>
      </c>
      <c r="H238" s="17"/>
      <c r="I238" s="17">
        <v>8</v>
      </c>
      <c r="J238" s="18"/>
      <c r="K238">
        <f t="shared" si="0"/>
        <v>0.375</v>
      </c>
    </row>
    <row r="239" spans="1:11" ht="20" hidden="1" x14ac:dyDescent="0.35">
      <c r="A239" s="14" t="s">
        <v>80</v>
      </c>
      <c r="B239" s="14" t="s">
        <v>81</v>
      </c>
      <c r="C239" s="14" t="s">
        <v>82</v>
      </c>
      <c r="D239" s="15">
        <v>45109</v>
      </c>
      <c r="E239" s="16">
        <v>0.54166666666666663</v>
      </c>
      <c r="F239" s="17">
        <v>151</v>
      </c>
      <c r="G239" s="17">
        <v>151</v>
      </c>
      <c r="H239" s="17"/>
      <c r="I239" s="17">
        <v>2</v>
      </c>
      <c r="J239" s="18"/>
      <c r="K239">
        <f t="shared" si="0"/>
        <v>0.39735099337748342</v>
      </c>
    </row>
    <row r="240" spans="1:11" ht="20" hidden="1" x14ac:dyDescent="0.35">
      <c r="A240" s="14" t="s">
        <v>80</v>
      </c>
      <c r="B240" s="14" t="s">
        <v>81</v>
      </c>
      <c r="C240" s="14" t="s">
        <v>82</v>
      </c>
      <c r="D240" s="15">
        <v>45116</v>
      </c>
      <c r="E240" s="16">
        <v>0.58333333333333337</v>
      </c>
      <c r="F240" s="17">
        <v>150</v>
      </c>
      <c r="G240" s="17">
        <v>150</v>
      </c>
      <c r="H240" s="17"/>
      <c r="I240" s="17">
        <v>2</v>
      </c>
      <c r="J240" s="18"/>
      <c r="K240">
        <f t="shared" si="0"/>
        <v>0.4</v>
      </c>
    </row>
    <row r="241" spans="1:11" ht="20" hidden="1" x14ac:dyDescent="0.35">
      <c r="A241" s="14" t="s">
        <v>80</v>
      </c>
      <c r="B241" s="14" t="s">
        <v>81</v>
      </c>
      <c r="C241" s="14" t="s">
        <v>82</v>
      </c>
      <c r="D241" s="15">
        <v>45088</v>
      </c>
      <c r="E241" s="16">
        <v>0.54166666666666663</v>
      </c>
      <c r="F241" s="17">
        <v>149</v>
      </c>
      <c r="G241" s="17">
        <v>149</v>
      </c>
      <c r="H241" s="17"/>
      <c r="I241" s="17">
        <v>2</v>
      </c>
      <c r="J241" s="18"/>
      <c r="K241">
        <f t="shared" si="0"/>
        <v>0.40268456375838924</v>
      </c>
    </row>
    <row r="242" spans="1:11" ht="20" hidden="1" x14ac:dyDescent="0.35">
      <c r="A242" s="14" t="s">
        <v>80</v>
      </c>
      <c r="B242" s="14" t="s">
        <v>81</v>
      </c>
      <c r="C242" s="14" t="s">
        <v>82</v>
      </c>
      <c r="D242" s="15">
        <v>45108</v>
      </c>
      <c r="E242" s="16">
        <v>0.54166666666666663</v>
      </c>
      <c r="F242" s="17">
        <v>139</v>
      </c>
      <c r="G242" s="17">
        <v>139</v>
      </c>
      <c r="H242" s="17"/>
      <c r="I242" s="17">
        <v>2</v>
      </c>
      <c r="J242" s="18"/>
      <c r="K242">
        <f t="shared" si="0"/>
        <v>0.43165467625899279</v>
      </c>
    </row>
    <row r="243" spans="1:11" ht="20" hidden="1" x14ac:dyDescent="0.35">
      <c r="A243" s="14" t="s">
        <v>80</v>
      </c>
      <c r="B243" s="14" t="s">
        <v>81</v>
      </c>
      <c r="C243" s="14" t="s">
        <v>82</v>
      </c>
      <c r="D243" s="15">
        <v>45107</v>
      </c>
      <c r="E243" s="16">
        <v>0.75</v>
      </c>
      <c r="F243" s="17">
        <v>138</v>
      </c>
      <c r="G243" s="17">
        <v>138</v>
      </c>
      <c r="H243" s="17"/>
      <c r="I243" s="17">
        <v>1</v>
      </c>
      <c r="J243" s="18"/>
      <c r="K243">
        <f t="shared" si="0"/>
        <v>0.43478260869565216</v>
      </c>
    </row>
    <row r="244" spans="1:11" ht="20" hidden="1" x14ac:dyDescent="0.35">
      <c r="A244" s="14" t="s">
        <v>80</v>
      </c>
      <c r="B244" s="14" t="s">
        <v>81</v>
      </c>
      <c r="C244" s="14" t="s">
        <v>82</v>
      </c>
      <c r="D244" s="15">
        <v>45100</v>
      </c>
      <c r="E244" s="16">
        <v>0.75</v>
      </c>
      <c r="F244" s="17">
        <v>137</v>
      </c>
      <c r="G244" s="17">
        <v>137</v>
      </c>
      <c r="H244" s="17"/>
      <c r="I244" s="17">
        <v>3</v>
      </c>
      <c r="J244" s="18"/>
      <c r="K244">
        <f t="shared" si="0"/>
        <v>0.43795620437956206</v>
      </c>
    </row>
    <row r="245" spans="1:11" ht="20" hidden="1" x14ac:dyDescent="0.35">
      <c r="A245" s="14" t="s">
        <v>80</v>
      </c>
      <c r="B245" s="14" t="s">
        <v>81</v>
      </c>
      <c r="C245" s="14" t="s">
        <v>82</v>
      </c>
      <c r="D245" s="15">
        <v>45116</v>
      </c>
      <c r="E245" s="16">
        <v>0.75</v>
      </c>
      <c r="F245" s="17">
        <v>134</v>
      </c>
      <c r="G245" s="17">
        <v>134</v>
      </c>
      <c r="H245" s="17"/>
      <c r="I245" s="17">
        <v>2</v>
      </c>
      <c r="J245" s="18"/>
      <c r="K245">
        <f t="shared" si="0"/>
        <v>0.44776119402985076</v>
      </c>
    </row>
    <row r="246" spans="1:11" ht="20" hidden="1" x14ac:dyDescent="0.35">
      <c r="A246" s="14" t="s">
        <v>80</v>
      </c>
      <c r="B246" s="14" t="s">
        <v>81</v>
      </c>
      <c r="C246" s="14" t="s">
        <v>82</v>
      </c>
      <c r="D246" s="15">
        <v>45095</v>
      </c>
      <c r="E246" s="16">
        <v>0.70833333333333337</v>
      </c>
      <c r="F246" s="17">
        <v>130</v>
      </c>
      <c r="G246" s="17">
        <v>130</v>
      </c>
      <c r="H246" s="17"/>
      <c r="I246" s="17">
        <v>2</v>
      </c>
      <c r="J246" s="18"/>
      <c r="K246">
        <f t="shared" si="0"/>
        <v>0.46153846153846156</v>
      </c>
    </row>
    <row r="247" spans="1:11" ht="20" hidden="1" x14ac:dyDescent="0.35">
      <c r="A247" s="14" t="s">
        <v>80</v>
      </c>
      <c r="B247" s="14" t="s">
        <v>81</v>
      </c>
      <c r="C247" s="14" t="s">
        <v>82</v>
      </c>
      <c r="D247" s="15">
        <v>45086</v>
      </c>
      <c r="E247" s="16">
        <v>0.75</v>
      </c>
      <c r="F247" s="17">
        <v>120</v>
      </c>
      <c r="G247" s="17">
        <v>120</v>
      </c>
      <c r="H247" s="17"/>
      <c r="I247" s="17">
        <v>2</v>
      </c>
      <c r="J247" s="18"/>
      <c r="K247">
        <f t="shared" si="0"/>
        <v>0.5</v>
      </c>
    </row>
    <row r="248" spans="1:11" ht="20" hidden="1" x14ac:dyDescent="0.35">
      <c r="A248" s="14" t="s">
        <v>80</v>
      </c>
      <c r="B248" s="14" t="s">
        <v>81</v>
      </c>
      <c r="C248" s="14" t="s">
        <v>82</v>
      </c>
      <c r="D248" s="15">
        <v>45081</v>
      </c>
      <c r="E248" s="16">
        <v>0.70833333333333337</v>
      </c>
      <c r="F248" s="17">
        <v>117</v>
      </c>
      <c r="G248" s="17">
        <v>117</v>
      </c>
      <c r="H248" s="17"/>
      <c r="I248" s="17">
        <v>2</v>
      </c>
      <c r="J248" s="18"/>
      <c r="K248">
        <f t="shared" si="0"/>
        <v>0.51282051282051277</v>
      </c>
    </row>
    <row r="249" spans="1:11" ht="20" hidden="1" x14ac:dyDescent="0.35">
      <c r="A249" s="14" t="s">
        <v>80</v>
      </c>
      <c r="B249" s="14" t="s">
        <v>81</v>
      </c>
      <c r="C249" s="14" t="s">
        <v>82</v>
      </c>
      <c r="D249" s="15">
        <v>45087</v>
      </c>
      <c r="E249" s="16">
        <v>0.54166666666666663</v>
      </c>
      <c r="F249" s="17">
        <v>116</v>
      </c>
      <c r="G249" s="17">
        <v>116</v>
      </c>
      <c r="H249" s="17"/>
      <c r="I249" s="17">
        <v>3</v>
      </c>
      <c r="J249" s="18"/>
      <c r="K249">
        <f t="shared" si="0"/>
        <v>0.51724137931034486</v>
      </c>
    </row>
    <row r="250" spans="1:11" ht="20" hidden="1" x14ac:dyDescent="0.35">
      <c r="A250" s="14" t="s">
        <v>80</v>
      </c>
      <c r="B250" s="14" t="s">
        <v>81</v>
      </c>
      <c r="C250" s="14" t="s">
        <v>82</v>
      </c>
      <c r="D250" s="15">
        <v>45121</v>
      </c>
      <c r="E250" s="16">
        <v>0.70833333333333337</v>
      </c>
      <c r="F250" s="17">
        <v>115</v>
      </c>
      <c r="G250" s="17">
        <v>115</v>
      </c>
      <c r="H250" s="17"/>
      <c r="I250" s="17">
        <v>2</v>
      </c>
      <c r="J250" s="18"/>
      <c r="K250">
        <f t="shared" si="0"/>
        <v>0.52173913043478259</v>
      </c>
    </row>
    <row r="251" spans="1:11" ht="20" hidden="1" x14ac:dyDescent="0.35">
      <c r="A251" s="14" t="s">
        <v>80</v>
      </c>
      <c r="B251" s="14" t="s">
        <v>81</v>
      </c>
      <c r="C251" s="14" t="s">
        <v>82</v>
      </c>
      <c r="D251" s="15">
        <v>45127</v>
      </c>
      <c r="E251" s="16">
        <v>0.54166666666666663</v>
      </c>
      <c r="F251" s="17">
        <v>112</v>
      </c>
      <c r="G251" s="17">
        <v>112</v>
      </c>
      <c r="H251" s="17"/>
      <c r="I251" s="17">
        <v>1</v>
      </c>
      <c r="J251" s="18"/>
      <c r="K251">
        <f t="shared" si="0"/>
        <v>0.5357142857142857</v>
      </c>
    </row>
    <row r="252" spans="1:11" ht="20" hidden="1" x14ac:dyDescent="0.35">
      <c r="A252" s="14" t="s">
        <v>80</v>
      </c>
      <c r="B252" s="14" t="s">
        <v>81</v>
      </c>
      <c r="C252" s="14" t="s">
        <v>82</v>
      </c>
      <c r="D252" s="15">
        <v>45111</v>
      </c>
      <c r="E252" s="16">
        <v>0.70833333333333337</v>
      </c>
      <c r="F252" s="17">
        <v>106</v>
      </c>
      <c r="G252" s="17">
        <v>106</v>
      </c>
      <c r="H252" s="17"/>
      <c r="I252" s="17">
        <v>2</v>
      </c>
      <c r="J252" s="18"/>
      <c r="K252">
        <f t="shared" si="0"/>
        <v>0.56603773584905659</v>
      </c>
    </row>
    <row r="253" spans="1:11" ht="20" hidden="1" x14ac:dyDescent="0.35">
      <c r="A253" s="14" t="s">
        <v>80</v>
      </c>
      <c r="B253" s="14" t="s">
        <v>81</v>
      </c>
      <c r="C253" s="14" t="s">
        <v>82</v>
      </c>
      <c r="D253" s="15">
        <v>45126</v>
      </c>
      <c r="E253" s="16">
        <v>0.54166666666666663</v>
      </c>
      <c r="F253" s="17">
        <v>106</v>
      </c>
      <c r="G253" s="17">
        <v>106</v>
      </c>
      <c r="H253" s="17"/>
      <c r="I253" s="17">
        <v>5</v>
      </c>
      <c r="J253" s="18"/>
      <c r="K253">
        <f t="shared" si="0"/>
        <v>0.56603773584905659</v>
      </c>
    </row>
    <row r="254" spans="1:11" ht="20" hidden="1" x14ac:dyDescent="0.35">
      <c r="A254" s="14" t="s">
        <v>80</v>
      </c>
      <c r="B254" s="14" t="s">
        <v>81</v>
      </c>
      <c r="C254" s="14" t="s">
        <v>82</v>
      </c>
      <c r="D254" s="15">
        <v>45086</v>
      </c>
      <c r="E254" s="16">
        <v>0.54166666666666663</v>
      </c>
      <c r="F254" s="17">
        <v>102</v>
      </c>
      <c r="G254" s="17">
        <v>102</v>
      </c>
      <c r="H254" s="17"/>
      <c r="I254" s="17">
        <v>2</v>
      </c>
      <c r="J254" s="18"/>
      <c r="K254">
        <f t="shared" si="0"/>
        <v>0.58823529411764708</v>
      </c>
    </row>
    <row r="255" spans="1:11" ht="20" hidden="1" x14ac:dyDescent="0.35">
      <c r="A255" s="14" t="s">
        <v>80</v>
      </c>
      <c r="B255" s="14" t="s">
        <v>81</v>
      </c>
      <c r="C255" s="14" t="s">
        <v>82</v>
      </c>
      <c r="D255" s="15">
        <v>45122</v>
      </c>
      <c r="E255" s="16">
        <v>0.75</v>
      </c>
      <c r="F255" s="17">
        <v>99</v>
      </c>
      <c r="G255" s="17">
        <v>99</v>
      </c>
      <c r="H255" s="17"/>
      <c r="I255" s="17">
        <v>2</v>
      </c>
      <c r="J255" s="18"/>
      <c r="K255">
        <f t="shared" si="0"/>
        <v>0.60606060606060608</v>
      </c>
    </row>
    <row r="256" spans="1:11" ht="20" hidden="1" x14ac:dyDescent="0.35">
      <c r="A256" s="14" t="s">
        <v>80</v>
      </c>
      <c r="B256" s="14" t="s">
        <v>81</v>
      </c>
      <c r="C256" s="14" t="s">
        <v>82</v>
      </c>
      <c r="D256" s="15">
        <v>45077</v>
      </c>
      <c r="E256" s="16">
        <v>0.54166666666666663</v>
      </c>
      <c r="F256" s="17">
        <v>97</v>
      </c>
      <c r="G256" s="17">
        <v>97</v>
      </c>
      <c r="H256" s="17"/>
      <c r="I256" s="17">
        <v>2</v>
      </c>
      <c r="J256" s="18"/>
      <c r="K256">
        <f t="shared" si="0"/>
        <v>0.61855670103092786</v>
      </c>
    </row>
    <row r="257" spans="1:11" ht="20" hidden="1" x14ac:dyDescent="0.35">
      <c r="A257" s="14" t="s">
        <v>80</v>
      </c>
      <c r="B257" s="14" t="s">
        <v>81</v>
      </c>
      <c r="C257" s="14" t="s">
        <v>82</v>
      </c>
      <c r="D257" s="15">
        <v>45090</v>
      </c>
      <c r="E257" s="16">
        <v>0.54166666666666663</v>
      </c>
      <c r="F257" s="17">
        <v>96</v>
      </c>
      <c r="G257" s="17">
        <v>96</v>
      </c>
      <c r="H257" s="17"/>
      <c r="I257" s="17">
        <v>3</v>
      </c>
      <c r="J257" s="18"/>
      <c r="K257">
        <f t="shared" si="0"/>
        <v>0.625</v>
      </c>
    </row>
    <row r="258" spans="1:11" ht="20" hidden="1" x14ac:dyDescent="0.35">
      <c r="A258" s="14" t="s">
        <v>80</v>
      </c>
      <c r="B258" s="14" t="s">
        <v>81</v>
      </c>
      <c r="C258" s="14" t="s">
        <v>82</v>
      </c>
      <c r="D258" s="15">
        <v>45088</v>
      </c>
      <c r="E258" s="16">
        <v>0.70833333333333337</v>
      </c>
      <c r="F258" s="17">
        <v>94</v>
      </c>
      <c r="G258" s="17">
        <v>94</v>
      </c>
      <c r="H258" s="17"/>
      <c r="I258" s="17">
        <v>2</v>
      </c>
      <c r="J258" s="18"/>
      <c r="K258">
        <f t="shared" si="0"/>
        <v>0.63829787234042556</v>
      </c>
    </row>
    <row r="259" spans="1:11" ht="20" hidden="1" x14ac:dyDescent="0.35">
      <c r="A259" s="14" t="s">
        <v>80</v>
      </c>
      <c r="B259" s="14" t="s">
        <v>81</v>
      </c>
      <c r="C259" s="14" t="s">
        <v>82</v>
      </c>
      <c r="D259" s="15">
        <v>45109</v>
      </c>
      <c r="E259" s="16">
        <v>0.75</v>
      </c>
      <c r="F259" s="17">
        <v>94</v>
      </c>
      <c r="G259" s="17">
        <v>94</v>
      </c>
      <c r="H259" s="17"/>
      <c r="I259" s="17">
        <v>2</v>
      </c>
      <c r="J259" s="18"/>
      <c r="K259">
        <f t="shared" si="0"/>
        <v>0.63829787234042556</v>
      </c>
    </row>
    <row r="260" spans="1:11" ht="20" hidden="1" x14ac:dyDescent="0.35">
      <c r="A260" s="14" t="s">
        <v>80</v>
      </c>
      <c r="B260" s="14" t="s">
        <v>81</v>
      </c>
      <c r="C260" s="14" t="s">
        <v>82</v>
      </c>
      <c r="D260" s="15">
        <v>45079</v>
      </c>
      <c r="E260" s="16">
        <v>0.54166666666666663</v>
      </c>
      <c r="F260" s="17">
        <v>93</v>
      </c>
      <c r="G260" s="17">
        <v>93</v>
      </c>
      <c r="H260" s="17"/>
      <c r="I260" s="17">
        <v>2</v>
      </c>
      <c r="J260" s="18"/>
      <c r="K260">
        <f t="shared" si="0"/>
        <v>0.64516129032258063</v>
      </c>
    </row>
    <row r="261" spans="1:11" hidden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9"/>
      <c r="K261">
        <f>AVERAGE(K1:K258)</f>
        <v>0.15182537306338847</v>
      </c>
    </row>
    <row r="262" spans="1:11" ht="20" hidden="1" x14ac:dyDescent="0.35">
      <c r="A262" s="14" t="s">
        <v>80</v>
      </c>
      <c r="B262" s="14" t="s">
        <v>81</v>
      </c>
      <c r="C262" s="14" t="s">
        <v>82</v>
      </c>
      <c r="D262" s="15">
        <v>45092</v>
      </c>
      <c r="E262" s="16">
        <v>0.54166666666666663</v>
      </c>
      <c r="F262" s="17">
        <v>88</v>
      </c>
      <c r="G262" s="17">
        <v>88</v>
      </c>
      <c r="H262" s="17"/>
      <c r="I262" s="17">
        <v>3</v>
      </c>
      <c r="J262" s="18"/>
      <c r="K262">
        <f t="shared" ref="K262:K301" si="1">60/F262</f>
        <v>0.68181818181818177</v>
      </c>
    </row>
    <row r="263" spans="1:11" ht="20" hidden="1" x14ac:dyDescent="0.35">
      <c r="A263" s="14" t="s">
        <v>80</v>
      </c>
      <c r="B263" s="14" t="s">
        <v>81</v>
      </c>
      <c r="C263" s="14" t="s">
        <v>82</v>
      </c>
      <c r="D263" s="15">
        <v>45122</v>
      </c>
      <c r="E263" s="16">
        <v>0.54166666666666663</v>
      </c>
      <c r="F263" s="17">
        <v>88</v>
      </c>
      <c r="G263" s="17">
        <v>88</v>
      </c>
      <c r="H263" s="17"/>
      <c r="I263" s="17">
        <v>2</v>
      </c>
      <c r="J263" s="18"/>
      <c r="K263">
        <f t="shared" si="1"/>
        <v>0.68181818181818177</v>
      </c>
    </row>
    <row r="264" spans="1:11" ht="20" hidden="1" x14ac:dyDescent="0.35">
      <c r="A264" s="14" t="s">
        <v>80</v>
      </c>
      <c r="B264" s="14" t="s">
        <v>81</v>
      </c>
      <c r="C264" s="14" t="s">
        <v>82</v>
      </c>
      <c r="D264" s="15">
        <v>45131</v>
      </c>
      <c r="E264" s="16">
        <v>0.75</v>
      </c>
      <c r="F264" s="17">
        <v>87</v>
      </c>
      <c r="G264" s="17">
        <v>87</v>
      </c>
      <c r="H264" s="17"/>
      <c r="I264" s="17">
        <v>2</v>
      </c>
      <c r="J264" s="18"/>
      <c r="K264">
        <f t="shared" si="1"/>
        <v>0.68965517241379315</v>
      </c>
    </row>
    <row r="265" spans="1:11" ht="20" hidden="1" x14ac:dyDescent="0.35">
      <c r="A265" s="14" t="s">
        <v>80</v>
      </c>
      <c r="B265" s="14" t="s">
        <v>81</v>
      </c>
      <c r="C265" s="14" t="s">
        <v>82</v>
      </c>
      <c r="D265" s="15">
        <v>45134</v>
      </c>
      <c r="E265" s="16">
        <v>0.70833333333333337</v>
      </c>
      <c r="F265" s="17">
        <v>87</v>
      </c>
      <c r="G265" s="17">
        <v>87</v>
      </c>
      <c r="H265" s="17"/>
      <c r="I265" s="17">
        <v>2</v>
      </c>
      <c r="J265" s="18"/>
      <c r="K265">
        <f t="shared" si="1"/>
        <v>0.68965517241379315</v>
      </c>
    </row>
    <row r="266" spans="1:11" ht="20" hidden="1" x14ac:dyDescent="0.35">
      <c r="A266" s="14" t="s">
        <v>80</v>
      </c>
      <c r="B266" s="14" t="s">
        <v>81</v>
      </c>
      <c r="C266" s="14" t="s">
        <v>82</v>
      </c>
      <c r="D266" s="15">
        <v>45079</v>
      </c>
      <c r="E266" s="16">
        <v>0.70833333333333337</v>
      </c>
      <c r="F266" s="17">
        <v>81</v>
      </c>
      <c r="G266" s="17">
        <v>81</v>
      </c>
      <c r="H266" s="17"/>
      <c r="I266" s="17">
        <v>2</v>
      </c>
      <c r="J266" s="18"/>
      <c r="K266">
        <f t="shared" si="1"/>
        <v>0.7407407407407407</v>
      </c>
    </row>
    <row r="267" spans="1:11" ht="20" hidden="1" x14ac:dyDescent="0.35">
      <c r="A267" s="14" t="s">
        <v>80</v>
      </c>
      <c r="B267" s="14" t="s">
        <v>81</v>
      </c>
      <c r="C267" s="14" t="s">
        <v>82</v>
      </c>
      <c r="D267" s="15">
        <v>45080</v>
      </c>
      <c r="E267" s="16">
        <v>0.54166666666666663</v>
      </c>
      <c r="F267" s="17">
        <v>80</v>
      </c>
      <c r="G267" s="17">
        <v>80</v>
      </c>
      <c r="H267" s="17"/>
      <c r="I267" s="17">
        <v>2</v>
      </c>
      <c r="J267" s="18"/>
      <c r="K267">
        <f t="shared" si="1"/>
        <v>0.75</v>
      </c>
    </row>
    <row r="268" spans="1:11" ht="20" hidden="1" x14ac:dyDescent="0.35">
      <c r="A268" s="14" t="s">
        <v>80</v>
      </c>
      <c r="B268" s="14" t="s">
        <v>81</v>
      </c>
      <c r="C268" s="14" t="s">
        <v>82</v>
      </c>
      <c r="D268" s="15">
        <v>45106</v>
      </c>
      <c r="E268" s="16">
        <v>0.54166666666666663</v>
      </c>
      <c r="F268" s="17">
        <v>80</v>
      </c>
      <c r="G268" s="17">
        <v>80</v>
      </c>
      <c r="H268" s="17"/>
      <c r="I268" s="17">
        <v>4</v>
      </c>
      <c r="J268" s="18"/>
      <c r="K268">
        <f t="shared" si="1"/>
        <v>0.75</v>
      </c>
    </row>
    <row r="269" spans="1:11" ht="20" hidden="1" x14ac:dyDescent="0.35">
      <c r="A269" s="14" t="s">
        <v>80</v>
      </c>
      <c r="B269" s="14" t="s">
        <v>81</v>
      </c>
      <c r="C269" s="14" t="s">
        <v>82</v>
      </c>
      <c r="D269" s="15">
        <v>45109</v>
      </c>
      <c r="E269" s="16">
        <v>0.70833333333333337</v>
      </c>
      <c r="F269" s="17">
        <v>79</v>
      </c>
      <c r="G269" s="17">
        <v>79</v>
      </c>
      <c r="H269" s="17"/>
      <c r="I269" s="17">
        <v>2</v>
      </c>
      <c r="J269" s="18"/>
      <c r="K269">
        <f t="shared" si="1"/>
        <v>0.759493670886076</v>
      </c>
    </row>
    <row r="270" spans="1:11" ht="20" hidden="1" x14ac:dyDescent="0.35">
      <c r="A270" s="14" t="s">
        <v>80</v>
      </c>
      <c r="B270" s="14" t="s">
        <v>81</v>
      </c>
      <c r="C270" s="14" t="s">
        <v>82</v>
      </c>
      <c r="D270" s="15">
        <v>45096</v>
      </c>
      <c r="E270" s="16">
        <v>0.54166666666666663</v>
      </c>
      <c r="F270" s="17">
        <v>77</v>
      </c>
      <c r="G270" s="17">
        <v>77</v>
      </c>
      <c r="H270" s="17"/>
      <c r="I270" s="17">
        <v>3</v>
      </c>
      <c r="J270" s="18"/>
      <c r="K270">
        <f t="shared" si="1"/>
        <v>0.77922077922077926</v>
      </c>
    </row>
    <row r="271" spans="1:11" ht="20" hidden="1" x14ac:dyDescent="0.35">
      <c r="A271" s="14" t="s">
        <v>80</v>
      </c>
      <c r="B271" s="14" t="s">
        <v>81</v>
      </c>
      <c r="C271" s="14" t="s">
        <v>82</v>
      </c>
      <c r="D271" s="15">
        <v>45078</v>
      </c>
      <c r="E271" s="16">
        <v>0.70833333333333337</v>
      </c>
      <c r="F271" s="17">
        <v>73</v>
      </c>
      <c r="G271" s="17">
        <v>73</v>
      </c>
      <c r="H271" s="17"/>
      <c r="I271" s="17">
        <v>4</v>
      </c>
      <c r="J271" s="18"/>
      <c r="K271">
        <f t="shared" si="1"/>
        <v>0.82191780821917804</v>
      </c>
    </row>
    <row r="272" spans="1:11" ht="20" hidden="1" x14ac:dyDescent="0.35">
      <c r="A272" s="14" t="s">
        <v>80</v>
      </c>
      <c r="B272" s="14" t="s">
        <v>81</v>
      </c>
      <c r="C272" s="14" t="s">
        <v>82</v>
      </c>
      <c r="D272" s="15">
        <v>45081</v>
      </c>
      <c r="E272" s="16">
        <v>0.54166666666666663</v>
      </c>
      <c r="F272" s="17">
        <v>68</v>
      </c>
      <c r="G272" s="17">
        <v>68</v>
      </c>
      <c r="H272" s="17"/>
      <c r="I272" s="17">
        <v>3</v>
      </c>
      <c r="J272" s="18"/>
      <c r="K272">
        <f t="shared" si="1"/>
        <v>0.88235294117647056</v>
      </c>
    </row>
    <row r="273" spans="1:11" ht="20" hidden="1" x14ac:dyDescent="0.35">
      <c r="A273" s="14" t="s">
        <v>80</v>
      </c>
      <c r="B273" s="14" t="s">
        <v>81</v>
      </c>
      <c r="C273" s="14" t="s">
        <v>82</v>
      </c>
      <c r="D273" s="15">
        <v>45084</v>
      </c>
      <c r="E273" s="16">
        <v>0.54166666666666663</v>
      </c>
      <c r="F273" s="17">
        <v>65</v>
      </c>
      <c r="G273" s="17">
        <v>65</v>
      </c>
      <c r="H273" s="17"/>
      <c r="I273" s="17">
        <v>4</v>
      </c>
      <c r="J273" s="18"/>
      <c r="K273">
        <f t="shared" si="1"/>
        <v>0.92307692307692313</v>
      </c>
    </row>
    <row r="274" spans="1:11" ht="20" hidden="1" x14ac:dyDescent="0.35">
      <c r="A274" s="14" t="s">
        <v>80</v>
      </c>
      <c r="B274" s="14" t="s">
        <v>81</v>
      </c>
      <c r="C274" s="14" t="s">
        <v>82</v>
      </c>
      <c r="D274" s="15">
        <v>45089</v>
      </c>
      <c r="E274" s="16">
        <v>0.54166666666666663</v>
      </c>
      <c r="F274" s="17">
        <v>63</v>
      </c>
      <c r="G274" s="17">
        <v>63</v>
      </c>
      <c r="H274" s="17"/>
      <c r="I274" s="17">
        <v>2</v>
      </c>
      <c r="J274" s="18"/>
      <c r="K274">
        <f t="shared" si="1"/>
        <v>0.95238095238095233</v>
      </c>
    </row>
    <row r="275" spans="1:11" ht="20" hidden="1" x14ac:dyDescent="0.35">
      <c r="A275" s="14" t="s">
        <v>80</v>
      </c>
      <c r="B275" s="14" t="s">
        <v>81</v>
      </c>
      <c r="C275" s="14" t="s">
        <v>82</v>
      </c>
      <c r="D275" s="15">
        <v>45130</v>
      </c>
      <c r="E275" s="16">
        <v>0.58333333333333337</v>
      </c>
      <c r="F275" s="17">
        <v>60</v>
      </c>
      <c r="G275" s="17">
        <v>60</v>
      </c>
      <c r="H275" s="17"/>
      <c r="I275" s="17">
        <v>4</v>
      </c>
      <c r="J275" s="18"/>
      <c r="K275">
        <f t="shared" si="1"/>
        <v>1</v>
      </c>
    </row>
    <row r="276" spans="1:11" ht="20" hidden="1" x14ac:dyDescent="0.35">
      <c r="A276" s="14" t="s">
        <v>80</v>
      </c>
      <c r="B276" s="14" t="s">
        <v>81</v>
      </c>
      <c r="C276" s="14" t="s">
        <v>82</v>
      </c>
      <c r="D276" s="15">
        <v>45078</v>
      </c>
      <c r="E276" s="16">
        <v>0.54166666666666663</v>
      </c>
      <c r="F276" s="17">
        <v>55</v>
      </c>
      <c r="G276" s="17">
        <v>55</v>
      </c>
      <c r="H276" s="17"/>
      <c r="I276" s="17">
        <v>2</v>
      </c>
      <c r="J276" s="18"/>
      <c r="K276">
        <f t="shared" si="1"/>
        <v>1.0909090909090908</v>
      </c>
    </row>
    <row r="277" spans="1:11" ht="20" hidden="1" x14ac:dyDescent="0.35">
      <c r="A277" s="14" t="s">
        <v>80</v>
      </c>
      <c r="B277" s="14" t="s">
        <v>81</v>
      </c>
      <c r="C277" s="14" t="s">
        <v>82</v>
      </c>
      <c r="D277" s="15">
        <v>45114</v>
      </c>
      <c r="E277" s="16">
        <v>0.75</v>
      </c>
      <c r="F277" s="17">
        <v>55</v>
      </c>
      <c r="G277" s="17">
        <v>55</v>
      </c>
      <c r="H277" s="17"/>
      <c r="I277" s="17">
        <v>2</v>
      </c>
      <c r="J277" s="18"/>
      <c r="K277">
        <f t="shared" si="1"/>
        <v>1.0909090909090908</v>
      </c>
    </row>
    <row r="278" spans="1:11" ht="20" hidden="1" x14ac:dyDescent="0.35">
      <c r="A278" s="14" t="s">
        <v>80</v>
      </c>
      <c r="B278" s="14" t="s">
        <v>81</v>
      </c>
      <c r="C278" s="14" t="s">
        <v>82</v>
      </c>
      <c r="D278" s="15">
        <v>45094</v>
      </c>
      <c r="E278" s="16">
        <v>0.54166666666666663</v>
      </c>
      <c r="F278" s="17">
        <v>40</v>
      </c>
      <c r="G278" s="17">
        <v>40</v>
      </c>
      <c r="H278" s="17"/>
      <c r="I278" s="17">
        <v>2</v>
      </c>
      <c r="J278" s="18"/>
      <c r="K278">
        <f t="shared" si="1"/>
        <v>1.5</v>
      </c>
    </row>
    <row r="279" spans="1:11" ht="20" hidden="1" x14ac:dyDescent="0.35">
      <c r="A279" s="14" t="s">
        <v>80</v>
      </c>
      <c r="B279" s="14" t="s">
        <v>81</v>
      </c>
      <c r="C279" s="14" t="s">
        <v>82</v>
      </c>
      <c r="D279" s="15">
        <v>45080</v>
      </c>
      <c r="E279" s="16">
        <v>0.75</v>
      </c>
      <c r="F279" s="17">
        <v>39</v>
      </c>
      <c r="G279" s="17">
        <v>39</v>
      </c>
      <c r="H279" s="17"/>
      <c r="I279" s="17">
        <v>1</v>
      </c>
      <c r="J279" s="18"/>
      <c r="K279">
        <f t="shared" si="1"/>
        <v>1.5384615384615385</v>
      </c>
    </row>
    <row r="280" spans="1:11" ht="20" hidden="1" x14ac:dyDescent="0.35">
      <c r="A280" s="14" t="s">
        <v>80</v>
      </c>
      <c r="B280" s="14" t="s">
        <v>81</v>
      </c>
      <c r="C280" s="14" t="s">
        <v>82</v>
      </c>
      <c r="D280" s="15">
        <v>45091</v>
      </c>
      <c r="E280" s="16">
        <v>0.54166666666666663</v>
      </c>
      <c r="F280" s="17">
        <v>36</v>
      </c>
      <c r="G280" s="17">
        <v>36</v>
      </c>
      <c r="H280" s="17"/>
      <c r="I280" s="17">
        <v>3</v>
      </c>
      <c r="J280" s="18"/>
      <c r="K280">
        <f t="shared" si="1"/>
        <v>1.6666666666666667</v>
      </c>
    </row>
    <row r="281" spans="1:11" ht="20" hidden="1" x14ac:dyDescent="0.35">
      <c r="A281" s="14" t="s">
        <v>80</v>
      </c>
      <c r="B281" s="14" t="s">
        <v>81</v>
      </c>
      <c r="C281" s="14" t="s">
        <v>82</v>
      </c>
      <c r="D281" s="15">
        <v>45090</v>
      </c>
      <c r="E281" s="16">
        <v>0.75</v>
      </c>
      <c r="F281" s="17">
        <v>35</v>
      </c>
      <c r="G281" s="17">
        <v>35</v>
      </c>
      <c r="H281" s="17"/>
      <c r="I281" s="17">
        <v>3</v>
      </c>
      <c r="J281" s="18"/>
      <c r="K281">
        <f t="shared" si="1"/>
        <v>1.7142857142857142</v>
      </c>
    </row>
    <row r="282" spans="1:11" ht="20" hidden="1" x14ac:dyDescent="0.35">
      <c r="A282" s="14" t="s">
        <v>80</v>
      </c>
      <c r="B282" s="14" t="s">
        <v>81</v>
      </c>
      <c r="C282" s="14" t="s">
        <v>82</v>
      </c>
      <c r="D282" s="15">
        <v>45128</v>
      </c>
      <c r="E282" s="16">
        <v>0.58333333333333337</v>
      </c>
      <c r="F282" s="17">
        <v>33</v>
      </c>
      <c r="G282" s="17">
        <v>33</v>
      </c>
      <c r="H282" s="17"/>
      <c r="I282" s="17">
        <v>3</v>
      </c>
      <c r="J282" s="18"/>
      <c r="K282">
        <f t="shared" si="1"/>
        <v>1.8181818181818181</v>
      </c>
    </row>
    <row r="283" spans="1:11" ht="20" hidden="1" x14ac:dyDescent="0.35">
      <c r="A283" s="14" t="s">
        <v>80</v>
      </c>
      <c r="B283" s="14" t="s">
        <v>81</v>
      </c>
      <c r="C283" s="14" t="s">
        <v>82</v>
      </c>
      <c r="D283" s="15">
        <v>45105</v>
      </c>
      <c r="E283" s="16">
        <v>0.58333333333333337</v>
      </c>
      <c r="F283" s="17">
        <v>32</v>
      </c>
      <c r="G283" s="17">
        <v>32</v>
      </c>
      <c r="H283" s="17"/>
      <c r="I283" s="17">
        <v>2</v>
      </c>
      <c r="J283" s="18"/>
      <c r="K283">
        <f t="shared" si="1"/>
        <v>1.875</v>
      </c>
    </row>
    <row r="284" spans="1:11" ht="20" hidden="1" x14ac:dyDescent="0.35">
      <c r="A284" s="14" t="s">
        <v>80</v>
      </c>
      <c r="B284" s="14" t="s">
        <v>81</v>
      </c>
      <c r="C284" s="14" t="s">
        <v>82</v>
      </c>
      <c r="D284" s="15">
        <v>45083</v>
      </c>
      <c r="E284" s="16">
        <v>0.54166666666666663</v>
      </c>
      <c r="F284" s="17">
        <v>31</v>
      </c>
      <c r="G284" s="17">
        <v>31</v>
      </c>
      <c r="H284" s="17"/>
      <c r="I284" s="17">
        <v>1</v>
      </c>
      <c r="J284" s="18"/>
      <c r="K284">
        <f t="shared" si="1"/>
        <v>1.935483870967742</v>
      </c>
    </row>
    <row r="285" spans="1:11" ht="20" hidden="1" x14ac:dyDescent="0.35">
      <c r="A285" s="14" t="s">
        <v>80</v>
      </c>
      <c r="B285" s="14" t="s">
        <v>81</v>
      </c>
      <c r="C285" s="14" t="s">
        <v>82</v>
      </c>
      <c r="D285" s="15">
        <v>45094</v>
      </c>
      <c r="E285" s="16">
        <v>0.70833333333333337</v>
      </c>
      <c r="F285" s="17">
        <v>31</v>
      </c>
      <c r="G285" s="17">
        <v>31</v>
      </c>
      <c r="H285" s="17"/>
      <c r="I285" s="17">
        <v>2</v>
      </c>
      <c r="J285" s="18"/>
      <c r="K285">
        <f t="shared" si="1"/>
        <v>1.935483870967742</v>
      </c>
    </row>
    <row r="286" spans="1:11" ht="20" hidden="1" x14ac:dyDescent="0.35">
      <c r="A286" s="14" t="s">
        <v>80</v>
      </c>
      <c r="B286" s="14" t="s">
        <v>81</v>
      </c>
      <c r="C286" s="14" t="s">
        <v>82</v>
      </c>
      <c r="D286" s="15">
        <v>45082</v>
      </c>
      <c r="E286" s="16">
        <v>0.54166666666666663</v>
      </c>
      <c r="F286" s="17">
        <v>30</v>
      </c>
      <c r="G286" s="17">
        <v>30</v>
      </c>
      <c r="H286" s="17"/>
      <c r="I286" s="17">
        <v>2</v>
      </c>
      <c r="J286" s="18"/>
      <c r="K286">
        <f t="shared" si="1"/>
        <v>2</v>
      </c>
    </row>
    <row r="287" spans="1:11" ht="20" hidden="1" x14ac:dyDescent="0.35">
      <c r="A287" s="14" t="s">
        <v>80</v>
      </c>
      <c r="B287" s="14" t="s">
        <v>81</v>
      </c>
      <c r="C287" s="14" t="s">
        <v>82</v>
      </c>
      <c r="D287" s="15">
        <v>45110</v>
      </c>
      <c r="E287" s="16">
        <v>0.54166666666666663</v>
      </c>
      <c r="F287" s="17">
        <v>30</v>
      </c>
      <c r="G287" s="17">
        <v>30</v>
      </c>
      <c r="H287" s="17"/>
      <c r="I287" s="17">
        <v>2</v>
      </c>
      <c r="J287" s="18"/>
      <c r="K287">
        <f t="shared" si="1"/>
        <v>2</v>
      </c>
    </row>
    <row r="288" spans="1:11" ht="20" hidden="1" x14ac:dyDescent="0.35">
      <c r="A288" s="14" t="s">
        <v>80</v>
      </c>
      <c r="B288" s="14" t="s">
        <v>81</v>
      </c>
      <c r="C288" s="14" t="s">
        <v>82</v>
      </c>
      <c r="D288" s="15">
        <v>45095</v>
      </c>
      <c r="E288" s="16">
        <v>0.54166666666666663</v>
      </c>
      <c r="F288" s="17">
        <v>23</v>
      </c>
      <c r="G288" s="17">
        <v>23</v>
      </c>
      <c r="H288" s="17"/>
      <c r="I288" s="17">
        <v>1</v>
      </c>
      <c r="J288" s="18"/>
      <c r="K288">
        <f t="shared" si="1"/>
        <v>2.6086956521739131</v>
      </c>
    </row>
    <row r="289" spans="1:11" ht="20" hidden="1" x14ac:dyDescent="0.35">
      <c r="A289" s="14" t="s">
        <v>80</v>
      </c>
      <c r="B289" s="14" t="s">
        <v>81</v>
      </c>
      <c r="C289" s="14" t="s">
        <v>82</v>
      </c>
      <c r="D289" s="15">
        <v>45121</v>
      </c>
      <c r="E289" s="16">
        <v>0.54166666666666663</v>
      </c>
      <c r="F289" s="17">
        <v>22</v>
      </c>
      <c r="G289" s="17">
        <v>22</v>
      </c>
      <c r="H289" s="17"/>
      <c r="I289" s="17">
        <v>2</v>
      </c>
      <c r="J289" s="18"/>
      <c r="K289">
        <f t="shared" si="1"/>
        <v>2.7272727272727271</v>
      </c>
    </row>
    <row r="290" spans="1:11" ht="20" hidden="1" x14ac:dyDescent="0.35">
      <c r="A290" s="14" t="s">
        <v>80</v>
      </c>
      <c r="B290" s="14" t="s">
        <v>81</v>
      </c>
      <c r="C290" s="14" t="s">
        <v>82</v>
      </c>
      <c r="D290" s="15">
        <v>45093</v>
      </c>
      <c r="E290" s="16">
        <v>0.54166666666666663</v>
      </c>
      <c r="F290" s="17">
        <v>20</v>
      </c>
      <c r="G290" s="17">
        <v>20</v>
      </c>
      <c r="H290" s="17"/>
      <c r="I290" s="17">
        <v>2</v>
      </c>
      <c r="J290" s="18"/>
      <c r="K290">
        <f t="shared" si="1"/>
        <v>3</v>
      </c>
    </row>
    <row r="291" spans="1:11" ht="20" hidden="1" x14ac:dyDescent="0.35">
      <c r="A291" s="14" t="s">
        <v>80</v>
      </c>
      <c r="B291" s="14" t="s">
        <v>81</v>
      </c>
      <c r="C291" s="14" t="s">
        <v>82</v>
      </c>
      <c r="D291" s="15">
        <v>45134</v>
      </c>
      <c r="E291" s="16">
        <v>0.54166666666666663</v>
      </c>
      <c r="F291" s="17">
        <v>20</v>
      </c>
      <c r="G291" s="17">
        <v>20</v>
      </c>
      <c r="H291" s="17"/>
      <c r="I291" s="17">
        <v>2</v>
      </c>
      <c r="J291" s="18"/>
      <c r="K291">
        <f t="shared" si="1"/>
        <v>3</v>
      </c>
    </row>
    <row r="292" spans="1:11" ht="20" hidden="1" x14ac:dyDescent="0.35">
      <c r="A292" s="14" t="s">
        <v>80</v>
      </c>
      <c r="B292" s="14" t="s">
        <v>81</v>
      </c>
      <c r="C292" s="14" t="s">
        <v>82</v>
      </c>
      <c r="D292" s="15">
        <v>45087</v>
      </c>
      <c r="E292" s="16">
        <v>0.75</v>
      </c>
      <c r="F292" s="17">
        <v>19</v>
      </c>
      <c r="G292" s="17">
        <v>19</v>
      </c>
      <c r="H292" s="17"/>
      <c r="I292" s="17">
        <v>3</v>
      </c>
      <c r="J292" s="18"/>
      <c r="K292">
        <f t="shared" si="1"/>
        <v>3.1578947368421053</v>
      </c>
    </row>
    <row r="293" spans="1:11" ht="20" hidden="1" x14ac:dyDescent="0.35">
      <c r="A293" s="14" t="s">
        <v>80</v>
      </c>
      <c r="B293" s="14" t="s">
        <v>81</v>
      </c>
      <c r="C293" s="14" t="s">
        <v>82</v>
      </c>
      <c r="D293" s="15">
        <v>45108</v>
      </c>
      <c r="E293" s="16">
        <v>0.75</v>
      </c>
      <c r="F293" s="17">
        <v>15</v>
      </c>
      <c r="G293" s="17">
        <v>15</v>
      </c>
      <c r="H293" s="17"/>
      <c r="I293" s="17">
        <v>2</v>
      </c>
      <c r="J293" s="18"/>
      <c r="K293">
        <f t="shared" si="1"/>
        <v>4</v>
      </c>
    </row>
    <row r="294" spans="1:11" ht="20" hidden="1" x14ac:dyDescent="0.35">
      <c r="A294" s="14" t="s">
        <v>80</v>
      </c>
      <c r="B294" s="14" t="s">
        <v>81</v>
      </c>
      <c r="C294" s="14" t="s">
        <v>82</v>
      </c>
      <c r="D294" s="15">
        <v>45113</v>
      </c>
      <c r="E294" s="16">
        <v>0.75</v>
      </c>
      <c r="F294" s="17">
        <v>15</v>
      </c>
      <c r="G294" s="17">
        <v>15</v>
      </c>
      <c r="H294" s="17"/>
      <c r="I294" s="17">
        <v>2</v>
      </c>
      <c r="J294" s="18"/>
      <c r="K294">
        <f t="shared" si="1"/>
        <v>4</v>
      </c>
    </row>
    <row r="295" spans="1:11" ht="20" hidden="1" x14ac:dyDescent="0.35">
      <c r="A295" s="14" t="s">
        <v>80</v>
      </c>
      <c r="B295" s="14" t="s">
        <v>81</v>
      </c>
      <c r="C295" s="14" t="s">
        <v>82</v>
      </c>
      <c r="D295" s="15">
        <v>45102</v>
      </c>
      <c r="E295" s="16">
        <v>0.54166666666666663</v>
      </c>
      <c r="F295" s="17">
        <v>8</v>
      </c>
      <c r="G295" s="17">
        <v>8</v>
      </c>
      <c r="H295" s="17"/>
      <c r="I295" s="17"/>
      <c r="J295" s="18"/>
      <c r="K295">
        <f t="shared" si="1"/>
        <v>7.5</v>
      </c>
    </row>
    <row r="296" spans="1:11" ht="20" hidden="1" x14ac:dyDescent="0.35">
      <c r="A296" s="14" t="s">
        <v>80</v>
      </c>
      <c r="B296" s="14" t="s">
        <v>81</v>
      </c>
      <c r="C296" s="14" t="s">
        <v>82</v>
      </c>
      <c r="D296" s="15">
        <v>45103</v>
      </c>
      <c r="E296" s="16">
        <v>0.75</v>
      </c>
      <c r="F296" s="17">
        <v>8</v>
      </c>
      <c r="G296" s="17">
        <v>8</v>
      </c>
      <c r="H296" s="17"/>
      <c r="I296" s="17">
        <v>1</v>
      </c>
      <c r="J296" s="18"/>
      <c r="K296">
        <f t="shared" si="1"/>
        <v>7.5</v>
      </c>
    </row>
    <row r="297" spans="1:11" ht="20" hidden="1" x14ac:dyDescent="0.35">
      <c r="A297" s="14" t="s">
        <v>80</v>
      </c>
      <c r="B297" s="14" t="s">
        <v>81</v>
      </c>
      <c r="C297" s="14" t="s">
        <v>82</v>
      </c>
      <c r="D297" s="15">
        <v>45132</v>
      </c>
      <c r="E297" s="16">
        <v>0.54166666666666663</v>
      </c>
      <c r="F297" s="17">
        <v>6</v>
      </c>
      <c r="G297" s="17">
        <v>6</v>
      </c>
      <c r="H297" s="17"/>
      <c r="I297" s="17"/>
      <c r="J297" s="18"/>
      <c r="K297">
        <f t="shared" si="1"/>
        <v>10</v>
      </c>
    </row>
    <row r="298" spans="1:11" ht="20" hidden="1" x14ac:dyDescent="0.35">
      <c r="A298" s="14" t="s">
        <v>80</v>
      </c>
      <c r="B298" s="14" t="s">
        <v>81</v>
      </c>
      <c r="C298" s="14" t="s">
        <v>82</v>
      </c>
      <c r="D298" s="15">
        <v>45126</v>
      </c>
      <c r="E298" s="16">
        <v>0.75</v>
      </c>
      <c r="F298" s="17">
        <v>5</v>
      </c>
      <c r="G298" s="17">
        <v>5</v>
      </c>
      <c r="H298" s="17"/>
      <c r="I298" s="17">
        <v>1</v>
      </c>
      <c r="J298" s="18"/>
      <c r="K298">
        <f t="shared" si="1"/>
        <v>12</v>
      </c>
    </row>
    <row r="299" spans="1:11" ht="20" hidden="1" x14ac:dyDescent="0.35">
      <c r="A299" s="14" t="s">
        <v>80</v>
      </c>
      <c r="B299" s="14" t="s">
        <v>81</v>
      </c>
      <c r="C299" s="14" t="s">
        <v>82</v>
      </c>
      <c r="D299" s="15">
        <v>45097</v>
      </c>
      <c r="E299" s="16">
        <v>0.75</v>
      </c>
      <c r="F299" s="17">
        <v>3</v>
      </c>
      <c r="G299" s="17">
        <v>3</v>
      </c>
      <c r="H299" s="17"/>
      <c r="I299" s="17">
        <v>1</v>
      </c>
      <c r="J299" s="18"/>
      <c r="K299">
        <f t="shared" si="1"/>
        <v>20</v>
      </c>
    </row>
    <row r="300" spans="1:11" ht="20" hidden="1" x14ac:dyDescent="0.35">
      <c r="A300" s="14" t="s">
        <v>80</v>
      </c>
      <c r="B300" s="14" t="s">
        <v>81</v>
      </c>
      <c r="C300" s="14" t="s">
        <v>82</v>
      </c>
      <c r="D300" s="15">
        <v>45124</v>
      </c>
      <c r="E300" s="16">
        <v>0.75</v>
      </c>
      <c r="F300" s="17">
        <v>3</v>
      </c>
      <c r="G300" s="17">
        <v>3</v>
      </c>
      <c r="H300" s="17"/>
      <c r="I300" s="17">
        <v>1</v>
      </c>
      <c r="J300" s="18"/>
      <c r="K300">
        <f t="shared" si="1"/>
        <v>20</v>
      </c>
    </row>
    <row r="301" spans="1:11" ht="20" hidden="1" x14ac:dyDescent="0.35">
      <c r="A301" s="14" t="s">
        <v>80</v>
      </c>
      <c r="B301" s="14" t="s">
        <v>81</v>
      </c>
      <c r="C301" s="14" t="s">
        <v>82</v>
      </c>
      <c r="D301" s="15">
        <v>45082</v>
      </c>
      <c r="E301" s="16">
        <v>0.75</v>
      </c>
      <c r="F301" s="17">
        <v>2</v>
      </c>
      <c r="G301" s="17">
        <v>2</v>
      </c>
      <c r="H301" s="17"/>
      <c r="I301" s="17">
        <v>2</v>
      </c>
      <c r="J301" s="18"/>
      <c r="K301">
        <f t="shared" si="1"/>
        <v>30</v>
      </c>
    </row>
    <row r="302" spans="1:11" ht="20" hidden="1" x14ac:dyDescent="0.35">
      <c r="A302" s="14" t="s">
        <v>80</v>
      </c>
      <c r="B302" s="14" t="s">
        <v>81</v>
      </c>
      <c r="C302" s="14" t="s">
        <v>82</v>
      </c>
      <c r="D302" s="15">
        <v>45077</v>
      </c>
      <c r="E302" s="16">
        <v>0.25</v>
      </c>
      <c r="F302" s="17">
        <v>168</v>
      </c>
      <c r="G302" s="17">
        <v>168</v>
      </c>
      <c r="H302" s="17"/>
      <c r="I302" s="17">
        <v>1</v>
      </c>
      <c r="J302" s="18"/>
    </row>
    <row r="303" spans="1:11" ht="20" hidden="1" x14ac:dyDescent="0.35">
      <c r="A303" s="14" t="s">
        <v>80</v>
      </c>
      <c r="B303" s="14" t="s">
        <v>81</v>
      </c>
      <c r="C303" s="14" t="s">
        <v>82</v>
      </c>
      <c r="D303" s="15">
        <v>45077</v>
      </c>
      <c r="E303" s="16">
        <v>0.29166666666666669</v>
      </c>
      <c r="F303" s="17">
        <v>80</v>
      </c>
      <c r="G303" s="17">
        <v>80</v>
      </c>
      <c r="H303" s="17"/>
      <c r="I303" s="17">
        <v>8</v>
      </c>
      <c r="J303" s="18"/>
    </row>
    <row r="304" spans="1:11" ht="20" hidden="1" x14ac:dyDescent="0.35">
      <c r="A304" s="14" t="s">
        <v>80</v>
      </c>
      <c r="B304" s="14" t="s">
        <v>81</v>
      </c>
      <c r="C304" s="14" t="s">
        <v>82</v>
      </c>
      <c r="D304" s="15">
        <v>45077</v>
      </c>
      <c r="E304" s="16">
        <v>0.33333333333333331</v>
      </c>
      <c r="F304" s="17">
        <v>154</v>
      </c>
      <c r="G304" s="17">
        <v>154</v>
      </c>
      <c r="H304" s="17"/>
      <c r="I304" s="17">
        <v>2</v>
      </c>
      <c r="J304" s="18"/>
    </row>
    <row r="305" spans="1:10" ht="20" hidden="1" x14ac:dyDescent="0.35">
      <c r="A305" s="14" t="s">
        <v>80</v>
      </c>
      <c r="B305" s="14" t="s">
        <v>81</v>
      </c>
      <c r="C305" s="14" t="s">
        <v>82</v>
      </c>
      <c r="D305" s="15">
        <v>45078</v>
      </c>
      <c r="E305" s="16">
        <v>0.25</v>
      </c>
      <c r="F305" s="17">
        <v>96</v>
      </c>
      <c r="G305" s="17">
        <v>96</v>
      </c>
      <c r="H305" s="17"/>
      <c r="I305" s="17">
        <v>2</v>
      </c>
      <c r="J305" s="18"/>
    </row>
    <row r="306" spans="1:10" ht="20" hidden="1" x14ac:dyDescent="0.35">
      <c r="A306" s="14" t="s">
        <v>80</v>
      </c>
      <c r="B306" s="14" t="s">
        <v>81</v>
      </c>
      <c r="C306" s="14" t="s">
        <v>82</v>
      </c>
      <c r="D306" s="15">
        <v>45078</v>
      </c>
      <c r="E306" s="16">
        <v>0.29166666666666669</v>
      </c>
      <c r="F306" s="17">
        <v>186</v>
      </c>
      <c r="G306" s="17">
        <v>186</v>
      </c>
      <c r="H306" s="17"/>
      <c r="I306" s="17">
        <v>4</v>
      </c>
      <c r="J306" s="18"/>
    </row>
    <row r="307" spans="1:10" ht="20" hidden="1" x14ac:dyDescent="0.35">
      <c r="A307" s="14" t="s">
        <v>80</v>
      </c>
      <c r="B307" s="14" t="s">
        <v>81</v>
      </c>
      <c r="C307" s="14" t="s">
        <v>82</v>
      </c>
      <c r="D307" s="15">
        <v>45078</v>
      </c>
      <c r="E307" s="16">
        <v>0.33333333333333331</v>
      </c>
      <c r="F307" s="17">
        <v>13</v>
      </c>
      <c r="G307" s="17">
        <v>13</v>
      </c>
      <c r="H307" s="17"/>
      <c r="I307" s="17">
        <v>2</v>
      </c>
      <c r="J307" s="18"/>
    </row>
    <row r="308" spans="1:10" ht="20" hidden="1" x14ac:dyDescent="0.35">
      <c r="A308" s="14" t="s">
        <v>80</v>
      </c>
      <c r="B308" s="14" t="s">
        <v>81</v>
      </c>
      <c r="C308" s="14" t="s">
        <v>82</v>
      </c>
      <c r="D308" s="15">
        <v>45079</v>
      </c>
      <c r="E308" s="16">
        <v>0.29166666666666669</v>
      </c>
      <c r="F308" s="17">
        <v>170</v>
      </c>
      <c r="G308" s="17">
        <v>170</v>
      </c>
      <c r="H308" s="17"/>
      <c r="I308" s="17">
        <v>2</v>
      </c>
      <c r="J308" s="18"/>
    </row>
    <row r="309" spans="1:10" ht="20" hidden="1" x14ac:dyDescent="0.35">
      <c r="A309" s="14" t="s">
        <v>80</v>
      </c>
      <c r="B309" s="14" t="s">
        <v>81</v>
      </c>
      <c r="C309" s="14" t="s">
        <v>82</v>
      </c>
      <c r="D309" s="15">
        <v>45080</v>
      </c>
      <c r="E309" s="16">
        <v>0.25</v>
      </c>
      <c r="F309" s="17">
        <v>121</v>
      </c>
      <c r="G309" s="17">
        <v>121</v>
      </c>
      <c r="H309" s="17"/>
      <c r="I309" s="17">
        <v>1</v>
      </c>
      <c r="J309" s="18"/>
    </row>
    <row r="310" spans="1:10" ht="20" hidden="1" x14ac:dyDescent="0.35">
      <c r="A310" s="14" t="s">
        <v>80</v>
      </c>
      <c r="B310" s="14" t="s">
        <v>81</v>
      </c>
      <c r="C310" s="14" t="s">
        <v>82</v>
      </c>
      <c r="D310" s="15">
        <v>45080</v>
      </c>
      <c r="E310" s="16">
        <v>0.29166666666666669</v>
      </c>
      <c r="F310" s="17">
        <v>305</v>
      </c>
      <c r="G310" s="17">
        <v>305</v>
      </c>
      <c r="H310" s="17"/>
      <c r="I310" s="17">
        <v>8</v>
      </c>
      <c r="J310" s="18"/>
    </row>
    <row r="311" spans="1:10" ht="20" hidden="1" x14ac:dyDescent="0.35">
      <c r="A311" s="14" t="s">
        <v>80</v>
      </c>
      <c r="B311" s="14" t="s">
        <v>81</v>
      </c>
      <c r="C311" s="14" t="s">
        <v>82</v>
      </c>
      <c r="D311" s="15">
        <v>45080</v>
      </c>
      <c r="E311" s="16">
        <v>0.70833333333333337</v>
      </c>
      <c r="F311" s="17">
        <v>32</v>
      </c>
      <c r="G311" s="17">
        <v>32</v>
      </c>
      <c r="H311" s="17"/>
      <c r="I311" s="17">
        <v>2</v>
      </c>
      <c r="J311" s="18"/>
    </row>
    <row r="312" spans="1:10" ht="20" hidden="1" x14ac:dyDescent="0.35">
      <c r="A312" s="14" t="s">
        <v>80</v>
      </c>
      <c r="B312" s="14" t="s">
        <v>81</v>
      </c>
      <c r="C312" s="14" t="s">
        <v>82</v>
      </c>
      <c r="D312" s="15">
        <v>45080</v>
      </c>
      <c r="E312" s="16">
        <v>0.79166666666666663</v>
      </c>
      <c r="F312" s="17">
        <v>147</v>
      </c>
      <c r="G312" s="17">
        <v>147</v>
      </c>
      <c r="H312" s="17"/>
      <c r="I312" s="17">
        <v>1</v>
      </c>
      <c r="J312" s="18"/>
    </row>
    <row r="313" spans="1:10" ht="20" hidden="1" x14ac:dyDescent="0.35">
      <c r="A313" s="14" t="s">
        <v>80</v>
      </c>
      <c r="B313" s="14" t="s">
        <v>81</v>
      </c>
      <c r="C313" s="14" t="s">
        <v>82</v>
      </c>
      <c r="D313" s="15">
        <v>45080</v>
      </c>
      <c r="E313" s="16">
        <v>0.83333333333333337</v>
      </c>
      <c r="F313" s="17">
        <v>384</v>
      </c>
      <c r="G313" s="17">
        <v>384</v>
      </c>
      <c r="H313" s="17"/>
      <c r="I313" s="17">
        <v>1</v>
      </c>
      <c r="J313" s="18"/>
    </row>
    <row r="314" spans="1:10" ht="20" hidden="1" x14ac:dyDescent="0.35">
      <c r="A314" s="14" t="s">
        <v>80</v>
      </c>
      <c r="B314" s="14" t="s">
        <v>81</v>
      </c>
      <c r="C314" s="14" t="s">
        <v>82</v>
      </c>
      <c r="D314" s="15">
        <v>45080</v>
      </c>
      <c r="E314" s="16">
        <v>0.875</v>
      </c>
      <c r="F314" s="17">
        <v>34</v>
      </c>
      <c r="G314" s="17">
        <v>34</v>
      </c>
      <c r="H314" s="17"/>
      <c r="I314" s="17">
        <v>1</v>
      </c>
      <c r="J314" s="18"/>
    </row>
    <row r="315" spans="1:10" ht="20" hidden="1" x14ac:dyDescent="0.35">
      <c r="A315" s="14" t="s">
        <v>80</v>
      </c>
      <c r="B315" s="14" t="s">
        <v>81</v>
      </c>
      <c r="C315" s="14" t="s">
        <v>82</v>
      </c>
      <c r="D315" s="15">
        <v>45081</v>
      </c>
      <c r="E315" s="16">
        <v>0.25</v>
      </c>
      <c r="F315" s="17">
        <v>28</v>
      </c>
      <c r="G315" s="17">
        <v>28</v>
      </c>
      <c r="H315" s="17"/>
      <c r="I315" s="17">
        <v>2</v>
      </c>
      <c r="J315" s="18"/>
    </row>
    <row r="316" spans="1:10" ht="20" hidden="1" x14ac:dyDescent="0.35">
      <c r="A316" s="14" t="s">
        <v>80</v>
      </c>
      <c r="B316" s="14" t="s">
        <v>81</v>
      </c>
      <c r="C316" s="14" t="s">
        <v>82</v>
      </c>
      <c r="D316" s="15">
        <v>45081</v>
      </c>
      <c r="E316" s="16">
        <v>0.29166666666666669</v>
      </c>
      <c r="F316" s="17">
        <v>228</v>
      </c>
      <c r="G316" s="17">
        <v>228</v>
      </c>
      <c r="H316" s="17"/>
      <c r="I316" s="17">
        <v>3</v>
      </c>
      <c r="J316" s="18"/>
    </row>
    <row r="317" spans="1:10" ht="20" hidden="1" x14ac:dyDescent="0.35">
      <c r="A317" s="14" t="s">
        <v>80</v>
      </c>
      <c r="B317" s="14" t="s">
        <v>81</v>
      </c>
      <c r="C317" s="14" t="s">
        <v>82</v>
      </c>
      <c r="D317" s="15">
        <v>45081</v>
      </c>
      <c r="E317" s="16">
        <v>0.79166666666666663</v>
      </c>
      <c r="F317" s="17">
        <v>165</v>
      </c>
      <c r="G317" s="17">
        <v>165</v>
      </c>
      <c r="H317" s="17"/>
      <c r="I317" s="17">
        <v>3</v>
      </c>
      <c r="J317" s="18"/>
    </row>
    <row r="318" spans="1:10" ht="20" hidden="1" x14ac:dyDescent="0.35">
      <c r="A318" s="14" t="s">
        <v>80</v>
      </c>
      <c r="B318" s="14" t="s">
        <v>81</v>
      </c>
      <c r="C318" s="14" t="s">
        <v>82</v>
      </c>
      <c r="D318" s="15">
        <v>45081</v>
      </c>
      <c r="E318" s="16">
        <v>0.83333333333333337</v>
      </c>
      <c r="F318" s="17">
        <v>244</v>
      </c>
      <c r="G318" s="17">
        <v>244</v>
      </c>
      <c r="H318" s="17"/>
      <c r="I318" s="17">
        <v>3</v>
      </c>
      <c r="J318" s="18"/>
    </row>
    <row r="319" spans="1:10" ht="20" hidden="1" x14ac:dyDescent="0.35">
      <c r="A319" s="14" t="s">
        <v>80</v>
      </c>
      <c r="B319" s="14" t="s">
        <v>81</v>
      </c>
      <c r="C319" s="14" t="s">
        <v>82</v>
      </c>
      <c r="D319" s="15">
        <v>45082</v>
      </c>
      <c r="E319" s="16">
        <v>0.25</v>
      </c>
      <c r="F319" s="17">
        <v>144</v>
      </c>
      <c r="G319" s="17">
        <v>144</v>
      </c>
      <c r="H319" s="17"/>
      <c r="I319" s="17">
        <v>4</v>
      </c>
      <c r="J319" s="18"/>
    </row>
    <row r="320" spans="1:10" ht="20" hidden="1" x14ac:dyDescent="0.35">
      <c r="A320" s="14" t="s">
        <v>80</v>
      </c>
      <c r="B320" s="14" t="s">
        <v>81</v>
      </c>
      <c r="C320" s="14" t="s">
        <v>82</v>
      </c>
      <c r="D320" s="15">
        <v>45082</v>
      </c>
      <c r="E320" s="16">
        <v>0.29166666666666669</v>
      </c>
      <c r="F320" s="17">
        <v>323</v>
      </c>
      <c r="G320" s="17">
        <v>323</v>
      </c>
      <c r="H320" s="17"/>
      <c r="I320" s="17">
        <v>8</v>
      </c>
      <c r="J320" s="18"/>
    </row>
    <row r="321" spans="1:10" ht="20" hidden="1" x14ac:dyDescent="0.35">
      <c r="A321" s="14" t="s">
        <v>80</v>
      </c>
      <c r="B321" s="14" t="s">
        <v>81</v>
      </c>
      <c r="C321" s="14" t="s">
        <v>82</v>
      </c>
      <c r="D321" s="15">
        <v>45082</v>
      </c>
      <c r="E321" s="16">
        <v>0.79166666666666663</v>
      </c>
      <c r="F321" s="17">
        <v>1</v>
      </c>
      <c r="G321" s="17">
        <v>1</v>
      </c>
      <c r="H321" s="17"/>
      <c r="I321" s="17">
        <v>1</v>
      </c>
      <c r="J321" s="18"/>
    </row>
    <row r="322" spans="1:10" ht="20" hidden="1" x14ac:dyDescent="0.35">
      <c r="A322" s="14" t="s">
        <v>80</v>
      </c>
      <c r="B322" s="14" t="s">
        <v>81</v>
      </c>
      <c r="C322" s="14" t="s">
        <v>82</v>
      </c>
      <c r="D322" s="15">
        <v>45083</v>
      </c>
      <c r="E322" s="16">
        <v>0.25</v>
      </c>
      <c r="F322" s="17">
        <v>136</v>
      </c>
      <c r="G322" s="17">
        <v>136</v>
      </c>
      <c r="H322" s="17"/>
      <c r="I322" s="17">
        <v>1</v>
      </c>
      <c r="J322" s="18"/>
    </row>
    <row r="323" spans="1:10" ht="20" hidden="1" x14ac:dyDescent="0.35">
      <c r="A323" s="14" t="s">
        <v>80</v>
      </c>
      <c r="B323" s="14" t="s">
        <v>81</v>
      </c>
      <c r="C323" s="14" t="s">
        <v>82</v>
      </c>
      <c r="D323" s="15">
        <v>45083</v>
      </c>
      <c r="E323" s="16">
        <v>0.29166666666666669</v>
      </c>
      <c r="F323" s="17">
        <v>118</v>
      </c>
      <c r="G323" s="17">
        <v>118</v>
      </c>
      <c r="H323" s="17"/>
      <c r="I323" s="17">
        <v>3</v>
      </c>
      <c r="J323" s="18"/>
    </row>
    <row r="324" spans="1:10" ht="20" hidden="1" x14ac:dyDescent="0.35">
      <c r="A324" s="14" t="s">
        <v>80</v>
      </c>
      <c r="B324" s="14" t="s">
        <v>81</v>
      </c>
      <c r="C324" s="14" t="s">
        <v>82</v>
      </c>
      <c r="D324" s="15">
        <v>45083</v>
      </c>
      <c r="E324" s="16">
        <v>0.5</v>
      </c>
      <c r="F324" s="17">
        <v>4</v>
      </c>
      <c r="G324" s="17">
        <v>4</v>
      </c>
      <c r="H324" s="17"/>
      <c r="I324" s="17">
        <v>1</v>
      </c>
      <c r="J324" s="18"/>
    </row>
    <row r="325" spans="1:10" ht="20" hidden="1" x14ac:dyDescent="0.35">
      <c r="A325" s="14" t="s">
        <v>80</v>
      </c>
      <c r="B325" s="14" t="s">
        <v>81</v>
      </c>
      <c r="C325" s="14" t="s">
        <v>82</v>
      </c>
      <c r="D325" s="15">
        <v>45084</v>
      </c>
      <c r="E325" s="16">
        <v>0.25</v>
      </c>
      <c r="F325" s="17">
        <v>149</v>
      </c>
      <c r="G325" s="17">
        <v>149</v>
      </c>
      <c r="H325" s="17"/>
      <c r="I325" s="17">
        <v>1</v>
      </c>
      <c r="J325" s="18"/>
    </row>
    <row r="326" spans="1:10" ht="20" hidden="1" x14ac:dyDescent="0.35">
      <c r="A326" s="14" t="s">
        <v>80</v>
      </c>
      <c r="B326" s="14" t="s">
        <v>81</v>
      </c>
      <c r="C326" s="14" t="s">
        <v>82</v>
      </c>
      <c r="D326" s="15">
        <v>45084</v>
      </c>
      <c r="E326" s="16">
        <v>0.29166666666666669</v>
      </c>
      <c r="F326" s="17">
        <v>179</v>
      </c>
      <c r="G326" s="17">
        <v>179</v>
      </c>
      <c r="H326" s="17"/>
      <c r="I326" s="17">
        <v>1</v>
      </c>
      <c r="J326" s="18"/>
    </row>
    <row r="327" spans="1:10" ht="20" hidden="1" x14ac:dyDescent="0.35">
      <c r="A327" s="14" t="s">
        <v>80</v>
      </c>
      <c r="B327" s="14" t="s">
        <v>81</v>
      </c>
      <c r="C327" s="14" t="s">
        <v>82</v>
      </c>
      <c r="D327" s="15">
        <v>45085</v>
      </c>
      <c r="E327" s="16">
        <v>0.29166666666666669</v>
      </c>
      <c r="F327" s="17">
        <v>163</v>
      </c>
      <c r="G327" s="17">
        <v>163</v>
      </c>
      <c r="H327" s="17"/>
      <c r="I327" s="17">
        <v>3</v>
      </c>
      <c r="J327" s="18"/>
    </row>
    <row r="328" spans="1:10" ht="20" hidden="1" x14ac:dyDescent="0.35">
      <c r="A328" s="14" t="s">
        <v>80</v>
      </c>
      <c r="B328" s="14" t="s">
        <v>81</v>
      </c>
      <c r="C328" s="14" t="s">
        <v>82</v>
      </c>
      <c r="D328" s="15">
        <v>45085</v>
      </c>
      <c r="E328" s="16">
        <v>0.33333333333333331</v>
      </c>
      <c r="F328" s="17">
        <v>129</v>
      </c>
      <c r="G328" s="17">
        <v>129</v>
      </c>
      <c r="H328" s="17"/>
      <c r="I328" s="17">
        <v>2</v>
      </c>
      <c r="J328" s="18"/>
    </row>
    <row r="329" spans="1:10" ht="20" hidden="1" x14ac:dyDescent="0.35">
      <c r="A329" s="14" t="s">
        <v>80</v>
      </c>
      <c r="B329" s="14" t="s">
        <v>81</v>
      </c>
      <c r="C329" s="14" t="s">
        <v>82</v>
      </c>
      <c r="D329" s="15">
        <v>45086</v>
      </c>
      <c r="E329" s="16">
        <v>0.25</v>
      </c>
      <c r="F329" s="17">
        <v>151</v>
      </c>
      <c r="G329" s="17">
        <v>151</v>
      </c>
      <c r="H329" s="17"/>
      <c r="I329" s="17">
        <v>1</v>
      </c>
      <c r="J329" s="18"/>
    </row>
    <row r="330" spans="1:10" ht="20" hidden="1" x14ac:dyDescent="0.35">
      <c r="A330" s="14" t="s">
        <v>80</v>
      </c>
      <c r="B330" s="14" t="s">
        <v>81</v>
      </c>
      <c r="C330" s="14" t="s">
        <v>82</v>
      </c>
      <c r="D330" s="15">
        <v>45086</v>
      </c>
      <c r="E330" s="16">
        <v>0.29166666666666669</v>
      </c>
      <c r="F330" s="17">
        <v>16</v>
      </c>
      <c r="G330" s="17">
        <v>16</v>
      </c>
      <c r="H330" s="17"/>
      <c r="I330" s="17">
        <v>2</v>
      </c>
      <c r="J330" s="18"/>
    </row>
    <row r="331" spans="1:10" ht="20" hidden="1" x14ac:dyDescent="0.35">
      <c r="A331" s="14" t="s">
        <v>80</v>
      </c>
      <c r="B331" s="14" t="s">
        <v>81</v>
      </c>
      <c r="C331" s="14" t="s">
        <v>82</v>
      </c>
      <c r="D331" s="15">
        <v>45086</v>
      </c>
      <c r="E331" s="16">
        <v>0.70833333333333337</v>
      </c>
      <c r="F331" s="17">
        <v>19</v>
      </c>
      <c r="G331" s="17">
        <v>19</v>
      </c>
      <c r="H331" s="17"/>
      <c r="I331" s="17">
        <v>2</v>
      </c>
      <c r="J331" s="18"/>
    </row>
    <row r="332" spans="1:10" ht="20" hidden="1" x14ac:dyDescent="0.35">
      <c r="A332" s="14" t="s">
        <v>80</v>
      </c>
      <c r="B332" s="14" t="s">
        <v>81</v>
      </c>
      <c r="C332" s="14" t="s">
        <v>82</v>
      </c>
      <c r="D332" s="15">
        <v>45087</v>
      </c>
      <c r="E332" s="16">
        <v>0.25</v>
      </c>
      <c r="F332" s="17">
        <v>235</v>
      </c>
      <c r="G332" s="17">
        <v>235</v>
      </c>
      <c r="H332" s="17"/>
      <c r="I332" s="17">
        <v>3</v>
      </c>
      <c r="J332" s="18"/>
    </row>
    <row r="333" spans="1:10" ht="20" hidden="1" x14ac:dyDescent="0.35">
      <c r="A333" s="14" t="s">
        <v>80</v>
      </c>
      <c r="B333" s="14" t="s">
        <v>81</v>
      </c>
      <c r="C333" s="14" t="s">
        <v>82</v>
      </c>
      <c r="D333" s="15">
        <v>45087</v>
      </c>
      <c r="E333" s="16">
        <v>0.29166666666666669</v>
      </c>
      <c r="F333" s="17">
        <v>282</v>
      </c>
      <c r="G333" s="17">
        <v>282</v>
      </c>
      <c r="H333" s="17"/>
      <c r="I333" s="17">
        <v>4</v>
      </c>
      <c r="J333" s="18"/>
    </row>
    <row r="334" spans="1:10" ht="20" hidden="1" x14ac:dyDescent="0.35">
      <c r="A334" s="14" t="s">
        <v>80</v>
      </c>
      <c r="B334" s="14" t="s">
        <v>81</v>
      </c>
      <c r="C334" s="14" t="s">
        <v>82</v>
      </c>
      <c r="D334" s="15">
        <v>45087</v>
      </c>
      <c r="E334" s="16">
        <v>0.79166666666666663</v>
      </c>
      <c r="F334" s="17">
        <v>168</v>
      </c>
      <c r="G334" s="17">
        <v>168</v>
      </c>
      <c r="H334" s="17"/>
      <c r="I334" s="17">
        <v>3</v>
      </c>
      <c r="J334" s="18"/>
    </row>
    <row r="335" spans="1:10" ht="20" hidden="1" x14ac:dyDescent="0.35">
      <c r="A335" s="14" t="s">
        <v>80</v>
      </c>
      <c r="B335" s="14" t="s">
        <v>81</v>
      </c>
      <c r="C335" s="14" t="s">
        <v>82</v>
      </c>
      <c r="D335" s="15">
        <v>45087</v>
      </c>
      <c r="E335" s="16">
        <v>0.83333333333333337</v>
      </c>
      <c r="F335" s="17">
        <v>231</v>
      </c>
      <c r="G335" s="17">
        <v>231</v>
      </c>
      <c r="H335" s="17"/>
      <c r="I335" s="17">
        <v>3</v>
      </c>
      <c r="J335" s="18"/>
    </row>
    <row r="336" spans="1:10" ht="20" hidden="1" x14ac:dyDescent="0.35">
      <c r="A336" s="14" t="s">
        <v>80</v>
      </c>
      <c r="B336" s="14" t="s">
        <v>81</v>
      </c>
      <c r="C336" s="14" t="s">
        <v>82</v>
      </c>
      <c r="D336" s="15">
        <v>45087</v>
      </c>
      <c r="E336" s="16">
        <v>0.875</v>
      </c>
      <c r="F336" s="17">
        <v>232</v>
      </c>
      <c r="G336" s="17">
        <v>232</v>
      </c>
      <c r="H336" s="17"/>
      <c r="I336" s="17">
        <v>4</v>
      </c>
      <c r="J336" s="18"/>
    </row>
    <row r="337" spans="1:10" ht="20" hidden="1" x14ac:dyDescent="0.35">
      <c r="A337" s="14" t="s">
        <v>80</v>
      </c>
      <c r="B337" s="14" t="s">
        <v>81</v>
      </c>
      <c r="C337" s="14" t="s">
        <v>82</v>
      </c>
      <c r="D337" s="15">
        <v>45088</v>
      </c>
      <c r="E337" s="16">
        <v>0.25</v>
      </c>
      <c r="F337" s="17">
        <v>121</v>
      </c>
      <c r="G337" s="17">
        <v>121</v>
      </c>
      <c r="H337" s="17"/>
      <c r="I337" s="17">
        <v>2</v>
      </c>
      <c r="J337" s="18"/>
    </row>
    <row r="338" spans="1:10" ht="20" hidden="1" x14ac:dyDescent="0.35">
      <c r="A338" s="14" t="s">
        <v>80</v>
      </c>
      <c r="B338" s="14" t="s">
        <v>81</v>
      </c>
      <c r="C338" s="14" t="s">
        <v>82</v>
      </c>
      <c r="D338" s="15">
        <v>45088</v>
      </c>
      <c r="E338" s="16">
        <v>0.29166666666666669</v>
      </c>
      <c r="F338" s="17">
        <v>63</v>
      </c>
      <c r="G338" s="17">
        <v>63</v>
      </c>
      <c r="H338" s="17"/>
      <c r="I338" s="17">
        <v>3</v>
      </c>
      <c r="J338" s="18"/>
    </row>
    <row r="339" spans="1:10" ht="20" hidden="1" x14ac:dyDescent="0.35">
      <c r="A339" s="14" t="s">
        <v>80</v>
      </c>
      <c r="B339" s="14" t="s">
        <v>81</v>
      </c>
      <c r="C339" s="14" t="s">
        <v>82</v>
      </c>
      <c r="D339" s="15">
        <v>45088</v>
      </c>
      <c r="E339" s="16">
        <v>0.79166666666666663</v>
      </c>
      <c r="F339" s="17">
        <v>63</v>
      </c>
      <c r="G339" s="17">
        <v>63</v>
      </c>
      <c r="H339" s="17"/>
      <c r="I339" s="17">
        <v>1</v>
      </c>
      <c r="J339" s="18"/>
    </row>
    <row r="340" spans="1:10" ht="20" hidden="1" x14ac:dyDescent="0.35">
      <c r="A340" s="14" t="s">
        <v>80</v>
      </c>
      <c r="B340" s="14" t="s">
        <v>81</v>
      </c>
      <c r="C340" s="14" t="s">
        <v>82</v>
      </c>
      <c r="D340" s="15">
        <v>45088</v>
      </c>
      <c r="E340" s="16">
        <v>0.83333333333333337</v>
      </c>
      <c r="F340" s="17">
        <v>300</v>
      </c>
      <c r="G340" s="17">
        <v>300</v>
      </c>
      <c r="H340" s="17"/>
      <c r="I340" s="17">
        <v>4</v>
      </c>
      <c r="J340" s="18"/>
    </row>
    <row r="341" spans="1:10" ht="20" hidden="1" x14ac:dyDescent="0.35">
      <c r="A341" s="14" t="s">
        <v>80</v>
      </c>
      <c r="B341" s="14" t="s">
        <v>81</v>
      </c>
      <c r="C341" s="14" t="s">
        <v>82</v>
      </c>
      <c r="D341" s="15">
        <v>45088</v>
      </c>
      <c r="E341" s="16">
        <v>0.875</v>
      </c>
      <c r="F341" s="17">
        <v>12</v>
      </c>
      <c r="G341" s="17">
        <v>12</v>
      </c>
      <c r="H341" s="17"/>
      <c r="I341" s="17">
        <v>2</v>
      </c>
      <c r="J341" s="18"/>
    </row>
    <row r="342" spans="1:10" ht="20" hidden="1" x14ac:dyDescent="0.35">
      <c r="A342" s="14" t="s">
        <v>80</v>
      </c>
      <c r="B342" s="14" t="s">
        <v>81</v>
      </c>
      <c r="C342" s="14" t="s">
        <v>82</v>
      </c>
      <c r="D342" s="15">
        <v>45089</v>
      </c>
      <c r="E342" s="16">
        <v>0.25</v>
      </c>
      <c r="F342" s="17">
        <v>148</v>
      </c>
      <c r="G342" s="17">
        <v>148</v>
      </c>
      <c r="H342" s="17"/>
      <c r="I342" s="17">
        <v>2</v>
      </c>
      <c r="J342" s="18"/>
    </row>
    <row r="343" spans="1:10" ht="20" hidden="1" x14ac:dyDescent="0.35">
      <c r="A343" s="14" t="s">
        <v>80</v>
      </c>
      <c r="B343" s="14" t="s">
        <v>81</v>
      </c>
      <c r="C343" s="14" t="s">
        <v>82</v>
      </c>
      <c r="D343" s="15">
        <v>45089</v>
      </c>
      <c r="E343" s="16">
        <v>0.29166666666666669</v>
      </c>
      <c r="F343" s="17">
        <v>281</v>
      </c>
      <c r="G343" s="17">
        <v>281</v>
      </c>
      <c r="H343" s="17"/>
      <c r="I343" s="17">
        <v>4</v>
      </c>
      <c r="J343" s="18"/>
    </row>
    <row r="344" spans="1:10" ht="20" hidden="1" x14ac:dyDescent="0.35">
      <c r="A344" s="14" t="s">
        <v>80</v>
      </c>
      <c r="B344" s="14" t="s">
        <v>81</v>
      </c>
      <c r="C344" s="14" t="s">
        <v>82</v>
      </c>
      <c r="D344" s="15">
        <v>45089</v>
      </c>
      <c r="E344" s="16">
        <v>0.33333333333333331</v>
      </c>
      <c r="F344" s="17">
        <v>103</v>
      </c>
      <c r="G344" s="17">
        <v>103</v>
      </c>
      <c r="H344" s="17"/>
      <c r="I344" s="17">
        <v>2</v>
      </c>
      <c r="J344" s="18"/>
    </row>
    <row r="345" spans="1:10" ht="20" hidden="1" x14ac:dyDescent="0.35">
      <c r="A345" s="14" t="s">
        <v>80</v>
      </c>
      <c r="B345" s="14" t="s">
        <v>81</v>
      </c>
      <c r="C345" s="14" t="s">
        <v>82</v>
      </c>
      <c r="D345" s="15">
        <v>45090</v>
      </c>
      <c r="E345" s="16">
        <v>0.25</v>
      </c>
      <c r="F345" s="17">
        <v>108</v>
      </c>
      <c r="G345" s="17">
        <v>108</v>
      </c>
      <c r="H345" s="17"/>
      <c r="I345" s="17">
        <v>4</v>
      </c>
      <c r="J345" s="18"/>
    </row>
    <row r="346" spans="1:10" ht="20" hidden="1" x14ac:dyDescent="0.35">
      <c r="A346" s="14" t="s">
        <v>80</v>
      </c>
      <c r="B346" s="14" t="s">
        <v>81</v>
      </c>
      <c r="C346" s="14" t="s">
        <v>82</v>
      </c>
      <c r="D346" s="15">
        <v>45090</v>
      </c>
      <c r="E346" s="16">
        <v>0.29166666666666669</v>
      </c>
      <c r="F346" s="17">
        <v>100</v>
      </c>
      <c r="G346" s="17">
        <v>100</v>
      </c>
      <c r="H346" s="17"/>
      <c r="I346" s="17">
        <v>1</v>
      </c>
      <c r="J346" s="18"/>
    </row>
    <row r="347" spans="1:10" ht="20" hidden="1" x14ac:dyDescent="0.35">
      <c r="A347" s="14" t="s">
        <v>80</v>
      </c>
      <c r="B347" s="14" t="s">
        <v>81</v>
      </c>
      <c r="C347" s="14" t="s">
        <v>82</v>
      </c>
      <c r="D347" s="15">
        <v>45090</v>
      </c>
      <c r="E347" s="16">
        <v>0.33333333333333331</v>
      </c>
      <c r="F347" s="17">
        <v>79</v>
      </c>
      <c r="G347" s="17">
        <v>79</v>
      </c>
      <c r="H347" s="17"/>
      <c r="I347" s="17">
        <v>4</v>
      </c>
      <c r="J347" s="18"/>
    </row>
    <row r="348" spans="1:10" ht="20" hidden="1" x14ac:dyDescent="0.35">
      <c r="A348" s="14" t="s">
        <v>80</v>
      </c>
      <c r="B348" s="14" t="s">
        <v>81</v>
      </c>
      <c r="C348" s="14" t="s">
        <v>82</v>
      </c>
      <c r="D348" s="15">
        <v>45091</v>
      </c>
      <c r="E348" s="16">
        <v>0.25</v>
      </c>
      <c r="F348" s="17">
        <v>167</v>
      </c>
      <c r="G348" s="17">
        <v>167</v>
      </c>
      <c r="H348" s="17"/>
      <c r="I348" s="17">
        <v>3</v>
      </c>
      <c r="J348" s="18"/>
    </row>
    <row r="349" spans="1:10" ht="20" hidden="1" x14ac:dyDescent="0.35">
      <c r="A349" s="14" t="s">
        <v>80</v>
      </c>
      <c r="B349" s="14" t="s">
        <v>81</v>
      </c>
      <c r="C349" s="14" t="s">
        <v>82</v>
      </c>
      <c r="D349" s="15">
        <v>45091</v>
      </c>
      <c r="E349" s="16">
        <v>0.29166666666666669</v>
      </c>
      <c r="F349" s="17">
        <v>90</v>
      </c>
      <c r="G349" s="17">
        <v>90</v>
      </c>
      <c r="H349" s="17"/>
      <c r="I349" s="17">
        <v>3</v>
      </c>
      <c r="J349" s="18"/>
    </row>
    <row r="350" spans="1:10" ht="20" hidden="1" x14ac:dyDescent="0.35">
      <c r="A350" s="14" t="s">
        <v>80</v>
      </c>
      <c r="B350" s="14" t="s">
        <v>81</v>
      </c>
      <c r="C350" s="14" t="s">
        <v>82</v>
      </c>
      <c r="D350" s="15">
        <v>45092</v>
      </c>
      <c r="E350" s="16">
        <v>0.25</v>
      </c>
      <c r="F350" s="17">
        <v>113</v>
      </c>
      <c r="G350" s="17">
        <v>113</v>
      </c>
      <c r="H350" s="17"/>
      <c r="I350" s="17">
        <v>1</v>
      </c>
      <c r="J350" s="18"/>
    </row>
    <row r="351" spans="1:10" ht="20" hidden="1" x14ac:dyDescent="0.35">
      <c r="A351" s="14" t="s">
        <v>80</v>
      </c>
      <c r="B351" s="14" t="s">
        <v>81</v>
      </c>
      <c r="C351" s="14" t="s">
        <v>82</v>
      </c>
      <c r="D351" s="15">
        <v>45092</v>
      </c>
      <c r="E351" s="16">
        <v>0.29166666666666669</v>
      </c>
      <c r="F351" s="17">
        <v>153</v>
      </c>
      <c r="G351" s="17">
        <v>153</v>
      </c>
      <c r="H351" s="17"/>
      <c r="I351" s="17">
        <v>3</v>
      </c>
      <c r="J351" s="18"/>
    </row>
    <row r="352" spans="1:10" ht="20" hidden="1" x14ac:dyDescent="0.35">
      <c r="A352" s="14" t="s">
        <v>80</v>
      </c>
      <c r="B352" s="14" t="s">
        <v>81</v>
      </c>
      <c r="C352" s="14" t="s">
        <v>82</v>
      </c>
      <c r="D352" s="15">
        <v>45093</v>
      </c>
      <c r="E352" s="16">
        <v>0.25</v>
      </c>
      <c r="F352" s="17">
        <v>136</v>
      </c>
      <c r="G352" s="17">
        <v>136</v>
      </c>
      <c r="H352" s="17"/>
      <c r="I352" s="17">
        <v>1</v>
      </c>
      <c r="J352" s="18"/>
    </row>
    <row r="353" spans="1:10" ht="20" hidden="1" x14ac:dyDescent="0.35">
      <c r="A353" s="14" t="s">
        <v>80</v>
      </c>
      <c r="B353" s="14" t="s">
        <v>81</v>
      </c>
      <c r="C353" s="14" t="s">
        <v>82</v>
      </c>
      <c r="D353" s="15">
        <v>45093</v>
      </c>
      <c r="E353" s="16">
        <v>0.29166666666666669</v>
      </c>
      <c r="F353" s="17">
        <v>26</v>
      </c>
      <c r="G353" s="17">
        <v>26</v>
      </c>
      <c r="H353" s="17"/>
      <c r="I353" s="17">
        <v>3</v>
      </c>
      <c r="J353" s="18"/>
    </row>
    <row r="354" spans="1:10" ht="20" hidden="1" x14ac:dyDescent="0.35">
      <c r="A354" s="14" t="s">
        <v>80</v>
      </c>
      <c r="B354" s="14" t="s">
        <v>81</v>
      </c>
      <c r="C354" s="14" t="s">
        <v>82</v>
      </c>
      <c r="D354" s="15">
        <v>45093</v>
      </c>
      <c r="E354" s="16">
        <v>0.33333333333333331</v>
      </c>
      <c r="F354" s="17">
        <v>138</v>
      </c>
      <c r="G354" s="17">
        <v>138</v>
      </c>
      <c r="H354" s="17"/>
      <c r="I354" s="17">
        <v>2</v>
      </c>
      <c r="J354" s="18"/>
    </row>
    <row r="355" spans="1:10" ht="20" hidden="1" x14ac:dyDescent="0.35">
      <c r="A355" s="14" t="s">
        <v>80</v>
      </c>
      <c r="B355" s="14" t="s">
        <v>81</v>
      </c>
      <c r="C355" s="14" t="s">
        <v>82</v>
      </c>
      <c r="D355" s="15">
        <v>45094</v>
      </c>
      <c r="E355" s="16">
        <v>0.25</v>
      </c>
      <c r="F355" s="17">
        <v>139</v>
      </c>
      <c r="G355" s="17">
        <v>139</v>
      </c>
      <c r="H355" s="17"/>
      <c r="I355" s="17">
        <v>3</v>
      </c>
      <c r="J355" s="18"/>
    </row>
    <row r="356" spans="1:10" ht="20" hidden="1" x14ac:dyDescent="0.35">
      <c r="A356" s="14" t="s">
        <v>80</v>
      </c>
      <c r="B356" s="14" t="s">
        <v>81</v>
      </c>
      <c r="C356" s="14" t="s">
        <v>82</v>
      </c>
      <c r="D356" s="15">
        <v>45094</v>
      </c>
      <c r="E356" s="16">
        <v>0.29166666666666669</v>
      </c>
      <c r="F356" s="17">
        <v>189</v>
      </c>
      <c r="G356" s="17">
        <v>189</v>
      </c>
      <c r="H356" s="17"/>
      <c r="I356" s="17">
        <v>3</v>
      </c>
      <c r="J356" s="18"/>
    </row>
    <row r="357" spans="1:10" ht="20" hidden="1" x14ac:dyDescent="0.35">
      <c r="A357" s="14" t="s">
        <v>80</v>
      </c>
      <c r="B357" s="14" t="s">
        <v>81</v>
      </c>
      <c r="C357" s="14" t="s">
        <v>82</v>
      </c>
      <c r="D357" s="15">
        <v>45094</v>
      </c>
      <c r="E357" s="16">
        <v>0.79166666666666663</v>
      </c>
      <c r="F357" s="17">
        <v>200</v>
      </c>
      <c r="G357" s="17">
        <v>200</v>
      </c>
      <c r="H357" s="17"/>
      <c r="I357" s="17">
        <v>3</v>
      </c>
      <c r="J357" s="18"/>
    </row>
    <row r="358" spans="1:10" ht="20" hidden="1" x14ac:dyDescent="0.35">
      <c r="A358" s="14" t="s">
        <v>80</v>
      </c>
      <c r="B358" s="14" t="s">
        <v>81</v>
      </c>
      <c r="C358" s="14" t="s">
        <v>82</v>
      </c>
      <c r="D358" s="15">
        <v>45094</v>
      </c>
      <c r="E358" s="16">
        <v>0.83333333333333337</v>
      </c>
      <c r="F358" s="17">
        <v>268</v>
      </c>
      <c r="G358" s="17">
        <v>268</v>
      </c>
      <c r="H358" s="17"/>
      <c r="I358" s="17">
        <v>3</v>
      </c>
      <c r="J358" s="18"/>
    </row>
    <row r="359" spans="1:10" ht="20" hidden="1" x14ac:dyDescent="0.35">
      <c r="A359" s="14" t="s">
        <v>80</v>
      </c>
      <c r="B359" s="14" t="s">
        <v>81</v>
      </c>
      <c r="C359" s="14" t="s">
        <v>82</v>
      </c>
      <c r="D359" s="15">
        <v>45094</v>
      </c>
      <c r="E359" s="16">
        <v>0.875</v>
      </c>
      <c r="F359" s="17">
        <v>11</v>
      </c>
      <c r="G359" s="17">
        <v>11</v>
      </c>
      <c r="H359" s="17"/>
      <c r="I359" s="17">
        <v>2</v>
      </c>
      <c r="J359" s="18"/>
    </row>
    <row r="360" spans="1:10" ht="20" hidden="1" x14ac:dyDescent="0.35">
      <c r="A360" s="14" t="s">
        <v>80</v>
      </c>
      <c r="B360" s="14" t="s">
        <v>81</v>
      </c>
      <c r="C360" s="14" t="s">
        <v>82</v>
      </c>
      <c r="D360" s="15">
        <v>45095</v>
      </c>
      <c r="E360" s="16">
        <v>0.25</v>
      </c>
      <c r="F360" s="17">
        <v>206</v>
      </c>
      <c r="G360" s="17">
        <v>206</v>
      </c>
      <c r="H360" s="17"/>
      <c r="I360" s="17">
        <v>8</v>
      </c>
      <c r="J360" s="18"/>
    </row>
    <row r="361" spans="1:10" ht="20" hidden="1" x14ac:dyDescent="0.35">
      <c r="A361" s="14" t="s">
        <v>80</v>
      </c>
      <c r="B361" s="14" t="s">
        <v>81</v>
      </c>
      <c r="C361" s="14" t="s">
        <v>82</v>
      </c>
      <c r="D361" s="15">
        <v>45095</v>
      </c>
      <c r="E361" s="16">
        <v>0.29166666666666669</v>
      </c>
      <c r="F361" s="17">
        <v>53</v>
      </c>
      <c r="G361" s="17">
        <v>53</v>
      </c>
      <c r="H361" s="17"/>
      <c r="I361" s="17">
        <v>1</v>
      </c>
      <c r="J361" s="18"/>
    </row>
    <row r="362" spans="1:10" ht="20" hidden="1" x14ac:dyDescent="0.35">
      <c r="A362" s="14" t="s">
        <v>80</v>
      </c>
      <c r="B362" s="14" t="s">
        <v>81</v>
      </c>
      <c r="C362" s="14" t="s">
        <v>82</v>
      </c>
      <c r="D362" s="15">
        <v>45095</v>
      </c>
      <c r="E362" s="16">
        <v>0.79166666666666663</v>
      </c>
      <c r="F362" s="17">
        <v>83</v>
      </c>
      <c r="G362" s="17">
        <v>83</v>
      </c>
      <c r="H362" s="17"/>
      <c r="I362" s="17">
        <v>2</v>
      </c>
      <c r="J362" s="18"/>
    </row>
    <row r="363" spans="1:10" ht="20" hidden="1" x14ac:dyDescent="0.35">
      <c r="A363" s="14" t="s">
        <v>80</v>
      </c>
      <c r="B363" s="14" t="s">
        <v>81</v>
      </c>
      <c r="C363" s="14" t="s">
        <v>82</v>
      </c>
      <c r="D363" s="15">
        <v>45095</v>
      </c>
      <c r="E363" s="16">
        <v>0.83333333333333337</v>
      </c>
      <c r="F363" s="17">
        <v>328</v>
      </c>
      <c r="G363" s="17">
        <v>328</v>
      </c>
      <c r="H363" s="17"/>
      <c r="I363" s="17">
        <v>2</v>
      </c>
      <c r="J363" s="18"/>
    </row>
    <row r="364" spans="1:10" ht="20" hidden="1" x14ac:dyDescent="0.35">
      <c r="A364" s="14" t="s">
        <v>80</v>
      </c>
      <c r="B364" s="14" t="s">
        <v>81</v>
      </c>
      <c r="C364" s="14" t="s">
        <v>82</v>
      </c>
      <c r="D364" s="15">
        <v>45095</v>
      </c>
      <c r="E364" s="16">
        <v>0.875</v>
      </c>
      <c r="F364" s="17">
        <v>15</v>
      </c>
      <c r="G364" s="17">
        <v>15</v>
      </c>
      <c r="H364" s="17"/>
      <c r="I364" s="17">
        <v>2</v>
      </c>
      <c r="J364" s="18"/>
    </row>
    <row r="365" spans="1:10" ht="20" hidden="1" x14ac:dyDescent="0.35">
      <c r="A365" s="14" t="s">
        <v>80</v>
      </c>
      <c r="B365" s="14" t="s">
        <v>81</v>
      </c>
      <c r="C365" s="14" t="s">
        <v>82</v>
      </c>
      <c r="D365" s="15">
        <v>45096</v>
      </c>
      <c r="E365" s="16">
        <v>0.25</v>
      </c>
      <c r="F365" s="17">
        <v>84</v>
      </c>
      <c r="G365" s="17">
        <v>84</v>
      </c>
      <c r="H365" s="17"/>
      <c r="I365" s="17">
        <v>1</v>
      </c>
      <c r="J365" s="18"/>
    </row>
    <row r="366" spans="1:10" ht="20" hidden="1" x14ac:dyDescent="0.35">
      <c r="A366" s="14" t="s">
        <v>80</v>
      </c>
      <c r="B366" s="14" t="s">
        <v>81</v>
      </c>
      <c r="C366" s="14" t="s">
        <v>82</v>
      </c>
      <c r="D366" s="15">
        <v>45096</v>
      </c>
      <c r="E366" s="16">
        <v>0.29166666666666669</v>
      </c>
      <c r="F366" s="17">
        <v>321</v>
      </c>
      <c r="G366" s="17">
        <v>321</v>
      </c>
      <c r="H366" s="17"/>
      <c r="I366" s="17">
        <v>5</v>
      </c>
      <c r="J366" s="18"/>
    </row>
    <row r="367" spans="1:10" ht="20" hidden="1" x14ac:dyDescent="0.35">
      <c r="A367" s="14" t="s">
        <v>80</v>
      </c>
      <c r="B367" s="14" t="s">
        <v>81</v>
      </c>
      <c r="C367" s="14" t="s">
        <v>82</v>
      </c>
      <c r="D367" s="15">
        <v>45096</v>
      </c>
      <c r="E367" s="16">
        <v>0.33333333333333331</v>
      </c>
      <c r="F367" s="17">
        <v>24</v>
      </c>
      <c r="G367" s="17">
        <v>24</v>
      </c>
      <c r="H367" s="17"/>
      <c r="I367" s="17">
        <v>4</v>
      </c>
      <c r="J367" s="18"/>
    </row>
    <row r="368" spans="1:10" ht="20" hidden="1" x14ac:dyDescent="0.35">
      <c r="A368" s="14" t="s">
        <v>80</v>
      </c>
      <c r="B368" s="14" t="s">
        <v>81</v>
      </c>
      <c r="C368" s="14" t="s">
        <v>82</v>
      </c>
      <c r="D368" s="15">
        <v>45097</v>
      </c>
      <c r="E368" s="16">
        <v>0.25</v>
      </c>
      <c r="F368" s="17">
        <v>139</v>
      </c>
      <c r="G368" s="17">
        <v>139</v>
      </c>
      <c r="H368" s="17"/>
      <c r="I368" s="17">
        <v>1</v>
      </c>
      <c r="J368" s="18"/>
    </row>
    <row r="369" spans="1:10" ht="20" hidden="1" x14ac:dyDescent="0.35">
      <c r="A369" s="14" t="s">
        <v>80</v>
      </c>
      <c r="B369" s="14" t="s">
        <v>81</v>
      </c>
      <c r="C369" s="14" t="s">
        <v>82</v>
      </c>
      <c r="D369" s="15">
        <v>45097</v>
      </c>
      <c r="E369" s="16">
        <v>0.29166666666666669</v>
      </c>
      <c r="F369" s="17">
        <v>148</v>
      </c>
      <c r="G369" s="17">
        <v>148</v>
      </c>
      <c r="H369" s="17"/>
      <c r="I369" s="17">
        <v>4</v>
      </c>
      <c r="J369" s="18"/>
    </row>
    <row r="370" spans="1:10" ht="20" hidden="1" x14ac:dyDescent="0.35">
      <c r="A370" s="14" t="s">
        <v>80</v>
      </c>
      <c r="B370" s="14" t="s">
        <v>81</v>
      </c>
      <c r="C370" s="14" t="s">
        <v>82</v>
      </c>
      <c r="D370" s="15">
        <v>45098</v>
      </c>
      <c r="E370" s="16">
        <v>0.25</v>
      </c>
      <c r="F370" s="17">
        <v>203</v>
      </c>
      <c r="G370" s="17">
        <v>203</v>
      </c>
      <c r="H370" s="17"/>
      <c r="I370" s="17">
        <v>4</v>
      </c>
      <c r="J370" s="18"/>
    </row>
    <row r="371" spans="1:10" ht="20" hidden="1" x14ac:dyDescent="0.35">
      <c r="A371" s="14" t="s">
        <v>80</v>
      </c>
      <c r="B371" s="14" t="s">
        <v>81</v>
      </c>
      <c r="C371" s="14" t="s">
        <v>82</v>
      </c>
      <c r="D371" s="15">
        <v>45098</v>
      </c>
      <c r="E371" s="16">
        <v>0.29166666666666669</v>
      </c>
      <c r="F371" s="17">
        <v>157</v>
      </c>
      <c r="G371" s="17">
        <v>157</v>
      </c>
      <c r="H371" s="17"/>
      <c r="I371" s="17">
        <v>2</v>
      </c>
      <c r="J371" s="18"/>
    </row>
    <row r="372" spans="1:10" ht="20" hidden="1" x14ac:dyDescent="0.35">
      <c r="A372" s="14" t="s">
        <v>80</v>
      </c>
      <c r="B372" s="14" t="s">
        <v>81</v>
      </c>
      <c r="C372" s="14" t="s">
        <v>82</v>
      </c>
      <c r="D372" s="15">
        <v>45099</v>
      </c>
      <c r="E372" s="16">
        <v>0.25</v>
      </c>
      <c r="F372" s="17">
        <v>97</v>
      </c>
      <c r="G372" s="17">
        <v>97</v>
      </c>
      <c r="H372" s="17"/>
      <c r="I372" s="17">
        <v>2</v>
      </c>
      <c r="J372" s="18"/>
    </row>
    <row r="373" spans="1:10" ht="20" hidden="1" x14ac:dyDescent="0.35">
      <c r="A373" s="14" t="s">
        <v>80</v>
      </c>
      <c r="B373" s="14" t="s">
        <v>81</v>
      </c>
      <c r="C373" s="14" t="s">
        <v>82</v>
      </c>
      <c r="D373" s="15">
        <v>45099</v>
      </c>
      <c r="E373" s="16">
        <v>0.29166666666666669</v>
      </c>
      <c r="F373" s="17">
        <v>257</v>
      </c>
      <c r="G373" s="17">
        <v>257</v>
      </c>
      <c r="H373" s="17"/>
      <c r="I373" s="17">
        <v>6</v>
      </c>
      <c r="J373" s="18"/>
    </row>
    <row r="374" spans="1:10" ht="20" hidden="1" x14ac:dyDescent="0.35">
      <c r="A374" s="14" t="s">
        <v>80</v>
      </c>
      <c r="B374" s="14" t="s">
        <v>81</v>
      </c>
      <c r="C374" s="14" t="s">
        <v>82</v>
      </c>
      <c r="D374" s="15">
        <v>45099</v>
      </c>
      <c r="E374" s="16">
        <v>0.33333333333333331</v>
      </c>
      <c r="F374" s="17">
        <v>6</v>
      </c>
      <c r="G374" s="17">
        <v>6</v>
      </c>
      <c r="H374" s="17"/>
      <c r="I374" s="17">
        <v>1</v>
      </c>
      <c r="J374" s="18"/>
    </row>
    <row r="375" spans="1:10" ht="20" hidden="1" x14ac:dyDescent="0.35">
      <c r="A375" s="14" t="s">
        <v>80</v>
      </c>
      <c r="B375" s="14" t="s">
        <v>81</v>
      </c>
      <c r="C375" s="14" t="s">
        <v>82</v>
      </c>
      <c r="D375" s="15">
        <v>45100</v>
      </c>
      <c r="E375" s="16">
        <v>0.25</v>
      </c>
      <c r="F375" s="17">
        <v>141</v>
      </c>
      <c r="G375" s="17">
        <v>141</v>
      </c>
      <c r="H375" s="17"/>
      <c r="I375" s="17">
        <v>2</v>
      </c>
      <c r="J375" s="18"/>
    </row>
    <row r="376" spans="1:10" ht="20" hidden="1" x14ac:dyDescent="0.35">
      <c r="A376" s="14" t="s">
        <v>80</v>
      </c>
      <c r="B376" s="14" t="s">
        <v>81</v>
      </c>
      <c r="C376" s="14" t="s">
        <v>82</v>
      </c>
      <c r="D376" s="15">
        <v>45100</v>
      </c>
      <c r="E376" s="16">
        <v>0.29166666666666669</v>
      </c>
      <c r="F376" s="17">
        <v>122</v>
      </c>
      <c r="G376" s="17">
        <v>122</v>
      </c>
      <c r="H376" s="17"/>
      <c r="I376" s="17">
        <v>4</v>
      </c>
      <c r="J376" s="18"/>
    </row>
    <row r="377" spans="1:10" ht="20" hidden="1" x14ac:dyDescent="0.35">
      <c r="A377" s="14" t="s">
        <v>80</v>
      </c>
      <c r="B377" s="14" t="s">
        <v>81</v>
      </c>
      <c r="C377" s="14" t="s">
        <v>82</v>
      </c>
      <c r="D377" s="15">
        <v>45100</v>
      </c>
      <c r="E377" s="16">
        <v>0.33333333333333331</v>
      </c>
      <c r="F377" s="17">
        <v>5</v>
      </c>
      <c r="G377" s="17">
        <v>5</v>
      </c>
      <c r="H377" s="17"/>
      <c r="I377" s="17">
        <v>2</v>
      </c>
      <c r="J377" s="18"/>
    </row>
    <row r="378" spans="1:10" ht="20" hidden="1" x14ac:dyDescent="0.35">
      <c r="A378" s="14" t="s">
        <v>80</v>
      </c>
      <c r="B378" s="14" t="s">
        <v>81</v>
      </c>
      <c r="C378" s="14" t="s">
        <v>82</v>
      </c>
      <c r="D378" s="15">
        <v>45101</v>
      </c>
      <c r="E378" s="16">
        <v>0.25</v>
      </c>
      <c r="F378" s="17">
        <v>93</v>
      </c>
      <c r="G378" s="17">
        <v>93</v>
      </c>
      <c r="H378" s="17"/>
      <c r="I378" s="17">
        <v>1</v>
      </c>
      <c r="J378" s="18"/>
    </row>
    <row r="379" spans="1:10" ht="20" hidden="1" x14ac:dyDescent="0.35">
      <c r="A379" s="14" t="s">
        <v>80</v>
      </c>
      <c r="B379" s="14" t="s">
        <v>81</v>
      </c>
      <c r="C379" s="14" t="s">
        <v>82</v>
      </c>
      <c r="D379" s="15">
        <v>45101</v>
      </c>
      <c r="E379" s="16">
        <v>0.29166666666666669</v>
      </c>
      <c r="F379" s="17">
        <v>247</v>
      </c>
      <c r="G379" s="17">
        <v>247</v>
      </c>
      <c r="H379" s="17"/>
      <c r="I379" s="17">
        <v>10</v>
      </c>
      <c r="J379" s="18"/>
    </row>
    <row r="380" spans="1:10" ht="20" hidden="1" x14ac:dyDescent="0.35">
      <c r="A380" s="14" t="s">
        <v>80</v>
      </c>
      <c r="B380" s="14" t="s">
        <v>81</v>
      </c>
      <c r="C380" s="14" t="s">
        <v>82</v>
      </c>
      <c r="D380" s="15">
        <v>45101</v>
      </c>
      <c r="E380" s="16">
        <v>0.54166666666666663</v>
      </c>
      <c r="F380" s="17">
        <v>53</v>
      </c>
      <c r="G380" s="17">
        <v>53</v>
      </c>
      <c r="H380" s="17"/>
      <c r="I380" s="17">
        <v>2</v>
      </c>
      <c r="J380" s="18"/>
    </row>
    <row r="381" spans="1:10" ht="20" hidden="1" x14ac:dyDescent="0.35">
      <c r="A381" s="14" t="s">
        <v>80</v>
      </c>
      <c r="B381" s="14" t="s">
        <v>81</v>
      </c>
      <c r="C381" s="14" t="s">
        <v>82</v>
      </c>
      <c r="D381" s="15">
        <v>45101</v>
      </c>
      <c r="E381" s="16">
        <v>0.79166666666666663</v>
      </c>
      <c r="F381" s="17">
        <v>28</v>
      </c>
      <c r="G381" s="17">
        <v>28</v>
      </c>
      <c r="H381" s="17"/>
      <c r="I381" s="17">
        <v>2</v>
      </c>
      <c r="J381" s="18"/>
    </row>
    <row r="382" spans="1:10" ht="20" hidden="1" x14ac:dyDescent="0.35">
      <c r="A382" s="14" t="s">
        <v>80</v>
      </c>
      <c r="B382" s="14" t="s">
        <v>81</v>
      </c>
      <c r="C382" s="14" t="s">
        <v>82</v>
      </c>
      <c r="D382" s="15">
        <v>45101</v>
      </c>
      <c r="E382" s="16">
        <v>0.83333333333333337</v>
      </c>
      <c r="F382" s="17">
        <v>483</v>
      </c>
      <c r="G382" s="17">
        <v>483</v>
      </c>
      <c r="H382" s="17"/>
      <c r="I382" s="17">
        <v>3</v>
      </c>
      <c r="J382" s="18"/>
    </row>
    <row r="383" spans="1:10" ht="20" hidden="1" x14ac:dyDescent="0.35">
      <c r="A383" s="14" t="s">
        <v>80</v>
      </c>
      <c r="B383" s="14" t="s">
        <v>81</v>
      </c>
      <c r="C383" s="14" t="s">
        <v>82</v>
      </c>
      <c r="D383" s="15">
        <v>45101</v>
      </c>
      <c r="E383" s="16">
        <v>0.875</v>
      </c>
      <c r="F383" s="17">
        <v>34</v>
      </c>
      <c r="G383" s="17">
        <v>34</v>
      </c>
      <c r="H383" s="17"/>
      <c r="I383" s="17">
        <v>3</v>
      </c>
      <c r="J383" s="18"/>
    </row>
    <row r="384" spans="1:10" ht="20" hidden="1" x14ac:dyDescent="0.35">
      <c r="A384" s="14" t="s">
        <v>80</v>
      </c>
      <c r="B384" s="14" t="s">
        <v>81</v>
      </c>
      <c r="C384" s="14" t="s">
        <v>82</v>
      </c>
      <c r="D384" s="15">
        <v>45102</v>
      </c>
      <c r="E384" s="16">
        <v>0.25</v>
      </c>
      <c r="F384" s="17">
        <v>116</v>
      </c>
      <c r="G384" s="17">
        <v>116</v>
      </c>
      <c r="H384" s="17"/>
      <c r="I384" s="17">
        <v>1</v>
      </c>
      <c r="J384" s="18"/>
    </row>
    <row r="385" spans="1:10" ht="20" hidden="1" x14ac:dyDescent="0.35">
      <c r="A385" s="14" t="s">
        <v>80</v>
      </c>
      <c r="B385" s="14" t="s">
        <v>81</v>
      </c>
      <c r="C385" s="14" t="s">
        <v>82</v>
      </c>
      <c r="D385" s="15">
        <v>45102</v>
      </c>
      <c r="E385" s="16">
        <v>0.29166666666666669</v>
      </c>
      <c r="F385" s="17">
        <v>117</v>
      </c>
      <c r="G385" s="17">
        <v>117</v>
      </c>
      <c r="H385" s="17"/>
      <c r="I385" s="17">
        <v>1</v>
      </c>
      <c r="J385" s="18"/>
    </row>
    <row r="386" spans="1:10" ht="20" hidden="1" x14ac:dyDescent="0.35">
      <c r="A386" s="14" t="s">
        <v>80</v>
      </c>
      <c r="B386" s="14" t="s">
        <v>81</v>
      </c>
      <c r="C386" s="14" t="s">
        <v>82</v>
      </c>
      <c r="D386" s="15">
        <v>45102</v>
      </c>
      <c r="E386" s="16">
        <v>0.83333333333333337</v>
      </c>
      <c r="F386" s="17">
        <v>290</v>
      </c>
      <c r="G386" s="17">
        <v>290</v>
      </c>
      <c r="H386" s="17"/>
      <c r="I386" s="17">
        <v>2</v>
      </c>
      <c r="J386" s="18"/>
    </row>
    <row r="387" spans="1:10" ht="20" hidden="1" x14ac:dyDescent="0.35">
      <c r="A387" s="14" t="s">
        <v>80</v>
      </c>
      <c r="B387" s="14" t="s">
        <v>81</v>
      </c>
      <c r="C387" s="14" t="s">
        <v>82</v>
      </c>
      <c r="D387" s="15">
        <v>45102</v>
      </c>
      <c r="E387" s="16">
        <v>0.875</v>
      </c>
      <c r="F387" s="17">
        <v>58</v>
      </c>
      <c r="G387" s="17">
        <v>58</v>
      </c>
      <c r="H387" s="17"/>
      <c r="I387" s="17">
        <v>2</v>
      </c>
      <c r="J387" s="18"/>
    </row>
    <row r="388" spans="1:10" ht="20" hidden="1" x14ac:dyDescent="0.35">
      <c r="A388" s="14" t="s">
        <v>80</v>
      </c>
      <c r="B388" s="14" t="s">
        <v>81</v>
      </c>
      <c r="C388" s="14" t="s">
        <v>82</v>
      </c>
      <c r="D388" s="15">
        <v>45103</v>
      </c>
      <c r="E388" s="16">
        <v>0.25</v>
      </c>
      <c r="F388" s="17">
        <v>104</v>
      </c>
      <c r="G388" s="17">
        <v>104</v>
      </c>
      <c r="H388" s="17"/>
      <c r="I388" s="17">
        <v>2</v>
      </c>
      <c r="J388" s="18"/>
    </row>
    <row r="389" spans="1:10" ht="20" hidden="1" x14ac:dyDescent="0.35">
      <c r="A389" s="14" t="s">
        <v>80</v>
      </c>
      <c r="B389" s="14" t="s">
        <v>81</v>
      </c>
      <c r="C389" s="14" t="s">
        <v>82</v>
      </c>
      <c r="D389" s="15">
        <v>45103</v>
      </c>
      <c r="E389" s="16">
        <v>0.29166666666666669</v>
      </c>
      <c r="F389" s="17">
        <v>170</v>
      </c>
      <c r="G389" s="17">
        <v>170</v>
      </c>
      <c r="H389" s="17"/>
      <c r="I389" s="17">
        <v>5</v>
      </c>
      <c r="J389" s="18"/>
    </row>
    <row r="390" spans="1:10" ht="20" hidden="1" x14ac:dyDescent="0.35">
      <c r="A390" s="14" t="s">
        <v>80</v>
      </c>
      <c r="B390" s="14" t="s">
        <v>81</v>
      </c>
      <c r="C390" s="14" t="s">
        <v>82</v>
      </c>
      <c r="D390" s="15">
        <v>45104</v>
      </c>
      <c r="E390" s="16">
        <v>0.25</v>
      </c>
      <c r="F390" s="17">
        <v>90</v>
      </c>
      <c r="G390" s="17">
        <v>90</v>
      </c>
      <c r="H390" s="17"/>
      <c r="I390" s="17">
        <v>1</v>
      </c>
      <c r="J390" s="18"/>
    </row>
    <row r="391" spans="1:10" ht="20" hidden="1" x14ac:dyDescent="0.35">
      <c r="A391" s="14" t="s">
        <v>80</v>
      </c>
      <c r="B391" s="14" t="s">
        <v>81</v>
      </c>
      <c r="C391" s="14" t="s">
        <v>82</v>
      </c>
      <c r="D391" s="15">
        <v>45104</v>
      </c>
      <c r="E391" s="16">
        <v>0.29166666666666669</v>
      </c>
      <c r="F391" s="17">
        <v>184</v>
      </c>
      <c r="G391" s="17">
        <v>184</v>
      </c>
      <c r="H391" s="17"/>
      <c r="I391" s="17">
        <v>5</v>
      </c>
      <c r="J391" s="18"/>
    </row>
    <row r="392" spans="1:10" ht="20" hidden="1" x14ac:dyDescent="0.35">
      <c r="A392" s="14" t="s">
        <v>80</v>
      </c>
      <c r="B392" s="14" t="s">
        <v>81</v>
      </c>
      <c r="C392" s="14" t="s">
        <v>82</v>
      </c>
      <c r="D392" s="15">
        <v>45105</v>
      </c>
      <c r="E392" s="16">
        <v>0.25</v>
      </c>
      <c r="F392" s="17">
        <v>45</v>
      </c>
      <c r="G392" s="17">
        <v>45</v>
      </c>
      <c r="H392" s="17"/>
      <c r="I392" s="17">
        <v>1</v>
      </c>
      <c r="J392" s="18"/>
    </row>
    <row r="393" spans="1:10" ht="20" hidden="1" x14ac:dyDescent="0.35">
      <c r="A393" s="14" t="s">
        <v>80</v>
      </c>
      <c r="B393" s="14" t="s">
        <v>81</v>
      </c>
      <c r="C393" s="14" t="s">
        <v>82</v>
      </c>
      <c r="D393" s="15">
        <v>45105</v>
      </c>
      <c r="E393" s="16">
        <v>0.29166666666666669</v>
      </c>
      <c r="F393" s="17">
        <v>292</v>
      </c>
      <c r="G393" s="17">
        <v>292</v>
      </c>
      <c r="H393" s="17"/>
      <c r="I393" s="17">
        <v>6</v>
      </c>
      <c r="J393" s="18"/>
    </row>
    <row r="394" spans="1:10" ht="20" hidden="1" x14ac:dyDescent="0.35">
      <c r="A394" s="14" t="s">
        <v>80</v>
      </c>
      <c r="B394" s="14" t="s">
        <v>81</v>
      </c>
      <c r="C394" s="14" t="s">
        <v>82</v>
      </c>
      <c r="D394" s="15">
        <v>45106</v>
      </c>
      <c r="E394" s="16">
        <v>0.25</v>
      </c>
      <c r="F394" s="17">
        <v>64</v>
      </c>
      <c r="G394" s="17">
        <v>64</v>
      </c>
      <c r="H394" s="17"/>
      <c r="I394" s="17">
        <v>3</v>
      </c>
      <c r="J394" s="18"/>
    </row>
    <row r="395" spans="1:10" ht="20" hidden="1" x14ac:dyDescent="0.35">
      <c r="A395" s="14" t="s">
        <v>80</v>
      </c>
      <c r="B395" s="14" t="s">
        <v>81</v>
      </c>
      <c r="C395" s="14" t="s">
        <v>82</v>
      </c>
      <c r="D395" s="15">
        <v>45106</v>
      </c>
      <c r="E395" s="16">
        <v>0.29166666666666669</v>
      </c>
      <c r="F395" s="17">
        <v>268</v>
      </c>
      <c r="G395" s="17">
        <v>268</v>
      </c>
      <c r="H395" s="17"/>
      <c r="I395" s="17">
        <v>3</v>
      </c>
      <c r="J395" s="18"/>
    </row>
    <row r="396" spans="1:10" ht="20" hidden="1" x14ac:dyDescent="0.35">
      <c r="A396" s="14" t="s">
        <v>80</v>
      </c>
      <c r="B396" s="14" t="s">
        <v>81</v>
      </c>
      <c r="C396" s="14" t="s">
        <v>82</v>
      </c>
      <c r="D396" s="15">
        <v>45106</v>
      </c>
      <c r="E396" s="16">
        <v>0.33333333333333331</v>
      </c>
      <c r="F396" s="17">
        <v>34</v>
      </c>
      <c r="G396" s="17">
        <v>34</v>
      </c>
      <c r="H396" s="17"/>
      <c r="I396" s="17">
        <v>3</v>
      </c>
      <c r="J396" s="18"/>
    </row>
    <row r="397" spans="1:10" ht="20" hidden="1" x14ac:dyDescent="0.35">
      <c r="A397" s="14" t="s">
        <v>80</v>
      </c>
      <c r="B397" s="14" t="s">
        <v>81</v>
      </c>
      <c r="C397" s="14" t="s">
        <v>82</v>
      </c>
      <c r="D397" s="15">
        <v>45106</v>
      </c>
      <c r="E397" s="16">
        <v>0.75</v>
      </c>
      <c r="F397" s="17">
        <v>1</v>
      </c>
      <c r="G397" s="17">
        <v>1</v>
      </c>
      <c r="H397" s="17"/>
      <c r="I397" s="17">
        <v>2</v>
      </c>
      <c r="J397" s="18"/>
    </row>
    <row r="398" spans="1:10" ht="20" hidden="1" x14ac:dyDescent="0.35">
      <c r="A398" s="14" t="s">
        <v>80</v>
      </c>
      <c r="B398" s="14" t="s">
        <v>81</v>
      </c>
      <c r="C398" s="14" t="s">
        <v>82</v>
      </c>
      <c r="D398" s="15">
        <v>45107</v>
      </c>
      <c r="E398" s="16">
        <v>0.25</v>
      </c>
      <c r="F398" s="17">
        <v>13</v>
      </c>
      <c r="G398" s="17">
        <v>13</v>
      </c>
      <c r="H398" s="17"/>
      <c r="I398" s="17">
        <v>2</v>
      </c>
      <c r="J398" s="18"/>
    </row>
    <row r="399" spans="1:10" ht="20" hidden="1" x14ac:dyDescent="0.35">
      <c r="A399" s="14" t="s">
        <v>80</v>
      </c>
      <c r="B399" s="14" t="s">
        <v>81</v>
      </c>
      <c r="C399" s="14" t="s">
        <v>82</v>
      </c>
      <c r="D399" s="15">
        <v>45107</v>
      </c>
      <c r="E399" s="16">
        <v>0.29166666666666669</v>
      </c>
      <c r="F399" s="17">
        <v>178</v>
      </c>
      <c r="G399" s="17">
        <v>178</v>
      </c>
      <c r="H399" s="17"/>
      <c r="I399" s="17">
        <v>2</v>
      </c>
      <c r="J399" s="18"/>
    </row>
    <row r="400" spans="1:10" ht="20" hidden="1" x14ac:dyDescent="0.35">
      <c r="A400" s="14" t="s">
        <v>80</v>
      </c>
      <c r="B400" s="14" t="s">
        <v>81</v>
      </c>
      <c r="C400" s="14" t="s">
        <v>82</v>
      </c>
      <c r="D400" s="15">
        <v>45108</v>
      </c>
      <c r="E400" s="16">
        <v>0.25</v>
      </c>
      <c r="F400" s="17">
        <v>134</v>
      </c>
      <c r="G400" s="17">
        <v>134</v>
      </c>
      <c r="H400" s="17"/>
      <c r="I400" s="17">
        <v>4</v>
      </c>
      <c r="J400" s="18"/>
    </row>
    <row r="401" spans="1:10" ht="20" hidden="1" x14ac:dyDescent="0.35">
      <c r="A401" s="14" t="s">
        <v>80</v>
      </c>
      <c r="B401" s="14" t="s">
        <v>81</v>
      </c>
      <c r="C401" s="14" t="s">
        <v>82</v>
      </c>
      <c r="D401" s="15">
        <v>45108</v>
      </c>
      <c r="E401" s="16">
        <v>0.29166666666666669</v>
      </c>
      <c r="F401" s="17">
        <v>126</v>
      </c>
      <c r="G401" s="17">
        <v>126</v>
      </c>
      <c r="H401" s="17"/>
      <c r="I401" s="17">
        <v>3</v>
      </c>
      <c r="J401" s="18"/>
    </row>
    <row r="402" spans="1:10" ht="20" hidden="1" x14ac:dyDescent="0.35">
      <c r="A402" s="14" t="s">
        <v>80</v>
      </c>
      <c r="B402" s="14" t="s">
        <v>81</v>
      </c>
      <c r="C402" s="14" t="s">
        <v>82</v>
      </c>
      <c r="D402" s="15">
        <v>45108</v>
      </c>
      <c r="E402" s="16">
        <v>0.33333333333333331</v>
      </c>
      <c r="F402" s="17">
        <v>6</v>
      </c>
      <c r="G402" s="17">
        <v>6</v>
      </c>
      <c r="H402" s="17"/>
      <c r="I402" s="17">
        <v>1</v>
      </c>
      <c r="J402" s="18"/>
    </row>
    <row r="403" spans="1:10" ht="20" hidden="1" x14ac:dyDescent="0.35">
      <c r="A403" s="14" t="s">
        <v>80</v>
      </c>
      <c r="B403" s="14" t="s">
        <v>81</v>
      </c>
      <c r="C403" s="14" t="s">
        <v>82</v>
      </c>
      <c r="D403" s="15">
        <v>45108</v>
      </c>
      <c r="E403" s="16">
        <v>0.79166666666666663</v>
      </c>
      <c r="F403" s="17">
        <v>106</v>
      </c>
      <c r="G403" s="17">
        <v>106</v>
      </c>
      <c r="H403" s="17"/>
      <c r="I403" s="17">
        <v>2</v>
      </c>
      <c r="J403" s="18"/>
    </row>
    <row r="404" spans="1:10" ht="20" hidden="1" x14ac:dyDescent="0.35">
      <c r="A404" s="14" t="s">
        <v>80</v>
      </c>
      <c r="B404" s="14" t="s">
        <v>81</v>
      </c>
      <c r="C404" s="14" t="s">
        <v>82</v>
      </c>
      <c r="D404" s="15">
        <v>45108</v>
      </c>
      <c r="E404" s="16">
        <v>0.83333333333333337</v>
      </c>
      <c r="F404" s="17">
        <v>298</v>
      </c>
      <c r="G404" s="17">
        <v>298</v>
      </c>
      <c r="H404" s="17"/>
      <c r="I404" s="17">
        <v>2</v>
      </c>
      <c r="J404" s="18"/>
    </row>
    <row r="405" spans="1:10" ht="20" hidden="1" x14ac:dyDescent="0.35">
      <c r="A405" s="14" t="s">
        <v>80</v>
      </c>
      <c r="B405" s="14" t="s">
        <v>81</v>
      </c>
      <c r="C405" s="14" t="s">
        <v>82</v>
      </c>
      <c r="D405" s="15">
        <v>45108</v>
      </c>
      <c r="E405" s="16">
        <v>0.875</v>
      </c>
      <c r="F405" s="17">
        <v>54</v>
      </c>
      <c r="G405" s="17">
        <v>54</v>
      </c>
      <c r="H405" s="17"/>
      <c r="I405" s="17">
        <v>2</v>
      </c>
      <c r="J405" s="18"/>
    </row>
    <row r="406" spans="1:10" ht="20" hidden="1" x14ac:dyDescent="0.35">
      <c r="A406" s="14" t="s">
        <v>80</v>
      </c>
      <c r="B406" s="14" t="s">
        <v>81</v>
      </c>
      <c r="C406" s="14" t="s">
        <v>82</v>
      </c>
      <c r="D406" s="15">
        <v>45109</v>
      </c>
      <c r="E406" s="16">
        <v>0.25</v>
      </c>
      <c r="F406" s="17">
        <v>90</v>
      </c>
      <c r="G406" s="17">
        <v>90</v>
      </c>
      <c r="H406" s="17"/>
      <c r="I406" s="17">
        <v>1</v>
      </c>
      <c r="J406" s="18"/>
    </row>
    <row r="407" spans="1:10" ht="20" hidden="1" x14ac:dyDescent="0.35">
      <c r="A407" s="14" t="s">
        <v>80</v>
      </c>
      <c r="B407" s="14" t="s">
        <v>81</v>
      </c>
      <c r="C407" s="14" t="s">
        <v>82</v>
      </c>
      <c r="D407" s="15">
        <v>45109</v>
      </c>
      <c r="E407" s="16">
        <v>0.29166666666666669</v>
      </c>
      <c r="F407" s="17">
        <v>140</v>
      </c>
      <c r="G407" s="17">
        <v>140</v>
      </c>
      <c r="H407" s="17"/>
      <c r="I407" s="17">
        <v>3</v>
      </c>
      <c r="J407" s="18"/>
    </row>
    <row r="408" spans="1:10" ht="20" hidden="1" x14ac:dyDescent="0.35">
      <c r="A408" s="14" t="s">
        <v>80</v>
      </c>
      <c r="B408" s="14" t="s">
        <v>81</v>
      </c>
      <c r="C408" s="14" t="s">
        <v>82</v>
      </c>
      <c r="D408" s="15">
        <v>45109</v>
      </c>
      <c r="E408" s="16">
        <v>0.79166666666666663</v>
      </c>
      <c r="F408" s="17">
        <v>90</v>
      </c>
      <c r="G408" s="17">
        <v>90</v>
      </c>
      <c r="H408" s="17"/>
      <c r="I408" s="17">
        <v>2</v>
      </c>
      <c r="J408" s="18"/>
    </row>
    <row r="409" spans="1:10" ht="20" hidden="1" x14ac:dyDescent="0.35">
      <c r="A409" s="14" t="s">
        <v>80</v>
      </c>
      <c r="B409" s="14" t="s">
        <v>81</v>
      </c>
      <c r="C409" s="14" t="s">
        <v>82</v>
      </c>
      <c r="D409" s="15">
        <v>45109</v>
      </c>
      <c r="E409" s="16">
        <v>0.83333333333333337</v>
      </c>
      <c r="F409" s="17">
        <v>202</v>
      </c>
      <c r="G409" s="17">
        <v>202</v>
      </c>
      <c r="H409" s="17"/>
      <c r="I409" s="17">
        <v>2</v>
      </c>
      <c r="J409" s="18"/>
    </row>
    <row r="410" spans="1:10" ht="20" hidden="1" x14ac:dyDescent="0.35">
      <c r="A410" s="14" t="s">
        <v>80</v>
      </c>
      <c r="B410" s="14" t="s">
        <v>81</v>
      </c>
      <c r="C410" s="14" t="s">
        <v>82</v>
      </c>
      <c r="D410" s="15">
        <v>45110</v>
      </c>
      <c r="E410" s="16">
        <v>0.25</v>
      </c>
      <c r="F410" s="17">
        <v>108</v>
      </c>
      <c r="G410" s="17">
        <v>108</v>
      </c>
      <c r="H410" s="17"/>
      <c r="I410" s="17">
        <v>2</v>
      </c>
      <c r="J410" s="18"/>
    </row>
    <row r="411" spans="1:10" ht="20" hidden="1" x14ac:dyDescent="0.35">
      <c r="A411" s="14" t="s">
        <v>80</v>
      </c>
      <c r="B411" s="14" t="s">
        <v>81</v>
      </c>
      <c r="C411" s="14" t="s">
        <v>82</v>
      </c>
      <c r="D411" s="15">
        <v>45110</v>
      </c>
      <c r="E411" s="16">
        <v>0.29166666666666669</v>
      </c>
      <c r="F411" s="17">
        <v>274</v>
      </c>
      <c r="G411" s="17">
        <v>274</v>
      </c>
      <c r="H411" s="17"/>
      <c r="I411" s="17">
        <v>2</v>
      </c>
      <c r="J411" s="18"/>
    </row>
    <row r="412" spans="1:10" ht="20" hidden="1" x14ac:dyDescent="0.35">
      <c r="A412" s="14" t="s">
        <v>80</v>
      </c>
      <c r="B412" s="14" t="s">
        <v>81</v>
      </c>
      <c r="C412" s="14" t="s">
        <v>82</v>
      </c>
      <c r="D412" s="15">
        <v>45111</v>
      </c>
      <c r="E412" s="16">
        <v>0.25</v>
      </c>
      <c r="F412" s="17">
        <v>57</v>
      </c>
      <c r="G412" s="17">
        <v>57</v>
      </c>
      <c r="H412" s="17"/>
      <c r="I412" s="17">
        <v>1</v>
      </c>
      <c r="J412" s="18"/>
    </row>
    <row r="413" spans="1:10" ht="20" hidden="1" x14ac:dyDescent="0.35">
      <c r="A413" s="14" t="s">
        <v>80</v>
      </c>
      <c r="B413" s="14" t="s">
        <v>81</v>
      </c>
      <c r="C413" s="14" t="s">
        <v>82</v>
      </c>
      <c r="D413" s="15">
        <v>45111</v>
      </c>
      <c r="E413" s="16">
        <v>0.29166666666666669</v>
      </c>
      <c r="F413" s="17">
        <v>197</v>
      </c>
      <c r="G413" s="17">
        <v>197</v>
      </c>
      <c r="H413" s="17"/>
      <c r="I413" s="17">
        <v>2</v>
      </c>
      <c r="J413" s="18"/>
    </row>
    <row r="414" spans="1:10" ht="20" hidden="1" x14ac:dyDescent="0.35">
      <c r="A414" s="14" t="s">
        <v>80</v>
      </c>
      <c r="B414" s="14" t="s">
        <v>81</v>
      </c>
      <c r="C414" s="14" t="s">
        <v>82</v>
      </c>
      <c r="D414" s="15">
        <v>45112</v>
      </c>
      <c r="E414" s="16">
        <v>0.25</v>
      </c>
      <c r="F414" s="17">
        <v>224</v>
      </c>
      <c r="G414" s="17">
        <v>224</v>
      </c>
      <c r="H414" s="17"/>
      <c r="I414" s="17">
        <v>3</v>
      </c>
      <c r="J414" s="18"/>
    </row>
    <row r="415" spans="1:10" ht="20" hidden="1" x14ac:dyDescent="0.35">
      <c r="A415" s="14" t="s">
        <v>80</v>
      </c>
      <c r="B415" s="14" t="s">
        <v>81</v>
      </c>
      <c r="C415" s="14" t="s">
        <v>82</v>
      </c>
      <c r="D415" s="15">
        <v>45112</v>
      </c>
      <c r="E415" s="16">
        <v>0.29166666666666669</v>
      </c>
      <c r="F415" s="17">
        <v>69</v>
      </c>
      <c r="G415" s="17">
        <v>69</v>
      </c>
      <c r="H415" s="17"/>
      <c r="I415" s="17">
        <v>5</v>
      </c>
      <c r="J415" s="18"/>
    </row>
    <row r="416" spans="1:10" ht="20" hidden="1" x14ac:dyDescent="0.35">
      <c r="A416" s="14" t="s">
        <v>80</v>
      </c>
      <c r="B416" s="14" t="s">
        <v>81</v>
      </c>
      <c r="C416" s="14" t="s">
        <v>82</v>
      </c>
      <c r="D416" s="15">
        <v>45112</v>
      </c>
      <c r="E416" s="16">
        <v>0.75</v>
      </c>
      <c r="F416" s="17">
        <v>41</v>
      </c>
      <c r="G416" s="17">
        <v>41</v>
      </c>
      <c r="H416" s="17"/>
      <c r="I416" s="17">
        <v>2</v>
      </c>
      <c r="J416" s="18"/>
    </row>
    <row r="417" spans="1:10" ht="20" hidden="1" x14ac:dyDescent="0.35">
      <c r="A417" s="14" t="s">
        <v>80</v>
      </c>
      <c r="B417" s="14" t="s">
        <v>81</v>
      </c>
      <c r="C417" s="14" t="s">
        <v>82</v>
      </c>
      <c r="D417" s="15">
        <v>45113</v>
      </c>
      <c r="E417" s="16">
        <v>0.25</v>
      </c>
      <c r="F417" s="17">
        <v>122</v>
      </c>
      <c r="G417" s="17">
        <v>122</v>
      </c>
      <c r="H417" s="17"/>
      <c r="I417" s="17">
        <v>4</v>
      </c>
      <c r="J417" s="18"/>
    </row>
    <row r="418" spans="1:10" ht="20" hidden="1" x14ac:dyDescent="0.35">
      <c r="A418" s="14" t="s">
        <v>80</v>
      </c>
      <c r="B418" s="14" t="s">
        <v>81</v>
      </c>
      <c r="C418" s="14" t="s">
        <v>82</v>
      </c>
      <c r="D418" s="15">
        <v>45113</v>
      </c>
      <c r="E418" s="16">
        <v>0.29166666666666669</v>
      </c>
      <c r="F418" s="17">
        <v>217</v>
      </c>
      <c r="G418" s="17">
        <v>217</v>
      </c>
      <c r="H418" s="17"/>
      <c r="I418" s="17">
        <v>4</v>
      </c>
      <c r="J418" s="18"/>
    </row>
    <row r="419" spans="1:10" ht="20" hidden="1" x14ac:dyDescent="0.35">
      <c r="A419" s="14" t="s">
        <v>80</v>
      </c>
      <c r="B419" s="14" t="s">
        <v>81</v>
      </c>
      <c r="C419" s="14" t="s">
        <v>82</v>
      </c>
      <c r="D419" s="15">
        <v>45113</v>
      </c>
      <c r="E419" s="16">
        <v>0.33333333333333331</v>
      </c>
      <c r="F419" s="17">
        <v>7</v>
      </c>
      <c r="G419" s="17">
        <v>7</v>
      </c>
      <c r="H419" s="17"/>
      <c r="I419" s="17">
        <v>2</v>
      </c>
      <c r="J419" s="18"/>
    </row>
    <row r="420" spans="1:10" ht="20" hidden="1" x14ac:dyDescent="0.35">
      <c r="A420" s="14" t="s">
        <v>80</v>
      </c>
      <c r="B420" s="14" t="s">
        <v>81</v>
      </c>
      <c r="C420" s="14" t="s">
        <v>82</v>
      </c>
      <c r="D420" s="15">
        <v>45114</v>
      </c>
      <c r="E420" s="16">
        <v>0.25</v>
      </c>
      <c r="F420" s="17">
        <v>193</v>
      </c>
      <c r="G420" s="17">
        <v>193</v>
      </c>
      <c r="H420" s="17"/>
      <c r="I420" s="17">
        <v>4</v>
      </c>
      <c r="J420" s="18"/>
    </row>
    <row r="421" spans="1:10" ht="20" hidden="1" x14ac:dyDescent="0.35">
      <c r="A421" s="14" t="s">
        <v>80</v>
      </c>
      <c r="B421" s="14" t="s">
        <v>81</v>
      </c>
      <c r="C421" s="14" t="s">
        <v>82</v>
      </c>
      <c r="D421" s="15">
        <v>45114</v>
      </c>
      <c r="E421" s="16">
        <v>0.29166666666666669</v>
      </c>
      <c r="F421" s="17">
        <v>49</v>
      </c>
      <c r="G421" s="17">
        <v>49</v>
      </c>
      <c r="H421" s="17"/>
      <c r="I421" s="17">
        <v>1</v>
      </c>
      <c r="J421" s="18"/>
    </row>
    <row r="422" spans="1:10" ht="20" hidden="1" x14ac:dyDescent="0.35">
      <c r="A422" s="14" t="s">
        <v>80</v>
      </c>
      <c r="B422" s="14" t="s">
        <v>81</v>
      </c>
      <c r="C422" s="14" t="s">
        <v>82</v>
      </c>
      <c r="D422" s="15">
        <v>45115</v>
      </c>
      <c r="E422" s="16">
        <v>0.25</v>
      </c>
      <c r="F422" s="17">
        <v>241</v>
      </c>
      <c r="G422" s="17">
        <v>241</v>
      </c>
      <c r="H422" s="17"/>
      <c r="I422" s="17">
        <v>3</v>
      </c>
      <c r="J422" s="18"/>
    </row>
    <row r="423" spans="1:10" ht="20" hidden="1" x14ac:dyDescent="0.35">
      <c r="A423" s="14" t="s">
        <v>80</v>
      </c>
      <c r="B423" s="14" t="s">
        <v>81</v>
      </c>
      <c r="C423" s="14" t="s">
        <v>82</v>
      </c>
      <c r="D423" s="15">
        <v>45115</v>
      </c>
      <c r="E423" s="16">
        <v>0.29166666666666669</v>
      </c>
      <c r="F423" s="17">
        <v>393</v>
      </c>
      <c r="G423" s="17">
        <v>393</v>
      </c>
      <c r="H423" s="17"/>
      <c r="I423" s="17">
        <v>4</v>
      </c>
      <c r="J423" s="18"/>
    </row>
    <row r="424" spans="1:10" ht="20" hidden="1" x14ac:dyDescent="0.35">
      <c r="A424" s="14" t="s">
        <v>80</v>
      </c>
      <c r="B424" s="14" t="s">
        <v>81</v>
      </c>
      <c r="C424" s="14" t="s">
        <v>82</v>
      </c>
      <c r="D424" s="15">
        <v>45115</v>
      </c>
      <c r="E424" s="16">
        <v>0.33333333333333331</v>
      </c>
      <c r="F424" s="17">
        <v>60</v>
      </c>
      <c r="G424" s="17">
        <v>60</v>
      </c>
      <c r="H424" s="17"/>
      <c r="I424" s="17">
        <v>2</v>
      </c>
      <c r="J424" s="18"/>
    </row>
    <row r="425" spans="1:10" ht="20" hidden="1" x14ac:dyDescent="0.35">
      <c r="A425" s="14" t="s">
        <v>80</v>
      </c>
      <c r="B425" s="14" t="s">
        <v>81</v>
      </c>
      <c r="C425" s="14" t="s">
        <v>82</v>
      </c>
      <c r="D425" s="15">
        <v>45115</v>
      </c>
      <c r="E425" s="16">
        <v>0.75</v>
      </c>
      <c r="F425" s="17">
        <v>12</v>
      </c>
      <c r="G425" s="17">
        <v>12</v>
      </c>
      <c r="H425" s="17"/>
      <c r="I425" s="17">
        <v>1</v>
      </c>
      <c r="J425" s="18"/>
    </row>
    <row r="426" spans="1:10" ht="20" hidden="1" x14ac:dyDescent="0.35">
      <c r="A426" s="14" t="s">
        <v>80</v>
      </c>
      <c r="B426" s="14" t="s">
        <v>81</v>
      </c>
      <c r="C426" s="14" t="s">
        <v>82</v>
      </c>
      <c r="D426" s="15">
        <v>45115</v>
      </c>
      <c r="E426" s="16">
        <v>0.79166666666666663</v>
      </c>
      <c r="F426" s="17">
        <v>330</v>
      </c>
      <c r="G426" s="17">
        <v>330</v>
      </c>
      <c r="H426" s="17"/>
      <c r="I426" s="17">
        <v>1</v>
      </c>
      <c r="J426" s="18"/>
    </row>
    <row r="427" spans="1:10" ht="20" hidden="1" x14ac:dyDescent="0.35">
      <c r="A427" s="14" t="s">
        <v>80</v>
      </c>
      <c r="B427" s="14" t="s">
        <v>81</v>
      </c>
      <c r="C427" s="14" t="s">
        <v>82</v>
      </c>
      <c r="D427" s="15">
        <v>45115</v>
      </c>
      <c r="E427" s="16">
        <v>0.83333333333333337</v>
      </c>
      <c r="F427" s="17">
        <v>175</v>
      </c>
      <c r="G427" s="17">
        <v>175</v>
      </c>
      <c r="H427" s="17"/>
      <c r="I427" s="17">
        <v>2</v>
      </c>
      <c r="J427" s="18"/>
    </row>
    <row r="428" spans="1:10" ht="20" hidden="1" x14ac:dyDescent="0.35">
      <c r="A428" s="14" t="s">
        <v>80</v>
      </c>
      <c r="B428" s="14" t="s">
        <v>81</v>
      </c>
      <c r="C428" s="14" t="s">
        <v>82</v>
      </c>
      <c r="D428" s="15">
        <v>45115</v>
      </c>
      <c r="E428" s="16">
        <v>0.875</v>
      </c>
      <c r="F428" s="17">
        <v>49</v>
      </c>
      <c r="G428" s="17">
        <v>49</v>
      </c>
      <c r="H428" s="17"/>
      <c r="I428" s="17">
        <v>2</v>
      </c>
      <c r="J428" s="18"/>
    </row>
    <row r="429" spans="1:10" ht="20" hidden="1" x14ac:dyDescent="0.35">
      <c r="A429" s="14" t="s">
        <v>80</v>
      </c>
      <c r="B429" s="14" t="s">
        <v>81</v>
      </c>
      <c r="C429" s="14" t="s">
        <v>82</v>
      </c>
      <c r="D429" s="15">
        <v>45116</v>
      </c>
      <c r="E429" s="16">
        <v>0.25</v>
      </c>
      <c r="F429" s="17">
        <v>100</v>
      </c>
      <c r="G429" s="17">
        <v>100</v>
      </c>
      <c r="H429" s="17"/>
      <c r="I429" s="17">
        <v>3</v>
      </c>
      <c r="J429" s="18"/>
    </row>
    <row r="430" spans="1:10" ht="20" hidden="1" x14ac:dyDescent="0.35">
      <c r="A430" s="14" t="s">
        <v>80</v>
      </c>
      <c r="B430" s="14" t="s">
        <v>81</v>
      </c>
      <c r="C430" s="14" t="s">
        <v>82</v>
      </c>
      <c r="D430" s="15">
        <v>45116</v>
      </c>
      <c r="E430" s="16">
        <v>0.29166666666666669</v>
      </c>
      <c r="F430" s="17">
        <v>131</v>
      </c>
      <c r="G430" s="17">
        <v>131</v>
      </c>
      <c r="H430" s="17"/>
      <c r="I430" s="17">
        <v>4</v>
      </c>
      <c r="J430" s="18"/>
    </row>
    <row r="431" spans="1:10" ht="20" hidden="1" x14ac:dyDescent="0.35">
      <c r="A431" s="14" t="s">
        <v>80</v>
      </c>
      <c r="B431" s="14" t="s">
        <v>81</v>
      </c>
      <c r="C431" s="14" t="s">
        <v>82</v>
      </c>
      <c r="D431" s="15">
        <v>45116</v>
      </c>
      <c r="E431" s="16">
        <v>0.54166666666666663</v>
      </c>
      <c r="F431" s="17">
        <v>34</v>
      </c>
      <c r="G431" s="17">
        <v>34</v>
      </c>
      <c r="H431" s="17"/>
      <c r="I431" s="17">
        <v>2</v>
      </c>
      <c r="J431" s="18"/>
    </row>
    <row r="432" spans="1:10" ht="20" hidden="1" x14ac:dyDescent="0.35">
      <c r="A432" s="14" t="s">
        <v>80</v>
      </c>
      <c r="B432" s="14" t="s">
        <v>81</v>
      </c>
      <c r="C432" s="14" t="s">
        <v>82</v>
      </c>
      <c r="D432" s="15">
        <v>45116</v>
      </c>
      <c r="E432" s="16">
        <v>0.79166666666666663</v>
      </c>
      <c r="F432" s="17">
        <v>284</v>
      </c>
      <c r="G432" s="17">
        <v>284</v>
      </c>
      <c r="H432" s="17"/>
      <c r="I432" s="17">
        <v>2</v>
      </c>
      <c r="J432" s="18"/>
    </row>
    <row r="433" spans="1:10" ht="20" hidden="1" x14ac:dyDescent="0.35">
      <c r="A433" s="14" t="s">
        <v>80</v>
      </c>
      <c r="B433" s="14" t="s">
        <v>81</v>
      </c>
      <c r="C433" s="14" t="s">
        <v>82</v>
      </c>
      <c r="D433" s="15">
        <v>45116</v>
      </c>
      <c r="E433" s="16">
        <v>0.83333333333333337</v>
      </c>
      <c r="F433" s="17">
        <v>417</v>
      </c>
      <c r="G433" s="17">
        <v>417</v>
      </c>
      <c r="H433" s="17"/>
      <c r="I433" s="17">
        <v>2</v>
      </c>
      <c r="J433" s="18"/>
    </row>
    <row r="434" spans="1:10" ht="20" hidden="1" x14ac:dyDescent="0.35">
      <c r="A434" s="14" t="s">
        <v>80</v>
      </c>
      <c r="B434" s="14" t="s">
        <v>81</v>
      </c>
      <c r="C434" s="14" t="s">
        <v>82</v>
      </c>
      <c r="D434" s="15">
        <v>45116</v>
      </c>
      <c r="E434" s="16">
        <v>0.875</v>
      </c>
      <c r="F434" s="17">
        <v>34</v>
      </c>
      <c r="G434" s="17">
        <v>34</v>
      </c>
      <c r="H434" s="17"/>
      <c r="I434" s="17">
        <v>2</v>
      </c>
      <c r="J434" s="18"/>
    </row>
    <row r="435" spans="1:10" ht="20" hidden="1" x14ac:dyDescent="0.35">
      <c r="A435" s="14" t="s">
        <v>80</v>
      </c>
      <c r="B435" s="14" t="s">
        <v>81</v>
      </c>
      <c r="C435" s="14" t="s">
        <v>82</v>
      </c>
      <c r="D435" s="15">
        <v>45117</v>
      </c>
      <c r="E435" s="16">
        <v>0.25</v>
      </c>
      <c r="F435" s="17">
        <v>112</v>
      </c>
      <c r="G435" s="17">
        <v>112</v>
      </c>
      <c r="H435" s="17"/>
      <c r="I435" s="17">
        <v>4</v>
      </c>
      <c r="J435" s="18"/>
    </row>
    <row r="436" spans="1:10" ht="20" hidden="1" x14ac:dyDescent="0.35">
      <c r="A436" s="14" t="s">
        <v>80</v>
      </c>
      <c r="B436" s="14" t="s">
        <v>81</v>
      </c>
      <c r="C436" s="14" t="s">
        <v>82</v>
      </c>
      <c r="D436" s="15">
        <v>45117</v>
      </c>
      <c r="E436" s="16">
        <v>0.29166666666666669</v>
      </c>
      <c r="F436" s="17">
        <v>143</v>
      </c>
      <c r="G436" s="17">
        <v>143</v>
      </c>
      <c r="H436" s="17"/>
      <c r="I436" s="17">
        <v>2</v>
      </c>
      <c r="J436" s="18"/>
    </row>
    <row r="437" spans="1:10" ht="20" hidden="1" x14ac:dyDescent="0.35">
      <c r="A437" s="14" t="s">
        <v>80</v>
      </c>
      <c r="B437" s="14" t="s">
        <v>81</v>
      </c>
      <c r="C437" s="14" t="s">
        <v>82</v>
      </c>
      <c r="D437" s="15">
        <v>45117</v>
      </c>
      <c r="E437" s="16">
        <v>0.54166666666666663</v>
      </c>
      <c r="F437" s="17">
        <v>95</v>
      </c>
      <c r="G437" s="17">
        <v>95</v>
      </c>
      <c r="H437" s="17"/>
      <c r="I437" s="17">
        <v>2</v>
      </c>
      <c r="J437" s="18"/>
    </row>
    <row r="438" spans="1:10" ht="20" hidden="1" x14ac:dyDescent="0.35">
      <c r="A438" s="14" t="s">
        <v>80</v>
      </c>
      <c r="B438" s="14" t="s">
        <v>81</v>
      </c>
      <c r="C438" s="14" t="s">
        <v>82</v>
      </c>
      <c r="D438" s="15">
        <v>45117</v>
      </c>
      <c r="E438" s="16">
        <v>0.75</v>
      </c>
      <c r="F438" s="17">
        <v>8</v>
      </c>
      <c r="G438" s="17">
        <v>8</v>
      </c>
      <c r="H438" s="17"/>
      <c r="I438" s="17">
        <v>1</v>
      </c>
      <c r="J438" s="18"/>
    </row>
    <row r="439" spans="1:10" ht="20" hidden="1" x14ac:dyDescent="0.35">
      <c r="A439" s="14" t="s">
        <v>80</v>
      </c>
      <c r="B439" s="14" t="s">
        <v>81</v>
      </c>
      <c r="C439" s="14" t="s">
        <v>82</v>
      </c>
      <c r="D439" s="15">
        <v>45118</v>
      </c>
      <c r="E439" s="16">
        <v>0.25</v>
      </c>
      <c r="F439" s="17">
        <v>158</v>
      </c>
      <c r="G439" s="17">
        <v>158</v>
      </c>
      <c r="H439" s="17"/>
      <c r="I439" s="17">
        <v>1</v>
      </c>
      <c r="J439" s="18"/>
    </row>
    <row r="440" spans="1:10" ht="20" hidden="1" x14ac:dyDescent="0.35">
      <c r="A440" s="14" t="s">
        <v>80</v>
      </c>
      <c r="B440" s="14" t="s">
        <v>81</v>
      </c>
      <c r="C440" s="14" t="s">
        <v>82</v>
      </c>
      <c r="D440" s="15">
        <v>45118</v>
      </c>
      <c r="E440" s="16">
        <v>0.29166666666666669</v>
      </c>
      <c r="F440" s="17">
        <v>108</v>
      </c>
      <c r="G440" s="17">
        <v>108</v>
      </c>
      <c r="H440" s="17"/>
      <c r="I440" s="17">
        <v>5</v>
      </c>
      <c r="J440" s="18"/>
    </row>
    <row r="441" spans="1:10" ht="20" hidden="1" x14ac:dyDescent="0.35">
      <c r="A441" s="14" t="s">
        <v>80</v>
      </c>
      <c r="B441" s="14" t="s">
        <v>81</v>
      </c>
      <c r="C441" s="14" t="s">
        <v>82</v>
      </c>
      <c r="D441" s="15">
        <v>45118</v>
      </c>
      <c r="E441" s="16">
        <v>0.79166666666666663</v>
      </c>
      <c r="F441" s="17">
        <v>45</v>
      </c>
      <c r="G441" s="17">
        <v>45</v>
      </c>
      <c r="H441" s="17"/>
      <c r="I441" s="17">
        <v>1</v>
      </c>
      <c r="J441" s="18"/>
    </row>
    <row r="442" spans="1:10" ht="20" hidden="1" x14ac:dyDescent="0.35">
      <c r="A442" s="14" t="s">
        <v>80</v>
      </c>
      <c r="B442" s="14" t="s">
        <v>81</v>
      </c>
      <c r="C442" s="14" t="s">
        <v>82</v>
      </c>
      <c r="D442" s="15">
        <v>45119</v>
      </c>
      <c r="E442" s="16">
        <v>0.25</v>
      </c>
      <c r="F442" s="17">
        <v>91</v>
      </c>
      <c r="G442" s="17">
        <v>91</v>
      </c>
      <c r="H442" s="17"/>
      <c r="I442" s="17">
        <v>1</v>
      </c>
      <c r="J442" s="18"/>
    </row>
    <row r="443" spans="1:10" ht="20" hidden="1" x14ac:dyDescent="0.35">
      <c r="A443" s="14" t="s">
        <v>80</v>
      </c>
      <c r="B443" s="14" t="s">
        <v>81</v>
      </c>
      <c r="C443" s="14" t="s">
        <v>82</v>
      </c>
      <c r="D443" s="15">
        <v>45119</v>
      </c>
      <c r="E443" s="16">
        <v>0.29166666666666669</v>
      </c>
      <c r="F443" s="17">
        <v>291</v>
      </c>
      <c r="G443" s="17">
        <v>291</v>
      </c>
      <c r="H443" s="17"/>
      <c r="I443" s="17">
        <v>4</v>
      </c>
      <c r="J443" s="18"/>
    </row>
    <row r="444" spans="1:10" ht="20" hidden="1" x14ac:dyDescent="0.35">
      <c r="A444" s="14" t="s">
        <v>80</v>
      </c>
      <c r="B444" s="14" t="s">
        <v>81</v>
      </c>
      <c r="C444" s="14" t="s">
        <v>82</v>
      </c>
      <c r="D444" s="15">
        <v>45120</v>
      </c>
      <c r="E444" s="16">
        <v>0.25</v>
      </c>
      <c r="F444" s="17">
        <v>226</v>
      </c>
      <c r="G444" s="17">
        <v>226</v>
      </c>
      <c r="H444" s="17"/>
      <c r="I444" s="17">
        <v>3</v>
      </c>
      <c r="J444" s="18"/>
    </row>
    <row r="445" spans="1:10" ht="20" hidden="1" x14ac:dyDescent="0.35">
      <c r="A445" s="14" t="s">
        <v>80</v>
      </c>
      <c r="B445" s="14" t="s">
        <v>81</v>
      </c>
      <c r="C445" s="14" t="s">
        <v>82</v>
      </c>
      <c r="D445" s="15">
        <v>45120</v>
      </c>
      <c r="E445" s="16">
        <v>0.29166666666666669</v>
      </c>
      <c r="F445" s="17">
        <v>87</v>
      </c>
      <c r="G445" s="17">
        <v>87</v>
      </c>
      <c r="H445" s="17"/>
      <c r="I445" s="17">
        <v>4</v>
      </c>
      <c r="J445" s="18"/>
    </row>
    <row r="446" spans="1:10" ht="20" hidden="1" x14ac:dyDescent="0.35">
      <c r="A446" s="14" t="s">
        <v>80</v>
      </c>
      <c r="B446" s="14" t="s">
        <v>81</v>
      </c>
      <c r="C446" s="14" t="s">
        <v>82</v>
      </c>
      <c r="D446" s="15">
        <v>45121</v>
      </c>
      <c r="E446" s="16">
        <v>0.25</v>
      </c>
      <c r="F446" s="17">
        <v>68</v>
      </c>
      <c r="G446" s="17">
        <v>68</v>
      </c>
      <c r="H446" s="17"/>
      <c r="I446" s="17">
        <v>2</v>
      </c>
      <c r="J446" s="18"/>
    </row>
    <row r="447" spans="1:10" ht="20" hidden="1" x14ac:dyDescent="0.35">
      <c r="A447" s="14" t="s">
        <v>80</v>
      </c>
      <c r="B447" s="14" t="s">
        <v>81</v>
      </c>
      <c r="C447" s="14" t="s">
        <v>82</v>
      </c>
      <c r="D447" s="15">
        <v>45121</v>
      </c>
      <c r="E447" s="16">
        <v>0.29166666666666669</v>
      </c>
      <c r="F447" s="17">
        <v>120</v>
      </c>
      <c r="G447" s="17">
        <v>120</v>
      </c>
      <c r="H447" s="17"/>
      <c r="I447" s="17">
        <v>3</v>
      </c>
      <c r="J447" s="18"/>
    </row>
    <row r="448" spans="1:10" ht="20" hidden="1" x14ac:dyDescent="0.35">
      <c r="A448" s="14" t="s">
        <v>80</v>
      </c>
      <c r="B448" s="14" t="s">
        <v>81</v>
      </c>
      <c r="C448" s="14" t="s">
        <v>82</v>
      </c>
      <c r="D448" s="15">
        <v>45121</v>
      </c>
      <c r="E448" s="16">
        <v>0.79166666666666663</v>
      </c>
      <c r="F448" s="17">
        <v>14</v>
      </c>
      <c r="G448" s="17">
        <v>14</v>
      </c>
      <c r="H448" s="17"/>
      <c r="I448" s="17">
        <v>2</v>
      </c>
      <c r="J448" s="18"/>
    </row>
    <row r="449" spans="1:10" ht="20" hidden="1" x14ac:dyDescent="0.35">
      <c r="A449" s="14" t="s">
        <v>80</v>
      </c>
      <c r="B449" s="14" t="s">
        <v>81</v>
      </c>
      <c r="C449" s="14" t="s">
        <v>82</v>
      </c>
      <c r="D449" s="15">
        <v>45122</v>
      </c>
      <c r="E449" s="16">
        <v>0.25</v>
      </c>
      <c r="F449" s="17">
        <v>93</v>
      </c>
      <c r="G449" s="17">
        <v>93</v>
      </c>
      <c r="H449" s="17"/>
      <c r="I449" s="17">
        <v>2</v>
      </c>
      <c r="J449" s="18"/>
    </row>
    <row r="450" spans="1:10" ht="20" hidden="1" x14ac:dyDescent="0.35">
      <c r="A450" s="14" t="s">
        <v>80</v>
      </c>
      <c r="B450" s="14" t="s">
        <v>81</v>
      </c>
      <c r="C450" s="14" t="s">
        <v>82</v>
      </c>
      <c r="D450" s="15">
        <v>45122</v>
      </c>
      <c r="E450" s="16">
        <v>0.29166666666666669</v>
      </c>
      <c r="F450" s="17">
        <v>333</v>
      </c>
      <c r="G450" s="17">
        <v>333</v>
      </c>
      <c r="H450" s="17"/>
      <c r="I450" s="17">
        <v>4</v>
      </c>
      <c r="J450" s="18"/>
    </row>
    <row r="451" spans="1:10" ht="20" hidden="1" x14ac:dyDescent="0.35">
      <c r="A451" s="14" t="s">
        <v>80</v>
      </c>
      <c r="B451" s="14" t="s">
        <v>81</v>
      </c>
      <c r="C451" s="14" t="s">
        <v>82</v>
      </c>
      <c r="D451" s="15">
        <v>45122</v>
      </c>
      <c r="E451" s="16">
        <v>0.33333333333333331</v>
      </c>
      <c r="F451" s="17">
        <v>22</v>
      </c>
      <c r="G451" s="17">
        <v>22</v>
      </c>
      <c r="H451" s="17"/>
      <c r="I451" s="17">
        <v>2</v>
      </c>
      <c r="J451" s="18"/>
    </row>
    <row r="452" spans="1:10" ht="20" hidden="1" x14ac:dyDescent="0.35">
      <c r="A452" s="14" t="s">
        <v>80</v>
      </c>
      <c r="B452" s="14" t="s">
        <v>81</v>
      </c>
      <c r="C452" s="14" t="s">
        <v>82</v>
      </c>
      <c r="D452" s="15">
        <v>45122</v>
      </c>
      <c r="E452" s="16">
        <v>0.79166666666666663</v>
      </c>
      <c r="F452" s="17">
        <v>126</v>
      </c>
      <c r="G452" s="17">
        <v>126</v>
      </c>
      <c r="H452" s="17"/>
      <c r="I452" s="17">
        <v>2</v>
      </c>
      <c r="J452" s="18"/>
    </row>
    <row r="453" spans="1:10" ht="20" hidden="1" x14ac:dyDescent="0.35">
      <c r="A453" s="14" t="s">
        <v>80</v>
      </c>
      <c r="B453" s="14" t="s">
        <v>81</v>
      </c>
      <c r="C453" s="14" t="s">
        <v>82</v>
      </c>
      <c r="D453" s="15">
        <v>45122</v>
      </c>
      <c r="E453" s="16">
        <v>0.83333333333333337</v>
      </c>
      <c r="F453" s="17">
        <v>141</v>
      </c>
      <c r="G453" s="17">
        <v>141</v>
      </c>
      <c r="H453" s="17"/>
      <c r="I453" s="17">
        <v>2</v>
      </c>
      <c r="J453" s="18"/>
    </row>
    <row r="454" spans="1:10" ht="20" hidden="1" x14ac:dyDescent="0.35">
      <c r="A454" s="14" t="s">
        <v>80</v>
      </c>
      <c r="B454" s="14" t="s">
        <v>81</v>
      </c>
      <c r="C454" s="14" t="s">
        <v>82</v>
      </c>
      <c r="D454" s="15">
        <v>45122</v>
      </c>
      <c r="E454" s="16">
        <v>0.875</v>
      </c>
      <c r="F454" s="17">
        <v>150</v>
      </c>
      <c r="G454" s="17">
        <v>150</v>
      </c>
      <c r="H454" s="17"/>
      <c r="I454" s="17">
        <v>2</v>
      </c>
      <c r="J454" s="18"/>
    </row>
    <row r="455" spans="1:10" ht="20" hidden="1" x14ac:dyDescent="0.35">
      <c r="A455" s="14" t="s">
        <v>80</v>
      </c>
      <c r="B455" s="14" t="s">
        <v>81</v>
      </c>
      <c r="C455" s="14" t="s">
        <v>82</v>
      </c>
      <c r="D455" s="15">
        <v>45122</v>
      </c>
      <c r="E455" s="16">
        <v>0.91666666666666663</v>
      </c>
      <c r="F455" s="17">
        <v>16</v>
      </c>
      <c r="G455" s="17">
        <v>16</v>
      </c>
      <c r="H455" s="17"/>
      <c r="I455" s="17">
        <v>2</v>
      </c>
      <c r="J455" s="18"/>
    </row>
    <row r="456" spans="1:10" ht="20" hidden="1" x14ac:dyDescent="0.35">
      <c r="A456" s="14" t="s">
        <v>80</v>
      </c>
      <c r="B456" s="14" t="s">
        <v>81</v>
      </c>
      <c r="C456" s="14" t="s">
        <v>82</v>
      </c>
      <c r="D456" s="15">
        <v>45123</v>
      </c>
      <c r="E456" s="16">
        <v>0.33333333333333331</v>
      </c>
      <c r="F456" s="17">
        <v>136</v>
      </c>
      <c r="G456" s="17">
        <v>136</v>
      </c>
      <c r="H456" s="17"/>
      <c r="I456" s="17">
        <v>2</v>
      </c>
      <c r="J456" s="18"/>
    </row>
    <row r="457" spans="1:10" ht="20" hidden="1" x14ac:dyDescent="0.35">
      <c r="A457" s="14" t="s">
        <v>80</v>
      </c>
      <c r="B457" s="14" t="s">
        <v>81</v>
      </c>
      <c r="C457" s="14" t="s">
        <v>82</v>
      </c>
      <c r="D457" s="15">
        <v>45123</v>
      </c>
      <c r="E457" s="16">
        <v>0.75</v>
      </c>
      <c r="F457" s="17">
        <v>56</v>
      </c>
      <c r="G457" s="17">
        <v>56</v>
      </c>
      <c r="H457" s="17"/>
      <c r="I457" s="17">
        <v>3</v>
      </c>
      <c r="J457" s="18"/>
    </row>
    <row r="458" spans="1:10" ht="20" hidden="1" x14ac:dyDescent="0.35">
      <c r="A458" s="14" t="s">
        <v>80</v>
      </c>
      <c r="B458" s="14" t="s">
        <v>81</v>
      </c>
      <c r="C458" s="14" t="s">
        <v>82</v>
      </c>
      <c r="D458" s="15">
        <v>45123</v>
      </c>
      <c r="E458" s="16">
        <v>0.79166666666666663</v>
      </c>
      <c r="F458" s="17">
        <v>17</v>
      </c>
      <c r="G458" s="17">
        <v>17</v>
      </c>
      <c r="H458" s="17"/>
      <c r="I458" s="17">
        <v>2</v>
      </c>
      <c r="J458" s="18"/>
    </row>
    <row r="459" spans="1:10" ht="20" hidden="1" x14ac:dyDescent="0.35">
      <c r="A459" s="14" t="s">
        <v>80</v>
      </c>
      <c r="B459" s="14" t="s">
        <v>81</v>
      </c>
      <c r="C459" s="14" t="s">
        <v>82</v>
      </c>
      <c r="D459" s="15">
        <v>45123</v>
      </c>
      <c r="E459" s="16">
        <v>0.83333333333333337</v>
      </c>
      <c r="F459" s="17">
        <v>240</v>
      </c>
      <c r="G459" s="17">
        <v>240</v>
      </c>
      <c r="H459" s="17"/>
      <c r="I459" s="17">
        <v>2</v>
      </c>
      <c r="J459" s="18"/>
    </row>
    <row r="460" spans="1:10" ht="20" hidden="1" x14ac:dyDescent="0.35">
      <c r="A460" s="14" t="s">
        <v>80</v>
      </c>
      <c r="B460" s="14" t="s">
        <v>81</v>
      </c>
      <c r="C460" s="14" t="s">
        <v>82</v>
      </c>
      <c r="D460" s="15">
        <v>45123</v>
      </c>
      <c r="E460" s="16">
        <v>0.875</v>
      </c>
      <c r="F460" s="17">
        <v>198</v>
      </c>
      <c r="G460" s="17">
        <v>198</v>
      </c>
      <c r="H460" s="17"/>
      <c r="I460" s="17">
        <v>2</v>
      </c>
      <c r="J460" s="18"/>
    </row>
    <row r="461" spans="1:10" ht="20" hidden="1" x14ac:dyDescent="0.35">
      <c r="A461" s="14" t="s">
        <v>80</v>
      </c>
      <c r="B461" s="14" t="s">
        <v>81</v>
      </c>
      <c r="C461" s="14" t="s">
        <v>82</v>
      </c>
      <c r="D461" s="15">
        <v>45124</v>
      </c>
      <c r="E461" s="16">
        <v>0.25</v>
      </c>
      <c r="F461" s="17">
        <v>72</v>
      </c>
      <c r="G461" s="17">
        <v>72</v>
      </c>
      <c r="H461" s="17"/>
      <c r="I461" s="17">
        <v>1</v>
      </c>
      <c r="J461" s="18"/>
    </row>
    <row r="462" spans="1:10" ht="20" hidden="1" x14ac:dyDescent="0.35">
      <c r="A462" s="14" t="s">
        <v>80</v>
      </c>
      <c r="B462" s="14" t="s">
        <v>81</v>
      </c>
      <c r="C462" s="14" t="s">
        <v>82</v>
      </c>
      <c r="D462" s="15">
        <v>45124</v>
      </c>
      <c r="E462" s="16">
        <v>0.29166666666666669</v>
      </c>
      <c r="F462" s="17">
        <v>181</v>
      </c>
      <c r="G462" s="17">
        <v>181</v>
      </c>
      <c r="H462" s="17"/>
      <c r="I462" s="17">
        <v>2</v>
      </c>
      <c r="J462" s="18"/>
    </row>
    <row r="463" spans="1:10" ht="20" hidden="1" x14ac:dyDescent="0.35">
      <c r="A463" s="14" t="s">
        <v>80</v>
      </c>
      <c r="B463" s="14" t="s">
        <v>81</v>
      </c>
      <c r="C463" s="14" t="s">
        <v>82</v>
      </c>
      <c r="D463" s="15">
        <v>45124</v>
      </c>
      <c r="E463" s="16">
        <v>0.33333333333333331</v>
      </c>
      <c r="F463" s="17">
        <v>40</v>
      </c>
      <c r="G463" s="17">
        <v>40</v>
      </c>
      <c r="H463" s="17"/>
      <c r="I463" s="17">
        <v>3</v>
      </c>
      <c r="J463" s="18"/>
    </row>
    <row r="464" spans="1:10" ht="20" hidden="1" x14ac:dyDescent="0.35">
      <c r="A464" s="14" t="s">
        <v>80</v>
      </c>
      <c r="B464" s="14" t="s">
        <v>81</v>
      </c>
      <c r="C464" s="14" t="s">
        <v>82</v>
      </c>
      <c r="D464" s="15">
        <v>45125</v>
      </c>
      <c r="E464" s="16">
        <v>0.25</v>
      </c>
      <c r="F464" s="17">
        <v>167</v>
      </c>
      <c r="G464" s="17">
        <v>167</v>
      </c>
      <c r="H464" s="17"/>
      <c r="I464" s="17">
        <v>1</v>
      </c>
      <c r="J464" s="18"/>
    </row>
    <row r="465" spans="1:10" ht="20" hidden="1" x14ac:dyDescent="0.35">
      <c r="A465" s="14" t="s">
        <v>80</v>
      </c>
      <c r="B465" s="14" t="s">
        <v>81</v>
      </c>
      <c r="C465" s="14" t="s">
        <v>82</v>
      </c>
      <c r="D465" s="15">
        <v>45125</v>
      </c>
      <c r="E465" s="16">
        <v>0.29166666666666669</v>
      </c>
      <c r="F465" s="17">
        <v>131</v>
      </c>
      <c r="G465" s="17">
        <v>131</v>
      </c>
      <c r="H465" s="17"/>
      <c r="I465" s="17">
        <v>8</v>
      </c>
      <c r="J465" s="18"/>
    </row>
    <row r="466" spans="1:10" ht="20" hidden="1" x14ac:dyDescent="0.35">
      <c r="A466" s="14" t="s">
        <v>80</v>
      </c>
      <c r="B466" s="14" t="s">
        <v>81</v>
      </c>
      <c r="C466" s="14" t="s">
        <v>82</v>
      </c>
      <c r="D466" s="15">
        <v>45125</v>
      </c>
      <c r="E466" s="16">
        <v>0.79166666666666663</v>
      </c>
      <c r="F466" s="17">
        <v>2</v>
      </c>
      <c r="G466" s="17">
        <v>2</v>
      </c>
      <c r="H466" s="17"/>
      <c r="I466" s="17">
        <v>1</v>
      </c>
      <c r="J466" s="18"/>
    </row>
    <row r="467" spans="1:10" ht="20" hidden="1" x14ac:dyDescent="0.35">
      <c r="A467" s="14" t="s">
        <v>80</v>
      </c>
      <c r="B467" s="14" t="s">
        <v>81</v>
      </c>
      <c r="C467" s="14" t="s">
        <v>82</v>
      </c>
      <c r="D467" s="15">
        <v>45126</v>
      </c>
      <c r="E467" s="16">
        <v>0.25</v>
      </c>
      <c r="F467" s="17">
        <v>3</v>
      </c>
      <c r="G467" s="17">
        <v>3</v>
      </c>
      <c r="H467" s="17"/>
      <c r="I467" s="17">
        <v>1</v>
      </c>
      <c r="J467" s="18"/>
    </row>
    <row r="468" spans="1:10" ht="20" hidden="1" x14ac:dyDescent="0.35">
      <c r="A468" s="14" t="s">
        <v>80</v>
      </c>
      <c r="B468" s="14" t="s">
        <v>81</v>
      </c>
      <c r="C468" s="14" t="s">
        <v>82</v>
      </c>
      <c r="D468" s="15">
        <v>45126</v>
      </c>
      <c r="E468" s="16">
        <v>0.29166666666666669</v>
      </c>
      <c r="F468" s="17">
        <v>299</v>
      </c>
      <c r="G468" s="17">
        <v>299</v>
      </c>
      <c r="H468" s="17"/>
      <c r="I468" s="17">
        <v>12</v>
      </c>
      <c r="J468" s="18"/>
    </row>
    <row r="469" spans="1:10" ht="20" hidden="1" x14ac:dyDescent="0.35">
      <c r="A469" s="14" t="s">
        <v>80</v>
      </c>
      <c r="B469" s="14" t="s">
        <v>81</v>
      </c>
      <c r="C469" s="14" t="s">
        <v>82</v>
      </c>
      <c r="D469" s="15">
        <v>45126</v>
      </c>
      <c r="E469" s="16">
        <v>0.33333333333333331</v>
      </c>
      <c r="F469" s="17">
        <v>199</v>
      </c>
      <c r="G469" s="17">
        <v>199</v>
      </c>
      <c r="H469" s="17"/>
      <c r="I469" s="17">
        <v>1</v>
      </c>
      <c r="J469" s="18"/>
    </row>
    <row r="470" spans="1:10" ht="20" hidden="1" x14ac:dyDescent="0.35">
      <c r="A470" s="14" t="s">
        <v>80</v>
      </c>
      <c r="B470" s="14" t="s">
        <v>81</v>
      </c>
      <c r="C470" s="14" t="s">
        <v>82</v>
      </c>
      <c r="D470" s="15">
        <v>45127</v>
      </c>
      <c r="E470" s="16">
        <v>0.25</v>
      </c>
      <c r="F470" s="17">
        <v>126</v>
      </c>
      <c r="G470" s="17">
        <v>126</v>
      </c>
      <c r="H470" s="17"/>
      <c r="I470" s="17">
        <v>3</v>
      </c>
      <c r="J470" s="18"/>
    </row>
    <row r="471" spans="1:10" ht="20" hidden="1" x14ac:dyDescent="0.35">
      <c r="A471" s="14" t="s">
        <v>80</v>
      </c>
      <c r="B471" s="14" t="s">
        <v>81</v>
      </c>
      <c r="C471" s="14" t="s">
        <v>82</v>
      </c>
      <c r="D471" s="15">
        <v>45127</v>
      </c>
      <c r="E471" s="16">
        <v>0.29166666666666669</v>
      </c>
      <c r="F471" s="17">
        <v>160</v>
      </c>
      <c r="G471" s="17">
        <v>160</v>
      </c>
      <c r="H471" s="17"/>
      <c r="I471" s="17">
        <v>1</v>
      </c>
      <c r="J471" s="18"/>
    </row>
    <row r="472" spans="1:10" ht="20" hidden="1" x14ac:dyDescent="0.35">
      <c r="A472" s="14" t="s">
        <v>80</v>
      </c>
      <c r="B472" s="14" t="s">
        <v>81</v>
      </c>
      <c r="C472" s="14" t="s">
        <v>82</v>
      </c>
      <c r="D472" s="15">
        <v>45127</v>
      </c>
      <c r="E472" s="16">
        <v>0.33333333333333331</v>
      </c>
      <c r="F472" s="17">
        <v>1</v>
      </c>
      <c r="G472" s="17">
        <v>1</v>
      </c>
      <c r="H472" s="17"/>
      <c r="I472" s="17">
        <v>1</v>
      </c>
      <c r="J472" s="18"/>
    </row>
    <row r="473" spans="1:10" ht="20" hidden="1" x14ac:dyDescent="0.35">
      <c r="A473" s="14" t="s">
        <v>80</v>
      </c>
      <c r="B473" s="14" t="s">
        <v>81</v>
      </c>
      <c r="C473" s="14" t="s">
        <v>82</v>
      </c>
      <c r="D473" s="15">
        <v>45127</v>
      </c>
      <c r="E473" s="16">
        <v>0.75</v>
      </c>
      <c r="F473" s="17">
        <v>54</v>
      </c>
      <c r="G473" s="17">
        <v>54</v>
      </c>
      <c r="H473" s="17"/>
      <c r="I473" s="17">
        <v>1</v>
      </c>
      <c r="J473" s="18"/>
    </row>
    <row r="474" spans="1:10" ht="20" hidden="1" x14ac:dyDescent="0.35">
      <c r="A474" s="14" t="s">
        <v>80</v>
      </c>
      <c r="B474" s="14" t="s">
        <v>81</v>
      </c>
      <c r="C474" s="14" t="s">
        <v>82</v>
      </c>
      <c r="D474" s="15">
        <v>45128</v>
      </c>
      <c r="E474" s="16">
        <v>0.25</v>
      </c>
      <c r="F474" s="17">
        <v>117</v>
      </c>
      <c r="G474" s="17">
        <v>117</v>
      </c>
      <c r="H474" s="17"/>
      <c r="I474" s="17">
        <v>1</v>
      </c>
      <c r="J474" s="18"/>
    </row>
    <row r="475" spans="1:10" ht="20" hidden="1" x14ac:dyDescent="0.35">
      <c r="A475" s="14" t="s">
        <v>80</v>
      </c>
      <c r="B475" s="14" t="s">
        <v>81</v>
      </c>
      <c r="C475" s="14" t="s">
        <v>82</v>
      </c>
      <c r="D475" s="15">
        <v>45128</v>
      </c>
      <c r="E475" s="16">
        <v>0.29166666666666669</v>
      </c>
      <c r="F475" s="17">
        <v>115</v>
      </c>
      <c r="G475" s="17">
        <v>115</v>
      </c>
      <c r="H475" s="17"/>
      <c r="I475" s="17">
        <v>3</v>
      </c>
      <c r="J475" s="18"/>
    </row>
    <row r="476" spans="1:10" ht="20" hidden="1" x14ac:dyDescent="0.35">
      <c r="A476" s="14" t="s">
        <v>80</v>
      </c>
      <c r="B476" s="14" t="s">
        <v>81</v>
      </c>
      <c r="C476" s="14" t="s">
        <v>82</v>
      </c>
      <c r="D476" s="15">
        <v>45128</v>
      </c>
      <c r="E476" s="16">
        <v>0.79166666666666663</v>
      </c>
      <c r="F476" s="17">
        <v>265</v>
      </c>
      <c r="G476" s="17">
        <v>265</v>
      </c>
      <c r="H476" s="17"/>
      <c r="I476" s="17">
        <v>3</v>
      </c>
      <c r="J476" s="18"/>
    </row>
    <row r="477" spans="1:10" ht="20" hidden="1" x14ac:dyDescent="0.35">
      <c r="A477" s="14" t="s">
        <v>80</v>
      </c>
      <c r="B477" s="14" t="s">
        <v>81</v>
      </c>
      <c r="C477" s="14" t="s">
        <v>82</v>
      </c>
      <c r="D477" s="15">
        <v>45129</v>
      </c>
      <c r="E477" s="16">
        <v>0.25</v>
      </c>
      <c r="F477" s="17">
        <v>169</v>
      </c>
      <c r="G477" s="17">
        <v>169</v>
      </c>
      <c r="H477" s="17"/>
      <c r="I477" s="17">
        <v>2</v>
      </c>
      <c r="J477" s="18"/>
    </row>
    <row r="478" spans="1:10" ht="20" hidden="1" x14ac:dyDescent="0.35">
      <c r="A478" s="14" t="s">
        <v>80</v>
      </c>
      <c r="B478" s="14" t="s">
        <v>81</v>
      </c>
      <c r="C478" s="14" t="s">
        <v>82</v>
      </c>
      <c r="D478" s="15">
        <v>45129</v>
      </c>
      <c r="E478" s="16">
        <v>0.29166666666666669</v>
      </c>
      <c r="F478" s="17">
        <v>275</v>
      </c>
      <c r="G478" s="17">
        <v>275</v>
      </c>
      <c r="H478" s="17"/>
      <c r="I478" s="17">
        <v>8</v>
      </c>
      <c r="J478" s="18"/>
    </row>
    <row r="479" spans="1:10" ht="20" hidden="1" x14ac:dyDescent="0.35">
      <c r="A479" s="14" t="s">
        <v>80</v>
      </c>
      <c r="B479" s="14" t="s">
        <v>81</v>
      </c>
      <c r="C479" s="14" t="s">
        <v>82</v>
      </c>
      <c r="D479" s="15">
        <v>45129</v>
      </c>
      <c r="E479" s="16">
        <v>0.33333333333333331</v>
      </c>
      <c r="F479" s="17">
        <v>11</v>
      </c>
      <c r="G479" s="17">
        <v>11</v>
      </c>
      <c r="H479" s="17"/>
      <c r="I479" s="17">
        <v>2</v>
      </c>
      <c r="J479" s="18"/>
    </row>
    <row r="480" spans="1:10" ht="20" hidden="1" x14ac:dyDescent="0.35">
      <c r="A480" s="14" t="s">
        <v>80</v>
      </c>
      <c r="B480" s="14" t="s">
        <v>81</v>
      </c>
      <c r="C480" s="14" t="s">
        <v>82</v>
      </c>
      <c r="D480" s="15">
        <v>45129</v>
      </c>
      <c r="E480" s="16">
        <v>0.54166666666666663</v>
      </c>
      <c r="F480" s="17">
        <v>23</v>
      </c>
      <c r="G480" s="17">
        <v>23</v>
      </c>
      <c r="H480" s="17"/>
      <c r="I480" s="17">
        <v>2</v>
      </c>
      <c r="J480" s="18"/>
    </row>
    <row r="481" spans="1:10" ht="20" hidden="1" x14ac:dyDescent="0.35">
      <c r="A481" s="14" t="s">
        <v>80</v>
      </c>
      <c r="B481" s="14" t="s">
        <v>81</v>
      </c>
      <c r="C481" s="14" t="s">
        <v>82</v>
      </c>
      <c r="D481" s="15">
        <v>45129</v>
      </c>
      <c r="E481" s="16">
        <v>0.79166666666666663</v>
      </c>
      <c r="F481" s="17">
        <v>16</v>
      </c>
      <c r="G481" s="17">
        <v>16</v>
      </c>
      <c r="H481" s="17"/>
      <c r="I481" s="17">
        <v>2</v>
      </c>
      <c r="J481" s="18"/>
    </row>
    <row r="482" spans="1:10" ht="20" hidden="1" x14ac:dyDescent="0.35">
      <c r="A482" s="14" t="s">
        <v>80</v>
      </c>
      <c r="B482" s="14" t="s">
        <v>81</v>
      </c>
      <c r="C482" s="14" t="s">
        <v>82</v>
      </c>
      <c r="D482" s="15">
        <v>45129</v>
      </c>
      <c r="E482" s="16">
        <v>0.83333333333333337</v>
      </c>
      <c r="F482" s="17">
        <v>540</v>
      </c>
      <c r="G482" s="17">
        <v>540</v>
      </c>
      <c r="H482" s="17"/>
      <c r="I482" s="17">
        <v>3</v>
      </c>
      <c r="J482" s="18"/>
    </row>
    <row r="483" spans="1:10" ht="20" hidden="1" x14ac:dyDescent="0.35">
      <c r="A483" s="14" t="s">
        <v>80</v>
      </c>
      <c r="B483" s="14" t="s">
        <v>81</v>
      </c>
      <c r="C483" s="14" t="s">
        <v>82</v>
      </c>
      <c r="D483" s="15">
        <v>45129</v>
      </c>
      <c r="E483" s="16">
        <v>0.875</v>
      </c>
      <c r="F483" s="17">
        <v>31</v>
      </c>
      <c r="G483" s="17">
        <v>31</v>
      </c>
      <c r="H483" s="17"/>
      <c r="I483" s="17">
        <v>1</v>
      </c>
      <c r="J483" s="18"/>
    </row>
    <row r="484" spans="1:10" ht="20" hidden="1" x14ac:dyDescent="0.35">
      <c r="A484" s="14" t="s">
        <v>80</v>
      </c>
      <c r="B484" s="14" t="s">
        <v>81</v>
      </c>
      <c r="C484" s="14" t="s">
        <v>82</v>
      </c>
      <c r="D484" s="15">
        <v>45130</v>
      </c>
      <c r="E484" s="16">
        <v>0.79166666666666663</v>
      </c>
      <c r="F484" s="17">
        <v>90</v>
      </c>
      <c r="G484" s="17">
        <v>90</v>
      </c>
      <c r="H484" s="17"/>
      <c r="I484" s="17">
        <v>4</v>
      </c>
      <c r="J484" s="18"/>
    </row>
    <row r="485" spans="1:10" ht="20" hidden="1" x14ac:dyDescent="0.35">
      <c r="A485" s="14" t="s">
        <v>80</v>
      </c>
      <c r="B485" s="14" t="s">
        <v>81</v>
      </c>
      <c r="C485" s="14" t="s">
        <v>82</v>
      </c>
      <c r="D485" s="15">
        <v>45130</v>
      </c>
      <c r="E485" s="16">
        <v>0.83333333333333337</v>
      </c>
      <c r="F485" s="17">
        <v>256</v>
      </c>
      <c r="G485" s="17">
        <v>256</v>
      </c>
      <c r="H485" s="17"/>
      <c r="I485" s="17">
        <v>1</v>
      </c>
      <c r="J485" s="18"/>
    </row>
    <row r="486" spans="1:10" ht="20" hidden="1" x14ac:dyDescent="0.35">
      <c r="A486" s="14" t="s">
        <v>80</v>
      </c>
      <c r="B486" s="14" t="s">
        <v>81</v>
      </c>
      <c r="C486" s="14" t="s">
        <v>82</v>
      </c>
      <c r="D486" s="15">
        <v>45130</v>
      </c>
      <c r="E486" s="16">
        <v>0.875</v>
      </c>
      <c r="F486" s="17">
        <v>16</v>
      </c>
      <c r="G486" s="17">
        <v>16</v>
      </c>
      <c r="H486" s="17"/>
      <c r="I486" s="17">
        <v>2</v>
      </c>
      <c r="J486" s="18"/>
    </row>
    <row r="487" spans="1:10" ht="20" hidden="1" x14ac:dyDescent="0.35">
      <c r="A487" s="14" t="s">
        <v>80</v>
      </c>
      <c r="B487" s="14" t="s">
        <v>81</v>
      </c>
      <c r="C487" s="14" t="s">
        <v>82</v>
      </c>
      <c r="D487" s="15">
        <v>45131</v>
      </c>
      <c r="E487" s="16">
        <v>0.25</v>
      </c>
      <c r="F487" s="17">
        <v>179</v>
      </c>
      <c r="G487" s="17">
        <v>179</v>
      </c>
      <c r="H487" s="17"/>
      <c r="I487" s="17">
        <v>10</v>
      </c>
      <c r="J487" s="18"/>
    </row>
    <row r="488" spans="1:10" ht="20" hidden="1" x14ac:dyDescent="0.35">
      <c r="A488" s="14" t="s">
        <v>80</v>
      </c>
      <c r="B488" s="14" t="s">
        <v>81</v>
      </c>
      <c r="C488" s="14" t="s">
        <v>82</v>
      </c>
      <c r="D488" s="15">
        <v>45131</v>
      </c>
      <c r="E488" s="16">
        <v>0.29166666666666669</v>
      </c>
      <c r="F488" s="17">
        <v>230</v>
      </c>
      <c r="G488" s="17">
        <v>230</v>
      </c>
      <c r="H488" s="17"/>
      <c r="I488" s="17">
        <v>2</v>
      </c>
      <c r="J488" s="18"/>
    </row>
    <row r="489" spans="1:10" ht="20" hidden="1" x14ac:dyDescent="0.35">
      <c r="A489" s="14" t="s">
        <v>80</v>
      </c>
      <c r="B489" s="14" t="s">
        <v>81</v>
      </c>
      <c r="C489" s="14" t="s">
        <v>82</v>
      </c>
      <c r="D489" s="15">
        <v>45132</v>
      </c>
      <c r="E489" s="16">
        <v>0.25</v>
      </c>
      <c r="F489" s="17">
        <v>189</v>
      </c>
      <c r="G489" s="17">
        <v>189</v>
      </c>
      <c r="H489" s="17"/>
      <c r="I489" s="17">
        <v>2</v>
      </c>
      <c r="J489" s="18"/>
    </row>
    <row r="490" spans="1:10" ht="20" hidden="1" x14ac:dyDescent="0.35">
      <c r="A490" s="14" t="s">
        <v>80</v>
      </c>
      <c r="B490" s="14" t="s">
        <v>81</v>
      </c>
      <c r="C490" s="14" t="s">
        <v>82</v>
      </c>
      <c r="D490" s="15">
        <v>45132</v>
      </c>
      <c r="E490" s="16">
        <v>0.29166666666666669</v>
      </c>
      <c r="F490" s="17">
        <v>119</v>
      </c>
      <c r="G490" s="17">
        <v>119</v>
      </c>
      <c r="H490" s="17"/>
      <c r="I490" s="17">
        <v>5</v>
      </c>
      <c r="J490" s="18"/>
    </row>
    <row r="491" spans="1:10" ht="20" hidden="1" x14ac:dyDescent="0.35">
      <c r="A491" s="14" t="s">
        <v>80</v>
      </c>
      <c r="B491" s="14" t="s">
        <v>81</v>
      </c>
      <c r="C491" s="14" t="s">
        <v>82</v>
      </c>
      <c r="D491" s="15">
        <v>45133</v>
      </c>
      <c r="E491" s="16">
        <v>0.25</v>
      </c>
      <c r="F491" s="17">
        <v>129</v>
      </c>
      <c r="G491" s="17">
        <v>129</v>
      </c>
      <c r="H491" s="17"/>
      <c r="I491" s="17">
        <v>1</v>
      </c>
      <c r="J491" s="18"/>
    </row>
    <row r="492" spans="1:10" ht="20" hidden="1" x14ac:dyDescent="0.35">
      <c r="A492" s="14" t="s">
        <v>80</v>
      </c>
      <c r="B492" s="14" t="s">
        <v>81</v>
      </c>
      <c r="C492" s="14" t="s">
        <v>82</v>
      </c>
      <c r="D492" s="15">
        <v>45133</v>
      </c>
      <c r="E492" s="16">
        <v>0.29166666666666669</v>
      </c>
      <c r="F492" s="17">
        <v>235</v>
      </c>
      <c r="G492" s="17">
        <v>235</v>
      </c>
      <c r="H492" s="17"/>
      <c r="I492" s="17">
        <v>8</v>
      </c>
      <c r="J492" s="18"/>
    </row>
    <row r="493" spans="1:10" ht="20" hidden="1" x14ac:dyDescent="0.35">
      <c r="A493" s="14" t="s">
        <v>80</v>
      </c>
      <c r="B493" s="14" t="s">
        <v>81</v>
      </c>
      <c r="C493" s="14" t="s">
        <v>82</v>
      </c>
      <c r="D493" s="15">
        <v>45134</v>
      </c>
      <c r="E493" s="16">
        <v>0.25</v>
      </c>
      <c r="F493" s="17">
        <v>108</v>
      </c>
      <c r="G493" s="17">
        <v>108</v>
      </c>
      <c r="H493" s="17"/>
      <c r="I493" s="17">
        <v>2</v>
      </c>
      <c r="J493" s="18"/>
    </row>
    <row r="494" spans="1:10" ht="20" hidden="1" x14ac:dyDescent="0.35">
      <c r="A494" s="14" t="s">
        <v>80</v>
      </c>
      <c r="B494" s="14" t="s">
        <v>81</v>
      </c>
      <c r="C494" s="14" t="s">
        <v>82</v>
      </c>
      <c r="D494" s="15">
        <v>45134</v>
      </c>
      <c r="E494" s="16">
        <v>0.29166666666666669</v>
      </c>
      <c r="F494" s="17">
        <v>236</v>
      </c>
      <c r="G494" s="17">
        <v>236</v>
      </c>
      <c r="H494" s="17"/>
      <c r="I494" s="17">
        <v>4</v>
      </c>
      <c r="J494" s="18"/>
    </row>
    <row r="495" spans="1:10" ht="20" hidden="1" x14ac:dyDescent="0.35">
      <c r="A495" s="14" t="s">
        <v>80</v>
      </c>
      <c r="B495" s="14" t="s">
        <v>81</v>
      </c>
      <c r="C495" s="14" t="s">
        <v>82</v>
      </c>
      <c r="D495" s="15">
        <v>45134</v>
      </c>
      <c r="E495" s="16">
        <v>0.33333333333333331</v>
      </c>
      <c r="F495" s="17">
        <v>11</v>
      </c>
      <c r="G495" s="17">
        <v>11</v>
      </c>
      <c r="H495" s="17"/>
      <c r="I495" s="17">
        <v>2</v>
      </c>
      <c r="J495" s="18"/>
    </row>
    <row r="496" spans="1:10" ht="20" hidden="1" x14ac:dyDescent="0.35">
      <c r="A496" s="14" t="s">
        <v>80</v>
      </c>
      <c r="B496" s="14" t="s">
        <v>81</v>
      </c>
      <c r="C496" s="14" t="s">
        <v>82</v>
      </c>
      <c r="D496" s="15">
        <v>45135</v>
      </c>
      <c r="E496" s="16">
        <v>0.25</v>
      </c>
      <c r="F496" s="17">
        <v>86</v>
      </c>
      <c r="G496" s="17">
        <v>86</v>
      </c>
      <c r="H496" s="17"/>
      <c r="I496" s="17">
        <v>4</v>
      </c>
      <c r="J496" s="18"/>
    </row>
    <row r="497" spans="1:10" ht="20" hidden="1" x14ac:dyDescent="0.35">
      <c r="A497" s="14" t="s">
        <v>80</v>
      </c>
      <c r="B497" s="14" t="s">
        <v>81</v>
      </c>
      <c r="C497" s="14" t="s">
        <v>82</v>
      </c>
      <c r="D497" s="15">
        <v>45135</v>
      </c>
      <c r="E497" s="16">
        <v>0.29166666666666669</v>
      </c>
      <c r="F497" s="17">
        <v>170</v>
      </c>
      <c r="G497" s="17">
        <v>170</v>
      </c>
      <c r="H497" s="17"/>
      <c r="I497" s="17">
        <v>5</v>
      </c>
      <c r="J497" s="18"/>
    </row>
    <row r="498" spans="1:10" ht="20" hidden="1" x14ac:dyDescent="0.35">
      <c r="A498" s="14" t="s">
        <v>80</v>
      </c>
      <c r="B498" s="14" t="s">
        <v>81</v>
      </c>
      <c r="C498" s="14" t="s">
        <v>82</v>
      </c>
      <c r="D498" s="15">
        <v>45136</v>
      </c>
      <c r="E498" s="16">
        <v>0.25</v>
      </c>
      <c r="F498" s="17">
        <v>100</v>
      </c>
      <c r="G498" s="17">
        <v>100</v>
      </c>
      <c r="H498" s="17"/>
      <c r="I498" s="17">
        <v>3</v>
      </c>
      <c r="J498" s="18"/>
    </row>
    <row r="499" spans="1:10" ht="20" hidden="1" x14ac:dyDescent="0.35">
      <c r="A499" s="14" t="s">
        <v>80</v>
      </c>
      <c r="B499" s="14" t="s">
        <v>81</v>
      </c>
      <c r="C499" s="14" t="s">
        <v>82</v>
      </c>
      <c r="D499" s="15">
        <v>45136</v>
      </c>
      <c r="E499" s="16">
        <v>0.29166666666666669</v>
      </c>
      <c r="F499" s="17">
        <v>233</v>
      </c>
      <c r="G499" s="17">
        <v>233</v>
      </c>
      <c r="H499" s="17"/>
      <c r="I499" s="17">
        <v>5</v>
      </c>
      <c r="J499" s="18"/>
    </row>
    <row r="500" spans="1:10" ht="20" hidden="1" x14ac:dyDescent="0.35">
      <c r="A500" s="14" t="s">
        <v>80</v>
      </c>
      <c r="B500" s="14" t="s">
        <v>81</v>
      </c>
      <c r="C500" s="14" t="s">
        <v>82</v>
      </c>
      <c r="D500" s="15">
        <v>45136</v>
      </c>
      <c r="E500" s="16">
        <v>0.33333333333333331</v>
      </c>
      <c r="F500" s="17">
        <v>153</v>
      </c>
      <c r="G500" s="17">
        <v>153</v>
      </c>
      <c r="H500" s="17"/>
      <c r="I500" s="17">
        <v>3</v>
      </c>
      <c r="J500" s="18"/>
    </row>
    <row r="501" spans="1:10" ht="20" hidden="1" x14ac:dyDescent="0.35">
      <c r="A501" s="14" t="s">
        <v>80</v>
      </c>
      <c r="B501" s="14" t="s">
        <v>81</v>
      </c>
      <c r="C501" s="14" t="s">
        <v>82</v>
      </c>
      <c r="D501" s="15">
        <v>45136</v>
      </c>
      <c r="E501" s="16">
        <v>0.83333333333333337</v>
      </c>
      <c r="F501" s="17">
        <v>87</v>
      </c>
      <c r="G501" s="17">
        <v>87</v>
      </c>
      <c r="H501" s="17"/>
      <c r="I501" s="17">
        <v>3</v>
      </c>
      <c r="J501" s="18"/>
    </row>
    <row r="502" spans="1:10" ht="20" hidden="1" x14ac:dyDescent="0.35">
      <c r="A502" s="14" t="s">
        <v>80</v>
      </c>
      <c r="B502" s="14" t="s">
        <v>81</v>
      </c>
      <c r="C502" s="14" t="s">
        <v>82</v>
      </c>
      <c r="D502" s="15">
        <v>45136</v>
      </c>
      <c r="E502" s="16">
        <v>0.875</v>
      </c>
      <c r="F502" s="17">
        <v>317</v>
      </c>
      <c r="G502" s="17">
        <v>317</v>
      </c>
      <c r="H502" s="17"/>
      <c r="I502" s="17">
        <v>2</v>
      </c>
      <c r="J502" s="18"/>
    </row>
    <row r="503" spans="1:10" ht="20" hidden="1" x14ac:dyDescent="0.35">
      <c r="A503" s="14" t="s">
        <v>80</v>
      </c>
      <c r="B503" s="14" t="s">
        <v>81</v>
      </c>
      <c r="C503" s="14" t="s">
        <v>82</v>
      </c>
      <c r="D503" s="15">
        <v>45137</v>
      </c>
      <c r="E503" s="16">
        <v>0.25</v>
      </c>
      <c r="F503" s="17">
        <v>73</v>
      </c>
      <c r="G503" s="17">
        <v>73</v>
      </c>
      <c r="H503" s="17"/>
      <c r="I503" s="17">
        <v>1</v>
      </c>
      <c r="J503" s="18"/>
    </row>
    <row r="504" spans="1:10" ht="20" hidden="1" x14ac:dyDescent="0.35">
      <c r="A504" s="14" t="s">
        <v>80</v>
      </c>
      <c r="B504" s="14" t="s">
        <v>81</v>
      </c>
      <c r="C504" s="14" t="s">
        <v>82</v>
      </c>
      <c r="D504" s="15">
        <v>45137</v>
      </c>
      <c r="E504" s="16">
        <v>0.29166666666666669</v>
      </c>
      <c r="F504" s="17">
        <v>268</v>
      </c>
      <c r="G504" s="17">
        <v>268</v>
      </c>
      <c r="H504" s="17"/>
      <c r="I504" s="17">
        <v>1</v>
      </c>
      <c r="J504" s="18"/>
    </row>
    <row r="505" spans="1:10" ht="20" hidden="1" x14ac:dyDescent="0.35">
      <c r="A505" s="14" t="s">
        <v>80</v>
      </c>
      <c r="B505" s="14" t="s">
        <v>81</v>
      </c>
      <c r="C505" s="14" t="s">
        <v>82</v>
      </c>
      <c r="D505" s="15">
        <v>45137</v>
      </c>
      <c r="E505" s="16">
        <v>0.33333333333333331</v>
      </c>
      <c r="F505" s="17">
        <v>13</v>
      </c>
      <c r="G505" s="17">
        <v>13</v>
      </c>
      <c r="H505" s="17"/>
      <c r="I505" s="17">
        <v>1</v>
      </c>
      <c r="J505" s="18"/>
    </row>
    <row r="506" spans="1:10" ht="20" hidden="1" x14ac:dyDescent="0.35">
      <c r="A506" s="14" t="s">
        <v>80</v>
      </c>
      <c r="B506" s="14" t="s">
        <v>81</v>
      </c>
      <c r="C506" s="14" t="s">
        <v>82</v>
      </c>
      <c r="D506" s="15">
        <v>45137</v>
      </c>
      <c r="E506" s="16">
        <v>0.79166666666666663</v>
      </c>
      <c r="F506" s="17">
        <v>101</v>
      </c>
      <c r="G506" s="17">
        <v>101</v>
      </c>
      <c r="H506" s="17"/>
      <c r="I506" s="17">
        <v>2</v>
      </c>
      <c r="J506" s="18"/>
    </row>
    <row r="507" spans="1:10" ht="20" hidden="1" x14ac:dyDescent="0.35">
      <c r="A507" s="14" t="s">
        <v>80</v>
      </c>
      <c r="B507" s="14" t="s">
        <v>81</v>
      </c>
      <c r="C507" s="14" t="s">
        <v>82</v>
      </c>
      <c r="D507" s="15">
        <v>45137</v>
      </c>
      <c r="E507" s="16">
        <v>0.83333333333333337</v>
      </c>
      <c r="F507" s="17">
        <v>188</v>
      </c>
      <c r="G507" s="17">
        <v>188</v>
      </c>
      <c r="H507" s="17"/>
      <c r="I507" s="17">
        <v>2</v>
      </c>
      <c r="J507" s="18"/>
    </row>
    <row r="508" spans="1:10" ht="20" hidden="1" x14ac:dyDescent="0.35">
      <c r="A508" s="14" t="s">
        <v>80</v>
      </c>
      <c r="B508" s="14" t="s">
        <v>81</v>
      </c>
      <c r="C508" s="14" t="s">
        <v>82</v>
      </c>
      <c r="D508" s="15">
        <v>45137</v>
      </c>
      <c r="E508" s="16">
        <v>0.875</v>
      </c>
      <c r="F508" s="17">
        <v>179</v>
      </c>
      <c r="G508" s="17">
        <v>179</v>
      </c>
      <c r="H508" s="17"/>
      <c r="I508" s="17">
        <v>2</v>
      </c>
      <c r="J508" s="18"/>
    </row>
    <row r="509" spans="1:10" ht="20" hidden="1" x14ac:dyDescent="0.35">
      <c r="A509" s="14" t="s">
        <v>80</v>
      </c>
      <c r="B509" s="14" t="s">
        <v>81</v>
      </c>
      <c r="C509" s="14" t="s">
        <v>82</v>
      </c>
      <c r="D509" s="15">
        <v>45138</v>
      </c>
      <c r="E509" s="16">
        <v>0.25</v>
      </c>
      <c r="F509" s="17">
        <v>97</v>
      </c>
      <c r="G509" s="17">
        <v>97</v>
      </c>
      <c r="H509" s="17"/>
      <c r="I509" s="17">
        <v>5</v>
      </c>
      <c r="J509" s="18"/>
    </row>
    <row r="510" spans="1:10" ht="20" hidden="1" x14ac:dyDescent="0.35">
      <c r="A510" s="14" t="s">
        <v>80</v>
      </c>
      <c r="B510" s="14" t="s">
        <v>81</v>
      </c>
      <c r="C510" s="14" t="s">
        <v>82</v>
      </c>
      <c r="D510" s="15">
        <v>45138</v>
      </c>
      <c r="E510" s="16">
        <v>0.29166666666666669</v>
      </c>
      <c r="F510" s="17">
        <v>271</v>
      </c>
      <c r="G510" s="17">
        <v>271</v>
      </c>
      <c r="H510" s="17"/>
      <c r="I510" s="17">
        <v>4</v>
      </c>
      <c r="J510" s="18"/>
    </row>
    <row r="511" spans="1:10" ht="20" hidden="1" x14ac:dyDescent="0.35">
      <c r="A511" s="35" t="s">
        <v>80</v>
      </c>
      <c r="B511" s="35" t="s">
        <v>81</v>
      </c>
      <c r="C511" s="35" t="s">
        <v>82</v>
      </c>
      <c r="D511" s="36">
        <v>45138</v>
      </c>
      <c r="E511" s="37">
        <v>0.75</v>
      </c>
      <c r="F511" s="38">
        <v>14</v>
      </c>
      <c r="G511" s="38">
        <v>14</v>
      </c>
      <c r="H511" s="38"/>
      <c r="I511" s="38"/>
      <c r="J511" s="38"/>
    </row>
  </sheetData>
  <autoFilter ref="A1:K511" xr:uid="{1F1D6DC0-7703-482F-9268-4E250ACF7B94}">
    <filterColumn colId="4">
      <filters>
        <filter val="15:00"/>
        <filter val="16:00"/>
      </filters>
    </filterColumn>
    <sortState xmlns:xlrd2="http://schemas.microsoft.com/office/spreadsheetml/2017/richdata2" ref="A2:K216">
      <sortCondition ref="K1:K511"/>
    </sortState>
  </autoFilter>
  <sortState xmlns:xlrd2="http://schemas.microsoft.com/office/spreadsheetml/2017/richdata2" ref="A2:K511">
    <sortCondition ref="K1:K5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761E-6659-4BC0-8E7D-00770B3B249A}">
  <dimension ref="A1:M35"/>
  <sheetViews>
    <sheetView tabSelected="1" workbookViewId="0">
      <selection activeCell="I18" sqref="I18"/>
    </sheetView>
  </sheetViews>
  <sheetFormatPr defaultColWidth="8.81640625" defaultRowHeight="14.5" x14ac:dyDescent="0.35"/>
  <cols>
    <col min="3" max="3" width="8.81640625" style="104"/>
    <col min="5" max="5" width="8.81640625" style="104"/>
    <col min="7" max="7" width="8.81640625" style="104"/>
  </cols>
  <sheetData>
    <row r="1" spans="1:13" ht="15" thickBot="1" x14ac:dyDescent="0.4">
      <c r="A1" s="280" t="s">
        <v>176</v>
      </c>
      <c r="B1" s="281"/>
      <c r="C1" s="281"/>
      <c r="D1" s="281"/>
      <c r="E1" s="281"/>
      <c r="F1" s="281"/>
      <c r="G1" s="281"/>
      <c r="H1" s="282"/>
    </row>
    <row r="2" spans="1:13" ht="15" thickBot="1" x14ac:dyDescent="0.4">
      <c r="A2" s="205"/>
      <c r="B2" s="205"/>
      <c r="C2" s="205"/>
      <c r="D2" s="205"/>
      <c r="E2" s="205"/>
      <c r="F2" s="205"/>
      <c r="G2" s="205"/>
      <c r="H2" s="205"/>
      <c r="L2" s="106"/>
    </row>
    <row r="3" spans="1:13" ht="14.5" customHeight="1" x14ac:dyDescent="0.35">
      <c r="A3" s="2" t="s">
        <v>40</v>
      </c>
      <c r="B3" s="2" t="s">
        <v>41</v>
      </c>
      <c r="C3" s="283" t="s">
        <v>42</v>
      </c>
      <c r="D3" s="283" t="s">
        <v>43</v>
      </c>
      <c r="E3" s="283" t="s">
        <v>44</v>
      </c>
      <c r="F3" s="283" t="s">
        <v>45</v>
      </c>
      <c r="G3" s="283" t="s">
        <v>46</v>
      </c>
      <c r="H3" s="2" t="s">
        <v>47</v>
      </c>
      <c r="K3" s="284"/>
      <c r="L3" s="284"/>
      <c r="M3" s="284"/>
    </row>
    <row r="4" spans="1:13" x14ac:dyDescent="0.35">
      <c r="A4" s="3" t="s">
        <v>48</v>
      </c>
      <c r="B4" s="4">
        <v>0</v>
      </c>
      <c r="C4" s="103">
        <v>1222</v>
      </c>
      <c r="D4" s="4">
        <v>0</v>
      </c>
      <c r="E4" s="105" t="s">
        <v>49</v>
      </c>
      <c r="F4" s="4">
        <v>0</v>
      </c>
      <c r="G4" s="105">
        <v>0</v>
      </c>
      <c r="H4" s="4">
        <v>0</v>
      </c>
      <c r="J4" s="284"/>
      <c r="K4" s="284"/>
      <c r="L4" s="284"/>
      <c r="M4" s="284"/>
    </row>
    <row r="5" spans="1:13" x14ac:dyDescent="0.35">
      <c r="A5" s="3">
        <v>261</v>
      </c>
      <c r="B5" s="4" t="s">
        <v>7</v>
      </c>
      <c r="C5" s="103">
        <v>1323</v>
      </c>
      <c r="D5" s="4" t="s">
        <v>24</v>
      </c>
      <c r="E5" s="105">
        <v>104</v>
      </c>
      <c r="F5" s="4">
        <v>77</v>
      </c>
      <c r="G5" s="105">
        <v>104</v>
      </c>
      <c r="H5" s="4">
        <v>89</v>
      </c>
      <c r="J5" s="284"/>
      <c r="K5" s="284"/>
      <c r="L5" s="284"/>
      <c r="M5" s="284"/>
    </row>
    <row r="6" spans="1:13" x14ac:dyDescent="0.35">
      <c r="A6" s="3">
        <v>991</v>
      </c>
      <c r="B6" s="4" t="s">
        <v>11</v>
      </c>
      <c r="C6" s="103">
        <v>1331</v>
      </c>
      <c r="D6" s="4" t="s">
        <v>14</v>
      </c>
      <c r="E6" s="105">
        <v>90</v>
      </c>
      <c r="F6" s="4">
        <v>68</v>
      </c>
      <c r="G6" s="105">
        <v>184</v>
      </c>
      <c r="H6" s="4">
        <v>170</v>
      </c>
    </row>
    <row r="7" spans="1:13" x14ac:dyDescent="0.35">
      <c r="A7" s="3" t="s">
        <v>50</v>
      </c>
      <c r="B7" s="4">
        <v>0</v>
      </c>
      <c r="C7" s="103">
        <v>1341</v>
      </c>
      <c r="D7" s="4">
        <v>0</v>
      </c>
      <c r="E7" s="105">
        <v>0</v>
      </c>
      <c r="F7" s="4">
        <v>0</v>
      </c>
      <c r="G7" s="105">
        <v>65</v>
      </c>
      <c r="H7" s="4">
        <v>73</v>
      </c>
    </row>
    <row r="8" spans="1:13" x14ac:dyDescent="0.35">
      <c r="A8" s="3" t="s">
        <v>51</v>
      </c>
      <c r="B8" s="4">
        <v>0</v>
      </c>
      <c r="C8" s="103">
        <v>1348</v>
      </c>
      <c r="D8" s="4">
        <v>0</v>
      </c>
      <c r="E8" s="105">
        <v>0</v>
      </c>
      <c r="F8" s="4">
        <v>0</v>
      </c>
      <c r="G8" s="105">
        <v>64</v>
      </c>
      <c r="H8" s="4">
        <v>101</v>
      </c>
    </row>
    <row r="9" spans="1:13" x14ac:dyDescent="0.35">
      <c r="A9" s="3">
        <v>885</v>
      </c>
      <c r="B9" s="4" t="s">
        <v>15</v>
      </c>
      <c r="C9" s="103">
        <v>1359</v>
      </c>
      <c r="D9" s="4" t="s">
        <v>12</v>
      </c>
      <c r="E9" s="105">
        <v>152</v>
      </c>
      <c r="F9" s="4">
        <v>156</v>
      </c>
      <c r="G9" s="105">
        <v>126</v>
      </c>
      <c r="H9" s="4">
        <v>112</v>
      </c>
    </row>
    <row r="10" spans="1:13" x14ac:dyDescent="0.35">
      <c r="A10" s="3">
        <v>1567</v>
      </c>
      <c r="B10" s="4" t="s">
        <v>19</v>
      </c>
      <c r="C10" s="103">
        <v>1418</v>
      </c>
      <c r="D10" s="4" t="s">
        <v>20</v>
      </c>
      <c r="E10" s="105">
        <v>117</v>
      </c>
      <c r="F10" s="4">
        <v>110</v>
      </c>
      <c r="G10" s="105">
        <v>28</v>
      </c>
      <c r="H10" s="4">
        <v>30</v>
      </c>
    </row>
    <row r="11" spans="1:13" x14ac:dyDescent="0.35">
      <c r="A11" s="3">
        <v>943</v>
      </c>
      <c r="B11" s="4" t="s">
        <v>25</v>
      </c>
      <c r="C11" s="103">
        <v>1421</v>
      </c>
      <c r="D11" s="4" t="s">
        <v>16</v>
      </c>
      <c r="E11" s="105">
        <v>70</v>
      </c>
      <c r="F11" s="4">
        <v>52</v>
      </c>
      <c r="G11" s="105">
        <v>151</v>
      </c>
      <c r="H11" s="4">
        <v>116</v>
      </c>
    </row>
    <row r="12" spans="1:13" x14ac:dyDescent="0.35">
      <c r="A12" s="3">
        <v>947</v>
      </c>
      <c r="B12" s="4" t="s">
        <v>17</v>
      </c>
      <c r="C12" s="103">
        <v>1433</v>
      </c>
      <c r="D12" s="4" t="s">
        <v>18</v>
      </c>
      <c r="E12" s="105">
        <v>104</v>
      </c>
      <c r="F12" s="4">
        <v>81</v>
      </c>
      <c r="G12" s="105">
        <v>119</v>
      </c>
      <c r="H12" s="4">
        <v>90</v>
      </c>
    </row>
    <row r="13" spans="1:13" x14ac:dyDescent="0.35">
      <c r="A13" s="3">
        <v>975</v>
      </c>
      <c r="B13" s="4" t="s">
        <v>21</v>
      </c>
      <c r="C13" s="103">
        <v>1437</v>
      </c>
      <c r="D13" s="4" t="s">
        <v>30</v>
      </c>
      <c r="E13" s="105">
        <v>95</v>
      </c>
      <c r="F13" s="4">
        <v>94</v>
      </c>
      <c r="G13" s="105">
        <v>62</v>
      </c>
      <c r="H13" s="4">
        <v>69</v>
      </c>
    </row>
    <row r="14" spans="1:13" x14ac:dyDescent="0.35">
      <c r="A14" s="3">
        <v>914</v>
      </c>
      <c r="B14" s="4" t="s">
        <v>23</v>
      </c>
      <c r="C14" s="103">
        <v>1440</v>
      </c>
      <c r="D14" s="4" t="s">
        <v>8</v>
      </c>
      <c r="E14" s="105">
        <v>117</v>
      </c>
      <c r="F14" s="4">
        <v>136</v>
      </c>
      <c r="G14" s="105">
        <v>158</v>
      </c>
      <c r="H14" s="4">
        <v>168</v>
      </c>
    </row>
    <row r="15" spans="1:13" x14ac:dyDescent="0.35">
      <c r="A15" s="3" t="s">
        <v>52</v>
      </c>
      <c r="B15" s="4">
        <v>0</v>
      </c>
      <c r="C15" s="103">
        <v>1445</v>
      </c>
      <c r="D15" s="4">
        <v>0</v>
      </c>
      <c r="E15" s="105" t="s">
        <v>49</v>
      </c>
      <c r="F15" s="4">
        <v>0</v>
      </c>
      <c r="G15" s="105">
        <v>0</v>
      </c>
      <c r="H15" s="4">
        <v>0</v>
      </c>
    </row>
    <row r="16" spans="1:13" x14ac:dyDescent="0.35">
      <c r="A16" s="3">
        <v>951</v>
      </c>
      <c r="B16" s="4" t="s">
        <v>13</v>
      </c>
      <c r="C16" s="103">
        <v>1447</v>
      </c>
      <c r="D16" s="4" t="s">
        <v>14</v>
      </c>
      <c r="E16" s="105">
        <v>176</v>
      </c>
      <c r="F16" s="4">
        <v>269</v>
      </c>
      <c r="G16" s="105">
        <v>168</v>
      </c>
      <c r="H16" s="4">
        <v>247</v>
      </c>
    </row>
    <row r="17" spans="1:8" x14ac:dyDescent="0.35">
      <c r="A17" s="3" t="s">
        <v>53</v>
      </c>
      <c r="B17" s="4">
        <v>0</v>
      </c>
      <c r="C17" s="103">
        <v>1452</v>
      </c>
      <c r="D17" s="4">
        <v>0</v>
      </c>
      <c r="E17" s="105">
        <v>0</v>
      </c>
      <c r="F17" s="4">
        <v>0</v>
      </c>
      <c r="G17" s="105">
        <v>132</v>
      </c>
      <c r="H17" s="4">
        <v>128</v>
      </c>
    </row>
    <row r="18" spans="1:8" x14ac:dyDescent="0.35">
      <c r="A18" s="3">
        <v>53</v>
      </c>
      <c r="B18" s="4" t="s">
        <v>31</v>
      </c>
      <c r="C18" s="103">
        <v>1509</v>
      </c>
      <c r="D18" s="4" t="s">
        <v>22</v>
      </c>
      <c r="E18" s="105">
        <v>91</v>
      </c>
      <c r="F18" s="4">
        <v>81</v>
      </c>
      <c r="G18" s="105">
        <v>68</v>
      </c>
      <c r="H18" s="4">
        <v>68</v>
      </c>
    </row>
    <row r="19" spans="1:8" x14ac:dyDescent="0.35">
      <c r="A19" s="3" t="s">
        <v>54</v>
      </c>
      <c r="B19" s="4">
        <v>0</v>
      </c>
      <c r="C19" s="103">
        <v>1514</v>
      </c>
      <c r="D19" s="4">
        <v>0</v>
      </c>
      <c r="E19" s="105">
        <v>0</v>
      </c>
      <c r="F19" s="4">
        <v>0</v>
      </c>
      <c r="G19" s="105">
        <v>31</v>
      </c>
      <c r="H19" s="4">
        <v>25</v>
      </c>
    </row>
    <row r="20" spans="1:8" x14ac:dyDescent="0.35">
      <c r="A20" s="3">
        <v>109</v>
      </c>
      <c r="B20" s="4" t="s">
        <v>34</v>
      </c>
      <c r="C20" s="103">
        <v>1515</v>
      </c>
      <c r="D20" s="4" t="s">
        <v>12</v>
      </c>
      <c r="E20" s="105">
        <v>134</v>
      </c>
      <c r="F20" s="4">
        <v>171</v>
      </c>
      <c r="G20" s="105">
        <v>125</v>
      </c>
      <c r="H20" s="4">
        <v>142</v>
      </c>
    </row>
    <row r="21" spans="1:8" x14ac:dyDescent="0.35">
      <c r="A21" s="3">
        <v>988</v>
      </c>
      <c r="B21" s="4" t="s">
        <v>35</v>
      </c>
      <c r="C21" s="103">
        <v>1518</v>
      </c>
      <c r="D21" s="4" t="s">
        <v>24</v>
      </c>
      <c r="E21" s="105">
        <v>199</v>
      </c>
      <c r="F21" s="4">
        <v>252</v>
      </c>
      <c r="G21" s="105">
        <v>140</v>
      </c>
      <c r="H21" s="4">
        <v>154</v>
      </c>
    </row>
    <row r="22" spans="1:8" x14ac:dyDescent="0.35">
      <c r="A22" s="3">
        <v>919</v>
      </c>
      <c r="B22" s="4" t="s">
        <v>9</v>
      </c>
      <c r="C22" s="103">
        <v>1524</v>
      </c>
      <c r="D22" s="4" t="s">
        <v>10</v>
      </c>
      <c r="E22" s="105">
        <v>162</v>
      </c>
      <c r="F22" s="4">
        <v>150</v>
      </c>
      <c r="G22" s="105">
        <v>110</v>
      </c>
      <c r="H22" s="4">
        <v>97</v>
      </c>
    </row>
    <row r="23" spans="1:8" x14ac:dyDescent="0.35">
      <c r="A23" s="3">
        <v>1694</v>
      </c>
      <c r="B23" s="4" t="s">
        <v>27</v>
      </c>
      <c r="C23" s="103">
        <v>1529</v>
      </c>
      <c r="D23" s="4" t="s">
        <v>28</v>
      </c>
      <c r="E23" s="105">
        <v>109</v>
      </c>
      <c r="F23" s="4">
        <v>100</v>
      </c>
      <c r="G23" s="105">
        <v>59</v>
      </c>
      <c r="H23" s="4">
        <v>50</v>
      </c>
    </row>
    <row r="24" spans="1:8" x14ac:dyDescent="0.35">
      <c r="A24" s="3">
        <v>983</v>
      </c>
      <c r="B24" s="4" t="s">
        <v>26</v>
      </c>
      <c r="C24" s="103">
        <v>1529</v>
      </c>
      <c r="D24" s="4" t="s">
        <v>14</v>
      </c>
      <c r="E24" s="105">
        <v>129</v>
      </c>
      <c r="F24" s="4">
        <v>121</v>
      </c>
      <c r="G24" s="105">
        <v>108</v>
      </c>
      <c r="H24" s="4">
        <v>120</v>
      </c>
    </row>
    <row r="25" spans="1:8" x14ac:dyDescent="0.35">
      <c r="A25" s="3">
        <v>979</v>
      </c>
      <c r="B25" s="4" t="s">
        <v>29</v>
      </c>
      <c r="C25" s="103">
        <v>1543</v>
      </c>
      <c r="D25" s="4" t="s">
        <v>30</v>
      </c>
      <c r="E25" s="105">
        <v>71</v>
      </c>
      <c r="F25" s="4">
        <v>73</v>
      </c>
      <c r="G25" s="105">
        <v>84</v>
      </c>
      <c r="H25" s="4">
        <v>80</v>
      </c>
    </row>
    <row r="26" spans="1:8" x14ac:dyDescent="0.35">
      <c r="A26" s="3" t="s">
        <v>55</v>
      </c>
      <c r="B26" s="4">
        <v>0</v>
      </c>
      <c r="C26" s="103">
        <v>1544</v>
      </c>
      <c r="D26" s="4">
        <v>0</v>
      </c>
      <c r="E26" s="105">
        <v>0</v>
      </c>
      <c r="F26" s="4">
        <v>0</v>
      </c>
      <c r="G26" s="105">
        <v>162</v>
      </c>
      <c r="H26" s="4">
        <v>183</v>
      </c>
    </row>
    <row r="27" spans="1:8" x14ac:dyDescent="0.35">
      <c r="A27" s="3">
        <v>1614</v>
      </c>
      <c r="B27" s="4" t="s">
        <v>33</v>
      </c>
      <c r="C27" s="103">
        <v>1550</v>
      </c>
      <c r="D27" s="4" t="s">
        <v>8</v>
      </c>
      <c r="E27" s="105">
        <v>145</v>
      </c>
      <c r="F27" s="4">
        <v>130</v>
      </c>
      <c r="G27" s="105">
        <v>31</v>
      </c>
      <c r="H27" s="4">
        <v>30</v>
      </c>
    </row>
    <row r="28" spans="1:8" x14ac:dyDescent="0.35">
      <c r="A28" s="3">
        <v>804</v>
      </c>
      <c r="B28" s="4" t="s">
        <v>36</v>
      </c>
      <c r="C28" s="103">
        <v>1603</v>
      </c>
      <c r="D28" s="4" t="s">
        <v>12</v>
      </c>
      <c r="E28" s="105">
        <v>160</v>
      </c>
      <c r="F28" s="4">
        <v>242</v>
      </c>
      <c r="G28" s="105">
        <v>114</v>
      </c>
      <c r="H28" s="4">
        <v>132</v>
      </c>
    </row>
    <row r="29" spans="1:8" x14ac:dyDescent="0.35">
      <c r="A29" s="3">
        <v>235</v>
      </c>
      <c r="B29" s="4" t="s">
        <v>32</v>
      </c>
      <c r="C29" s="103">
        <v>1712</v>
      </c>
      <c r="D29" s="4" t="s">
        <v>8</v>
      </c>
      <c r="E29" s="105">
        <v>149</v>
      </c>
      <c r="F29" s="4">
        <v>73</v>
      </c>
      <c r="G29" s="105">
        <v>50</v>
      </c>
      <c r="H29" s="4">
        <v>31</v>
      </c>
    </row>
    <row r="30" spans="1:8" x14ac:dyDescent="0.35">
      <c r="A30" s="3" t="s">
        <v>56</v>
      </c>
      <c r="B30" s="4">
        <v>0</v>
      </c>
      <c r="C30" s="103">
        <v>1920</v>
      </c>
      <c r="D30" s="4">
        <v>0</v>
      </c>
      <c r="E30" s="105">
        <v>12</v>
      </c>
      <c r="F30" s="4">
        <v>22</v>
      </c>
      <c r="G30" s="105">
        <v>0</v>
      </c>
      <c r="H30" s="4">
        <v>0</v>
      </c>
    </row>
    <row r="31" spans="1:8" x14ac:dyDescent="0.35">
      <c r="A31" s="3">
        <v>331</v>
      </c>
      <c r="B31" s="4" t="s">
        <v>23</v>
      </c>
      <c r="C31" s="103">
        <v>1927</v>
      </c>
      <c r="D31" s="4" t="s">
        <v>10</v>
      </c>
      <c r="E31" s="105">
        <v>251</v>
      </c>
      <c r="F31" s="4">
        <v>230</v>
      </c>
      <c r="G31" s="105">
        <v>0</v>
      </c>
      <c r="H31" s="4">
        <v>0</v>
      </c>
    </row>
    <row r="32" spans="1:8" x14ac:dyDescent="0.35">
      <c r="A32" s="3">
        <v>933</v>
      </c>
      <c r="B32" s="4" t="s">
        <v>35</v>
      </c>
      <c r="C32" s="103">
        <v>1953</v>
      </c>
      <c r="D32" s="4" t="s">
        <v>22</v>
      </c>
      <c r="E32" s="105">
        <v>272</v>
      </c>
      <c r="F32" s="4">
        <v>245</v>
      </c>
      <c r="G32" s="105">
        <v>0</v>
      </c>
      <c r="H32" s="4">
        <v>0</v>
      </c>
    </row>
    <row r="33" spans="1:8" x14ac:dyDescent="0.35">
      <c r="A33" s="3">
        <v>925</v>
      </c>
      <c r="B33" s="4" t="s">
        <v>9</v>
      </c>
      <c r="C33" s="103">
        <v>1956</v>
      </c>
      <c r="D33" s="4" t="s">
        <v>14</v>
      </c>
      <c r="E33" s="105">
        <v>163</v>
      </c>
      <c r="F33" s="4">
        <v>145</v>
      </c>
      <c r="G33" s="105">
        <v>0</v>
      </c>
      <c r="H33" s="4">
        <v>0</v>
      </c>
    </row>
    <row r="34" spans="1:8" x14ac:dyDescent="0.35">
      <c r="A34" s="3">
        <v>1133</v>
      </c>
      <c r="B34" s="4" t="s">
        <v>27</v>
      </c>
      <c r="C34" s="103">
        <v>2030</v>
      </c>
      <c r="D34" s="4" t="s">
        <v>24</v>
      </c>
      <c r="E34" s="105">
        <v>165</v>
      </c>
      <c r="F34" s="4">
        <v>140</v>
      </c>
      <c r="G34" s="105">
        <v>0</v>
      </c>
      <c r="H34" s="4">
        <v>0</v>
      </c>
    </row>
    <row r="35" spans="1:8" x14ac:dyDescent="0.35">
      <c r="A35" s="3">
        <v>1648</v>
      </c>
      <c r="B35" s="4" t="s">
        <v>37</v>
      </c>
      <c r="C35" s="103">
        <v>2046</v>
      </c>
      <c r="D35" s="4" t="s">
        <v>38</v>
      </c>
      <c r="E35" s="105" t="s">
        <v>57</v>
      </c>
      <c r="F35" s="4" t="s">
        <v>57</v>
      </c>
      <c r="G35" s="105" t="s">
        <v>57</v>
      </c>
      <c r="H35" s="4">
        <v>40</v>
      </c>
    </row>
  </sheetData>
  <mergeCells count="1">
    <mergeCell ref="A1:H1"/>
  </mergeCells>
  <conditionalFormatting sqref="A4:H35">
    <cfRule type="cellIs" dxfId="1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C895-83F6-45A0-9FA7-D5A8E62A4584}">
  <dimension ref="A1:AM342"/>
  <sheetViews>
    <sheetView zoomScale="70" zoomScaleNormal="70" workbookViewId="0">
      <pane xSplit="1" topLeftCell="B1" activePane="topRight" state="frozen"/>
      <selection activeCell="A19" sqref="A19"/>
      <selection pane="topRight" activeCell="N27" sqref="N27"/>
    </sheetView>
  </sheetViews>
  <sheetFormatPr defaultColWidth="8.81640625" defaultRowHeight="14.5" x14ac:dyDescent="0.35"/>
  <cols>
    <col min="1" max="1" width="4.90625" bestFit="1" customWidth="1"/>
    <col min="2" max="2" width="14.6328125" bestFit="1" customWidth="1"/>
    <col min="3" max="3" width="21.1796875" bestFit="1" customWidth="1"/>
    <col min="4" max="4" width="22.54296875" bestFit="1" customWidth="1"/>
    <col min="5" max="5" width="16.453125" bestFit="1" customWidth="1"/>
    <col min="6" max="6" width="12.1796875" customWidth="1"/>
    <col min="7" max="7" width="11" bestFit="1" customWidth="1"/>
    <col min="8" max="8" width="13.1796875" bestFit="1" customWidth="1"/>
    <col min="9" max="9" width="21.1796875" bestFit="1" customWidth="1"/>
    <col min="10" max="10" width="22.54296875" bestFit="1" customWidth="1"/>
    <col min="11" max="11" width="11" bestFit="1" customWidth="1"/>
    <col min="12" max="12" width="17.08984375" customWidth="1"/>
    <col min="13" max="13" width="11.81640625" bestFit="1" customWidth="1"/>
    <col min="14" max="14" width="10.453125" bestFit="1" customWidth="1"/>
    <col min="15" max="15" width="10.6328125" customWidth="1"/>
    <col min="16" max="17" width="13.7265625" bestFit="1" customWidth="1"/>
    <col min="18" max="18" width="11.81640625" bestFit="1" customWidth="1"/>
    <col min="19" max="19" width="13.36328125" bestFit="1" customWidth="1"/>
    <col min="20" max="20" width="11.81640625" bestFit="1" customWidth="1"/>
    <col min="21" max="21" width="7.26953125" bestFit="1" customWidth="1"/>
    <col min="22" max="24" width="11.81640625" bestFit="1" customWidth="1"/>
    <col min="25" max="25" width="4.6328125" bestFit="1" customWidth="1"/>
    <col min="26" max="26" width="17.6328125" bestFit="1" customWidth="1"/>
    <col min="27" max="29" width="11.81640625" bestFit="1" customWidth="1"/>
    <col min="30" max="30" width="4.6328125" bestFit="1" customWidth="1"/>
    <col min="31" max="31" width="11.81640625" bestFit="1" customWidth="1"/>
    <col min="32" max="32" width="20.36328125" bestFit="1" customWidth="1"/>
    <col min="33" max="33" width="18.1796875" bestFit="1" customWidth="1"/>
    <col min="34" max="34" width="20" bestFit="1" customWidth="1"/>
    <col min="35" max="35" width="49.7265625" bestFit="1" customWidth="1"/>
    <col min="36" max="36" width="22.7265625" bestFit="1" customWidth="1"/>
  </cols>
  <sheetData>
    <row r="1" spans="1:29" x14ac:dyDescent="0.35">
      <c r="B1" s="162" t="s">
        <v>190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17"/>
      <c r="V1" s="117"/>
      <c r="W1" s="117"/>
      <c r="X1" s="117"/>
      <c r="Y1" s="117"/>
      <c r="Z1" s="117"/>
      <c r="AA1" s="117"/>
    </row>
    <row r="2" spans="1:29" ht="15" thickBot="1" x14ac:dyDescent="0.4">
      <c r="A2" s="117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17"/>
      <c r="V2" s="117"/>
      <c r="W2" s="117"/>
      <c r="X2" s="117"/>
      <c r="Y2" s="117"/>
      <c r="Z2" s="117"/>
      <c r="AA2" s="117"/>
    </row>
    <row r="3" spans="1:29" ht="18.5" x14ac:dyDescent="0.45">
      <c r="A3" s="117"/>
      <c r="B3" s="159" t="s">
        <v>140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1"/>
      <c r="O3" s="118"/>
      <c r="P3" s="191" t="s">
        <v>184</v>
      </c>
      <c r="Q3" s="192"/>
      <c r="R3" s="192"/>
      <c r="S3" s="192"/>
      <c r="T3" s="192"/>
      <c r="U3" s="192"/>
      <c r="V3" s="193"/>
      <c r="W3" s="117"/>
      <c r="X3" s="117"/>
      <c r="Y3" s="117"/>
      <c r="Z3" s="117"/>
      <c r="AA3" s="117"/>
      <c r="AB3" s="117"/>
      <c r="AC3" s="117"/>
    </row>
    <row r="4" spans="1:29" x14ac:dyDescent="0.35">
      <c r="A4" s="73"/>
      <c r="B4" s="194" t="s">
        <v>180</v>
      </c>
      <c r="C4" s="195" t="s">
        <v>209</v>
      </c>
      <c r="D4" s="195"/>
      <c r="E4" s="125" t="s">
        <v>177</v>
      </c>
      <c r="F4" s="245" t="s">
        <v>179</v>
      </c>
      <c r="G4" s="246"/>
      <c r="H4" s="246"/>
      <c r="I4" s="247"/>
      <c r="J4" s="244"/>
      <c r="K4" s="120"/>
      <c r="L4" s="120"/>
      <c r="M4" s="120"/>
      <c r="N4" s="121"/>
      <c r="O4" s="120"/>
      <c r="P4" s="138"/>
      <c r="Q4" s="196" t="s">
        <v>178</v>
      </c>
      <c r="R4" s="196"/>
      <c r="S4" s="196"/>
      <c r="T4" s="196"/>
      <c r="U4" s="196"/>
      <c r="V4" s="197"/>
      <c r="W4" s="117"/>
      <c r="X4" s="117"/>
      <c r="Y4" s="117"/>
      <c r="Z4" s="117"/>
      <c r="AA4" s="117"/>
      <c r="AB4" s="117"/>
      <c r="AC4" s="117"/>
    </row>
    <row r="5" spans="1:29" x14ac:dyDescent="0.35">
      <c r="A5" s="73"/>
      <c r="B5" s="194"/>
      <c r="C5" s="126" t="s">
        <v>206</v>
      </c>
      <c r="D5" s="126" t="s">
        <v>204</v>
      </c>
      <c r="E5" s="79" t="s">
        <v>143</v>
      </c>
      <c r="F5" s="127" t="s">
        <v>127</v>
      </c>
      <c r="G5" s="126" t="s">
        <v>128</v>
      </c>
      <c r="H5" s="126" t="s">
        <v>5</v>
      </c>
      <c r="I5" s="126" t="s">
        <v>4</v>
      </c>
      <c r="J5" s="126" t="s">
        <v>94</v>
      </c>
      <c r="K5" s="72"/>
      <c r="L5" s="96"/>
      <c r="M5" s="96"/>
      <c r="N5" s="128"/>
      <c r="O5" s="96"/>
      <c r="P5" s="71"/>
      <c r="Q5" s="75" t="s">
        <v>127</v>
      </c>
      <c r="R5" s="72" t="s">
        <v>128</v>
      </c>
      <c r="S5" s="72" t="s">
        <v>129</v>
      </c>
      <c r="T5" s="72" t="s">
        <v>4</v>
      </c>
      <c r="U5" s="72" t="s">
        <v>94</v>
      </c>
      <c r="V5" s="76" t="s">
        <v>130</v>
      </c>
      <c r="W5" s="198" t="s">
        <v>181</v>
      </c>
      <c r="X5" s="199"/>
      <c r="Y5" s="199"/>
      <c r="Z5" s="199"/>
      <c r="AA5" s="117"/>
      <c r="AB5" s="117"/>
      <c r="AC5" s="117"/>
    </row>
    <row r="6" spans="1:29" x14ac:dyDescent="0.35">
      <c r="A6" s="73"/>
      <c r="B6" s="77" t="s">
        <v>0</v>
      </c>
      <c r="C6" s="51">
        <f>IF(SUM(Z42:Z57)&gt;0,AVERAGEIF(Z42:Z57,"&lt;&gt;0"),0)</f>
        <v>0</v>
      </c>
      <c r="D6" s="51">
        <f>IF(SUM(AI42:AI57)&gt;0,AVERAGEIF(AI42:AI57,"&lt;&gt;0"),0)</f>
        <v>0</v>
      </c>
      <c r="E6" s="47">
        <f>SUMIFS([2]!Table2_23[FIS PAX],[2]!Table2_23[ETA],"&gt;1300",[2]!Table2_23[ETA],"&lt;1316")</f>
        <v>0</v>
      </c>
      <c r="F6" s="119">
        <f>M43</f>
        <v>0</v>
      </c>
      <c r="G6" s="119">
        <f t="shared" ref="G6:I6" si="0">N43</f>
        <v>6</v>
      </c>
      <c r="H6" s="119">
        <f t="shared" si="0"/>
        <v>0</v>
      </c>
      <c r="I6" s="119">
        <f t="shared" si="0"/>
        <v>0</v>
      </c>
      <c r="J6" s="46">
        <f>U6</f>
        <v>6</v>
      </c>
      <c r="K6" s="72"/>
      <c r="L6" s="188" t="s">
        <v>138</v>
      </c>
      <c r="M6" s="219">
        <f>ROUNDUP(MAX(V42:Y342),0)</f>
        <v>21</v>
      </c>
      <c r="N6" s="130"/>
      <c r="O6" s="74"/>
      <c r="P6" s="133" t="s">
        <v>0</v>
      </c>
      <c r="Q6" s="74">
        <v>2</v>
      </c>
      <c r="R6" s="74">
        <v>2</v>
      </c>
      <c r="S6" s="73">
        <v>1</v>
      </c>
      <c r="T6" s="73">
        <v>1</v>
      </c>
      <c r="U6" s="123">
        <f>SUM(Q6:T6)</f>
        <v>6</v>
      </c>
      <c r="V6" s="141">
        <v>6</v>
      </c>
      <c r="W6" s="198"/>
      <c r="X6" s="199"/>
      <c r="Y6" s="199"/>
      <c r="Z6" s="199"/>
      <c r="AA6" s="117"/>
      <c r="AB6" s="117"/>
      <c r="AC6" s="117"/>
    </row>
    <row r="7" spans="1:29" ht="14.5" customHeight="1" x14ac:dyDescent="0.35">
      <c r="A7" s="73"/>
      <c r="B7" s="81" t="s">
        <v>96</v>
      </c>
      <c r="C7" s="51">
        <f>IF(SUM($Z$58:$Z$72)&gt;0,AVERAGEIF($Z$58:$Z$72,"&lt;&gt;0"),0)</f>
        <v>0</v>
      </c>
      <c r="D7" s="51">
        <f>IF(SUM($AI$58:$AI$72)&gt;0,AVERAGEIF($AI$58:$AI$72,"&lt;&gt;0"),0)</f>
        <v>0</v>
      </c>
      <c r="E7" s="47">
        <f>SUMIFS([2]!Table2_23[FIS PAX],[2]!Table2_23[ETA],"&gt;1315",[2]!Table2_23[ETA],"&lt;1331")</f>
        <v>0</v>
      </c>
      <c r="F7" s="119">
        <f>M43</f>
        <v>0</v>
      </c>
      <c r="G7" s="119">
        <f t="shared" ref="G7:I7" si="1">N43</f>
        <v>6</v>
      </c>
      <c r="H7" s="119">
        <f t="shared" si="1"/>
        <v>0</v>
      </c>
      <c r="I7" s="119">
        <f t="shared" si="1"/>
        <v>0</v>
      </c>
      <c r="J7" s="46">
        <f>U7</f>
        <v>6</v>
      </c>
      <c r="K7" s="73"/>
      <c r="L7" s="188"/>
      <c r="M7" s="219"/>
      <c r="N7" s="130"/>
      <c r="O7" s="74"/>
      <c r="P7" s="134" t="s">
        <v>96</v>
      </c>
      <c r="Q7" s="74">
        <v>2</v>
      </c>
      <c r="R7" s="74">
        <v>2</v>
      </c>
      <c r="S7" s="73">
        <v>1</v>
      </c>
      <c r="T7" s="73">
        <v>1</v>
      </c>
      <c r="U7" s="123">
        <f t="shared" ref="U7:U25" si="2">SUM(Q7:T7)</f>
        <v>6</v>
      </c>
      <c r="V7" s="141">
        <v>6</v>
      </c>
      <c r="W7" s="198"/>
      <c r="X7" s="199"/>
      <c r="Y7" s="199"/>
      <c r="Z7" s="199"/>
      <c r="AA7" s="117"/>
      <c r="AB7" s="117"/>
      <c r="AC7" s="117"/>
    </row>
    <row r="8" spans="1:29" ht="14.5" customHeight="1" x14ac:dyDescent="0.35">
      <c r="A8" s="117"/>
      <c r="B8" s="77" t="s">
        <v>97</v>
      </c>
      <c r="C8" s="51">
        <f>IF(SUM($Z$73:$Z$87)&gt;0,AVERAGEIF($Z$73:$Z$87,"&lt;&gt;0"),0)</f>
        <v>1</v>
      </c>
      <c r="D8" s="51">
        <f>IF(SUM($AI$73:$AI$87)&gt;0,AVERAGEIF($AI$73:AI$87,"&lt;&gt;0"),0)</f>
        <v>22</v>
      </c>
      <c r="E8" s="47">
        <f>SUMIFS([2]!Table2_23[FIS PAX],[2]!Table2_23[ETA],"&gt;1330",[2]!Table2_23[ETA],"&lt;1346")</f>
        <v>152</v>
      </c>
      <c r="F8" s="119">
        <f>M73</f>
        <v>0</v>
      </c>
      <c r="G8" s="119">
        <f t="shared" ref="G8:I8" si="3">N73</f>
        <v>6</v>
      </c>
      <c r="H8" s="119">
        <f t="shared" si="3"/>
        <v>0</v>
      </c>
      <c r="I8" s="119">
        <f t="shared" si="3"/>
        <v>0</v>
      </c>
      <c r="J8" s="46">
        <f>U8</f>
        <v>6</v>
      </c>
      <c r="K8" s="73"/>
      <c r="L8" s="188" t="s">
        <v>182</v>
      </c>
      <c r="M8" s="219">
        <f>ROUNDUP(SUM(F34,M6,N36,MAX(AH42:AH342),MAX(T32:T35)),0)</f>
        <v>56</v>
      </c>
      <c r="N8" s="140"/>
      <c r="O8" s="122"/>
      <c r="P8" s="133" t="s">
        <v>97</v>
      </c>
      <c r="Q8" s="74">
        <v>2</v>
      </c>
      <c r="R8" s="74">
        <v>2</v>
      </c>
      <c r="S8" s="73">
        <v>1</v>
      </c>
      <c r="T8" s="73">
        <v>1</v>
      </c>
      <c r="U8" s="123">
        <f t="shared" si="2"/>
        <v>6</v>
      </c>
      <c r="V8" s="141">
        <v>6</v>
      </c>
      <c r="W8" s="117"/>
      <c r="X8" s="117"/>
      <c r="Y8" s="117"/>
      <c r="Z8" s="117"/>
      <c r="AA8" s="117"/>
      <c r="AB8" s="117"/>
      <c r="AC8" s="117"/>
    </row>
    <row r="9" spans="1:29" x14ac:dyDescent="0.35">
      <c r="A9" s="117"/>
      <c r="B9" s="81" t="s">
        <v>98</v>
      </c>
      <c r="C9" s="51">
        <f>IF(SUM($Z$88:$Z$102)&gt;0,AVERAGEIF($Z$88:$Z$102,"&lt;&gt;0"),0)</f>
        <v>8.7333333333333325</v>
      </c>
      <c r="D9" s="51">
        <f>IF(SUM($AI$88:$AI$102)&gt;0,AVERAGEIF($AI$88:$AI$102,"&lt;&gt;0"),0)</f>
        <v>29.733333333333334</v>
      </c>
      <c r="E9" s="47">
        <f>SUMIFS([2]!Table2_23[FIS PAX],[2]!Table2_23[ETA],"&gt;1345",[2]!Table2_23[ETA],"&lt;1401")</f>
        <v>0</v>
      </c>
      <c r="F9" s="119">
        <f>M88</f>
        <v>2</v>
      </c>
      <c r="G9" s="119">
        <f t="shared" ref="G9:I9" si="4">N88</f>
        <v>2</v>
      </c>
      <c r="H9" s="119">
        <f t="shared" si="4"/>
        <v>1</v>
      </c>
      <c r="I9" s="119">
        <f t="shared" si="4"/>
        <v>1</v>
      </c>
      <c r="J9" s="46">
        <f>U9</f>
        <v>6</v>
      </c>
      <c r="K9" s="73"/>
      <c r="L9" s="188"/>
      <c r="M9" s="219"/>
      <c r="N9" s="140"/>
      <c r="O9" s="122"/>
      <c r="P9" s="134" t="s">
        <v>98</v>
      </c>
      <c r="Q9" s="74">
        <v>2</v>
      </c>
      <c r="R9" s="74">
        <v>2</v>
      </c>
      <c r="S9" s="73">
        <v>1</v>
      </c>
      <c r="T9" s="73">
        <v>1</v>
      </c>
      <c r="U9" s="123">
        <f t="shared" si="2"/>
        <v>6</v>
      </c>
      <c r="V9" s="141">
        <v>6</v>
      </c>
      <c r="W9" s="117"/>
      <c r="X9" s="117"/>
      <c r="Y9" s="117"/>
      <c r="Z9" s="117"/>
      <c r="AA9" s="117"/>
      <c r="AB9" s="117"/>
      <c r="AC9" s="117"/>
    </row>
    <row r="10" spans="1:29" x14ac:dyDescent="0.35">
      <c r="A10" s="117"/>
      <c r="B10" s="77" t="s">
        <v>99</v>
      </c>
      <c r="C10" s="51">
        <f>IF(SUM($Z$103:$Z$117)&gt;0,AVERAGEIF($Z$103:$Z$117,"&lt;&gt;0"),0)</f>
        <v>1.5</v>
      </c>
      <c r="D10" s="51">
        <f>IF(SUM($AI$103:$AI$117)&gt;0,AVERAGEIF($AI$103:$AI$117,"&lt;&gt;0"),0)</f>
        <v>22.5</v>
      </c>
      <c r="E10" s="47">
        <f>SUMIFS([2]!Table2_23[FIS PAX],[2]!Table2_23[ETA],"&gt;1400",[2]!Table2_23[ETA],"&lt;1416")</f>
        <v>0</v>
      </c>
      <c r="F10" s="119">
        <f>M103</f>
        <v>2</v>
      </c>
      <c r="G10" s="119">
        <f t="shared" ref="G10:I10" si="5">N103</f>
        <v>4</v>
      </c>
      <c r="H10" s="119">
        <f t="shared" si="5"/>
        <v>0</v>
      </c>
      <c r="I10" s="119">
        <f t="shared" si="5"/>
        <v>0</v>
      </c>
      <c r="J10" s="46">
        <f>U10</f>
        <v>6</v>
      </c>
      <c r="K10" s="73"/>
      <c r="L10" s="188"/>
      <c r="M10" s="219"/>
      <c r="N10" s="140"/>
      <c r="O10" s="82"/>
      <c r="P10" s="133" t="s">
        <v>99</v>
      </c>
      <c r="Q10" s="74">
        <v>2</v>
      </c>
      <c r="R10" s="74">
        <v>2</v>
      </c>
      <c r="S10" s="73">
        <v>1</v>
      </c>
      <c r="T10" s="73">
        <v>1</v>
      </c>
      <c r="U10" s="123">
        <f t="shared" si="2"/>
        <v>6</v>
      </c>
      <c r="V10" s="141">
        <v>6</v>
      </c>
      <c r="W10" s="117"/>
      <c r="X10" s="117"/>
      <c r="Y10" s="117"/>
      <c r="Z10" s="117"/>
      <c r="AA10" s="117"/>
      <c r="AB10" s="117"/>
      <c r="AC10" s="117"/>
    </row>
    <row r="11" spans="1:29" x14ac:dyDescent="0.35">
      <c r="A11" s="117"/>
      <c r="B11" s="81" t="s">
        <v>100</v>
      </c>
      <c r="C11" s="51">
        <f>IF(SUM($Z$118:$Z$132)&gt;0,AVERAGEIF($Z$118:$Z$132,"&lt;&gt;0"),0)</f>
        <v>0</v>
      </c>
      <c r="D11" s="51">
        <f>IF(SUM($AI$118:$AI$132)&gt;0,AVERAGEIF($AI$118:$AI$132,"&lt;&gt;0"),0)</f>
        <v>0</v>
      </c>
      <c r="E11" s="47">
        <f>SUMIFS([2]!Table2_23[FIS PAX],[2]!Table2_23[ETA],"&gt;1415",[2]!Table2_23[ETA],"&lt;1431")</f>
        <v>11</v>
      </c>
      <c r="F11" s="119">
        <f>M118</f>
        <v>0</v>
      </c>
      <c r="G11" s="119">
        <f t="shared" ref="G11:I11" si="6">N118</f>
        <v>11</v>
      </c>
      <c r="H11" s="119">
        <f t="shared" si="6"/>
        <v>0</v>
      </c>
      <c r="I11" s="119">
        <f t="shared" si="6"/>
        <v>0</v>
      </c>
      <c r="J11" s="46">
        <f>U11</f>
        <v>11</v>
      </c>
      <c r="K11" s="73"/>
      <c r="L11" s="188" t="s">
        <v>207</v>
      </c>
      <c r="M11" s="219">
        <f>ROUNDUP(AVERAGEIF(Z42:Z342,"&lt;&gt;0"),0)</f>
        <v>9</v>
      </c>
      <c r="N11" s="279"/>
      <c r="O11" s="73"/>
      <c r="P11" s="134" t="s">
        <v>100</v>
      </c>
      <c r="Q11" s="74">
        <v>3</v>
      </c>
      <c r="R11" s="74">
        <v>6</v>
      </c>
      <c r="S11" s="73">
        <v>1</v>
      </c>
      <c r="T11" s="73">
        <v>1</v>
      </c>
      <c r="U11" s="123">
        <f t="shared" si="2"/>
        <v>11</v>
      </c>
      <c r="V11" s="141">
        <v>11</v>
      </c>
      <c r="W11" s="117"/>
      <c r="X11" s="117"/>
      <c r="Y11" s="117"/>
      <c r="Z11" s="117"/>
      <c r="AA11" s="117"/>
      <c r="AB11" s="117"/>
      <c r="AC11" s="117"/>
    </row>
    <row r="12" spans="1:29" x14ac:dyDescent="0.35">
      <c r="A12" s="117"/>
      <c r="B12" s="83" t="s">
        <v>101</v>
      </c>
      <c r="C12" s="51">
        <f>IF(SUM($Z$133:$Z$147)&gt;0,AVERAGEIF($Z$133:$Z$147,"&lt;&gt;0"),0)</f>
        <v>0</v>
      </c>
      <c r="D12" s="51">
        <f>IF(SUM($AI$133:$AI$147)&gt;0,AVERAGEIF($AI$133:$AI$147,"&lt;&gt;0"),0)</f>
        <v>0.20812589221390454</v>
      </c>
      <c r="E12" s="47">
        <f>SUMIFS([2]!Table2_23[FIS PAX],[2]!Table2_23[ETA],"&gt;1430",[2]!Table2_23[ETA],"&lt;1446")</f>
        <v>453</v>
      </c>
      <c r="F12" s="119">
        <v>3</v>
      </c>
      <c r="G12" s="119">
        <v>6</v>
      </c>
      <c r="H12" s="119">
        <v>1</v>
      </c>
      <c r="I12" s="119">
        <v>1</v>
      </c>
      <c r="J12" s="46">
        <f>U12</f>
        <v>11</v>
      </c>
      <c r="K12" s="73"/>
      <c r="L12" s="188"/>
      <c r="M12" s="219"/>
      <c r="N12" s="279"/>
      <c r="O12" s="75"/>
      <c r="P12" s="135" t="s">
        <v>101</v>
      </c>
      <c r="Q12" s="74">
        <v>3</v>
      </c>
      <c r="R12" s="74">
        <v>6</v>
      </c>
      <c r="S12" s="73">
        <v>1</v>
      </c>
      <c r="T12" s="73">
        <v>1</v>
      </c>
      <c r="U12" s="123">
        <f t="shared" si="2"/>
        <v>11</v>
      </c>
      <c r="V12" s="141">
        <v>11</v>
      </c>
      <c r="W12" s="117"/>
      <c r="X12" s="117"/>
      <c r="Y12" s="117"/>
      <c r="Z12" s="117"/>
      <c r="AA12" s="117"/>
      <c r="AB12" s="117"/>
      <c r="AC12" s="117"/>
    </row>
    <row r="13" spans="1:29" x14ac:dyDescent="0.35">
      <c r="A13" s="117"/>
      <c r="B13" s="77" t="s">
        <v>102</v>
      </c>
      <c r="C13" s="51">
        <f>IF(SUM($Z$148:$Z$162)&gt;0,AVERAGEIF($Z$148:$Z$162,"&lt;&gt;0"),0)</f>
        <v>6.2</v>
      </c>
      <c r="D13" s="51">
        <f>IF(SUM($AI$148:$AI$162)&gt;0,AVERAGEIF($AI$148:$AI$162,"&lt;&gt;0"),0)</f>
        <v>28.49140658354818</v>
      </c>
      <c r="E13" s="47">
        <f>SUMIFS([2]!Table2_23[FIS PAX],[2]!Table2_23[ETA],"&gt;1445",[2]!Table2_23[ETA],"&lt;1501")</f>
        <v>186</v>
      </c>
      <c r="F13" s="119">
        <f>M148</f>
        <v>3</v>
      </c>
      <c r="G13" s="119">
        <f t="shared" ref="G13:I13" si="7">N148</f>
        <v>6</v>
      </c>
      <c r="H13" s="119">
        <f t="shared" si="7"/>
        <v>1</v>
      </c>
      <c r="I13" s="119">
        <f t="shared" si="7"/>
        <v>1</v>
      </c>
      <c r="J13" s="46">
        <f>U13</f>
        <v>11</v>
      </c>
      <c r="K13" s="73"/>
      <c r="L13" s="188" t="s">
        <v>208</v>
      </c>
      <c r="M13" s="219">
        <f>ROUNDUP(AVERAGEIF(AI42:AI342,"&lt;&gt;0"),0)</f>
        <v>33</v>
      </c>
      <c r="N13" s="130"/>
      <c r="O13" s="73"/>
      <c r="P13" s="133" t="s">
        <v>102</v>
      </c>
      <c r="Q13" s="74">
        <v>3</v>
      </c>
      <c r="R13" s="74">
        <v>6</v>
      </c>
      <c r="S13" s="73">
        <v>1</v>
      </c>
      <c r="T13" s="73">
        <v>1</v>
      </c>
      <c r="U13" s="123">
        <f t="shared" si="2"/>
        <v>11</v>
      </c>
      <c r="V13" s="141">
        <v>11</v>
      </c>
      <c r="W13" s="117"/>
      <c r="X13" s="117"/>
      <c r="Y13" s="117"/>
      <c r="Z13" s="117"/>
      <c r="AA13" s="117"/>
      <c r="AB13" s="117"/>
      <c r="AC13" s="117"/>
    </row>
    <row r="14" spans="1:29" x14ac:dyDescent="0.35">
      <c r="A14" s="117"/>
      <c r="B14" s="81" t="s">
        <v>103</v>
      </c>
      <c r="C14" s="51">
        <f>IF(SUM($Z$163:$Z$177)&gt;0,AVERAGEIF($Z$163:$Z$177,"&lt;&gt;0"),0)</f>
        <v>11.333333333333334</v>
      </c>
      <c r="D14" s="51">
        <f>IF(SUM($AI$163:$AI$177)&gt;0,AVERAGEIF($AI$163:$AI$177,"&lt;&gt;0"),0)</f>
        <v>35.931712809802661</v>
      </c>
      <c r="E14" s="47">
        <f>SUMIFS([2]!Table2_23[FIS PAX],[2]!Table2_23[ETA],"&gt;1500",[2]!Table2_23[ETA],"&lt;1516")</f>
        <v>86</v>
      </c>
      <c r="F14" s="119">
        <f>M163</f>
        <v>3</v>
      </c>
      <c r="G14" s="119">
        <f t="shared" ref="G14:I14" si="8">N163</f>
        <v>7</v>
      </c>
      <c r="H14" s="119">
        <f t="shared" si="8"/>
        <v>1</v>
      </c>
      <c r="I14" s="119">
        <f t="shared" si="8"/>
        <v>0</v>
      </c>
      <c r="J14" s="46">
        <f>U14</f>
        <v>11</v>
      </c>
      <c r="K14" s="73"/>
      <c r="L14" s="188"/>
      <c r="M14" s="219"/>
      <c r="N14" s="130"/>
      <c r="O14" s="73"/>
      <c r="P14" s="134" t="s">
        <v>103</v>
      </c>
      <c r="Q14" s="74">
        <v>3</v>
      </c>
      <c r="R14" s="74">
        <v>6</v>
      </c>
      <c r="S14" s="73">
        <v>1</v>
      </c>
      <c r="T14" s="73">
        <v>1</v>
      </c>
      <c r="U14" s="123">
        <f t="shared" si="2"/>
        <v>11</v>
      </c>
      <c r="V14" s="141">
        <v>11</v>
      </c>
      <c r="W14" s="117"/>
      <c r="X14" s="117"/>
      <c r="Y14" s="117"/>
      <c r="Z14" s="117"/>
      <c r="AA14" s="117"/>
      <c r="AB14" s="117"/>
      <c r="AC14" s="117"/>
    </row>
    <row r="15" spans="1:29" ht="14.5" customHeight="1" x14ac:dyDescent="0.35">
      <c r="A15" s="117"/>
      <c r="B15" s="77" t="s">
        <v>104</v>
      </c>
      <c r="C15" s="51">
        <f>IF(SUM($Z$178:$Z$192)&gt;0,AVERAGEIF($Z$178:$Z$192,"&lt;&gt;0"),0)</f>
        <v>14.666666666666666</v>
      </c>
      <c r="D15" s="51">
        <f>IF(SUM($AI$178:$AI$192)&gt;0,AVERAGEIF($AI$178:$AI$192,"&lt;&gt;0"),0)</f>
        <v>38.960187768717063</v>
      </c>
      <c r="E15" s="47">
        <f>SUMIFS([2]!Table2_23[FIS PAX],[2]!Table2_23[ETA],"&gt;1515",[2]!Table2_23[ETA],"&lt;1531")</f>
        <v>0</v>
      </c>
      <c r="F15" s="119">
        <f>M178</f>
        <v>3</v>
      </c>
      <c r="G15" s="119">
        <f t="shared" ref="G15:I15" si="9">N178</f>
        <v>6</v>
      </c>
      <c r="H15" s="119">
        <f t="shared" si="9"/>
        <v>1</v>
      </c>
      <c r="I15" s="119">
        <f t="shared" si="9"/>
        <v>1</v>
      </c>
      <c r="J15" s="46">
        <f>U15</f>
        <v>11</v>
      </c>
      <c r="K15" s="73"/>
      <c r="L15" s="188" t="s">
        <v>210</v>
      </c>
      <c r="M15" s="189">
        <f>(COUNTIFS(Z42:Z342,"&gt;0",Z42:Z342,"&lt;=19"))/(COUNTIF(Z42:Z342,"&gt;0"))*100</f>
        <v>100</v>
      </c>
      <c r="N15" s="129"/>
      <c r="O15" s="82"/>
      <c r="P15" s="133" t="s">
        <v>104</v>
      </c>
      <c r="Q15" s="74">
        <v>3</v>
      </c>
      <c r="R15" s="74">
        <v>6</v>
      </c>
      <c r="S15" s="73">
        <v>1</v>
      </c>
      <c r="T15" s="73">
        <v>1</v>
      </c>
      <c r="U15" s="123">
        <f t="shared" si="2"/>
        <v>11</v>
      </c>
      <c r="V15" s="141">
        <v>11</v>
      </c>
      <c r="W15" s="117"/>
      <c r="X15" s="117"/>
      <c r="Y15" s="117"/>
      <c r="Z15" s="117"/>
      <c r="AA15" s="117"/>
      <c r="AB15" s="117"/>
      <c r="AC15" s="117"/>
    </row>
    <row r="16" spans="1:29" x14ac:dyDescent="0.35">
      <c r="A16" s="117"/>
      <c r="B16" s="81" t="s">
        <v>105</v>
      </c>
      <c r="C16" s="51">
        <f>IF(SUM($Z$193:$Z$207)&gt;0,AVERAGEIF($Z$193:$Z$207,"&lt;&gt;0"),0)</f>
        <v>4.5999999999999996</v>
      </c>
      <c r="D16" s="51">
        <f>IF(SUM($AI$193:$AI$207)&gt;0,AVERAGEIF($AI$193:$AI$207,"&lt;&gt;0"),0)</f>
        <v>27.310649873695571</v>
      </c>
      <c r="E16" s="47">
        <f>SUMIFS([2]!Table2_23[FIS PAX],[2]!Table2_23[ETA],"&gt;1530",[2]!Table2_23[ETA],"&lt;1546")</f>
        <v>185</v>
      </c>
      <c r="F16" s="119">
        <f>M193</f>
        <v>3</v>
      </c>
      <c r="G16" s="119">
        <f t="shared" ref="G16:I16" si="10">N193</f>
        <v>7</v>
      </c>
      <c r="H16" s="119">
        <f t="shared" si="10"/>
        <v>1</v>
      </c>
      <c r="I16" s="119">
        <f t="shared" si="10"/>
        <v>0</v>
      </c>
      <c r="J16" s="46">
        <f>U16</f>
        <v>11</v>
      </c>
      <c r="K16" s="73"/>
      <c r="L16" s="188"/>
      <c r="M16" s="189"/>
      <c r="N16" s="89"/>
      <c r="O16" s="73"/>
      <c r="P16" s="134" t="s">
        <v>105</v>
      </c>
      <c r="Q16" s="74">
        <v>3</v>
      </c>
      <c r="R16" s="74">
        <v>6</v>
      </c>
      <c r="S16" s="73">
        <v>1</v>
      </c>
      <c r="T16" s="73">
        <v>1</v>
      </c>
      <c r="U16" s="123">
        <f t="shared" si="2"/>
        <v>11</v>
      </c>
      <c r="V16" s="141">
        <v>11</v>
      </c>
      <c r="W16" s="117"/>
      <c r="X16" s="117"/>
      <c r="Y16" s="117"/>
      <c r="Z16" s="117"/>
      <c r="AA16" s="117"/>
      <c r="AB16" s="117"/>
      <c r="AC16" s="117"/>
    </row>
    <row r="17" spans="1:29" x14ac:dyDescent="0.35">
      <c r="A17" s="117"/>
      <c r="B17" s="81" t="s">
        <v>106</v>
      </c>
      <c r="C17" s="51">
        <f>IF(SUM($Z$208:$Z$222)&gt;0,AVERAGEIF($Z$208:$Z$222,"&lt;&gt;0"),0)</f>
        <v>4</v>
      </c>
      <c r="D17" s="51">
        <f>IF(SUM($AI$208:$AI$222)&gt;0,AVERAGEIF($AI$208:$AI$222,"&lt;&gt;0"),0)</f>
        <v>27.096500655237321</v>
      </c>
      <c r="E17" s="47">
        <f>SUMIFS([2]!Table2_23[FIS PAX],[2]!Table2_23[ETA],"&gt;1545",[2]!Table2_23[ETA],"&lt;1601")</f>
        <v>615</v>
      </c>
      <c r="F17" s="119">
        <f>M208</f>
        <v>3</v>
      </c>
      <c r="G17" s="119">
        <f t="shared" ref="G17:I17" si="11">N208</f>
        <v>6</v>
      </c>
      <c r="H17" s="119">
        <f t="shared" si="11"/>
        <v>1</v>
      </c>
      <c r="I17" s="119">
        <f t="shared" si="11"/>
        <v>1</v>
      </c>
      <c r="J17" s="46">
        <f>U17</f>
        <v>11</v>
      </c>
      <c r="K17" s="73"/>
      <c r="L17" s="188"/>
      <c r="M17" s="189"/>
      <c r="N17" s="89"/>
      <c r="O17" s="73"/>
      <c r="P17" s="134" t="s">
        <v>106</v>
      </c>
      <c r="Q17" s="74">
        <v>3</v>
      </c>
      <c r="R17" s="74">
        <v>6</v>
      </c>
      <c r="S17" s="73">
        <v>1</v>
      </c>
      <c r="T17" s="73">
        <v>1</v>
      </c>
      <c r="U17" s="123">
        <f t="shared" si="2"/>
        <v>11</v>
      </c>
      <c r="V17" s="141">
        <v>11</v>
      </c>
      <c r="W17" s="117"/>
      <c r="X17" s="117"/>
      <c r="Y17" s="117"/>
      <c r="Z17" s="117"/>
      <c r="AA17" s="117"/>
      <c r="AB17" s="117"/>
      <c r="AC17" s="117"/>
    </row>
    <row r="18" spans="1:29" x14ac:dyDescent="0.35">
      <c r="A18" s="117"/>
      <c r="B18" s="81" t="s">
        <v>107</v>
      </c>
      <c r="C18" s="51">
        <f>IF(SUM($Z$223:$Z$237)&gt;0,AVERAGEIF($Z$223:$Z$237,"&lt;&gt;0"),0)</f>
        <v>8.3333333333333339</v>
      </c>
      <c r="D18" s="51">
        <f>IF(SUM($AI$223:$AI$237)&gt;0,AVERAGEIF($AI$223:$AI$237,"&lt;&gt;0"),0)</f>
        <v>33.454518712144449</v>
      </c>
      <c r="E18" s="47">
        <f>SUMIFS([2]!Table2_23[FIS PAX],[2]!Table2_23[ETA],"&gt;1600",[2]!Table2_23[ETA],"&lt;1616")</f>
        <v>0</v>
      </c>
      <c r="F18" s="119">
        <f>M223</f>
        <v>3</v>
      </c>
      <c r="G18" s="119">
        <f t="shared" ref="G18:I18" si="12">N223</f>
        <v>7</v>
      </c>
      <c r="H18" s="119">
        <f t="shared" si="12"/>
        <v>1</v>
      </c>
      <c r="I18" s="119">
        <f t="shared" si="12"/>
        <v>0</v>
      </c>
      <c r="J18" s="46">
        <f>U18</f>
        <v>11</v>
      </c>
      <c r="K18" s="73"/>
      <c r="L18" s="188"/>
      <c r="M18" s="189"/>
      <c r="N18" s="89"/>
      <c r="O18" s="73"/>
      <c r="P18" s="134" t="s">
        <v>107</v>
      </c>
      <c r="Q18" s="74">
        <v>3</v>
      </c>
      <c r="R18" s="74">
        <v>6</v>
      </c>
      <c r="S18" s="73">
        <v>1</v>
      </c>
      <c r="T18" s="73">
        <v>1</v>
      </c>
      <c r="U18" s="123">
        <f t="shared" si="2"/>
        <v>11</v>
      </c>
      <c r="V18" s="141">
        <v>11</v>
      </c>
      <c r="W18" s="117"/>
      <c r="X18" s="117"/>
      <c r="Y18" s="117"/>
      <c r="Z18" s="117"/>
      <c r="AA18" s="117"/>
      <c r="AB18" s="117"/>
      <c r="AC18" s="117"/>
    </row>
    <row r="19" spans="1:29" ht="14.5" customHeight="1" x14ac:dyDescent="0.35">
      <c r="A19" s="117"/>
      <c r="B19" s="81" t="s">
        <v>108</v>
      </c>
      <c r="C19" s="51">
        <f>IF(SUM($Z$238:$Z$252)&gt;0,AVERAGEIF($Z$238:$Z$252,"&lt;&gt;0"),0)</f>
        <v>14.333333333333334</v>
      </c>
      <c r="D19" s="51">
        <f>IF(SUM($AI$238:$AI$252)&gt;0,AVERAGEIF($AI$238:$AI$252,"&lt;&gt;0"),0)</f>
        <v>42.3877514552061</v>
      </c>
      <c r="E19" s="47">
        <f>SUMIFS([2]!Table2_23[FIS PAX],[2]!Table2_23[ETA],"&gt;1615",[2]!Table2_23[ETA],"&lt;1631")</f>
        <v>139</v>
      </c>
      <c r="F19" s="119">
        <f>M238</f>
        <v>3</v>
      </c>
      <c r="G19" s="119">
        <f t="shared" ref="G19:I19" si="13">N238</f>
        <v>6</v>
      </c>
      <c r="H19" s="119">
        <f t="shared" si="13"/>
        <v>1</v>
      </c>
      <c r="I19" s="119">
        <f t="shared" si="13"/>
        <v>1</v>
      </c>
      <c r="J19" s="46">
        <f>U19</f>
        <v>11</v>
      </c>
      <c r="K19" s="73"/>
      <c r="L19" s="188" t="s">
        <v>214</v>
      </c>
      <c r="M19" s="189">
        <f>(COUNTIFS(AJ42:AM342,"&lt;&gt;0",AJ42:AM342,"&lt;75")/COUNTIF(AJ42:AM342,"&lt;&gt;0"))*100</f>
        <v>100</v>
      </c>
      <c r="N19" s="89"/>
      <c r="O19" s="73"/>
      <c r="P19" s="134" t="s">
        <v>108</v>
      </c>
      <c r="Q19" s="74">
        <v>3</v>
      </c>
      <c r="R19" s="74">
        <v>6</v>
      </c>
      <c r="S19" s="73">
        <v>1</v>
      </c>
      <c r="T19" s="73">
        <v>1</v>
      </c>
      <c r="U19" s="123">
        <f t="shared" si="2"/>
        <v>11</v>
      </c>
      <c r="V19" s="141">
        <v>11</v>
      </c>
      <c r="W19" s="117"/>
      <c r="X19" s="117"/>
      <c r="Y19" s="117"/>
      <c r="Z19" s="117"/>
      <c r="AA19" s="117"/>
      <c r="AB19" s="117"/>
      <c r="AC19" s="117"/>
    </row>
    <row r="20" spans="1:29" x14ac:dyDescent="0.35">
      <c r="A20" s="117"/>
      <c r="B20" s="81" t="s">
        <v>109</v>
      </c>
      <c r="C20" s="51">
        <f>IF(SUM($Z$253:$Z$267)&gt;0,AVERAGEIF($Z$253:$Z$267,"&lt;&gt;0"),0)</f>
        <v>13.133333333333333</v>
      </c>
      <c r="D20" s="51">
        <f>IF(SUM($AI$253:$AI$267)&gt;0,AVERAGEIF($AI$253:$AI$267,"&lt;&gt;0"),0)</f>
        <v>40.839432996335894</v>
      </c>
      <c r="E20" s="47">
        <f>SUMIFS([2]!Table2_23[FIS PAX],[2]!Table2_23[ETA],"&gt;1630",[2]!Table2_23[ETA],"&lt;1646")</f>
        <v>0</v>
      </c>
      <c r="F20" s="119">
        <f>M253</f>
        <v>3</v>
      </c>
      <c r="G20" s="119">
        <f t="shared" ref="G20:I20" si="14">N253</f>
        <v>7</v>
      </c>
      <c r="H20" s="119">
        <f t="shared" si="14"/>
        <v>1</v>
      </c>
      <c r="I20" s="119">
        <f t="shared" si="14"/>
        <v>0</v>
      </c>
      <c r="J20" s="46">
        <f>U20</f>
        <v>11</v>
      </c>
      <c r="K20" s="73"/>
      <c r="L20" s="188"/>
      <c r="M20" s="189"/>
      <c r="N20" s="89"/>
      <c r="O20" s="73"/>
      <c r="P20" s="134" t="s">
        <v>109</v>
      </c>
      <c r="Q20" s="74">
        <v>3</v>
      </c>
      <c r="R20" s="74">
        <v>6</v>
      </c>
      <c r="S20" s="73">
        <v>1</v>
      </c>
      <c r="T20" s="73">
        <v>1</v>
      </c>
      <c r="U20" s="123">
        <f t="shared" si="2"/>
        <v>11</v>
      </c>
      <c r="V20" s="141">
        <v>11</v>
      </c>
      <c r="W20" s="117"/>
      <c r="X20" s="117"/>
      <c r="Y20" s="117"/>
      <c r="Z20" s="117"/>
      <c r="AA20" s="117"/>
      <c r="AB20" s="117"/>
      <c r="AC20" s="117"/>
    </row>
    <row r="21" spans="1:29" x14ac:dyDescent="0.35">
      <c r="A21" s="117"/>
      <c r="B21" s="81" t="s">
        <v>110</v>
      </c>
      <c r="C21" s="51">
        <f>IF(SUM($Z$268:$Z$282)&gt;0,AVERAGEIF($Z$268:$Z$282,"&lt;&gt;0"),0)</f>
        <v>6.2</v>
      </c>
      <c r="D21" s="51">
        <f>IF(SUM($AI$268:$AI$282)&gt;0,AVERAGEIF($AI$268:$AI$282,"&lt;&gt;0"),0)</f>
        <v>32.747117536112022</v>
      </c>
      <c r="E21" s="47">
        <f>SUMIFS([2]!Table2_23[FIS PAX],[2]!Table2_23[ETA],"&gt;1645",[2]!Table2_23[ETA],"&lt;1701")</f>
        <v>272</v>
      </c>
      <c r="F21" s="119">
        <f>M268</f>
        <v>3</v>
      </c>
      <c r="G21" s="119">
        <f t="shared" ref="G21:I21" si="15">N268</f>
        <v>7</v>
      </c>
      <c r="H21" s="119">
        <f t="shared" si="15"/>
        <v>0</v>
      </c>
      <c r="I21" s="119">
        <f t="shared" si="15"/>
        <v>1</v>
      </c>
      <c r="J21" s="46">
        <f>U21</f>
        <v>11</v>
      </c>
      <c r="K21" s="73"/>
      <c r="L21" s="188"/>
      <c r="M21" s="189"/>
      <c r="N21" s="89"/>
      <c r="O21" s="73"/>
      <c r="P21" s="134" t="s">
        <v>110</v>
      </c>
      <c r="Q21" s="74">
        <v>3</v>
      </c>
      <c r="R21" s="74">
        <v>6</v>
      </c>
      <c r="S21" s="73">
        <v>1</v>
      </c>
      <c r="T21" s="73">
        <v>1</v>
      </c>
      <c r="U21" s="123">
        <f t="shared" si="2"/>
        <v>11</v>
      </c>
      <c r="V21" s="141">
        <v>11</v>
      </c>
      <c r="W21" s="117"/>
      <c r="X21" s="117"/>
      <c r="Y21" s="117"/>
      <c r="Z21" s="117"/>
      <c r="AA21" s="117"/>
      <c r="AB21" s="117"/>
      <c r="AC21" s="117"/>
    </row>
    <row r="22" spans="1:29" ht="14.5" customHeight="1" x14ac:dyDescent="0.35">
      <c r="A22" s="117"/>
      <c r="B22" s="81" t="s">
        <v>111</v>
      </c>
      <c r="C22" s="51">
        <f>IF(SUM($Z$283:$Z$297)&gt;0,AVERAGEIF($Z$283:$Z$297,"&lt;&gt;0"),0)</f>
        <v>6.8</v>
      </c>
      <c r="D22" s="51">
        <f>IF(SUM($AI$283:$AI$297)&gt;0,AVERAGEIF($AI$283:$AI$297,"&lt;&gt;0"),0)</f>
        <v>34.915046780932343</v>
      </c>
      <c r="E22" s="47">
        <f>SUMIFS([2]!Table2_23[FIS PAX],[2]!Table2_23[ETA],"&gt;1700",[2]!Table2_23[ETA],"&lt;1716")</f>
        <v>104</v>
      </c>
      <c r="F22" s="119">
        <f>M283</f>
        <v>3</v>
      </c>
      <c r="G22" s="119">
        <f t="shared" ref="G22:I22" si="16">N283</f>
        <v>7</v>
      </c>
      <c r="H22" s="119">
        <f t="shared" si="16"/>
        <v>1</v>
      </c>
      <c r="I22" s="119">
        <f t="shared" si="16"/>
        <v>0</v>
      </c>
      <c r="J22" s="46">
        <f>U22</f>
        <v>11</v>
      </c>
      <c r="K22" s="73"/>
      <c r="L22" s="188" t="s">
        <v>212</v>
      </c>
      <c r="M22" s="248">
        <f>(COUNTIFS(V42:Y342,"&gt;0",V42:Y342,"&lt;=41"))/(COUNTIF(V42:Y342,"&gt;0"))*100</f>
        <v>100</v>
      </c>
      <c r="N22" s="89"/>
      <c r="O22" s="73"/>
      <c r="P22" s="134" t="s">
        <v>111</v>
      </c>
      <c r="Q22" s="74">
        <v>3</v>
      </c>
      <c r="R22" s="74">
        <v>6</v>
      </c>
      <c r="S22" s="73">
        <v>1</v>
      </c>
      <c r="T22" s="73">
        <v>1</v>
      </c>
      <c r="U22" s="123">
        <f t="shared" si="2"/>
        <v>11</v>
      </c>
      <c r="V22" s="141">
        <v>11</v>
      </c>
      <c r="W22" s="117"/>
      <c r="X22" s="117"/>
      <c r="Y22" s="117"/>
      <c r="Z22" s="117"/>
      <c r="AA22" s="117"/>
      <c r="AB22" s="117"/>
      <c r="AC22" s="117"/>
    </row>
    <row r="23" spans="1:29" ht="14.5" customHeight="1" x14ac:dyDescent="0.35">
      <c r="A23" s="117"/>
      <c r="B23" s="81" t="s">
        <v>112</v>
      </c>
      <c r="C23" s="51">
        <f>IF(SUM($Z$298:$Z$312)&gt;0,AVERAGEIF($Z$298:$Z$312,"&lt;&gt;0"),0)</f>
        <v>5.4666666666666668</v>
      </c>
      <c r="D23" s="51">
        <f>IF(SUM($AI$298:$AI$312)&gt;0,AVERAGEIF($AI$298:$AI$312,"&lt;&gt;0"),0)</f>
        <v>33.053563160136221</v>
      </c>
      <c r="E23" s="47">
        <f>SUMIFS([2]!Table2_23[FIS PAX],[2]!Table2_23[ETA],"&gt;1715",[2]!Table2_23[ETA],"&lt;1731")</f>
        <v>0</v>
      </c>
      <c r="F23" s="119">
        <f>M298</f>
        <v>3</v>
      </c>
      <c r="G23" s="119">
        <f t="shared" ref="G23:I23" si="17">N298</f>
        <v>6</v>
      </c>
      <c r="H23" s="119">
        <f t="shared" si="17"/>
        <v>1</v>
      </c>
      <c r="I23" s="119">
        <f t="shared" si="17"/>
        <v>1</v>
      </c>
      <c r="J23" s="46">
        <f>U23</f>
        <v>11</v>
      </c>
      <c r="K23" s="73"/>
      <c r="L23" s="188"/>
      <c r="M23" s="249"/>
      <c r="N23" s="89"/>
      <c r="O23" s="73"/>
      <c r="P23" s="134" t="s">
        <v>112</v>
      </c>
      <c r="Q23" s="74">
        <v>3</v>
      </c>
      <c r="R23" s="74">
        <v>6</v>
      </c>
      <c r="S23" s="73">
        <v>1</v>
      </c>
      <c r="T23" s="73">
        <v>1</v>
      </c>
      <c r="U23" s="123">
        <f t="shared" si="2"/>
        <v>11</v>
      </c>
      <c r="V23" s="141">
        <v>11</v>
      </c>
      <c r="W23" s="117"/>
      <c r="X23" s="117"/>
      <c r="Y23" s="117"/>
      <c r="Z23" s="117"/>
      <c r="AA23" s="117"/>
      <c r="AB23" s="117"/>
      <c r="AC23" s="117"/>
    </row>
    <row r="24" spans="1:29" x14ac:dyDescent="0.35">
      <c r="A24" s="117"/>
      <c r="B24" s="77" t="s">
        <v>113</v>
      </c>
      <c r="C24" s="51">
        <f>IF(SUM($Z$313:$Z$327)&gt;0,AVERAGEIF($Z$313:$Z$327,"&lt;&gt;0"),0)</f>
        <v>1.3333333333333333</v>
      </c>
      <c r="D24" s="51">
        <f>IF(SUM($AI$313:$AI$327)&gt;0,AVERAGEIF($AI$313:$AI$327,"&lt;&gt;0"),0)</f>
        <v>12.165886293940005</v>
      </c>
      <c r="E24" s="47">
        <f>SUMIFS([2]!Table2_23[FIS PAX],[2]!Table2_23[ETA],"&gt;1730",[2]!Table2_23[ETA],"&lt;1746")</f>
        <v>0</v>
      </c>
      <c r="F24" s="119">
        <f>M313</f>
        <v>3</v>
      </c>
      <c r="G24" s="119">
        <f t="shared" ref="G24:I24" si="18">N313</f>
        <v>8</v>
      </c>
      <c r="H24" s="119">
        <f t="shared" si="18"/>
        <v>0</v>
      </c>
      <c r="I24" s="119">
        <f t="shared" si="18"/>
        <v>0</v>
      </c>
      <c r="J24" s="46">
        <f>U24</f>
        <v>11</v>
      </c>
      <c r="K24" s="74"/>
      <c r="L24" s="188"/>
      <c r="M24" s="249"/>
      <c r="N24" s="130"/>
      <c r="O24" s="74"/>
      <c r="P24" s="133" t="s">
        <v>113</v>
      </c>
      <c r="Q24" s="74">
        <v>3</v>
      </c>
      <c r="R24" s="74">
        <v>6</v>
      </c>
      <c r="S24" s="73">
        <v>1</v>
      </c>
      <c r="T24" s="73">
        <v>1</v>
      </c>
      <c r="U24" s="123">
        <f t="shared" si="2"/>
        <v>11</v>
      </c>
      <c r="V24" s="141">
        <v>11</v>
      </c>
      <c r="W24" s="117"/>
      <c r="X24" s="117"/>
      <c r="Y24" s="117"/>
      <c r="Z24" s="117"/>
      <c r="AA24" s="117"/>
      <c r="AB24" s="117"/>
      <c r="AC24" s="117"/>
    </row>
    <row r="25" spans="1:29" ht="15" thickBot="1" x14ac:dyDescent="0.4">
      <c r="A25" s="117"/>
      <c r="B25" s="84" t="s">
        <v>114</v>
      </c>
      <c r="C25" s="250">
        <f>IF(SUM($Z$328:$Z$342)&gt;0,AVERAGEIF($Z$328:$Z$342,"&lt;&gt;0"),0)</f>
        <v>0</v>
      </c>
      <c r="D25" s="250">
        <f>IF(SUM($AI$328:$AI$342)&gt;0,AVERAGEIF($AI$328:$AI$342,"&lt;&gt;0"),0)</f>
        <v>0</v>
      </c>
      <c r="E25" s="53">
        <f>SUMIFS([2]!Table2_23[FIS PAX],[2]!Table2_23[ETA],"&gt;1745",[2]!Table2_23[ETA],"&lt;1801")</f>
        <v>0</v>
      </c>
      <c r="F25" s="131">
        <f>M328</f>
        <v>0</v>
      </c>
      <c r="G25" s="131">
        <f t="shared" ref="G25:I25" si="19">N328</f>
        <v>11</v>
      </c>
      <c r="H25" s="131">
        <f t="shared" si="19"/>
        <v>0</v>
      </c>
      <c r="I25" s="131">
        <f t="shared" si="19"/>
        <v>0</v>
      </c>
      <c r="J25" s="54">
        <f>U25</f>
        <v>11</v>
      </c>
      <c r="K25" s="86"/>
      <c r="L25" s="251"/>
      <c r="M25" s="252"/>
      <c r="N25" s="132"/>
      <c r="O25" s="74"/>
      <c r="P25" s="136" t="s">
        <v>114</v>
      </c>
      <c r="Q25" s="86">
        <v>3</v>
      </c>
      <c r="R25" s="86">
        <v>6</v>
      </c>
      <c r="S25" s="92">
        <v>1</v>
      </c>
      <c r="T25" s="92">
        <v>1</v>
      </c>
      <c r="U25" s="137">
        <f t="shared" si="2"/>
        <v>11</v>
      </c>
      <c r="V25" s="142">
        <v>11</v>
      </c>
      <c r="W25" s="117"/>
      <c r="X25" s="117"/>
      <c r="Y25" s="117"/>
      <c r="Z25" s="117"/>
      <c r="AA25" s="117"/>
      <c r="AB25" s="117"/>
      <c r="AC25" s="117"/>
    </row>
    <row r="26" spans="1:29" x14ac:dyDescent="0.35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</row>
    <row r="27" spans="1:29" x14ac:dyDescent="0.35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</row>
    <row r="28" spans="1:29" x14ac:dyDescent="0.35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</row>
    <row r="29" spans="1:29" ht="15" thickBot="1" x14ac:dyDescent="0.4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</row>
    <row r="30" spans="1:29" ht="21" x14ac:dyDescent="0.5">
      <c r="A30" s="117"/>
      <c r="B30" s="167" t="s">
        <v>141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7"/>
      <c r="U30" s="220"/>
      <c r="V30" s="220"/>
      <c r="W30" s="220"/>
      <c r="X30" s="220"/>
      <c r="Y30" s="117"/>
      <c r="Z30" s="117"/>
      <c r="AA30" s="117"/>
    </row>
    <row r="31" spans="1:29" x14ac:dyDescent="0.35">
      <c r="A31" s="117"/>
      <c r="B31" s="88"/>
      <c r="C31" s="73"/>
      <c r="D31" s="73"/>
      <c r="E31" s="73"/>
      <c r="F31" s="73"/>
      <c r="G31" s="148"/>
      <c r="H31" s="178" t="s">
        <v>144</v>
      </c>
      <c r="I31" s="178"/>
      <c r="J31" s="178"/>
      <c r="K31" s="73"/>
      <c r="L31" s="73"/>
      <c r="M31" s="73"/>
      <c r="N31" s="73"/>
      <c r="O31" s="73"/>
      <c r="P31" s="73"/>
      <c r="Q31" s="73"/>
      <c r="R31" s="73"/>
      <c r="S31" s="179" t="s">
        <v>174</v>
      </c>
      <c r="T31" s="180"/>
      <c r="U31" s="73"/>
      <c r="V31" s="73"/>
      <c r="W31" s="73"/>
      <c r="X31" s="73"/>
      <c r="Y31" s="117"/>
      <c r="Z31" s="117"/>
      <c r="AA31" s="117"/>
    </row>
    <row r="32" spans="1:29" ht="29" customHeight="1" x14ac:dyDescent="0.35">
      <c r="A32" s="117"/>
      <c r="B32" s="181" t="s">
        <v>1</v>
      </c>
      <c r="C32" s="182"/>
      <c r="D32" s="73"/>
      <c r="E32" s="183" t="s">
        <v>133</v>
      </c>
      <c r="F32" s="183" t="s">
        <v>175</v>
      </c>
      <c r="G32" s="145"/>
      <c r="H32" s="25"/>
      <c r="I32" s="97" t="s">
        <v>146</v>
      </c>
      <c r="J32" s="97" t="s">
        <v>145</v>
      </c>
      <c r="K32" s="73"/>
      <c r="L32" s="183" t="s">
        <v>137</v>
      </c>
      <c r="M32" s="73"/>
      <c r="N32" s="183" t="s">
        <v>84</v>
      </c>
      <c r="O32" s="73"/>
      <c r="P32" s="186" t="s">
        <v>88</v>
      </c>
      <c r="Q32" s="183" t="s">
        <v>115</v>
      </c>
      <c r="R32" s="73"/>
      <c r="S32" s="80" t="s">
        <v>85</v>
      </c>
      <c r="T32" s="116">
        <v>16</v>
      </c>
      <c r="U32" s="117"/>
      <c r="V32" s="117"/>
      <c r="W32" s="117"/>
      <c r="X32" s="117"/>
      <c r="Y32" s="117"/>
      <c r="Z32" s="117"/>
      <c r="AA32" s="117"/>
    </row>
    <row r="33" spans="1:39" x14ac:dyDescent="0.35">
      <c r="A33" s="117"/>
      <c r="B33" s="98" t="s">
        <v>2</v>
      </c>
      <c r="C33" s="94">
        <v>0.55279999999999996</v>
      </c>
      <c r="D33" s="73"/>
      <c r="E33" s="184"/>
      <c r="F33" s="184"/>
      <c r="G33" s="146"/>
      <c r="H33" s="80" t="s">
        <v>2</v>
      </c>
      <c r="I33" s="95">
        <v>0.40386</v>
      </c>
      <c r="J33" s="80">
        <f>1/I33</f>
        <v>2.4761055811419799</v>
      </c>
      <c r="K33" s="73"/>
      <c r="L33" s="184"/>
      <c r="M33" s="73"/>
      <c r="N33" s="184"/>
      <c r="O33" s="73"/>
      <c r="P33" s="187"/>
      <c r="Q33" s="184"/>
      <c r="R33" s="73"/>
      <c r="S33" s="80" t="s">
        <v>39</v>
      </c>
      <c r="T33" s="116">
        <v>3</v>
      </c>
      <c r="U33" s="117"/>
      <c r="V33" s="117"/>
      <c r="W33" s="117"/>
      <c r="X33" s="117"/>
      <c r="Y33" s="117"/>
      <c r="Z33" s="117"/>
      <c r="AA33" s="117"/>
    </row>
    <row r="34" spans="1:39" x14ac:dyDescent="0.35">
      <c r="A34" s="117"/>
      <c r="B34" s="98" t="s">
        <v>3</v>
      </c>
      <c r="C34" s="94">
        <v>0.23730000000000001</v>
      </c>
      <c r="D34" s="73"/>
      <c r="E34" s="163">
        <v>18</v>
      </c>
      <c r="F34" s="165">
        <f>ROUNDUP(4.93,0)</f>
        <v>5</v>
      </c>
      <c r="G34" s="145"/>
      <c r="H34" s="80" t="s">
        <v>3</v>
      </c>
      <c r="I34" s="95">
        <v>1.7152540000000001</v>
      </c>
      <c r="J34" s="80">
        <f>1/I34</f>
        <v>0.58300403322190186</v>
      </c>
      <c r="K34" s="73"/>
      <c r="L34" s="184"/>
      <c r="M34" s="73"/>
      <c r="N34" s="184"/>
      <c r="O34" s="73"/>
      <c r="P34" s="187"/>
      <c r="Q34" s="184"/>
      <c r="R34" s="73"/>
      <c r="S34" s="80" t="s">
        <v>87</v>
      </c>
      <c r="T34" s="116">
        <v>10</v>
      </c>
      <c r="U34" s="117"/>
      <c r="V34" s="117"/>
      <c r="W34" s="117"/>
      <c r="X34" s="117"/>
      <c r="Y34" s="117"/>
      <c r="Z34" s="117"/>
      <c r="AA34" s="117"/>
    </row>
    <row r="35" spans="1:39" x14ac:dyDescent="0.35">
      <c r="A35" s="117"/>
      <c r="B35" s="98" t="s">
        <v>5</v>
      </c>
      <c r="C35" s="94">
        <v>0.1636</v>
      </c>
      <c r="D35" s="73"/>
      <c r="E35" s="163"/>
      <c r="F35" s="165"/>
      <c r="G35" s="146"/>
      <c r="H35" s="80" t="s">
        <v>5</v>
      </c>
      <c r="I35" s="95">
        <v>0.34260699999999999</v>
      </c>
      <c r="J35" s="80">
        <f>1/I35</f>
        <v>2.9187961717069411</v>
      </c>
      <c r="K35" s="73"/>
      <c r="L35" s="185"/>
      <c r="M35" s="73"/>
      <c r="N35" s="184"/>
      <c r="O35" s="73"/>
      <c r="P35" s="187"/>
      <c r="Q35" s="184"/>
      <c r="R35" s="73"/>
      <c r="S35" s="80" t="s">
        <v>86</v>
      </c>
      <c r="T35" s="116">
        <v>15</v>
      </c>
      <c r="U35" s="117"/>
      <c r="V35" s="117"/>
      <c r="W35" s="117"/>
      <c r="X35" s="117"/>
      <c r="Y35" s="117"/>
      <c r="Z35" s="117"/>
      <c r="AA35" s="117"/>
    </row>
    <row r="36" spans="1:39" ht="15" thickBot="1" x14ac:dyDescent="0.4">
      <c r="A36" s="117"/>
      <c r="B36" s="99" t="s">
        <v>4</v>
      </c>
      <c r="C36" s="100">
        <v>4.6300000000000001E-2</v>
      </c>
      <c r="D36" s="92"/>
      <c r="E36" s="164"/>
      <c r="F36" s="166"/>
      <c r="G36" s="147"/>
      <c r="H36" s="87" t="s">
        <v>4</v>
      </c>
      <c r="I36" s="101">
        <v>0.46287899999999998</v>
      </c>
      <c r="J36" s="87">
        <f>1/I36</f>
        <v>2.1603918086584182</v>
      </c>
      <c r="K36" s="92"/>
      <c r="L36" s="85">
        <v>0.9</v>
      </c>
      <c r="M36" s="92"/>
      <c r="N36" s="102">
        <f>ROUNDUP(4.05,0)</f>
        <v>5</v>
      </c>
      <c r="O36" s="92"/>
      <c r="P36" s="87">
        <v>8.3868649946370943E-2</v>
      </c>
      <c r="Q36" s="87">
        <f>1/P36</f>
        <v>11.923406429451781</v>
      </c>
      <c r="R36" s="92"/>
      <c r="S36" s="87" t="s">
        <v>126</v>
      </c>
      <c r="T36" s="55">
        <f>AVERAGE(T32:T35)</f>
        <v>11</v>
      </c>
      <c r="U36" s="117"/>
      <c r="V36" s="117"/>
      <c r="W36" s="117"/>
      <c r="X36" s="117"/>
      <c r="Y36" s="117"/>
      <c r="Z36" s="117"/>
      <c r="AA36" s="117"/>
    </row>
    <row r="37" spans="1:39" ht="15" thickBot="1" x14ac:dyDescent="0.4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</row>
    <row r="38" spans="1:39" ht="21" x14ac:dyDescent="0.5">
      <c r="A38" s="254"/>
      <c r="B38" s="255" t="s">
        <v>142</v>
      </c>
      <c r="C38" s="256"/>
      <c r="D38" s="256"/>
      <c r="E38" s="256"/>
      <c r="F38" s="256"/>
      <c r="G38" s="256"/>
      <c r="H38" s="256"/>
      <c r="I38" s="256"/>
      <c r="J38" s="256"/>
      <c r="K38" s="256"/>
      <c r="L38" s="256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7"/>
    </row>
    <row r="39" spans="1:39" x14ac:dyDescent="0.35">
      <c r="A39" s="276"/>
      <c r="B39" s="277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7"/>
      <c r="AA39" s="277"/>
      <c r="AB39" s="277"/>
      <c r="AC39" s="277"/>
      <c r="AD39" s="277"/>
      <c r="AE39" s="277"/>
      <c r="AF39" s="277"/>
      <c r="AG39" s="277"/>
      <c r="AH39" s="277"/>
      <c r="AI39" s="277"/>
      <c r="AJ39" s="277"/>
      <c r="AK39" s="277"/>
      <c r="AL39" s="277"/>
      <c r="AM39" s="278"/>
    </row>
    <row r="40" spans="1:39" ht="14.5" customHeight="1" x14ac:dyDescent="0.35">
      <c r="A40" s="88"/>
      <c r="B40" s="265" t="s">
        <v>147</v>
      </c>
      <c r="C40" s="266" t="s">
        <v>135</v>
      </c>
      <c r="D40" s="267"/>
      <c r="E40" s="266" t="s">
        <v>136</v>
      </c>
      <c r="F40" s="268"/>
      <c r="G40" s="268"/>
      <c r="H40" s="267"/>
      <c r="I40" s="266" t="s">
        <v>91</v>
      </c>
      <c r="J40" s="268"/>
      <c r="K40" s="268"/>
      <c r="L40" s="267"/>
      <c r="M40" s="266" t="s">
        <v>92</v>
      </c>
      <c r="N40" s="268"/>
      <c r="O40" s="268"/>
      <c r="P40" s="268"/>
      <c r="Q40" s="267"/>
      <c r="R40" s="266" t="s">
        <v>93</v>
      </c>
      <c r="S40" s="268"/>
      <c r="T40" s="268"/>
      <c r="U40" s="267"/>
      <c r="V40" s="266" t="s">
        <v>95</v>
      </c>
      <c r="W40" s="268"/>
      <c r="X40" s="268"/>
      <c r="Y40" s="267"/>
      <c r="Z40" s="269" t="s">
        <v>202</v>
      </c>
      <c r="AA40" s="270" t="s">
        <v>116</v>
      </c>
      <c r="AB40" s="270"/>
      <c r="AC40" s="270"/>
      <c r="AD40" s="270"/>
      <c r="AE40" s="270"/>
      <c r="AF40" s="271" t="s">
        <v>117</v>
      </c>
      <c r="AG40" s="271" t="s">
        <v>118</v>
      </c>
      <c r="AH40" s="272" t="s">
        <v>125</v>
      </c>
      <c r="AI40" s="273" t="s">
        <v>205</v>
      </c>
      <c r="AJ40" s="274" t="s">
        <v>183</v>
      </c>
      <c r="AK40" s="274"/>
      <c r="AL40" s="274"/>
      <c r="AM40" s="275"/>
    </row>
    <row r="41" spans="1:39" ht="29" x14ac:dyDescent="0.35">
      <c r="A41" s="258" t="s">
        <v>89</v>
      </c>
      <c r="B41" s="56" t="s">
        <v>90</v>
      </c>
      <c r="C41" s="50" t="s">
        <v>139</v>
      </c>
      <c r="D41" s="43" t="s">
        <v>134</v>
      </c>
      <c r="E41" s="24" t="s">
        <v>2</v>
      </c>
      <c r="F41" s="25" t="s">
        <v>6</v>
      </c>
      <c r="G41" s="25" t="s">
        <v>5</v>
      </c>
      <c r="H41" s="24" t="s">
        <v>4</v>
      </c>
      <c r="I41" s="24" t="s">
        <v>2</v>
      </c>
      <c r="J41" s="25" t="s">
        <v>6</v>
      </c>
      <c r="K41" s="25" t="s">
        <v>5</v>
      </c>
      <c r="L41" s="24" t="s">
        <v>4</v>
      </c>
      <c r="M41" s="24" t="s">
        <v>2</v>
      </c>
      <c r="N41" s="25" t="s">
        <v>6</v>
      </c>
      <c r="O41" s="25" t="s">
        <v>5</v>
      </c>
      <c r="P41" s="24" t="s">
        <v>4</v>
      </c>
      <c r="Q41" s="24" t="s">
        <v>94</v>
      </c>
      <c r="R41" s="24" t="s">
        <v>2</v>
      </c>
      <c r="S41" s="25" t="s">
        <v>6</v>
      </c>
      <c r="T41" s="25" t="s">
        <v>5</v>
      </c>
      <c r="U41" s="24" t="s">
        <v>4</v>
      </c>
      <c r="V41" s="24" t="s">
        <v>2</v>
      </c>
      <c r="W41" s="25" t="s">
        <v>6</v>
      </c>
      <c r="X41" s="25" t="s">
        <v>5</v>
      </c>
      <c r="Y41" s="24" t="s">
        <v>4</v>
      </c>
      <c r="Z41" s="24" t="s">
        <v>203</v>
      </c>
      <c r="AA41" s="24" t="s">
        <v>2</v>
      </c>
      <c r="AB41" s="25" t="s">
        <v>6</v>
      </c>
      <c r="AC41" s="25" t="s">
        <v>5</v>
      </c>
      <c r="AD41" s="24" t="s">
        <v>4</v>
      </c>
      <c r="AE41" s="31" t="s">
        <v>94</v>
      </c>
      <c r="AF41" s="31" t="s">
        <v>94</v>
      </c>
      <c r="AG41" s="31" t="s">
        <v>94</v>
      </c>
      <c r="AH41" s="223" t="s">
        <v>94</v>
      </c>
      <c r="AI41" s="31" t="s">
        <v>94</v>
      </c>
      <c r="AJ41" s="31" t="s">
        <v>127</v>
      </c>
      <c r="AK41" s="31" t="s">
        <v>213</v>
      </c>
      <c r="AL41" s="31" t="s">
        <v>129</v>
      </c>
      <c r="AM41" s="57" t="s">
        <v>4</v>
      </c>
    </row>
    <row r="42" spans="1:39" x14ac:dyDescent="0.35">
      <c r="A42" s="259">
        <v>1300</v>
      </c>
      <c r="B42" s="58">
        <f>SUMIF([2]!Table2_23[ETA],'FIS Optimal Model (2)'!A42,[2]!Table2_23[FIS PAX])</f>
        <v>0</v>
      </c>
      <c r="C42" s="44">
        <f>MIN($E$34,D42)</f>
        <v>0</v>
      </c>
      <c r="D42" s="52">
        <f>IF(B42=0,0,18)</f>
        <v>0</v>
      </c>
      <c r="E42" s="26">
        <f>ROUNDUP($C$33*C42,0)</f>
        <v>0</v>
      </c>
      <c r="F42" s="26">
        <f>ROUNDUP($C$34*C42,0)</f>
        <v>0</v>
      </c>
      <c r="G42" s="26">
        <f>ROUNDUP($C$35*C42,0)</f>
        <v>0</v>
      </c>
      <c r="H42" s="26">
        <f>ROUNDUP($C$36*C42,0)</f>
        <v>0</v>
      </c>
      <c r="I42" s="27">
        <v>0</v>
      </c>
      <c r="J42" s="27">
        <v>0</v>
      </c>
      <c r="K42" s="27">
        <v>0</v>
      </c>
      <c r="L42" s="27">
        <v>0</v>
      </c>
      <c r="M42" s="28">
        <f>Q6</f>
        <v>2</v>
      </c>
      <c r="N42" s="28">
        <f>R6</f>
        <v>2</v>
      </c>
      <c r="O42" s="28">
        <f>S6</f>
        <v>1</v>
      </c>
      <c r="P42" s="28">
        <f>T6</f>
        <v>1</v>
      </c>
      <c r="Q42" s="28">
        <f>SUM(M42:P42)</f>
        <v>6</v>
      </c>
      <c r="R42" s="22">
        <f>E42</f>
        <v>0</v>
      </c>
      <c r="S42" s="22">
        <f>F42</f>
        <v>0</v>
      </c>
      <c r="T42" s="22">
        <f>G42</f>
        <v>0</v>
      </c>
      <c r="U42" s="22">
        <f>H42</f>
        <v>0</v>
      </c>
      <c r="V42" s="21">
        <f>R42*$I$33</f>
        <v>0</v>
      </c>
      <c r="W42" s="21">
        <f>S42*$I$34</f>
        <v>0</v>
      </c>
      <c r="X42" s="21">
        <f>T42*$I$35</f>
        <v>0</v>
      </c>
      <c r="Y42" s="21">
        <f>U42*$I$36</f>
        <v>0</v>
      </c>
      <c r="Z42" s="221">
        <f>ROUNDUP(SUM(V42*$C$33,W42*$C$34,X42*$C$35,Y42*$C$36),0)</f>
        <v>0</v>
      </c>
      <c r="AA42" s="30">
        <f t="shared" ref="AA42:AA105" si="20">IF(R42&lt;&gt;0,($J$33*M42*$L$36),0)</f>
        <v>0</v>
      </c>
      <c r="AB42" s="30">
        <f t="shared" ref="AB42:AB105" si="21">IF(W42&lt;&gt;0,($J$34*N42*$L$36),0)</f>
        <v>0</v>
      </c>
      <c r="AC42" s="30">
        <f t="shared" ref="AC42:AC105" si="22">IF(X42&lt;&gt;0,($J$35*O42*$L$36),0)</f>
        <v>0</v>
      </c>
      <c r="AD42" s="30">
        <f t="shared" ref="AD42:AD105" si="23">IF(Y42&lt;&gt;0,($J$36*P42*$L$36),0)</f>
        <v>0</v>
      </c>
      <c r="AE42" s="32">
        <f>SUM(AA42:AD42)</f>
        <v>0</v>
      </c>
      <c r="AF42" s="33">
        <v>0</v>
      </c>
      <c r="AG42" s="40">
        <v>0</v>
      </c>
      <c r="AH42" s="224">
        <f>AG42*$P$36</f>
        <v>0</v>
      </c>
      <c r="AI42" s="226">
        <f>SUM(Z42,IF(Z42&lt;&gt;0,$F$34,0),IF(Z42&lt;&gt;0,$N$36,0),IF(Z42&lt;&gt;0,$T$36,0),IF(Z42=0,AH47,IF(Z42=1,AH48,IF(Z42=2,AH49,IF(Z42=3,AH50,IF(Z42=4,AH51,IF(Z42=5,AH52,IF(Z42=6,AH53,IF(Z42=7,AH54,IF(Z42=8,AH55,IF(Z42=9,AH56,IF(Z42=10,AH57,IF(Z42=11,AH58,IF(Z42=12,AH59,IF(Z42=13,AH60,IF(Z42=14,AH61,IF(Z42=15,AH62,IF(Z42=16,AH63,IF(Z42=17,AH64,IF(Z42=18,AH65,IF(Z42=19,AH66,IF(Z42=20,AH67,IF(Z42=21,AH68,IF(Z42=22,AH69,IF(Z42=23,AH70,IF(Z42=24,AH71,IF(Z42=25,AH72,IF(Z42=26,AH73,IF(Z42=27,AH74,IF(Z42=28,AH75,IF(Z42=29,AH76,IF(Z42=30,AH77))))))))))))))))))))))))))))))))</f>
        <v>0</v>
      </c>
      <c r="AJ42" s="253">
        <f>IF(V42&lt;&gt;0,SUM($F$34,V42,$N$36,MAX($AH$42:$AH$342),$T$36),0)</f>
        <v>0</v>
      </c>
      <c r="AK42" s="253">
        <f>IF(W42&lt;&gt;0,SUM($F$34,W42,$N$36,MAX($AH$42:$AH$342),$T$36),0)</f>
        <v>0</v>
      </c>
      <c r="AL42" s="253">
        <f>IF(X42&lt;&gt;0,SUM($F$34,X42,$N$36,MAX($AH$42:$AH$342),$T$36),0)</f>
        <v>0</v>
      </c>
      <c r="AM42" s="260">
        <f>IF(Y42&lt;&gt;0,SUM($F$34,Y42,$N$36,MAX($AH$42:$AH$342),$T$36),0)</f>
        <v>0</v>
      </c>
    </row>
    <row r="43" spans="1:39" x14ac:dyDescent="0.35">
      <c r="A43" s="259">
        <v>1301</v>
      </c>
      <c r="B43" s="58">
        <f>SUMIF([2]!Table2_23[ETA],'FIS Optimal Model (2)'!A43,[2]!Table2_23[FIS PAX])</f>
        <v>0</v>
      </c>
      <c r="C43" s="44">
        <f>IF((D42-D43)&gt;-1,(D42-D43),18)</f>
        <v>0</v>
      </c>
      <c r="D43" s="52">
        <v>0</v>
      </c>
      <c r="E43" s="26">
        <f t="shared" ref="E43:E106" si="24">ROUNDUP($C$33*C43,0)</f>
        <v>0</v>
      </c>
      <c r="F43" s="26">
        <f t="shared" ref="F43:F106" si="25">ROUNDUP($C$34*C43,0)</f>
        <v>0</v>
      </c>
      <c r="G43" s="26">
        <f t="shared" ref="G43:G106" si="26">ROUNDUP($C$35*C43,0)</f>
        <v>0</v>
      </c>
      <c r="H43" s="26">
        <f t="shared" ref="H43:H106" si="27">ROUNDUP($C$36*C43,0)</f>
        <v>0</v>
      </c>
      <c r="I43" s="27">
        <v>0</v>
      </c>
      <c r="J43" s="27">
        <v>0</v>
      </c>
      <c r="K43" s="27">
        <v>0</v>
      </c>
      <c r="L43" s="27">
        <v>0</v>
      </c>
      <c r="M43" s="28">
        <f>IF(R42=0,0,$Q$6)</f>
        <v>0</v>
      </c>
      <c r="N43" s="29">
        <f>$U$6-M43-O43-P43</f>
        <v>6</v>
      </c>
      <c r="O43" s="28">
        <f>IF(T42=0,0,$S$6)</f>
        <v>0</v>
      </c>
      <c r="P43" s="28">
        <f>IF(U42=0,0,$T$6)</f>
        <v>0</v>
      </c>
      <c r="Q43" s="28">
        <f t="shared" ref="Q43:Q106" si="28">SUM(M43:P43)</f>
        <v>6</v>
      </c>
      <c r="R43" s="22">
        <f>ROUNDUP(MAX(R42-($J$33*M43*$L$36)+I43,0),0)</f>
        <v>0</v>
      </c>
      <c r="S43" s="22">
        <f>ROUNDUP(IF(U43&lt;&gt;0,(MAX(S42-($J$34*N43*$L$36)+J43,0)),(MAX(S42-($J$34*(N43+P43)*$L$36)+J43,0))),0)</f>
        <v>0</v>
      </c>
      <c r="T43" s="22">
        <f>ROUNDUP(MAX(T42-($J$35*O43*$L$36)+K43,0),0)</f>
        <v>0</v>
      </c>
      <c r="U43" s="22">
        <f>ROUNDUP(MAX(U42-($J$36*P43*$L$36)+L43,0),0)</f>
        <v>0</v>
      </c>
      <c r="V43" s="21">
        <f>IFERROR(R43*($I$33/M43),0)</f>
        <v>0</v>
      </c>
      <c r="W43" s="21">
        <f>S43*($I$34/N43)</f>
        <v>0</v>
      </c>
      <c r="X43" s="21">
        <f>IFERROR(T43*($I$35/O43),0)</f>
        <v>0</v>
      </c>
      <c r="Y43" s="21">
        <f>IFERROR(U43*($I$36/P43),0)</f>
        <v>0</v>
      </c>
      <c r="Z43" s="221">
        <f t="shared" ref="Z43:Z106" si="29">ROUNDUP(SUM(V43*$C$33,W43*$C$34,X43*$C$35,Y43*$C$36),0)</f>
        <v>0</v>
      </c>
      <c r="AA43" s="30">
        <f t="shared" si="20"/>
        <v>0</v>
      </c>
      <c r="AB43" s="30">
        <f t="shared" si="21"/>
        <v>0</v>
      </c>
      <c r="AC43" s="30">
        <f t="shared" si="22"/>
        <v>0</v>
      </c>
      <c r="AD43" s="30">
        <f t="shared" si="23"/>
        <v>0</v>
      </c>
      <c r="AE43" s="32">
        <f t="shared" ref="AE43:AE106" si="30">SUM(AA43:AD43)</f>
        <v>0</v>
      </c>
      <c r="AF43" s="33">
        <v>0</v>
      </c>
      <c r="AG43" s="40">
        <f t="shared" ref="AG43:AG106" si="31">MAX(AG42-$Q$36+AF43,0)</f>
        <v>0</v>
      </c>
      <c r="AH43" s="224">
        <f>AG43*$P$36</f>
        <v>0</v>
      </c>
      <c r="AI43" s="226">
        <f>SUM(Z43,IF(Z43&lt;&gt;0,$F$34,0),IF(Z43&lt;&gt;0,$N$36,0),IF(Z43&lt;&gt;0,$T$36,0),IF(Z43=0,AH48,IF(Z43=1,AH49,IF(Z43=2,AH50,IF(Z43=3,AH51,IF(Z43=4,AH52,IF(Z43=5,AH53,IF(Z43=6,AH54,IF(Z43=7,AH55,IF(Z43=8,AH56,IF(Z43=9,AH57,IF(Z43=10,AH58,IF(Z43=11,AH59,IF(Z43=12,AH60,IF(Z43=13,AH61,IF(Z43=14,AH62,IF(Z43=15,AH63,IF(Z43=16,AH64,IF(Z43=17,AH65,IF(Z43=18,AH66,IF(Z43=19,AH67,IF(Z43=20,AH68,IF(Z43=21,AH69,IF(Z43=22,AH70,IF(Z43=23,AH71,IF(Z43=24,AH72,IF(Z43=25,AH73,IF(Z43=26,AH74,IF(Z43=27,AH75,IF(Z43=28,AH76,IF(Z43=29,AH77,IF(Z43=30,AH78))))))))))))))))))))))))))))))))</f>
        <v>0</v>
      </c>
      <c r="AJ43" s="253">
        <f>IF(V43&lt;&gt;0,SUM($F$34,V43,$N$36,MAX($AH$42:$AH$342),$T$36),0)</f>
        <v>0</v>
      </c>
      <c r="AK43" s="253">
        <f>IF(W43&lt;&gt;0,SUM($F$34,W43,$N$36,MAX($AH$42:$AH$342),$T$36),0)</f>
        <v>0</v>
      </c>
      <c r="AL43" s="253">
        <f>IF(X43&lt;&gt;0,SUM($F$34,X43,$N$36,MAX($AH$42:$AH$342),$T$36),0)</f>
        <v>0</v>
      </c>
      <c r="AM43" s="260">
        <f>IF(Y43&lt;&gt;0,SUM($F$34,Y43,$N$36,MAX($AH$42:$AH$342),$T$36),0)</f>
        <v>0</v>
      </c>
    </row>
    <row r="44" spans="1:39" x14ac:dyDescent="0.35">
      <c r="A44" s="259">
        <v>1302</v>
      </c>
      <c r="B44" s="58">
        <f>SUMIF([2]!Table2_23[ETA],'FIS Optimal Model (2)'!A44,[2]!Table2_23[FIS PAX])</f>
        <v>0</v>
      </c>
      <c r="C44" s="44">
        <f t="shared" ref="C44:C107" si="32">IF((D43-D44)&gt;-1,(D43-D44),18)</f>
        <v>0</v>
      </c>
      <c r="D44" s="52">
        <f>MAX(D43-$E$34+B43,0)</f>
        <v>0</v>
      </c>
      <c r="E44" s="26">
        <f t="shared" si="24"/>
        <v>0</v>
      </c>
      <c r="F44" s="26">
        <f t="shared" si="25"/>
        <v>0</v>
      </c>
      <c r="G44" s="26">
        <f t="shared" si="26"/>
        <v>0</v>
      </c>
      <c r="H44" s="26">
        <f t="shared" si="27"/>
        <v>0</v>
      </c>
      <c r="I44" s="27">
        <v>0</v>
      </c>
      <c r="J44" s="27">
        <v>0</v>
      </c>
      <c r="K44" s="27">
        <v>0</v>
      </c>
      <c r="L44" s="27">
        <v>0</v>
      </c>
      <c r="M44" s="28">
        <f>$M$43</f>
        <v>0</v>
      </c>
      <c r="N44" s="29">
        <f>$N$43</f>
        <v>6</v>
      </c>
      <c r="O44" s="28">
        <f>$O$43</f>
        <v>0</v>
      </c>
      <c r="P44" s="28">
        <f>$P$43</f>
        <v>0</v>
      </c>
      <c r="Q44" s="28">
        <f t="shared" si="28"/>
        <v>6</v>
      </c>
      <c r="R44" s="22">
        <f t="shared" ref="R44:R106" si="33">MAX(R43-($J$33*M44*$L$36)+I44,0)</f>
        <v>0</v>
      </c>
      <c r="S44" s="22">
        <f t="shared" ref="S44:S106" si="34">IF(U44&lt;&gt;0,(MAX(S43-($J$34*N44*$L$36)+J44,0)),(MAX(S43-($J$34*(N44+P44)*$L$36)+J44,0)))</f>
        <v>0</v>
      </c>
      <c r="T44" s="22">
        <f t="shared" ref="T44:T106" si="35">MAX(T43-($J$35*O44*$L$36)+K44,0)</f>
        <v>0</v>
      </c>
      <c r="U44" s="22">
        <f t="shared" ref="U44:U106" si="36">MAX(U43-($J$36*P44*$L$36)+L44,0)</f>
        <v>0</v>
      </c>
      <c r="V44" s="21">
        <f t="shared" ref="V44:V107" si="37">IFERROR(R44*($I$33/M44),0)</f>
        <v>0</v>
      </c>
      <c r="W44" s="21">
        <f t="shared" ref="W44:W107" si="38">S44*($I$34/N44)</f>
        <v>0</v>
      </c>
      <c r="X44" s="21">
        <f t="shared" ref="X44:X107" si="39">IFERROR(T44*($I$35/O44),0)</f>
        <v>0</v>
      </c>
      <c r="Y44" s="21">
        <f t="shared" ref="Y44:Y107" si="40">IFERROR(U44*($I$36/P44),0)</f>
        <v>0</v>
      </c>
      <c r="Z44" s="221">
        <f t="shared" si="29"/>
        <v>0</v>
      </c>
      <c r="AA44" s="30">
        <f t="shared" si="20"/>
        <v>0</v>
      </c>
      <c r="AB44" s="30">
        <f t="shared" si="21"/>
        <v>0</v>
      </c>
      <c r="AC44" s="30">
        <f t="shared" si="22"/>
        <v>0</v>
      </c>
      <c r="AD44" s="30">
        <f t="shared" si="23"/>
        <v>0</v>
      </c>
      <c r="AE44" s="32">
        <f t="shared" si="30"/>
        <v>0</v>
      </c>
      <c r="AF44" s="33">
        <v>0</v>
      </c>
      <c r="AG44" s="40">
        <f t="shared" si="31"/>
        <v>0</v>
      </c>
      <c r="AH44" s="224">
        <f>AG44*$P$36</f>
        <v>0</v>
      </c>
      <c r="AI44" s="226">
        <f>SUM(Z44,IF(Z44&lt;&gt;0,$F$34,0),IF(Z44&lt;&gt;0,$N$36,0),IF(Z44&lt;&gt;0,$T$36,0),IF(Z44=0,AH49,IF(Z44=1,AH50,IF(Z44=2,AH51,IF(Z44=3,AH52,IF(Z44=4,AH53,IF(Z44=5,AH54,IF(Z44=6,AH55,IF(Z44=7,AH56,IF(Z44=8,AH57,IF(Z44=9,AH58,IF(Z44=10,AH59,IF(Z44=11,AH60,IF(Z44=12,AH61,IF(Z44=13,AH62,IF(Z44=14,AH63,IF(Z44=15,AH64,IF(Z44=16,AH65,IF(Z44=17,AH66,IF(Z44=18,AH67,IF(Z44=19,AH68,IF(Z44=20,AH69,IF(Z44=21,AH70,IF(Z44=22,AH71,IF(Z44=23,AH72,IF(Z44=24,AH73,IF(Z44=25,AH74,IF(Z44=26,AH75,IF(Z44=27,AH76,IF(Z44=28,AH77,IF(Z44=29,AH78,IF(Z44=30,AH79))))))))))))))))))))))))))))))))</f>
        <v>0</v>
      </c>
      <c r="AJ44" s="253">
        <f>IF(V44&lt;&gt;0,SUM($F$34,V44,$N$36,MAX($AH$42:$AH$342),$T$36),0)</f>
        <v>0</v>
      </c>
      <c r="AK44" s="253">
        <f>IF(W44&lt;&gt;0,SUM($F$34,W44,$N$36,MAX($AH$42:$AH$342),$T$36),0)</f>
        <v>0</v>
      </c>
      <c r="AL44" s="253">
        <f>IF(X44&lt;&gt;0,SUM($F$34,X44,$N$36,MAX($AH$42:$AH$342),$T$36),0)</f>
        <v>0</v>
      </c>
      <c r="AM44" s="260">
        <f>IF(Y44&lt;&gt;0,SUM($F$34,Y44,$N$36,MAX($AH$42:$AH$342),$T$36),0)</f>
        <v>0</v>
      </c>
    </row>
    <row r="45" spans="1:39" x14ac:dyDescent="0.35">
      <c r="A45" s="259">
        <v>1303</v>
      </c>
      <c r="B45" s="58">
        <f>SUMIF([2]!Table2_23[ETA],'FIS Optimal Model (2)'!A45,[2]!Table2_23[FIS PAX])</f>
        <v>0</v>
      </c>
      <c r="C45" s="44">
        <f t="shared" si="32"/>
        <v>0</v>
      </c>
      <c r="D45" s="52">
        <f t="shared" ref="D45:D108" si="41">MAX(D44-$E$34+B44,0)</f>
        <v>0</v>
      </c>
      <c r="E45" s="26">
        <f t="shared" si="24"/>
        <v>0</v>
      </c>
      <c r="F45" s="26">
        <f t="shared" si="25"/>
        <v>0</v>
      </c>
      <c r="G45" s="26">
        <f t="shared" si="26"/>
        <v>0</v>
      </c>
      <c r="H45" s="26">
        <f t="shared" si="27"/>
        <v>0</v>
      </c>
      <c r="I45" s="27">
        <v>0</v>
      </c>
      <c r="J45" s="27">
        <v>0</v>
      </c>
      <c r="K45" s="27">
        <v>0</v>
      </c>
      <c r="L45" s="27">
        <v>0</v>
      </c>
      <c r="M45" s="28">
        <f t="shared" ref="M45:M57" si="42">$M$43</f>
        <v>0</v>
      </c>
      <c r="N45" s="29">
        <f t="shared" ref="N45:N57" si="43">$N$43</f>
        <v>6</v>
      </c>
      <c r="O45" s="28">
        <f t="shared" ref="O45:O57" si="44">$O$43</f>
        <v>0</v>
      </c>
      <c r="P45" s="28">
        <f t="shared" ref="P45:P57" si="45">$P$43</f>
        <v>0</v>
      </c>
      <c r="Q45" s="28">
        <f t="shared" si="28"/>
        <v>6</v>
      </c>
      <c r="R45" s="22">
        <f t="shared" si="33"/>
        <v>0</v>
      </c>
      <c r="S45" s="22">
        <f t="shared" si="34"/>
        <v>0</v>
      </c>
      <c r="T45" s="22">
        <f t="shared" si="35"/>
        <v>0</v>
      </c>
      <c r="U45" s="22">
        <f t="shared" si="36"/>
        <v>0</v>
      </c>
      <c r="V45" s="21">
        <f t="shared" si="37"/>
        <v>0</v>
      </c>
      <c r="W45" s="21">
        <f t="shared" si="38"/>
        <v>0</v>
      </c>
      <c r="X45" s="21">
        <f t="shared" si="39"/>
        <v>0</v>
      </c>
      <c r="Y45" s="21">
        <f t="shared" si="40"/>
        <v>0</v>
      </c>
      <c r="Z45" s="221">
        <f t="shared" si="29"/>
        <v>0</v>
      </c>
      <c r="AA45" s="30">
        <f t="shared" si="20"/>
        <v>0</v>
      </c>
      <c r="AB45" s="30">
        <f t="shared" si="21"/>
        <v>0</v>
      </c>
      <c r="AC45" s="30">
        <f t="shared" si="22"/>
        <v>0</v>
      </c>
      <c r="AD45" s="30">
        <f t="shared" si="23"/>
        <v>0</v>
      </c>
      <c r="AE45" s="32">
        <f t="shared" si="30"/>
        <v>0</v>
      </c>
      <c r="AF45" s="33">
        <v>0</v>
      </c>
      <c r="AG45" s="40">
        <f t="shared" si="31"/>
        <v>0</v>
      </c>
      <c r="AH45" s="224">
        <f>AG45*$P$36</f>
        <v>0</v>
      </c>
      <c r="AI45" s="226">
        <f>SUM(Z45,IF(Z45&lt;&gt;0,$F$34,0),IF(Z45&lt;&gt;0,$N$36,0),IF(Z45&lt;&gt;0,$T$36,0),IF(Z45=0,AH50,IF(Z45=1,AH51,IF(Z45=2,AH52,IF(Z45=3,AH53,IF(Z45=4,AH54,IF(Z45=5,AH55,IF(Z45=6,AH56,IF(Z45=7,AH57,IF(Z45=8,AH58,IF(Z45=9,AH59,IF(Z45=10,AH60,IF(Z45=11,AH61,IF(Z45=12,AH62,IF(Z45=13,AH63,IF(Z45=14,AH64,IF(Z45=15,AH65,IF(Z45=16,AH66,IF(Z45=17,AH67,IF(Z45=18,AH68,IF(Z45=19,AH69,IF(Z45=20,AH70,IF(Z45=21,AH71,IF(Z45=22,AH72,IF(Z45=23,AH73,IF(Z45=24,AH74,IF(Z45=25,AH75,IF(Z45=26,AH76,IF(Z45=27,AH77,IF(Z45=28,AH78,IF(Z45=29,AH79,IF(Z45=30,AH80))))))))))))))))))))))))))))))))</f>
        <v>0</v>
      </c>
      <c r="AJ45" s="253">
        <f>IF(V45&lt;&gt;0,SUM($F$34,V45,$N$36,MAX($AH$42:$AH$342),$T$36),0)</f>
        <v>0</v>
      </c>
      <c r="AK45" s="253">
        <f>IF(W45&lt;&gt;0,SUM($F$34,W45,$N$36,MAX($AH$42:$AH$342),$T$36),0)</f>
        <v>0</v>
      </c>
      <c r="AL45" s="253">
        <f>IF(X45&lt;&gt;0,SUM($F$34,X45,$N$36,MAX($AH$42:$AH$342),$T$36),0)</f>
        <v>0</v>
      </c>
      <c r="AM45" s="260">
        <f>IF(Y45&lt;&gt;0,SUM($F$34,Y45,$N$36,MAX($AH$42:$AH$342),$T$36),0)</f>
        <v>0</v>
      </c>
    </row>
    <row r="46" spans="1:39" x14ac:dyDescent="0.35">
      <c r="A46" s="259">
        <v>1304</v>
      </c>
      <c r="B46" s="58">
        <f>SUMIF([2]!Table2_23[ETA],'FIS Optimal Model (2)'!A46,[2]!Table2_23[FIS PAX])</f>
        <v>0</v>
      </c>
      <c r="C46" s="44">
        <f>IF((D45-D46)&gt;-1,(D45-D46),18)</f>
        <v>0</v>
      </c>
      <c r="D46" s="52">
        <f t="shared" si="41"/>
        <v>0</v>
      </c>
      <c r="E46" s="26">
        <f t="shared" si="24"/>
        <v>0</v>
      </c>
      <c r="F46" s="26">
        <f t="shared" si="25"/>
        <v>0</v>
      </c>
      <c r="G46" s="26">
        <f t="shared" si="26"/>
        <v>0</v>
      </c>
      <c r="H46" s="26">
        <f t="shared" si="27"/>
        <v>0</v>
      </c>
      <c r="I46" s="27">
        <v>0</v>
      </c>
      <c r="J46" s="27">
        <v>0</v>
      </c>
      <c r="K46" s="27">
        <v>0</v>
      </c>
      <c r="L46" s="27">
        <v>0</v>
      </c>
      <c r="M46" s="28">
        <f t="shared" si="42"/>
        <v>0</v>
      </c>
      <c r="N46" s="29">
        <f t="shared" si="43"/>
        <v>6</v>
      </c>
      <c r="O46" s="28">
        <f t="shared" si="44"/>
        <v>0</v>
      </c>
      <c r="P46" s="28">
        <f t="shared" si="45"/>
        <v>0</v>
      </c>
      <c r="Q46" s="28">
        <f t="shared" si="28"/>
        <v>6</v>
      </c>
      <c r="R46" s="22">
        <f t="shared" si="33"/>
        <v>0</v>
      </c>
      <c r="S46" s="22">
        <f t="shared" si="34"/>
        <v>0</v>
      </c>
      <c r="T46" s="22">
        <f t="shared" si="35"/>
        <v>0</v>
      </c>
      <c r="U46" s="22">
        <f t="shared" si="36"/>
        <v>0</v>
      </c>
      <c r="V46" s="21">
        <f t="shared" si="37"/>
        <v>0</v>
      </c>
      <c r="W46" s="21">
        <f t="shared" si="38"/>
        <v>0</v>
      </c>
      <c r="X46" s="21">
        <f t="shared" si="39"/>
        <v>0</v>
      </c>
      <c r="Y46" s="21">
        <f t="shared" si="40"/>
        <v>0</v>
      </c>
      <c r="Z46" s="221">
        <f t="shared" si="29"/>
        <v>0</v>
      </c>
      <c r="AA46" s="30">
        <f t="shared" si="20"/>
        <v>0</v>
      </c>
      <c r="AB46" s="30">
        <f t="shared" si="21"/>
        <v>0</v>
      </c>
      <c r="AC46" s="30">
        <f t="shared" si="22"/>
        <v>0</v>
      </c>
      <c r="AD46" s="30">
        <f t="shared" si="23"/>
        <v>0</v>
      </c>
      <c r="AE46" s="32">
        <f t="shared" si="30"/>
        <v>0</v>
      </c>
      <c r="AF46" s="33">
        <f>AE42</f>
        <v>0</v>
      </c>
      <c r="AG46" s="40">
        <f t="shared" si="31"/>
        <v>0</v>
      </c>
      <c r="AH46" s="224">
        <f>AG46*$P$36</f>
        <v>0</v>
      </c>
      <c r="AI46" s="226">
        <f>SUM(Z46,IF(Z46&lt;&gt;0,$F$34,0),IF(Z46&lt;&gt;0,$N$36,0),IF(Z46&lt;&gt;0,$T$36,0),IF(Z46=0,AH51,IF(Z46=1,AH52,IF(Z46=2,AH53,IF(Z46=3,AH54,IF(Z46=4,AH55,IF(Z46=5,AH56,IF(Z46=6,AH57,IF(Z46=7,AH58,IF(Z46=8,AH59,IF(Z46=9,AH60,IF(Z46=10,AH61,IF(Z46=11,AH62,IF(Z46=12,AH63,IF(Z46=13,AH64,IF(Z46=14,AH65,IF(Z46=15,AH66,IF(Z46=16,AH67,IF(Z46=17,AH68,IF(Z46=18,AH69,IF(Z46=19,AH70,IF(Z46=20,AH71,IF(Z46=21,AH72,IF(Z46=22,AH73,IF(Z46=23,AH74,IF(Z46=24,AH75,IF(Z46=25,AH76,IF(Z46=26,AH77,IF(Z46=27,AH78,IF(Z46=28,AH79,IF(Z46=29,AH80,IF(Z46=30,AH81))))))))))))))))))))))))))))))))</f>
        <v>0</v>
      </c>
      <c r="AJ46" s="253">
        <f>IF(V46&lt;&gt;0,SUM($F$34,V46,$N$36,MAX($AH$42:$AH$342),$T$36),0)</f>
        <v>0</v>
      </c>
      <c r="AK46" s="253">
        <f>IF(W46&lt;&gt;0,SUM($F$34,W46,$N$36,MAX($AH$42:$AH$342),$T$36),0)</f>
        <v>0</v>
      </c>
      <c r="AL46" s="253">
        <f>IF(X46&lt;&gt;0,SUM($F$34,X46,$N$36,MAX($AH$42:$AH$342),$T$36),0)</f>
        <v>0</v>
      </c>
      <c r="AM46" s="260">
        <f>IF(Y46&lt;&gt;0,SUM($F$34,Y46,$N$36,MAX($AH$42:$AH$342),$T$36),0)</f>
        <v>0</v>
      </c>
    </row>
    <row r="47" spans="1:39" x14ac:dyDescent="0.35">
      <c r="A47" s="259">
        <v>1305</v>
      </c>
      <c r="B47" s="58">
        <f>SUMIF([2]!Table2_23[ETA],'FIS Optimal Model (2)'!A47,[2]!Table2_23[FIS PAX])</f>
        <v>0</v>
      </c>
      <c r="C47" s="44">
        <f t="shared" si="32"/>
        <v>0</v>
      </c>
      <c r="D47" s="52">
        <f t="shared" si="41"/>
        <v>0</v>
      </c>
      <c r="E47" s="26">
        <f t="shared" si="24"/>
        <v>0</v>
      </c>
      <c r="F47" s="26">
        <f t="shared" si="25"/>
        <v>0</v>
      </c>
      <c r="G47" s="26">
        <f t="shared" si="26"/>
        <v>0</v>
      </c>
      <c r="H47" s="26">
        <f t="shared" si="27"/>
        <v>0</v>
      </c>
      <c r="I47" s="27">
        <f>E42</f>
        <v>0</v>
      </c>
      <c r="J47" s="27">
        <f t="shared" ref="J47:L62" si="46">F42</f>
        <v>0</v>
      </c>
      <c r="K47" s="27">
        <f t="shared" si="46"/>
        <v>0</v>
      </c>
      <c r="L47" s="27">
        <f t="shared" si="46"/>
        <v>0</v>
      </c>
      <c r="M47" s="28">
        <f t="shared" si="42"/>
        <v>0</v>
      </c>
      <c r="N47" s="29">
        <f t="shared" si="43"/>
        <v>6</v>
      </c>
      <c r="O47" s="28">
        <f t="shared" si="44"/>
        <v>0</v>
      </c>
      <c r="P47" s="28">
        <f t="shared" si="45"/>
        <v>0</v>
      </c>
      <c r="Q47" s="28">
        <f t="shared" si="28"/>
        <v>6</v>
      </c>
      <c r="R47" s="22">
        <f t="shared" si="33"/>
        <v>0</v>
      </c>
      <c r="S47" s="22">
        <f t="shared" si="34"/>
        <v>0</v>
      </c>
      <c r="T47" s="22">
        <f t="shared" si="35"/>
        <v>0</v>
      </c>
      <c r="U47" s="22">
        <f t="shared" si="36"/>
        <v>0</v>
      </c>
      <c r="V47" s="21">
        <f t="shared" si="37"/>
        <v>0</v>
      </c>
      <c r="W47" s="21">
        <f t="shared" si="38"/>
        <v>0</v>
      </c>
      <c r="X47" s="21">
        <f t="shared" si="39"/>
        <v>0</v>
      </c>
      <c r="Y47" s="21">
        <f t="shared" si="40"/>
        <v>0</v>
      </c>
      <c r="Z47" s="221">
        <f t="shared" si="29"/>
        <v>0</v>
      </c>
      <c r="AA47" s="30">
        <f t="shared" si="20"/>
        <v>0</v>
      </c>
      <c r="AB47" s="30">
        <f t="shared" si="21"/>
        <v>0</v>
      </c>
      <c r="AC47" s="30">
        <f t="shared" si="22"/>
        <v>0</v>
      </c>
      <c r="AD47" s="30">
        <f t="shared" si="23"/>
        <v>0</v>
      </c>
      <c r="AE47" s="32">
        <f t="shared" si="30"/>
        <v>0</v>
      </c>
      <c r="AF47" s="33">
        <f t="shared" ref="AF47:AF110" si="47">AE43</f>
        <v>0</v>
      </c>
      <c r="AG47" s="40">
        <f t="shared" si="31"/>
        <v>0</v>
      </c>
      <c r="AH47" s="224">
        <f>AG47*$P$36</f>
        <v>0</v>
      </c>
      <c r="AI47" s="226">
        <f>SUM(Z47,IF(Z47&lt;&gt;0,$F$34,0),IF(Z47&lt;&gt;0,$N$36,0),IF(Z47&lt;&gt;0,$T$36,0),IF(Z47=0,AH52,IF(Z47=1,AH53,IF(Z47=2,AH54,IF(Z47=3,AH55,IF(Z47=4,AH56,IF(Z47=5,AH57,IF(Z47=6,AH58,IF(Z47=7,AH59,IF(Z47=8,AH60,IF(Z47=9,AH61,IF(Z47=10,AH62,IF(Z47=11,AH63,IF(Z47=12,AH64,IF(Z47=13,AH65,IF(Z47=14,AH66,IF(Z47=15,AH67,IF(Z47=16,AH68,IF(Z47=17,AH69,IF(Z47=18,AH70,IF(Z47=19,AH71,IF(Z47=20,AH72,IF(Z47=21,AH73,IF(Z47=22,AH74,IF(Z47=23,AH75,IF(Z47=24,AH76,IF(Z47=25,AH77,IF(Z47=26,AH78,IF(Z47=27,AH79,IF(Z47=28,AH80,IF(Z47=29,AH81,IF(Z47=30,AH82))))))))))))))))))))))))))))))))</f>
        <v>0</v>
      </c>
      <c r="AJ47" s="253">
        <f>IF(V47&lt;&gt;0,SUM($F$34,V47,$N$36,MAX($AH$42:$AH$342),$T$36),0)</f>
        <v>0</v>
      </c>
      <c r="AK47" s="253">
        <f>IF(W47&lt;&gt;0,SUM($F$34,W47,$N$36,MAX($AH$42:$AH$342),$T$36),0)</f>
        <v>0</v>
      </c>
      <c r="AL47" s="253">
        <f>IF(X47&lt;&gt;0,SUM($F$34,X47,$N$36,MAX($AH$42:$AH$342),$T$36),0)</f>
        <v>0</v>
      </c>
      <c r="AM47" s="260">
        <f>IF(Y47&lt;&gt;0,SUM($F$34,Y47,$N$36,MAX($AH$42:$AH$342),$T$36),0)</f>
        <v>0</v>
      </c>
    </row>
    <row r="48" spans="1:39" x14ac:dyDescent="0.35">
      <c r="A48" s="259">
        <v>1306</v>
      </c>
      <c r="B48" s="58">
        <f>SUMIF([2]!Table2_23[ETA],'FIS Optimal Model (2)'!A48,[2]!Table2_23[FIS PAX])</f>
        <v>0</v>
      </c>
      <c r="C48" s="44">
        <f t="shared" si="32"/>
        <v>0</v>
      </c>
      <c r="D48" s="52">
        <f>MAX(D47-$E$34+B47,0)</f>
        <v>0</v>
      </c>
      <c r="E48" s="26">
        <f t="shared" si="24"/>
        <v>0</v>
      </c>
      <c r="F48" s="26">
        <f t="shared" si="25"/>
        <v>0</v>
      </c>
      <c r="G48" s="26">
        <f t="shared" si="26"/>
        <v>0</v>
      </c>
      <c r="H48" s="26">
        <f t="shared" si="27"/>
        <v>0</v>
      </c>
      <c r="I48" s="27">
        <f t="shared" ref="I48:L111" si="48">E43</f>
        <v>0</v>
      </c>
      <c r="J48" s="27">
        <f t="shared" si="46"/>
        <v>0</v>
      </c>
      <c r="K48" s="27">
        <f t="shared" si="46"/>
        <v>0</v>
      </c>
      <c r="L48" s="27">
        <f>H43</f>
        <v>0</v>
      </c>
      <c r="M48" s="28">
        <f t="shared" si="42"/>
        <v>0</v>
      </c>
      <c r="N48" s="29">
        <f t="shared" si="43"/>
        <v>6</v>
      </c>
      <c r="O48" s="28">
        <f t="shared" si="44"/>
        <v>0</v>
      </c>
      <c r="P48" s="28">
        <f t="shared" si="45"/>
        <v>0</v>
      </c>
      <c r="Q48" s="28">
        <f t="shared" si="28"/>
        <v>6</v>
      </c>
      <c r="R48" s="22">
        <f t="shared" si="33"/>
        <v>0</v>
      </c>
      <c r="S48" s="22">
        <f t="shared" si="34"/>
        <v>0</v>
      </c>
      <c r="T48" s="22">
        <f t="shared" si="35"/>
        <v>0</v>
      </c>
      <c r="U48" s="22">
        <f t="shared" si="36"/>
        <v>0</v>
      </c>
      <c r="V48" s="21">
        <f t="shared" si="37"/>
        <v>0</v>
      </c>
      <c r="W48" s="21">
        <f t="shared" si="38"/>
        <v>0</v>
      </c>
      <c r="X48" s="21">
        <f t="shared" si="39"/>
        <v>0</v>
      </c>
      <c r="Y48" s="21">
        <f t="shared" si="40"/>
        <v>0</v>
      </c>
      <c r="Z48" s="221">
        <f t="shared" si="29"/>
        <v>0</v>
      </c>
      <c r="AA48" s="30">
        <f t="shared" si="20"/>
        <v>0</v>
      </c>
      <c r="AB48" s="30">
        <f t="shared" si="21"/>
        <v>0</v>
      </c>
      <c r="AC48" s="30">
        <f t="shared" si="22"/>
        <v>0</v>
      </c>
      <c r="AD48" s="30">
        <f t="shared" si="23"/>
        <v>0</v>
      </c>
      <c r="AE48" s="32">
        <f t="shared" si="30"/>
        <v>0</v>
      </c>
      <c r="AF48" s="33">
        <f t="shared" si="47"/>
        <v>0</v>
      </c>
      <c r="AG48" s="40">
        <f t="shared" si="31"/>
        <v>0</v>
      </c>
      <c r="AH48" s="224">
        <f>AG48*$P$36</f>
        <v>0</v>
      </c>
      <c r="AI48" s="226">
        <f>SUM(Z48,IF(Z48&lt;&gt;0,$F$34,0),IF(Z48&lt;&gt;0,$N$36,0),IF(Z48&lt;&gt;0,$T$36,0),IF(Z48=0,AH53,IF(Z48=1,AH54,IF(Z48=2,AH55,IF(Z48=3,AH56,IF(Z48=4,AH57,IF(Z48=5,AH58,IF(Z48=6,AH59,IF(Z48=7,AH60,IF(Z48=8,AH61,IF(Z48=9,AH62,IF(Z48=10,AH63,IF(Z48=11,AH64,IF(Z48=12,AH65,IF(Z48=13,AH66,IF(Z48=14,AH67,IF(Z48=15,AH68,IF(Z48=16,AH69,IF(Z48=17,AH70,IF(Z48=18,AH71,IF(Z48=19,AH72,IF(Z48=20,AH73,IF(Z48=21,AH74,IF(Z48=22,AH75,IF(Z48=23,AH76,IF(Z48=24,AH77,IF(Z48=25,AH78,IF(Z48=26,AH79,IF(Z48=27,AH80,IF(Z48=28,AH81,IF(Z48=29,AH82,IF(Z48=30,AH83))))))))))))))))))))))))))))))))</f>
        <v>0</v>
      </c>
      <c r="AJ48" s="253">
        <f>IF(V48&lt;&gt;0,SUM($F$34,V48,$N$36,MAX($AH$42:$AH$342),$T$36),0)</f>
        <v>0</v>
      </c>
      <c r="AK48" s="253">
        <f>IF(W48&lt;&gt;0,SUM($F$34,W48,$N$36,MAX($AH$42:$AH$342),$T$36),0)</f>
        <v>0</v>
      </c>
      <c r="AL48" s="253">
        <f>IF(X48&lt;&gt;0,SUM($F$34,X48,$N$36,MAX($AH$42:$AH$342),$T$36),0)</f>
        <v>0</v>
      </c>
      <c r="AM48" s="260">
        <f>IF(Y48&lt;&gt;0,SUM($F$34,Y48,$N$36,MAX($AH$42:$AH$342),$T$36),0)</f>
        <v>0</v>
      </c>
    </row>
    <row r="49" spans="1:39" x14ac:dyDescent="0.35">
      <c r="A49" s="259">
        <v>1307</v>
      </c>
      <c r="B49" s="58">
        <f>SUMIF([2]!Table2_23[ETA],'FIS Optimal Model (2)'!A49,[2]!Table2_23[FIS PAX])</f>
        <v>0</v>
      </c>
      <c r="C49" s="44">
        <f t="shared" si="32"/>
        <v>0</v>
      </c>
      <c r="D49" s="52">
        <f t="shared" si="41"/>
        <v>0</v>
      </c>
      <c r="E49" s="26">
        <f t="shared" si="24"/>
        <v>0</v>
      </c>
      <c r="F49" s="26">
        <f t="shared" si="25"/>
        <v>0</v>
      </c>
      <c r="G49" s="26">
        <f t="shared" si="26"/>
        <v>0</v>
      </c>
      <c r="H49" s="26">
        <f t="shared" si="27"/>
        <v>0</v>
      </c>
      <c r="I49" s="27">
        <f t="shared" si="48"/>
        <v>0</v>
      </c>
      <c r="J49" s="27">
        <f t="shared" si="46"/>
        <v>0</v>
      </c>
      <c r="K49" s="27">
        <f t="shared" si="46"/>
        <v>0</v>
      </c>
      <c r="L49" s="27">
        <f>H44</f>
        <v>0</v>
      </c>
      <c r="M49" s="28">
        <f t="shared" si="42"/>
        <v>0</v>
      </c>
      <c r="N49" s="29">
        <f t="shared" si="43"/>
        <v>6</v>
      </c>
      <c r="O49" s="28">
        <f t="shared" si="44"/>
        <v>0</v>
      </c>
      <c r="P49" s="28">
        <f t="shared" si="45"/>
        <v>0</v>
      </c>
      <c r="Q49" s="28">
        <f t="shared" si="28"/>
        <v>6</v>
      </c>
      <c r="R49" s="22">
        <f t="shared" si="33"/>
        <v>0</v>
      </c>
      <c r="S49" s="22">
        <f t="shared" si="34"/>
        <v>0</v>
      </c>
      <c r="T49" s="22">
        <f t="shared" si="35"/>
        <v>0</v>
      </c>
      <c r="U49" s="22">
        <f t="shared" si="36"/>
        <v>0</v>
      </c>
      <c r="V49" s="21">
        <f t="shared" si="37"/>
        <v>0</v>
      </c>
      <c r="W49" s="21">
        <f t="shared" si="38"/>
        <v>0</v>
      </c>
      <c r="X49" s="21">
        <f t="shared" si="39"/>
        <v>0</v>
      </c>
      <c r="Y49" s="21">
        <f t="shared" si="40"/>
        <v>0</v>
      </c>
      <c r="Z49" s="221">
        <f t="shared" si="29"/>
        <v>0</v>
      </c>
      <c r="AA49" s="30">
        <f t="shared" si="20"/>
        <v>0</v>
      </c>
      <c r="AB49" s="30">
        <f t="shared" si="21"/>
        <v>0</v>
      </c>
      <c r="AC49" s="30">
        <f t="shared" si="22"/>
        <v>0</v>
      </c>
      <c r="AD49" s="30">
        <f t="shared" si="23"/>
        <v>0</v>
      </c>
      <c r="AE49" s="32">
        <f t="shared" si="30"/>
        <v>0</v>
      </c>
      <c r="AF49" s="33">
        <f t="shared" si="47"/>
        <v>0</v>
      </c>
      <c r="AG49" s="40">
        <f t="shared" si="31"/>
        <v>0</v>
      </c>
      <c r="AH49" s="224">
        <f>AG49*$P$36</f>
        <v>0</v>
      </c>
      <c r="AI49" s="226">
        <f>SUM(Z49,IF(Z49&lt;&gt;0,$F$34,0),IF(Z49&lt;&gt;0,$N$36,0),IF(Z49&lt;&gt;0,$T$36,0),IF(Z49=0,AH54,IF(Z49=1,AH55,IF(Z49=2,AH56,IF(Z49=3,AH57,IF(Z49=4,AH58,IF(Z49=5,AH59,IF(Z49=6,AH60,IF(Z49=7,AH61,IF(Z49=8,AH62,IF(Z49=9,AH63,IF(Z49=10,AH64,IF(Z49=11,AH65,IF(Z49=12,AH66,IF(Z49=13,AH67,IF(Z49=14,AH68,IF(Z49=15,AH69,IF(Z49=16,AH70,IF(Z49=17,AH71,IF(Z49=18,AH72,IF(Z49=19,AH73,IF(Z49=20,AH74,IF(Z49=21,AH75,IF(Z49=22,AH76,IF(Z49=23,AH77,IF(Z49=24,AH78,IF(Z49=25,AH79,IF(Z49=26,AH80,IF(Z49=27,AH81,IF(Z49=28,AH82,IF(Z49=29,AH83,IF(Z49=30,AH84))))))))))))))))))))))))))))))))</f>
        <v>0</v>
      </c>
      <c r="AJ49" s="253">
        <f>IF(V49&lt;&gt;0,SUM($F$34,V49,$N$36,MAX($AH$42:$AH$342),$T$36),0)</f>
        <v>0</v>
      </c>
      <c r="AK49" s="253">
        <f>IF(W49&lt;&gt;0,SUM($F$34,W49,$N$36,MAX($AH$42:$AH$342),$T$36),0)</f>
        <v>0</v>
      </c>
      <c r="AL49" s="253">
        <f>IF(X49&lt;&gt;0,SUM($F$34,X49,$N$36,MAX($AH$42:$AH$342),$T$36),0)</f>
        <v>0</v>
      </c>
      <c r="AM49" s="260">
        <f>IF(Y49&lt;&gt;0,SUM($F$34,Y49,$N$36,MAX($AH$42:$AH$342),$T$36),0)</f>
        <v>0</v>
      </c>
    </row>
    <row r="50" spans="1:39" x14ac:dyDescent="0.35">
      <c r="A50" s="259">
        <v>1308</v>
      </c>
      <c r="B50" s="58">
        <f>SUMIF([2]!Table2_23[ETA],'FIS Optimal Model (2)'!A50,[2]!Table2_23[FIS PAX])</f>
        <v>0</v>
      </c>
      <c r="C50" s="44">
        <f t="shared" si="32"/>
        <v>0</v>
      </c>
      <c r="D50" s="52">
        <f t="shared" si="41"/>
        <v>0</v>
      </c>
      <c r="E50" s="26">
        <f t="shared" si="24"/>
        <v>0</v>
      </c>
      <c r="F50" s="26">
        <f t="shared" si="25"/>
        <v>0</v>
      </c>
      <c r="G50" s="26">
        <f t="shared" si="26"/>
        <v>0</v>
      </c>
      <c r="H50" s="26">
        <f t="shared" si="27"/>
        <v>0</v>
      </c>
      <c r="I50" s="27">
        <f t="shared" si="48"/>
        <v>0</v>
      </c>
      <c r="J50" s="27">
        <f t="shared" si="46"/>
        <v>0</v>
      </c>
      <c r="K50" s="27">
        <f t="shared" si="46"/>
        <v>0</v>
      </c>
      <c r="L50" s="27">
        <f>H45</f>
        <v>0</v>
      </c>
      <c r="M50" s="28">
        <f t="shared" si="42"/>
        <v>0</v>
      </c>
      <c r="N50" s="29">
        <f t="shared" si="43"/>
        <v>6</v>
      </c>
      <c r="O50" s="28">
        <f t="shared" si="44"/>
        <v>0</v>
      </c>
      <c r="P50" s="28">
        <f t="shared" si="45"/>
        <v>0</v>
      </c>
      <c r="Q50" s="28">
        <f t="shared" si="28"/>
        <v>6</v>
      </c>
      <c r="R50" s="22">
        <f t="shared" si="33"/>
        <v>0</v>
      </c>
      <c r="S50" s="22">
        <f t="shared" si="34"/>
        <v>0</v>
      </c>
      <c r="T50" s="22">
        <f t="shared" si="35"/>
        <v>0</v>
      </c>
      <c r="U50" s="22">
        <f t="shared" si="36"/>
        <v>0</v>
      </c>
      <c r="V50" s="21">
        <f t="shared" si="37"/>
        <v>0</v>
      </c>
      <c r="W50" s="21">
        <f t="shared" si="38"/>
        <v>0</v>
      </c>
      <c r="X50" s="21">
        <f t="shared" si="39"/>
        <v>0</v>
      </c>
      <c r="Y50" s="21">
        <f t="shared" si="40"/>
        <v>0</v>
      </c>
      <c r="Z50" s="221">
        <f t="shared" si="29"/>
        <v>0</v>
      </c>
      <c r="AA50" s="30">
        <f t="shared" si="20"/>
        <v>0</v>
      </c>
      <c r="AB50" s="30">
        <f t="shared" si="21"/>
        <v>0</v>
      </c>
      <c r="AC50" s="30">
        <f t="shared" si="22"/>
        <v>0</v>
      </c>
      <c r="AD50" s="30">
        <f t="shared" si="23"/>
        <v>0</v>
      </c>
      <c r="AE50" s="32">
        <f t="shared" si="30"/>
        <v>0</v>
      </c>
      <c r="AF50" s="33">
        <f t="shared" si="47"/>
        <v>0</v>
      </c>
      <c r="AG50" s="40">
        <f t="shared" si="31"/>
        <v>0</v>
      </c>
      <c r="AH50" s="224">
        <f>AG50*$P$36</f>
        <v>0</v>
      </c>
      <c r="AI50" s="226">
        <f>SUM(Z50,IF(Z50&lt;&gt;0,$F$34,0),IF(Z50&lt;&gt;0,$N$36,0),IF(Z50&lt;&gt;0,$T$36,0),IF(Z50=0,AH55,IF(Z50=1,AH56,IF(Z50=2,AH57,IF(Z50=3,AH58,IF(Z50=4,AH59,IF(Z50=5,AH60,IF(Z50=6,AH61,IF(Z50=7,AH62,IF(Z50=8,AH63,IF(Z50=9,AH64,IF(Z50=10,AH65,IF(Z50=11,AH66,IF(Z50=12,AH67,IF(Z50=13,AH68,IF(Z50=14,AH69,IF(Z50=15,AH70,IF(Z50=16,AH71,IF(Z50=17,AH72,IF(Z50=18,AH73,IF(Z50=19,AH74,IF(Z50=20,AH75,IF(Z50=21,AH76,IF(Z50=22,AH77,IF(Z50=23,AH78,IF(Z50=24,AH79,IF(Z50=25,AH80,IF(Z50=26,AH81,IF(Z50=27,AH82,IF(Z50=28,AH83,IF(Z50=29,AH84,IF(Z50=30,AH85))))))))))))))))))))))))))))))))</f>
        <v>0</v>
      </c>
      <c r="AJ50" s="253">
        <f>IF(V50&lt;&gt;0,SUM($F$34,V50,$N$36,MAX($AH$42:$AH$342),$T$36),0)</f>
        <v>0</v>
      </c>
      <c r="AK50" s="253">
        <f>IF(W50&lt;&gt;0,SUM($F$34,W50,$N$36,MAX($AH$42:$AH$342),$T$36),0)</f>
        <v>0</v>
      </c>
      <c r="AL50" s="253">
        <f>IF(X50&lt;&gt;0,SUM($F$34,X50,$N$36,MAX($AH$42:$AH$342),$T$36),0)</f>
        <v>0</v>
      </c>
      <c r="AM50" s="260">
        <f>IF(Y50&lt;&gt;0,SUM($F$34,Y50,$N$36,MAX($AH$42:$AH$342),$T$36),0)</f>
        <v>0</v>
      </c>
    </row>
    <row r="51" spans="1:39" x14ac:dyDescent="0.35">
      <c r="A51" s="259">
        <v>1309</v>
      </c>
      <c r="B51" s="58">
        <f>SUMIF([2]!Table2_23[ETA],'FIS Optimal Model (2)'!A51,[2]!Table2_23[FIS PAX])</f>
        <v>0</v>
      </c>
      <c r="C51" s="44">
        <f t="shared" si="32"/>
        <v>0</v>
      </c>
      <c r="D51" s="52">
        <f t="shared" si="41"/>
        <v>0</v>
      </c>
      <c r="E51" s="26">
        <f t="shared" si="24"/>
        <v>0</v>
      </c>
      <c r="F51" s="26">
        <f t="shared" si="25"/>
        <v>0</v>
      </c>
      <c r="G51" s="26">
        <f t="shared" si="26"/>
        <v>0</v>
      </c>
      <c r="H51" s="26">
        <f t="shared" si="27"/>
        <v>0</v>
      </c>
      <c r="I51" s="27">
        <f t="shared" si="48"/>
        <v>0</v>
      </c>
      <c r="J51" s="27">
        <f t="shared" si="46"/>
        <v>0</v>
      </c>
      <c r="K51" s="27">
        <f t="shared" si="46"/>
        <v>0</v>
      </c>
      <c r="L51" s="27">
        <f t="shared" si="46"/>
        <v>0</v>
      </c>
      <c r="M51" s="28">
        <f t="shared" si="42"/>
        <v>0</v>
      </c>
      <c r="N51" s="29">
        <f t="shared" si="43"/>
        <v>6</v>
      </c>
      <c r="O51" s="28">
        <f t="shared" si="44"/>
        <v>0</v>
      </c>
      <c r="P51" s="28">
        <f t="shared" si="45"/>
        <v>0</v>
      </c>
      <c r="Q51" s="28">
        <f t="shared" si="28"/>
        <v>6</v>
      </c>
      <c r="R51" s="22">
        <f t="shared" si="33"/>
        <v>0</v>
      </c>
      <c r="S51" s="22">
        <f t="shared" si="34"/>
        <v>0</v>
      </c>
      <c r="T51" s="22">
        <f t="shared" si="35"/>
        <v>0</v>
      </c>
      <c r="U51" s="22">
        <f t="shared" si="36"/>
        <v>0</v>
      </c>
      <c r="V51" s="21">
        <f t="shared" si="37"/>
        <v>0</v>
      </c>
      <c r="W51" s="21">
        <f t="shared" si="38"/>
        <v>0</v>
      </c>
      <c r="X51" s="21">
        <f t="shared" si="39"/>
        <v>0</v>
      </c>
      <c r="Y51" s="21">
        <f t="shared" si="40"/>
        <v>0</v>
      </c>
      <c r="Z51" s="221">
        <f t="shared" si="29"/>
        <v>0</v>
      </c>
      <c r="AA51" s="30">
        <f t="shared" si="20"/>
        <v>0</v>
      </c>
      <c r="AB51" s="30">
        <f t="shared" si="21"/>
        <v>0</v>
      </c>
      <c r="AC51" s="30">
        <f t="shared" si="22"/>
        <v>0</v>
      </c>
      <c r="AD51" s="30">
        <f t="shared" si="23"/>
        <v>0</v>
      </c>
      <c r="AE51" s="32">
        <f t="shared" si="30"/>
        <v>0</v>
      </c>
      <c r="AF51" s="33">
        <f t="shared" si="47"/>
        <v>0</v>
      </c>
      <c r="AG51" s="40">
        <f t="shared" si="31"/>
        <v>0</v>
      </c>
      <c r="AH51" s="224">
        <f>AG51*$P$36</f>
        <v>0</v>
      </c>
      <c r="AI51" s="226">
        <f>SUM(Z51,IF(Z51&lt;&gt;0,$F$34,0),IF(Z51&lt;&gt;0,$N$36,0),IF(Z51&lt;&gt;0,$T$36,0),IF(Z51=0,AH56,IF(Z51=1,AH57,IF(Z51=2,AH58,IF(Z51=3,AH59,IF(Z51=4,AH60,IF(Z51=5,AH61,IF(Z51=6,AH62,IF(Z51=7,AH63,IF(Z51=8,AH64,IF(Z51=9,AH65,IF(Z51=10,AH66,IF(Z51=11,AH67,IF(Z51=12,AH68,IF(Z51=13,AH69,IF(Z51=14,AH70,IF(Z51=15,AH71,IF(Z51=16,AH72,IF(Z51=17,AH73,IF(Z51=18,AH74,IF(Z51=19,AH75,IF(Z51=20,AH76,IF(Z51=21,AH77,IF(Z51=22,AH78,IF(Z51=23,AH79,IF(Z51=24,AH80,IF(Z51=25,AH81,IF(Z51=26,AH82,IF(Z51=27,AH83,IF(Z51=28,AH84,IF(Z51=29,AH85,IF(Z51=30,AH86))))))))))))))))))))))))))))))))</f>
        <v>0</v>
      </c>
      <c r="AJ51" s="253">
        <f>IF(V51&lt;&gt;0,SUM($F$34,V51,$N$36,MAX($AH$42:$AH$342),$T$36),0)</f>
        <v>0</v>
      </c>
      <c r="AK51" s="253">
        <f>IF(W51&lt;&gt;0,SUM($F$34,W51,$N$36,MAX($AH$42:$AH$342),$T$36),0)</f>
        <v>0</v>
      </c>
      <c r="AL51" s="253">
        <f>IF(X51&lt;&gt;0,SUM($F$34,X51,$N$36,MAX($AH$42:$AH$342),$T$36),0)</f>
        <v>0</v>
      </c>
      <c r="AM51" s="260">
        <f>IF(Y51&lt;&gt;0,SUM($F$34,Y51,$N$36,MAX($AH$42:$AH$342),$T$36),0)</f>
        <v>0</v>
      </c>
    </row>
    <row r="52" spans="1:39" x14ac:dyDescent="0.35">
      <c r="A52" s="259">
        <v>1310</v>
      </c>
      <c r="B52" s="58">
        <f>SUMIF([2]!Table2_23[ETA],'FIS Optimal Model (2)'!A52,[2]!Table2_23[FIS PAX])</f>
        <v>0</v>
      </c>
      <c r="C52" s="44">
        <f t="shared" si="32"/>
        <v>0</v>
      </c>
      <c r="D52" s="52">
        <f t="shared" si="41"/>
        <v>0</v>
      </c>
      <c r="E52" s="26">
        <f t="shared" si="24"/>
        <v>0</v>
      </c>
      <c r="F52" s="26">
        <f t="shared" si="25"/>
        <v>0</v>
      </c>
      <c r="G52" s="26">
        <f t="shared" si="26"/>
        <v>0</v>
      </c>
      <c r="H52" s="26">
        <f t="shared" si="27"/>
        <v>0</v>
      </c>
      <c r="I52" s="27">
        <f t="shared" si="48"/>
        <v>0</v>
      </c>
      <c r="J52" s="27">
        <f t="shared" si="46"/>
        <v>0</v>
      </c>
      <c r="K52" s="27">
        <f t="shared" si="46"/>
        <v>0</v>
      </c>
      <c r="L52" s="27">
        <f t="shared" si="46"/>
        <v>0</v>
      </c>
      <c r="M52" s="28">
        <f t="shared" si="42"/>
        <v>0</v>
      </c>
      <c r="N52" s="29">
        <f t="shared" si="43"/>
        <v>6</v>
      </c>
      <c r="O52" s="28">
        <f t="shared" si="44"/>
        <v>0</v>
      </c>
      <c r="P52" s="28">
        <f t="shared" si="45"/>
        <v>0</v>
      </c>
      <c r="Q52" s="28">
        <f t="shared" si="28"/>
        <v>6</v>
      </c>
      <c r="R52" s="22">
        <f t="shared" si="33"/>
        <v>0</v>
      </c>
      <c r="S52" s="22">
        <f t="shared" si="34"/>
        <v>0</v>
      </c>
      <c r="T52" s="22">
        <f t="shared" si="35"/>
        <v>0</v>
      </c>
      <c r="U52" s="22">
        <f t="shared" si="36"/>
        <v>0</v>
      </c>
      <c r="V52" s="21">
        <f t="shared" si="37"/>
        <v>0</v>
      </c>
      <c r="W52" s="21">
        <f t="shared" si="38"/>
        <v>0</v>
      </c>
      <c r="X52" s="21">
        <f t="shared" si="39"/>
        <v>0</v>
      </c>
      <c r="Y52" s="21">
        <f t="shared" si="40"/>
        <v>0</v>
      </c>
      <c r="Z52" s="221">
        <f t="shared" si="29"/>
        <v>0</v>
      </c>
      <c r="AA52" s="30">
        <f t="shared" si="20"/>
        <v>0</v>
      </c>
      <c r="AB52" s="30">
        <f t="shared" si="21"/>
        <v>0</v>
      </c>
      <c r="AC52" s="30">
        <f t="shared" si="22"/>
        <v>0</v>
      </c>
      <c r="AD52" s="30">
        <f t="shared" si="23"/>
        <v>0</v>
      </c>
      <c r="AE52" s="32">
        <f t="shared" si="30"/>
        <v>0</v>
      </c>
      <c r="AF52" s="33">
        <f t="shared" si="47"/>
        <v>0</v>
      </c>
      <c r="AG52" s="40">
        <f t="shared" si="31"/>
        <v>0</v>
      </c>
      <c r="AH52" s="224">
        <f>AG52*$P$36</f>
        <v>0</v>
      </c>
      <c r="AI52" s="226">
        <f>SUM(Z52,IF(Z52&lt;&gt;0,$F$34,0),IF(Z52&lt;&gt;0,$N$36,0),IF(Z52&lt;&gt;0,$T$36,0),IF(Z52=0,AH57,IF(Z52=1,AH58,IF(Z52=2,AH59,IF(Z52=3,AH60,IF(Z52=4,AH61,IF(Z52=5,AH62,IF(Z52=6,AH63,IF(Z52=7,AH64,IF(Z52=8,AH65,IF(Z52=9,AH66,IF(Z52=10,AH67,IF(Z52=11,AH68,IF(Z52=12,AH69,IF(Z52=13,AH70,IF(Z52=14,AH71,IF(Z52=15,AH72,IF(Z52=16,AH73,IF(Z52=17,AH74,IF(Z52=18,AH75,IF(Z52=19,AH76,IF(Z52=20,AH77,IF(Z52=21,AH78,IF(Z52=22,AH79,IF(Z52=23,AH80,IF(Z52=24,AH81,IF(Z52=25,AH82,IF(Z52=26,AH83,IF(Z52=27,AH84,IF(Z52=28,AH85,IF(Z52=29,AH86,IF(Z52=30,AH87))))))))))))))))))))))))))))))))</f>
        <v>0</v>
      </c>
      <c r="AJ52" s="253">
        <f>IF(V52&lt;&gt;0,SUM($F$34,V52,$N$36,MAX($AH$42:$AH$342),$T$36),0)</f>
        <v>0</v>
      </c>
      <c r="AK52" s="253">
        <f>IF(W52&lt;&gt;0,SUM($F$34,W52,$N$36,MAX($AH$42:$AH$342),$T$36),0)</f>
        <v>0</v>
      </c>
      <c r="AL52" s="253">
        <f>IF(X52&lt;&gt;0,SUM($F$34,X52,$N$36,MAX($AH$42:$AH$342),$T$36),0)</f>
        <v>0</v>
      </c>
      <c r="AM52" s="260">
        <f>IF(Y52&lt;&gt;0,SUM($F$34,Y52,$N$36,MAX($AH$42:$AH$342),$T$36),0)</f>
        <v>0</v>
      </c>
    </row>
    <row r="53" spans="1:39" x14ac:dyDescent="0.35">
      <c r="A53" s="259">
        <v>1311</v>
      </c>
      <c r="B53" s="58">
        <f>SUMIF([2]!Table2_23[ETA],'FIS Optimal Model (2)'!A53,[2]!Table2_23[FIS PAX])</f>
        <v>0</v>
      </c>
      <c r="C53" s="44">
        <f t="shared" si="32"/>
        <v>0</v>
      </c>
      <c r="D53" s="52">
        <f t="shared" si="41"/>
        <v>0</v>
      </c>
      <c r="E53" s="26">
        <f t="shared" si="24"/>
        <v>0</v>
      </c>
      <c r="F53" s="26">
        <f t="shared" si="25"/>
        <v>0</v>
      </c>
      <c r="G53" s="26">
        <f t="shared" si="26"/>
        <v>0</v>
      </c>
      <c r="H53" s="26">
        <f t="shared" si="27"/>
        <v>0</v>
      </c>
      <c r="I53" s="27">
        <f t="shared" si="48"/>
        <v>0</v>
      </c>
      <c r="J53" s="27">
        <f t="shared" si="46"/>
        <v>0</v>
      </c>
      <c r="K53" s="27">
        <f t="shared" si="46"/>
        <v>0</v>
      </c>
      <c r="L53" s="27">
        <f t="shared" si="46"/>
        <v>0</v>
      </c>
      <c r="M53" s="28">
        <f t="shared" si="42"/>
        <v>0</v>
      </c>
      <c r="N53" s="29">
        <f t="shared" si="43"/>
        <v>6</v>
      </c>
      <c r="O53" s="28">
        <f t="shared" si="44"/>
        <v>0</v>
      </c>
      <c r="P53" s="28">
        <f t="shared" si="45"/>
        <v>0</v>
      </c>
      <c r="Q53" s="28">
        <f t="shared" si="28"/>
        <v>6</v>
      </c>
      <c r="R53" s="22">
        <f t="shared" si="33"/>
        <v>0</v>
      </c>
      <c r="S53" s="22">
        <f t="shared" si="34"/>
        <v>0</v>
      </c>
      <c r="T53" s="22">
        <f t="shared" si="35"/>
        <v>0</v>
      </c>
      <c r="U53" s="22">
        <f t="shared" si="36"/>
        <v>0</v>
      </c>
      <c r="V53" s="21">
        <f t="shared" si="37"/>
        <v>0</v>
      </c>
      <c r="W53" s="21">
        <f t="shared" si="38"/>
        <v>0</v>
      </c>
      <c r="X53" s="21">
        <f t="shared" si="39"/>
        <v>0</v>
      </c>
      <c r="Y53" s="21">
        <f t="shared" si="40"/>
        <v>0</v>
      </c>
      <c r="Z53" s="221">
        <f t="shared" si="29"/>
        <v>0</v>
      </c>
      <c r="AA53" s="30">
        <f t="shared" si="20"/>
        <v>0</v>
      </c>
      <c r="AB53" s="30">
        <f t="shared" si="21"/>
        <v>0</v>
      </c>
      <c r="AC53" s="30">
        <f t="shared" si="22"/>
        <v>0</v>
      </c>
      <c r="AD53" s="30">
        <f t="shared" si="23"/>
        <v>0</v>
      </c>
      <c r="AE53" s="32">
        <f t="shared" si="30"/>
        <v>0</v>
      </c>
      <c r="AF53" s="33">
        <f t="shared" si="47"/>
        <v>0</v>
      </c>
      <c r="AG53" s="40">
        <f t="shared" si="31"/>
        <v>0</v>
      </c>
      <c r="AH53" s="224">
        <f>AG53*$P$36</f>
        <v>0</v>
      </c>
      <c r="AI53" s="226">
        <f>SUM(Z53,IF(Z53&lt;&gt;0,$F$34,0),IF(Z53&lt;&gt;0,$N$36,0),IF(Z53&lt;&gt;0,$T$36,0),IF(Z53=0,AH58,IF(Z53=1,AH59,IF(Z53=2,AH60,IF(Z53=3,AH61,IF(Z53=4,AH62,IF(Z53=5,AH63,IF(Z53=6,AH64,IF(Z53=7,AH65,IF(Z53=8,AH66,IF(Z53=9,AH67,IF(Z53=10,AH68,IF(Z53=11,AH69,IF(Z53=12,AH70,IF(Z53=13,AH71,IF(Z53=14,AH72,IF(Z53=15,AH73,IF(Z53=16,AH74,IF(Z53=17,AH75,IF(Z53=18,AH76,IF(Z53=19,AH77,IF(Z53=20,AH78,IF(Z53=21,AH79,IF(Z53=22,AH80,IF(Z53=23,AH81,IF(Z53=24,AH82,IF(Z53=25,AH83,IF(Z53=26,AH84,IF(Z53=27,AH85,IF(Z53=28,AH86,IF(Z53=29,AH87,IF(Z53=30,AH88))))))))))))))))))))))))))))))))</f>
        <v>0</v>
      </c>
      <c r="AJ53" s="253">
        <f>IF(V53&lt;&gt;0,SUM($F$34,V53,$N$36,MAX($AH$42:$AH$342),$T$36),0)</f>
        <v>0</v>
      </c>
      <c r="AK53" s="253">
        <f>IF(W53&lt;&gt;0,SUM($F$34,W53,$N$36,MAX($AH$42:$AH$342),$T$36),0)</f>
        <v>0</v>
      </c>
      <c r="AL53" s="253">
        <f>IF(X53&lt;&gt;0,SUM($F$34,X53,$N$36,MAX($AH$42:$AH$342),$T$36),0)</f>
        <v>0</v>
      </c>
      <c r="AM53" s="260">
        <f>IF(Y53&lt;&gt;0,SUM($F$34,Y53,$N$36,MAX($AH$42:$AH$342),$T$36),0)</f>
        <v>0</v>
      </c>
    </row>
    <row r="54" spans="1:39" x14ac:dyDescent="0.35">
      <c r="A54" s="259">
        <v>1312</v>
      </c>
      <c r="B54" s="58">
        <f>SUMIF([2]!Table2_23[ETA],'FIS Optimal Model (2)'!A54,[2]!Table2_23[FIS PAX])</f>
        <v>0</v>
      </c>
      <c r="C54" s="44">
        <f t="shared" si="32"/>
        <v>0</v>
      </c>
      <c r="D54" s="52">
        <f t="shared" si="41"/>
        <v>0</v>
      </c>
      <c r="E54" s="26">
        <f t="shared" si="24"/>
        <v>0</v>
      </c>
      <c r="F54" s="26">
        <f t="shared" si="25"/>
        <v>0</v>
      </c>
      <c r="G54" s="26">
        <f t="shared" si="26"/>
        <v>0</v>
      </c>
      <c r="H54" s="26">
        <f t="shared" si="27"/>
        <v>0</v>
      </c>
      <c r="I54" s="27">
        <f t="shared" si="48"/>
        <v>0</v>
      </c>
      <c r="J54" s="27">
        <f t="shared" si="46"/>
        <v>0</v>
      </c>
      <c r="K54" s="27">
        <f t="shared" si="46"/>
        <v>0</v>
      </c>
      <c r="L54" s="27">
        <f t="shared" si="46"/>
        <v>0</v>
      </c>
      <c r="M54" s="28">
        <f t="shared" si="42"/>
        <v>0</v>
      </c>
      <c r="N54" s="29">
        <f t="shared" si="43"/>
        <v>6</v>
      </c>
      <c r="O54" s="28">
        <f t="shared" si="44"/>
        <v>0</v>
      </c>
      <c r="P54" s="28">
        <f t="shared" si="45"/>
        <v>0</v>
      </c>
      <c r="Q54" s="28">
        <f t="shared" si="28"/>
        <v>6</v>
      </c>
      <c r="R54" s="22">
        <f t="shared" si="33"/>
        <v>0</v>
      </c>
      <c r="S54" s="22">
        <f t="shared" si="34"/>
        <v>0</v>
      </c>
      <c r="T54" s="22">
        <f t="shared" si="35"/>
        <v>0</v>
      </c>
      <c r="U54" s="22">
        <f t="shared" si="36"/>
        <v>0</v>
      </c>
      <c r="V54" s="21">
        <f t="shared" si="37"/>
        <v>0</v>
      </c>
      <c r="W54" s="21">
        <f t="shared" si="38"/>
        <v>0</v>
      </c>
      <c r="X54" s="21">
        <f t="shared" si="39"/>
        <v>0</v>
      </c>
      <c r="Y54" s="21">
        <f t="shared" si="40"/>
        <v>0</v>
      </c>
      <c r="Z54" s="221">
        <f t="shared" si="29"/>
        <v>0</v>
      </c>
      <c r="AA54" s="30">
        <f t="shared" si="20"/>
        <v>0</v>
      </c>
      <c r="AB54" s="30">
        <f t="shared" si="21"/>
        <v>0</v>
      </c>
      <c r="AC54" s="30">
        <f t="shared" si="22"/>
        <v>0</v>
      </c>
      <c r="AD54" s="30">
        <f t="shared" si="23"/>
        <v>0</v>
      </c>
      <c r="AE54" s="32">
        <f t="shared" si="30"/>
        <v>0</v>
      </c>
      <c r="AF54" s="33">
        <f t="shared" si="47"/>
        <v>0</v>
      </c>
      <c r="AG54" s="40">
        <f t="shared" si="31"/>
        <v>0</v>
      </c>
      <c r="AH54" s="224">
        <f>AG54*$P$36</f>
        <v>0</v>
      </c>
      <c r="AI54" s="226">
        <f>SUM(Z54,IF(Z54&lt;&gt;0,$F$34,0),IF(Z54&lt;&gt;0,$N$36,0),IF(Z54&lt;&gt;0,$T$36,0),IF(Z54=0,AH59,IF(Z54=1,AH60,IF(Z54=2,AH61,IF(Z54=3,AH62,IF(Z54=4,AH63,IF(Z54=5,AH64,IF(Z54=6,AH65,IF(Z54=7,AH66,IF(Z54=8,AH67,IF(Z54=9,AH68,IF(Z54=10,AH69,IF(Z54=11,AH70,IF(Z54=12,AH71,IF(Z54=13,AH72,IF(Z54=14,AH73,IF(Z54=15,AH74,IF(Z54=16,AH75,IF(Z54=17,AH76,IF(Z54=18,AH77,IF(Z54=19,AH78,IF(Z54=20,AH79,IF(Z54=21,AH80,IF(Z54=22,AH81,IF(Z54=23,AH82,IF(Z54=24,AH83,IF(Z54=25,AH84,IF(Z54=26,AH85,IF(Z54=27,AH86,IF(Z54=28,AH87,IF(Z54=29,AH88,IF(Z54=30,AH89))))))))))))))))))))))))))))))))</f>
        <v>0</v>
      </c>
      <c r="AJ54" s="253">
        <f>IF(V54&lt;&gt;0,SUM($F$34,V54,$N$36,MAX($AH$42:$AH$342),$T$36),0)</f>
        <v>0</v>
      </c>
      <c r="AK54" s="253">
        <f>IF(W54&lt;&gt;0,SUM($F$34,W54,$N$36,MAX($AH$42:$AH$342),$T$36),0)</f>
        <v>0</v>
      </c>
      <c r="AL54" s="253">
        <f>IF(X54&lt;&gt;0,SUM($F$34,X54,$N$36,MAX($AH$42:$AH$342),$T$36),0)</f>
        <v>0</v>
      </c>
      <c r="AM54" s="260">
        <f>IF(Y54&lt;&gt;0,SUM($F$34,Y54,$N$36,MAX($AH$42:$AH$342),$T$36),0)</f>
        <v>0</v>
      </c>
    </row>
    <row r="55" spans="1:39" x14ac:dyDescent="0.35">
      <c r="A55" s="259">
        <v>1313</v>
      </c>
      <c r="B55" s="58">
        <f>SUMIF([2]!Table2_23[ETA],'FIS Optimal Model (2)'!A55,[2]!Table2_23[FIS PAX])</f>
        <v>0</v>
      </c>
      <c r="C55" s="44">
        <f t="shared" si="32"/>
        <v>0</v>
      </c>
      <c r="D55" s="52">
        <f t="shared" si="41"/>
        <v>0</v>
      </c>
      <c r="E55" s="26">
        <f t="shared" si="24"/>
        <v>0</v>
      </c>
      <c r="F55" s="26">
        <f t="shared" si="25"/>
        <v>0</v>
      </c>
      <c r="G55" s="26">
        <f t="shared" si="26"/>
        <v>0</v>
      </c>
      <c r="H55" s="26">
        <f t="shared" si="27"/>
        <v>0</v>
      </c>
      <c r="I55" s="27">
        <f t="shared" si="48"/>
        <v>0</v>
      </c>
      <c r="J55" s="27">
        <f t="shared" si="46"/>
        <v>0</v>
      </c>
      <c r="K55" s="27">
        <f t="shared" si="46"/>
        <v>0</v>
      </c>
      <c r="L55" s="27">
        <f t="shared" si="46"/>
        <v>0</v>
      </c>
      <c r="M55" s="28">
        <f t="shared" si="42"/>
        <v>0</v>
      </c>
      <c r="N55" s="29">
        <f t="shared" si="43"/>
        <v>6</v>
      </c>
      <c r="O55" s="28">
        <f t="shared" si="44"/>
        <v>0</v>
      </c>
      <c r="P55" s="28">
        <f t="shared" si="45"/>
        <v>0</v>
      </c>
      <c r="Q55" s="28">
        <f t="shared" si="28"/>
        <v>6</v>
      </c>
      <c r="R55" s="22">
        <f t="shared" si="33"/>
        <v>0</v>
      </c>
      <c r="S55" s="22">
        <f t="shared" si="34"/>
        <v>0</v>
      </c>
      <c r="T55" s="22">
        <f t="shared" si="35"/>
        <v>0</v>
      </c>
      <c r="U55" s="22">
        <f t="shared" si="36"/>
        <v>0</v>
      </c>
      <c r="V55" s="21">
        <f t="shared" si="37"/>
        <v>0</v>
      </c>
      <c r="W55" s="21">
        <f t="shared" si="38"/>
        <v>0</v>
      </c>
      <c r="X55" s="21">
        <f t="shared" si="39"/>
        <v>0</v>
      </c>
      <c r="Y55" s="21">
        <f t="shared" si="40"/>
        <v>0</v>
      </c>
      <c r="Z55" s="221">
        <f t="shared" si="29"/>
        <v>0</v>
      </c>
      <c r="AA55" s="30">
        <f t="shared" si="20"/>
        <v>0</v>
      </c>
      <c r="AB55" s="30">
        <f t="shared" si="21"/>
        <v>0</v>
      </c>
      <c r="AC55" s="30">
        <f t="shared" si="22"/>
        <v>0</v>
      </c>
      <c r="AD55" s="30">
        <f t="shared" si="23"/>
        <v>0</v>
      </c>
      <c r="AE55" s="32">
        <f t="shared" si="30"/>
        <v>0</v>
      </c>
      <c r="AF55" s="33">
        <f t="shared" si="47"/>
        <v>0</v>
      </c>
      <c r="AG55" s="40">
        <f t="shared" si="31"/>
        <v>0</v>
      </c>
      <c r="AH55" s="224">
        <f>AG55*$P$36</f>
        <v>0</v>
      </c>
      <c r="AI55" s="226">
        <f>SUM(Z55,IF(Z55&lt;&gt;0,$F$34,0),IF(Z55&lt;&gt;0,$N$36,0),IF(Z55&lt;&gt;0,$T$36,0),IF(Z55=0,AH60,IF(Z55=1,AH61,IF(Z55=2,AH62,IF(Z55=3,AH63,IF(Z55=4,AH64,IF(Z55=5,AH65,IF(Z55=6,AH66,IF(Z55=7,AH67,IF(Z55=8,AH68,IF(Z55=9,AH69,IF(Z55=10,AH70,IF(Z55=11,AH71,IF(Z55=12,AH72,IF(Z55=13,AH73,IF(Z55=14,AH74,IF(Z55=15,AH75,IF(Z55=16,AH76,IF(Z55=17,AH77,IF(Z55=18,AH78,IF(Z55=19,AH79,IF(Z55=20,AH80,IF(Z55=21,AH81,IF(Z55=22,AH82,IF(Z55=23,AH83,IF(Z55=24,AH84,IF(Z55=25,AH85,IF(Z55=26,AH86,IF(Z55=27,AH87,IF(Z55=28,AH88,IF(Z55=29,AH89,IF(Z55=30,AH90))))))))))))))))))))))))))))))))</f>
        <v>0</v>
      </c>
      <c r="AJ55" s="253">
        <f>IF(V55&lt;&gt;0,SUM($F$34,V55,$N$36,MAX($AH$42:$AH$342),$T$36),0)</f>
        <v>0</v>
      </c>
      <c r="AK55" s="253">
        <f>IF(W55&lt;&gt;0,SUM($F$34,W55,$N$36,MAX($AH$42:$AH$342),$T$36),0)</f>
        <v>0</v>
      </c>
      <c r="AL55" s="253">
        <f>IF(X55&lt;&gt;0,SUM($F$34,X55,$N$36,MAX($AH$42:$AH$342),$T$36),0)</f>
        <v>0</v>
      </c>
      <c r="AM55" s="260">
        <f>IF(Y55&lt;&gt;0,SUM($F$34,Y55,$N$36,MAX($AH$42:$AH$342),$T$36),0)</f>
        <v>0</v>
      </c>
    </row>
    <row r="56" spans="1:39" x14ac:dyDescent="0.35">
      <c r="A56" s="259">
        <v>1314</v>
      </c>
      <c r="B56" s="58">
        <f>SUMIF([2]!Table2_23[ETA],'FIS Optimal Model (2)'!A56,[2]!Table2_23[FIS PAX])</f>
        <v>0</v>
      </c>
      <c r="C56" s="44">
        <f t="shared" si="32"/>
        <v>0</v>
      </c>
      <c r="D56" s="52">
        <f t="shared" si="41"/>
        <v>0</v>
      </c>
      <c r="E56" s="26">
        <f t="shared" si="24"/>
        <v>0</v>
      </c>
      <c r="F56" s="26">
        <f t="shared" si="25"/>
        <v>0</v>
      </c>
      <c r="G56" s="26">
        <f t="shared" si="26"/>
        <v>0</v>
      </c>
      <c r="H56" s="26">
        <f t="shared" si="27"/>
        <v>0</v>
      </c>
      <c r="I56" s="27">
        <f t="shared" si="48"/>
        <v>0</v>
      </c>
      <c r="J56" s="27">
        <f t="shared" si="46"/>
        <v>0</v>
      </c>
      <c r="K56" s="27">
        <f t="shared" si="46"/>
        <v>0</v>
      </c>
      <c r="L56" s="27">
        <f t="shared" si="46"/>
        <v>0</v>
      </c>
      <c r="M56" s="28">
        <f t="shared" si="42"/>
        <v>0</v>
      </c>
      <c r="N56" s="29">
        <f t="shared" si="43"/>
        <v>6</v>
      </c>
      <c r="O56" s="28">
        <f t="shared" si="44"/>
        <v>0</v>
      </c>
      <c r="P56" s="28">
        <f t="shared" si="45"/>
        <v>0</v>
      </c>
      <c r="Q56" s="28">
        <f t="shared" si="28"/>
        <v>6</v>
      </c>
      <c r="R56" s="22">
        <f t="shared" si="33"/>
        <v>0</v>
      </c>
      <c r="S56" s="22">
        <f t="shared" si="34"/>
        <v>0</v>
      </c>
      <c r="T56" s="22">
        <f t="shared" si="35"/>
        <v>0</v>
      </c>
      <c r="U56" s="22">
        <f t="shared" si="36"/>
        <v>0</v>
      </c>
      <c r="V56" s="21">
        <f t="shared" si="37"/>
        <v>0</v>
      </c>
      <c r="W56" s="21">
        <f t="shared" si="38"/>
        <v>0</v>
      </c>
      <c r="X56" s="21">
        <f t="shared" si="39"/>
        <v>0</v>
      </c>
      <c r="Y56" s="21">
        <f t="shared" si="40"/>
        <v>0</v>
      </c>
      <c r="Z56" s="221">
        <f t="shared" si="29"/>
        <v>0</v>
      </c>
      <c r="AA56" s="30">
        <f t="shared" si="20"/>
        <v>0</v>
      </c>
      <c r="AB56" s="30">
        <f t="shared" si="21"/>
        <v>0</v>
      </c>
      <c r="AC56" s="30">
        <f t="shared" si="22"/>
        <v>0</v>
      </c>
      <c r="AD56" s="30">
        <f t="shared" si="23"/>
        <v>0</v>
      </c>
      <c r="AE56" s="32">
        <f t="shared" si="30"/>
        <v>0</v>
      </c>
      <c r="AF56" s="33">
        <f t="shared" si="47"/>
        <v>0</v>
      </c>
      <c r="AG56" s="40">
        <f t="shared" si="31"/>
        <v>0</v>
      </c>
      <c r="AH56" s="224">
        <f>AG56*$P$36</f>
        <v>0</v>
      </c>
      <c r="AI56" s="226">
        <f>SUM(Z56,IF(Z56&lt;&gt;0,$F$34,0),IF(Z56&lt;&gt;0,$N$36,0),IF(Z56&lt;&gt;0,$T$36,0),IF(Z56=0,AH61,IF(Z56=1,AH62,IF(Z56=2,AH63,IF(Z56=3,AH64,IF(Z56=4,AH65,IF(Z56=5,AH66,IF(Z56=6,AH67,IF(Z56=7,AH68,IF(Z56=8,AH69,IF(Z56=9,AH70,IF(Z56=10,AH71,IF(Z56=11,AH72,IF(Z56=12,AH73,IF(Z56=13,AH74,IF(Z56=14,AH75,IF(Z56=15,AH76,IF(Z56=16,AH77,IF(Z56=17,AH78,IF(Z56=18,AH79,IF(Z56=19,AH80,IF(Z56=20,AH81,IF(Z56=21,AH82,IF(Z56=22,AH83,IF(Z56=23,AH84,IF(Z56=24,AH85,IF(Z56=25,AH86,IF(Z56=26,AH87,IF(Z56=27,AH88,IF(Z56=28,AH89,IF(Z56=29,AH90,IF(Z56=30,AH91))))))))))))))))))))))))))))))))</f>
        <v>0</v>
      </c>
      <c r="AJ56" s="253">
        <f>IF(V56&lt;&gt;0,SUM($F$34,V56,$N$36,MAX($AH$42:$AH$342),$T$36),0)</f>
        <v>0</v>
      </c>
      <c r="AK56" s="253">
        <f>IF(W56&lt;&gt;0,SUM($F$34,W56,$N$36,MAX($AH$42:$AH$342),$T$36),0)</f>
        <v>0</v>
      </c>
      <c r="AL56" s="253">
        <f>IF(X56&lt;&gt;0,SUM($F$34,X56,$N$36,MAX($AH$42:$AH$342),$T$36),0)</f>
        <v>0</v>
      </c>
      <c r="AM56" s="260">
        <f>IF(Y56&lt;&gt;0,SUM($F$34,Y56,$N$36,MAX($AH$42:$AH$342),$T$36),0)</f>
        <v>0</v>
      </c>
    </row>
    <row r="57" spans="1:39" x14ac:dyDescent="0.35">
      <c r="A57" s="259">
        <v>1315</v>
      </c>
      <c r="B57" s="58">
        <f>SUMIF([2]!Table2_23[ETA],'FIS Optimal Model (2)'!A57,[2]!Table2_23[FIS PAX])</f>
        <v>0</v>
      </c>
      <c r="C57" s="44">
        <f t="shared" si="32"/>
        <v>0</v>
      </c>
      <c r="D57" s="52">
        <f t="shared" si="41"/>
        <v>0</v>
      </c>
      <c r="E57" s="26">
        <f t="shared" si="24"/>
        <v>0</v>
      </c>
      <c r="F57" s="26">
        <f t="shared" si="25"/>
        <v>0</v>
      </c>
      <c r="G57" s="26">
        <f t="shared" si="26"/>
        <v>0</v>
      </c>
      <c r="H57" s="26">
        <f t="shared" si="27"/>
        <v>0</v>
      </c>
      <c r="I57" s="27">
        <f t="shared" si="48"/>
        <v>0</v>
      </c>
      <c r="J57" s="27">
        <f t="shared" si="46"/>
        <v>0</v>
      </c>
      <c r="K57" s="27">
        <f t="shared" si="46"/>
        <v>0</v>
      </c>
      <c r="L57" s="27">
        <f t="shared" si="46"/>
        <v>0</v>
      </c>
      <c r="M57" s="28">
        <f t="shared" si="42"/>
        <v>0</v>
      </c>
      <c r="N57" s="29">
        <f t="shared" si="43"/>
        <v>6</v>
      </c>
      <c r="O57" s="28">
        <f t="shared" si="44"/>
        <v>0</v>
      </c>
      <c r="P57" s="28">
        <f t="shared" si="45"/>
        <v>0</v>
      </c>
      <c r="Q57" s="28">
        <f t="shared" si="28"/>
        <v>6</v>
      </c>
      <c r="R57" s="22">
        <f t="shared" si="33"/>
        <v>0</v>
      </c>
      <c r="S57" s="22">
        <f t="shared" si="34"/>
        <v>0</v>
      </c>
      <c r="T57" s="22">
        <f t="shared" si="35"/>
        <v>0</v>
      </c>
      <c r="U57" s="22">
        <f t="shared" si="36"/>
        <v>0</v>
      </c>
      <c r="V57" s="21">
        <f t="shared" si="37"/>
        <v>0</v>
      </c>
      <c r="W57" s="21">
        <f t="shared" si="38"/>
        <v>0</v>
      </c>
      <c r="X57" s="21">
        <f t="shared" si="39"/>
        <v>0</v>
      </c>
      <c r="Y57" s="21">
        <f t="shared" si="40"/>
        <v>0</v>
      </c>
      <c r="Z57" s="221">
        <f t="shared" si="29"/>
        <v>0</v>
      </c>
      <c r="AA57" s="30">
        <f t="shared" si="20"/>
        <v>0</v>
      </c>
      <c r="AB57" s="30">
        <f t="shared" si="21"/>
        <v>0</v>
      </c>
      <c r="AC57" s="30">
        <f t="shared" si="22"/>
        <v>0</v>
      </c>
      <c r="AD57" s="30">
        <f t="shared" si="23"/>
        <v>0</v>
      </c>
      <c r="AE57" s="32">
        <f t="shared" si="30"/>
        <v>0</v>
      </c>
      <c r="AF57" s="33">
        <f t="shared" si="47"/>
        <v>0</v>
      </c>
      <c r="AG57" s="40">
        <f t="shared" si="31"/>
        <v>0</v>
      </c>
      <c r="AH57" s="224">
        <f>AG57*$P$36</f>
        <v>0</v>
      </c>
      <c r="AI57" s="226">
        <f>SUM(Z57,IF(Z57&lt;&gt;0,$F$34,0),IF(Z57&lt;&gt;0,$N$36,0),IF(Z57&lt;&gt;0,$T$36,0),IF(Z57=0,AH62,IF(Z57=1,AH63,IF(Z57=2,AH64,IF(Z57=3,AH65,IF(Z57=4,AH66,IF(Z57=5,AH67,IF(Z57=6,AH68,IF(Z57=7,AH69,IF(Z57=8,AH70,IF(Z57=9,AH71,IF(Z57=10,AH72,IF(Z57=11,AH73,IF(Z57=12,AH74,IF(Z57=13,AH75,IF(Z57=14,AH76,IF(Z57=15,AH77,IF(Z57=16,AH78,IF(Z57=17,AH79,IF(Z57=18,AH80,IF(Z57=19,AH81,IF(Z57=20,AH82,IF(Z57=21,AH83,IF(Z57=22,AH84,IF(Z57=23,AH85,IF(Z57=24,AH86,IF(Z57=25,AH87,IF(Z57=26,AH88,IF(Z57=27,AH89,IF(Z57=28,AH90,IF(Z57=29,AH91,IF(Z57=30,AH92))))))))))))))))))))))))))))))))</f>
        <v>0</v>
      </c>
      <c r="AJ57" s="253">
        <f>IF(V57&lt;&gt;0,SUM($F$34,V57,$N$36,MAX($AH$42:$AH$342),$T$36),0)</f>
        <v>0</v>
      </c>
      <c r="AK57" s="253">
        <f>IF(W57&lt;&gt;0,SUM($F$34,W57,$N$36,MAX($AH$42:$AH$342),$T$36),0)</f>
        <v>0</v>
      </c>
      <c r="AL57" s="253">
        <f>IF(X57&lt;&gt;0,SUM($F$34,X57,$N$36,MAX($AH$42:$AH$342),$T$36),0)</f>
        <v>0</v>
      </c>
      <c r="AM57" s="260">
        <f>IF(Y57&lt;&gt;0,SUM($F$34,Y57,$N$36,MAX($AH$42:$AH$342),$T$36),0)</f>
        <v>0</v>
      </c>
    </row>
    <row r="58" spans="1:39" x14ac:dyDescent="0.35">
      <c r="A58" s="259">
        <v>1316</v>
      </c>
      <c r="B58" s="58">
        <f>SUMIF([2]!Table2_23[ETA],'FIS Optimal Model (2)'!A58,[2]!Table2_23[FIS PAX])</f>
        <v>0</v>
      </c>
      <c r="C58" s="44">
        <f t="shared" si="32"/>
        <v>0</v>
      </c>
      <c r="D58" s="52">
        <f t="shared" si="41"/>
        <v>0</v>
      </c>
      <c r="E58" s="26">
        <f t="shared" si="24"/>
        <v>0</v>
      </c>
      <c r="F58" s="26">
        <f t="shared" si="25"/>
        <v>0</v>
      </c>
      <c r="G58" s="26">
        <f t="shared" si="26"/>
        <v>0</v>
      </c>
      <c r="H58" s="26">
        <f t="shared" si="27"/>
        <v>0</v>
      </c>
      <c r="I58" s="27">
        <f t="shared" si="48"/>
        <v>0</v>
      </c>
      <c r="J58" s="27">
        <f t="shared" si="46"/>
        <v>0</v>
      </c>
      <c r="K58" s="27">
        <f t="shared" si="46"/>
        <v>0</v>
      </c>
      <c r="L58" s="27">
        <f t="shared" si="46"/>
        <v>0</v>
      </c>
      <c r="M58" s="28">
        <f>IF(R57=0,0,$Q$7)</f>
        <v>0</v>
      </c>
      <c r="N58" s="29">
        <f>$U$7-M58-O58-P58</f>
        <v>6</v>
      </c>
      <c r="O58" s="28">
        <f>IF(T57=0,0,$S$7)</f>
        <v>0</v>
      </c>
      <c r="P58" s="28">
        <f>IF(U57=0,0,$T$7)</f>
        <v>0</v>
      </c>
      <c r="Q58" s="28">
        <f t="shared" si="28"/>
        <v>6</v>
      </c>
      <c r="R58" s="22">
        <f t="shared" si="33"/>
        <v>0</v>
      </c>
      <c r="S58" s="22">
        <f t="shared" si="34"/>
        <v>0</v>
      </c>
      <c r="T58" s="22">
        <f t="shared" si="35"/>
        <v>0</v>
      </c>
      <c r="U58" s="22">
        <f t="shared" si="36"/>
        <v>0</v>
      </c>
      <c r="V58" s="21">
        <f t="shared" si="37"/>
        <v>0</v>
      </c>
      <c r="W58" s="21">
        <f t="shared" si="38"/>
        <v>0</v>
      </c>
      <c r="X58" s="21">
        <f t="shared" si="39"/>
        <v>0</v>
      </c>
      <c r="Y58" s="21">
        <f t="shared" si="40"/>
        <v>0</v>
      </c>
      <c r="Z58" s="221">
        <f t="shared" si="29"/>
        <v>0</v>
      </c>
      <c r="AA58" s="30">
        <f t="shared" si="20"/>
        <v>0</v>
      </c>
      <c r="AB58" s="30">
        <f t="shared" si="21"/>
        <v>0</v>
      </c>
      <c r="AC58" s="30">
        <f t="shared" si="22"/>
        <v>0</v>
      </c>
      <c r="AD58" s="30">
        <f t="shared" si="23"/>
        <v>0</v>
      </c>
      <c r="AE58" s="32">
        <f t="shared" si="30"/>
        <v>0</v>
      </c>
      <c r="AF58" s="33">
        <f t="shared" si="47"/>
        <v>0</v>
      </c>
      <c r="AG58" s="40">
        <f t="shared" si="31"/>
        <v>0</v>
      </c>
      <c r="AH58" s="224">
        <f>AG58*$P$36</f>
        <v>0</v>
      </c>
      <c r="AI58" s="226">
        <f>SUM(Z58,IF(Z58&lt;&gt;0,$F$34,0),IF(Z58&lt;&gt;0,$N$36,0),IF(Z58&lt;&gt;0,$T$36,0),IF(Z58=0,AH63,IF(Z58=1,AH64,IF(Z58=2,AH65,IF(Z58=3,AH66,IF(Z58=4,AH67,IF(Z58=5,AH68,IF(Z58=6,AH69,IF(Z58=7,AH70,IF(Z58=8,AH71,IF(Z58=9,AH72,IF(Z58=10,AH73,IF(Z58=11,AH74,IF(Z58=12,AH75,IF(Z58=13,AH76,IF(Z58=14,AH77,IF(Z58=15,AH78,IF(Z58=16,AH79,IF(Z58=17,AH80,IF(Z58=18,AH81,IF(Z58=19,AH82,IF(Z58=20,AH83,IF(Z58=21,AH84,IF(Z58=22,AH85,IF(Z58=23,AH86,IF(Z58=24,AH87,IF(Z58=25,AH88,IF(Z58=26,AH89,IF(Z58=27,AH90,IF(Z58=28,AH91,IF(Z58=29,AH92,IF(Z58=30,AH93))))))))))))))))))))))))))))))))</f>
        <v>0</v>
      </c>
      <c r="AJ58" s="253">
        <f>IF(V58&lt;&gt;0,SUM($F$34,V58,$N$36,MAX($AH$42:$AH$342),$T$36),0)</f>
        <v>0</v>
      </c>
      <c r="AK58" s="253">
        <f>IF(W58&lt;&gt;0,SUM($F$34,W58,$N$36,MAX($AH$42:$AH$342),$T$36),0)</f>
        <v>0</v>
      </c>
      <c r="AL58" s="253">
        <f>IF(X58&lt;&gt;0,SUM($F$34,X58,$N$36,MAX($AH$42:$AH$342),$T$36),0)</f>
        <v>0</v>
      </c>
      <c r="AM58" s="260">
        <f>IF(Y58&lt;&gt;0,SUM($F$34,Y58,$N$36,MAX($AH$42:$AH$342),$T$36),0)</f>
        <v>0</v>
      </c>
    </row>
    <row r="59" spans="1:39" x14ac:dyDescent="0.35">
      <c r="A59" s="259">
        <v>1317</v>
      </c>
      <c r="B59" s="58">
        <f>SUMIF([2]!Table2_23[ETA],'FIS Optimal Model (2)'!A59,[2]!Table2_23[FIS PAX])</f>
        <v>0</v>
      </c>
      <c r="C59" s="44">
        <f t="shared" si="32"/>
        <v>0</v>
      </c>
      <c r="D59" s="52">
        <f t="shared" si="41"/>
        <v>0</v>
      </c>
      <c r="E59" s="26">
        <f t="shared" si="24"/>
        <v>0</v>
      </c>
      <c r="F59" s="26">
        <f t="shared" si="25"/>
        <v>0</v>
      </c>
      <c r="G59" s="26">
        <f t="shared" si="26"/>
        <v>0</v>
      </c>
      <c r="H59" s="26">
        <f t="shared" si="27"/>
        <v>0</v>
      </c>
      <c r="I59" s="27">
        <f t="shared" si="48"/>
        <v>0</v>
      </c>
      <c r="J59" s="27">
        <f t="shared" si="46"/>
        <v>0</v>
      </c>
      <c r="K59" s="27">
        <f t="shared" si="46"/>
        <v>0</v>
      </c>
      <c r="L59" s="27">
        <f t="shared" si="46"/>
        <v>0</v>
      </c>
      <c r="M59" s="28">
        <f>$M$58</f>
        <v>0</v>
      </c>
      <c r="N59" s="29">
        <f>$N$58</f>
        <v>6</v>
      </c>
      <c r="O59" s="28">
        <f>$O$58</f>
        <v>0</v>
      </c>
      <c r="P59" s="28">
        <f>$P$58</f>
        <v>0</v>
      </c>
      <c r="Q59" s="28">
        <f t="shared" si="28"/>
        <v>6</v>
      </c>
      <c r="R59" s="22">
        <f t="shared" si="33"/>
        <v>0</v>
      </c>
      <c r="S59" s="22">
        <f t="shared" si="34"/>
        <v>0</v>
      </c>
      <c r="T59" s="22">
        <f t="shared" si="35"/>
        <v>0</v>
      </c>
      <c r="U59" s="22">
        <f t="shared" si="36"/>
        <v>0</v>
      </c>
      <c r="V59" s="21">
        <f t="shared" si="37"/>
        <v>0</v>
      </c>
      <c r="W59" s="21">
        <f t="shared" si="38"/>
        <v>0</v>
      </c>
      <c r="X59" s="21">
        <f t="shared" si="39"/>
        <v>0</v>
      </c>
      <c r="Y59" s="21">
        <f t="shared" si="40"/>
        <v>0</v>
      </c>
      <c r="Z59" s="221">
        <f t="shared" si="29"/>
        <v>0</v>
      </c>
      <c r="AA59" s="30">
        <f t="shared" si="20"/>
        <v>0</v>
      </c>
      <c r="AB59" s="30">
        <f t="shared" si="21"/>
        <v>0</v>
      </c>
      <c r="AC59" s="30">
        <f t="shared" si="22"/>
        <v>0</v>
      </c>
      <c r="AD59" s="30">
        <f t="shared" si="23"/>
        <v>0</v>
      </c>
      <c r="AE59" s="32">
        <f t="shared" si="30"/>
        <v>0</v>
      </c>
      <c r="AF59" s="33">
        <f t="shared" si="47"/>
        <v>0</v>
      </c>
      <c r="AG59" s="40">
        <f t="shared" si="31"/>
        <v>0</v>
      </c>
      <c r="AH59" s="224">
        <f>AG59*$P$36</f>
        <v>0</v>
      </c>
      <c r="AI59" s="226">
        <f>SUM(Z59,IF(Z59&lt;&gt;0,$F$34,0),IF(Z59&lt;&gt;0,$N$36,0),IF(Z59&lt;&gt;0,$T$36,0),IF(Z59=0,AH64,IF(Z59=1,AH65,IF(Z59=2,AH66,IF(Z59=3,AH67,IF(Z59=4,AH68,IF(Z59=5,AH69,IF(Z59=6,AH70,IF(Z59=7,AH71,IF(Z59=8,AH72,IF(Z59=9,AH73,IF(Z59=10,AH74,IF(Z59=11,AH75,IF(Z59=12,AH76,IF(Z59=13,AH77,IF(Z59=14,AH78,IF(Z59=15,AH79,IF(Z59=16,AH80,IF(Z59=17,AH81,IF(Z59=18,AH82,IF(Z59=19,AH83,IF(Z59=20,AH84,IF(Z59=21,AH85,IF(Z59=22,AH86,IF(Z59=23,AH87,IF(Z59=24,AH88,IF(Z59=25,AH89,IF(Z59=26,AH90,IF(Z59=27,AH91,IF(Z59=28,AH92,IF(Z59=29,AH93,IF(Z59=30,AH94))))))))))))))))))))))))))))))))</f>
        <v>0</v>
      </c>
      <c r="AJ59" s="253">
        <f>IF(V59&lt;&gt;0,SUM($F$34,V59,$N$36,MAX($AH$42:$AH$342),$T$36),0)</f>
        <v>0</v>
      </c>
      <c r="AK59" s="253">
        <f>IF(W59&lt;&gt;0,SUM($F$34,W59,$N$36,MAX($AH$42:$AH$342),$T$36),0)</f>
        <v>0</v>
      </c>
      <c r="AL59" s="253">
        <f>IF(X59&lt;&gt;0,SUM($F$34,X59,$N$36,MAX($AH$42:$AH$342),$T$36),0)</f>
        <v>0</v>
      </c>
      <c r="AM59" s="260">
        <f>IF(Y59&lt;&gt;0,SUM($F$34,Y59,$N$36,MAX($AH$42:$AH$342),$T$36),0)</f>
        <v>0</v>
      </c>
    </row>
    <row r="60" spans="1:39" x14ac:dyDescent="0.35">
      <c r="A60" s="259">
        <v>1318</v>
      </c>
      <c r="B60" s="58">
        <f>SUMIF([2]!Table2_23[ETA],'FIS Optimal Model (2)'!A60,[2]!Table2_23[FIS PAX])</f>
        <v>0</v>
      </c>
      <c r="C60" s="44">
        <f t="shared" si="32"/>
        <v>0</v>
      </c>
      <c r="D60" s="52">
        <f t="shared" si="41"/>
        <v>0</v>
      </c>
      <c r="E60" s="26">
        <f t="shared" si="24"/>
        <v>0</v>
      </c>
      <c r="F60" s="26">
        <f t="shared" si="25"/>
        <v>0</v>
      </c>
      <c r="G60" s="26">
        <f t="shared" si="26"/>
        <v>0</v>
      </c>
      <c r="H60" s="26">
        <f t="shared" si="27"/>
        <v>0</v>
      </c>
      <c r="I60" s="27">
        <f t="shared" si="48"/>
        <v>0</v>
      </c>
      <c r="J60" s="27">
        <f t="shared" si="46"/>
        <v>0</v>
      </c>
      <c r="K60" s="27">
        <f t="shared" si="46"/>
        <v>0</v>
      </c>
      <c r="L60" s="27">
        <f t="shared" si="46"/>
        <v>0</v>
      </c>
      <c r="M60" s="28">
        <f t="shared" ref="M60:M72" si="49">$M$58</f>
        <v>0</v>
      </c>
      <c r="N60" s="29">
        <f t="shared" ref="N60:N72" si="50">$N$58</f>
        <v>6</v>
      </c>
      <c r="O60" s="28">
        <f t="shared" ref="O60:O72" si="51">$O$58</f>
        <v>0</v>
      </c>
      <c r="P60" s="28">
        <f t="shared" ref="P60:P72" si="52">$P$58</f>
        <v>0</v>
      </c>
      <c r="Q60" s="28">
        <f t="shared" si="28"/>
        <v>6</v>
      </c>
      <c r="R60" s="22">
        <f t="shared" si="33"/>
        <v>0</v>
      </c>
      <c r="S60" s="22">
        <f t="shared" si="34"/>
        <v>0</v>
      </c>
      <c r="T60" s="22">
        <f t="shared" si="35"/>
        <v>0</v>
      </c>
      <c r="U60" s="22">
        <f t="shared" si="36"/>
        <v>0</v>
      </c>
      <c r="V60" s="21">
        <f t="shared" si="37"/>
        <v>0</v>
      </c>
      <c r="W60" s="21">
        <f t="shared" si="38"/>
        <v>0</v>
      </c>
      <c r="X60" s="21">
        <f t="shared" si="39"/>
        <v>0</v>
      </c>
      <c r="Y60" s="21">
        <f t="shared" si="40"/>
        <v>0</v>
      </c>
      <c r="Z60" s="221">
        <f t="shared" si="29"/>
        <v>0</v>
      </c>
      <c r="AA60" s="30">
        <f t="shared" si="20"/>
        <v>0</v>
      </c>
      <c r="AB60" s="30">
        <f t="shared" si="21"/>
        <v>0</v>
      </c>
      <c r="AC60" s="30">
        <f t="shared" si="22"/>
        <v>0</v>
      </c>
      <c r="AD60" s="30">
        <f t="shared" si="23"/>
        <v>0</v>
      </c>
      <c r="AE60" s="32">
        <f t="shared" si="30"/>
        <v>0</v>
      </c>
      <c r="AF60" s="33">
        <f t="shared" si="47"/>
        <v>0</v>
      </c>
      <c r="AG60" s="40">
        <f t="shared" si="31"/>
        <v>0</v>
      </c>
      <c r="AH60" s="224">
        <f>AG60*$P$36</f>
        <v>0</v>
      </c>
      <c r="AI60" s="226">
        <f>SUM(Z60,IF(Z60&lt;&gt;0,$F$34,0),IF(Z60&lt;&gt;0,$N$36,0),IF(Z60&lt;&gt;0,$T$36,0),IF(Z60=0,AH65,IF(Z60=1,AH66,IF(Z60=2,AH67,IF(Z60=3,AH68,IF(Z60=4,AH69,IF(Z60=5,AH70,IF(Z60=6,AH71,IF(Z60=7,AH72,IF(Z60=8,AH73,IF(Z60=9,AH74,IF(Z60=10,AH75,IF(Z60=11,AH76,IF(Z60=12,AH77,IF(Z60=13,AH78,IF(Z60=14,AH79,IF(Z60=15,AH80,IF(Z60=16,AH81,IF(Z60=17,AH82,IF(Z60=18,AH83,IF(Z60=19,AH84,IF(Z60=20,AH85,IF(Z60=21,AH86,IF(Z60=22,AH87,IF(Z60=23,AH88,IF(Z60=24,AH89,IF(Z60=25,AH90,IF(Z60=26,AH91,IF(Z60=27,AH92,IF(Z60=28,AH93,IF(Z60=29,AH94,IF(Z60=30,AH95))))))))))))))))))))))))))))))))</f>
        <v>0</v>
      </c>
      <c r="AJ60" s="253">
        <f>IF(V60&lt;&gt;0,SUM($F$34,V60,$N$36,MAX($AH$42:$AH$342),$T$36),0)</f>
        <v>0</v>
      </c>
      <c r="AK60" s="253">
        <f>IF(W60&lt;&gt;0,SUM($F$34,W60,$N$36,MAX($AH$42:$AH$342),$T$36),0)</f>
        <v>0</v>
      </c>
      <c r="AL60" s="253">
        <f>IF(X60&lt;&gt;0,SUM($F$34,X60,$N$36,MAX($AH$42:$AH$342),$T$36),0)</f>
        <v>0</v>
      </c>
      <c r="AM60" s="260">
        <f>IF(Y60&lt;&gt;0,SUM($F$34,Y60,$N$36,MAX($AH$42:$AH$342),$T$36),0)</f>
        <v>0</v>
      </c>
    </row>
    <row r="61" spans="1:39" x14ac:dyDescent="0.35">
      <c r="A61" s="259">
        <v>1319</v>
      </c>
      <c r="B61" s="58">
        <f>SUMIF([2]!Table2_23[ETA],'FIS Optimal Model (2)'!A61,[2]!Table2_23[FIS PAX])</f>
        <v>0</v>
      </c>
      <c r="C61" s="44">
        <f t="shared" si="32"/>
        <v>0</v>
      </c>
      <c r="D61" s="52">
        <f t="shared" si="41"/>
        <v>0</v>
      </c>
      <c r="E61" s="26">
        <f t="shared" si="24"/>
        <v>0</v>
      </c>
      <c r="F61" s="26">
        <f t="shared" si="25"/>
        <v>0</v>
      </c>
      <c r="G61" s="26">
        <f t="shared" si="26"/>
        <v>0</v>
      </c>
      <c r="H61" s="26">
        <f t="shared" si="27"/>
        <v>0</v>
      </c>
      <c r="I61" s="27">
        <f t="shared" si="48"/>
        <v>0</v>
      </c>
      <c r="J61" s="27">
        <f t="shared" si="46"/>
        <v>0</v>
      </c>
      <c r="K61" s="27">
        <f t="shared" si="46"/>
        <v>0</v>
      </c>
      <c r="L61" s="27">
        <f t="shared" si="46"/>
        <v>0</v>
      </c>
      <c r="M61" s="28">
        <f t="shared" si="49"/>
        <v>0</v>
      </c>
      <c r="N61" s="29">
        <f t="shared" si="50"/>
        <v>6</v>
      </c>
      <c r="O61" s="28">
        <f t="shared" si="51"/>
        <v>0</v>
      </c>
      <c r="P61" s="28">
        <f t="shared" si="52"/>
        <v>0</v>
      </c>
      <c r="Q61" s="28">
        <f t="shared" si="28"/>
        <v>6</v>
      </c>
      <c r="R61" s="22">
        <f t="shared" si="33"/>
        <v>0</v>
      </c>
      <c r="S61" s="22">
        <f t="shared" si="34"/>
        <v>0</v>
      </c>
      <c r="T61" s="22">
        <f t="shared" si="35"/>
        <v>0</v>
      </c>
      <c r="U61" s="22">
        <f t="shared" si="36"/>
        <v>0</v>
      </c>
      <c r="V61" s="21">
        <f t="shared" si="37"/>
        <v>0</v>
      </c>
      <c r="W61" s="21">
        <f t="shared" si="38"/>
        <v>0</v>
      </c>
      <c r="X61" s="21">
        <f t="shared" si="39"/>
        <v>0</v>
      </c>
      <c r="Y61" s="21">
        <f t="shared" si="40"/>
        <v>0</v>
      </c>
      <c r="Z61" s="221">
        <f t="shared" si="29"/>
        <v>0</v>
      </c>
      <c r="AA61" s="30">
        <f t="shared" si="20"/>
        <v>0</v>
      </c>
      <c r="AB61" s="30">
        <f t="shared" si="21"/>
        <v>0</v>
      </c>
      <c r="AC61" s="30">
        <f t="shared" si="22"/>
        <v>0</v>
      </c>
      <c r="AD61" s="30">
        <f t="shared" si="23"/>
        <v>0</v>
      </c>
      <c r="AE61" s="32">
        <f t="shared" si="30"/>
        <v>0</v>
      </c>
      <c r="AF61" s="33">
        <f t="shared" si="47"/>
        <v>0</v>
      </c>
      <c r="AG61" s="40">
        <f t="shared" si="31"/>
        <v>0</v>
      </c>
      <c r="AH61" s="224">
        <f>AG61*$P$36</f>
        <v>0</v>
      </c>
      <c r="AI61" s="226">
        <f>SUM(Z61,IF(Z61&lt;&gt;0,$F$34,0),IF(Z61&lt;&gt;0,$N$36,0),IF(Z61&lt;&gt;0,$T$36,0),IF(Z61=0,AH66,IF(Z61=1,AH67,IF(Z61=2,AH68,IF(Z61=3,AH69,IF(Z61=4,AH70,IF(Z61=5,AH71,IF(Z61=6,AH72,IF(Z61=7,AH73,IF(Z61=8,AH74,IF(Z61=9,AH75,IF(Z61=10,AH76,IF(Z61=11,AH77,IF(Z61=12,AH78,IF(Z61=13,AH79,IF(Z61=14,AH80,IF(Z61=15,AH81,IF(Z61=16,AH82,IF(Z61=17,AH83,IF(Z61=18,AH84,IF(Z61=19,AH85,IF(Z61=20,AH86,IF(Z61=21,AH87,IF(Z61=22,AH88,IF(Z61=23,AH89,IF(Z61=24,AH90,IF(Z61=25,AH91,IF(Z61=26,AH92,IF(Z61=27,AH93,IF(Z61=28,AH94,IF(Z61=29,AH95,IF(Z61=30,AH96))))))))))))))))))))))))))))))))</f>
        <v>0</v>
      </c>
      <c r="AJ61" s="253">
        <f>IF(V61&lt;&gt;0,SUM($F$34,V61,$N$36,MAX($AH$42:$AH$342),$T$36),0)</f>
        <v>0</v>
      </c>
      <c r="AK61" s="253">
        <f>IF(W61&lt;&gt;0,SUM($F$34,W61,$N$36,MAX($AH$42:$AH$342),$T$36),0)</f>
        <v>0</v>
      </c>
      <c r="AL61" s="253">
        <f>IF(X61&lt;&gt;0,SUM($F$34,X61,$N$36,MAX($AH$42:$AH$342),$T$36),0)</f>
        <v>0</v>
      </c>
      <c r="AM61" s="260">
        <f>IF(Y61&lt;&gt;0,SUM($F$34,Y61,$N$36,MAX($AH$42:$AH$342),$T$36),0)</f>
        <v>0</v>
      </c>
    </row>
    <row r="62" spans="1:39" x14ac:dyDescent="0.35">
      <c r="A62" s="259">
        <v>1320</v>
      </c>
      <c r="B62" s="58">
        <f>SUMIF([2]!Table2_23[ETA],'FIS Optimal Model (2)'!A62,[2]!Table2_23[FIS PAX])</f>
        <v>0</v>
      </c>
      <c r="C62" s="44">
        <f t="shared" si="32"/>
        <v>0</v>
      </c>
      <c r="D62" s="52">
        <f t="shared" si="41"/>
        <v>0</v>
      </c>
      <c r="E62" s="26">
        <f t="shared" si="24"/>
        <v>0</v>
      </c>
      <c r="F62" s="26">
        <f t="shared" si="25"/>
        <v>0</v>
      </c>
      <c r="G62" s="26">
        <f t="shared" si="26"/>
        <v>0</v>
      </c>
      <c r="H62" s="26">
        <f t="shared" si="27"/>
        <v>0</v>
      </c>
      <c r="I62" s="27">
        <f t="shared" si="48"/>
        <v>0</v>
      </c>
      <c r="J62" s="27">
        <f t="shared" si="46"/>
        <v>0</v>
      </c>
      <c r="K62" s="27">
        <f t="shared" si="46"/>
        <v>0</v>
      </c>
      <c r="L62" s="27">
        <f t="shared" si="46"/>
        <v>0</v>
      </c>
      <c r="M62" s="28">
        <f t="shared" si="49"/>
        <v>0</v>
      </c>
      <c r="N62" s="29">
        <f t="shared" si="50"/>
        <v>6</v>
      </c>
      <c r="O62" s="28">
        <f t="shared" si="51"/>
        <v>0</v>
      </c>
      <c r="P62" s="28">
        <f t="shared" si="52"/>
        <v>0</v>
      </c>
      <c r="Q62" s="28">
        <f t="shared" si="28"/>
        <v>6</v>
      </c>
      <c r="R62" s="22">
        <f t="shared" si="33"/>
        <v>0</v>
      </c>
      <c r="S62" s="22">
        <f t="shared" si="34"/>
        <v>0</v>
      </c>
      <c r="T62" s="22">
        <f t="shared" si="35"/>
        <v>0</v>
      </c>
      <c r="U62" s="22">
        <f t="shared" si="36"/>
        <v>0</v>
      </c>
      <c r="V62" s="21">
        <f t="shared" si="37"/>
        <v>0</v>
      </c>
      <c r="W62" s="21">
        <f t="shared" si="38"/>
        <v>0</v>
      </c>
      <c r="X62" s="21">
        <f t="shared" si="39"/>
        <v>0</v>
      </c>
      <c r="Y62" s="21">
        <f t="shared" si="40"/>
        <v>0</v>
      </c>
      <c r="Z62" s="221">
        <f t="shared" si="29"/>
        <v>0</v>
      </c>
      <c r="AA62" s="30">
        <f t="shared" si="20"/>
        <v>0</v>
      </c>
      <c r="AB62" s="30">
        <f t="shared" si="21"/>
        <v>0</v>
      </c>
      <c r="AC62" s="30">
        <f t="shared" si="22"/>
        <v>0</v>
      </c>
      <c r="AD62" s="30">
        <f t="shared" si="23"/>
        <v>0</v>
      </c>
      <c r="AE62" s="32">
        <f t="shared" si="30"/>
        <v>0</v>
      </c>
      <c r="AF62" s="33">
        <f t="shared" si="47"/>
        <v>0</v>
      </c>
      <c r="AG62" s="40">
        <f t="shared" si="31"/>
        <v>0</v>
      </c>
      <c r="AH62" s="224">
        <f>AG62*$P$36</f>
        <v>0</v>
      </c>
      <c r="AI62" s="226">
        <f>SUM(Z62,IF(Z62&lt;&gt;0,$F$34,0),IF(Z62&lt;&gt;0,$N$36,0),IF(Z62&lt;&gt;0,$T$36,0),IF(Z62=0,AH67,IF(Z62=1,AH68,IF(Z62=2,AH69,IF(Z62=3,AH70,IF(Z62=4,AH71,IF(Z62=5,AH72,IF(Z62=6,AH73,IF(Z62=7,AH74,IF(Z62=8,AH75,IF(Z62=9,AH76,IF(Z62=10,AH77,IF(Z62=11,AH78,IF(Z62=12,AH79,IF(Z62=13,AH80,IF(Z62=14,AH81,IF(Z62=15,AH82,IF(Z62=16,AH83,IF(Z62=17,AH84,IF(Z62=18,AH85,IF(Z62=19,AH86,IF(Z62=20,AH87,IF(Z62=21,AH88,IF(Z62=22,AH89,IF(Z62=23,AH90,IF(Z62=24,AH91,IF(Z62=25,AH92,IF(Z62=26,AH93,IF(Z62=27,AH94,IF(Z62=28,AH95,IF(Z62=29,AH96,IF(Z62=30,AH97))))))))))))))))))))))))))))))))</f>
        <v>0</v>
      </c>
      <c r="AJ62" s="253">
        <f>IF(V62&lt;&gt;0,SUM($F$34,V62,$N$36,MAX($AH$42:$AH$342),$T$36),0)</f>
        <v>0</v>
      </c>
      <c r="AK62" s="253">
        <f>IF(W62&lt;&gt;0,SUM($F$34,W62,$N$36,MAX($AH$42:$AH$342),$T$36),0)</f>
        <v>0</v>
      </c>
      <c r="AL62" s="253">
        <f>IF(X62&lt;&gt;0,SUM($F$34,X62,$N$36,MAX($AH$42:$AH$342),$T$36),0)</f>
        <v>0</v>
      </c>
      <c r="AM62" s="260">
        <f>IF(Y62&lt;&gt;0,SUM($F$34,Y62,$N$36,MAX($AH$42:$AH$342),$T$36),0)</f>
        <v>0</v>
      </c>
    </row>
    <row r="63" spans="1:39" x14ac:dyDescent="0.35">
      <c r="A63" s="259">
        <v>1321</v>
      </c>
      <c r="B63" s="58">
        <f>SUMIF([2]!Table2_23[ETA],'FIS Optimal Model (2)'!A63,[2]!Table2_23[FIS PAX])</f>
        <v>0</v>
      </c>
      <c r="C63" s="44">
        <f t="shared" si="32"/>
        <v>0</v>
      </c>
      <c r="D63" s="52">
        <f t="shared" si="41"/>
        <v>0</v>
      </c>
      <c r="E63" s="26">
        <f t="shared" si="24"/>
        <v>0</v>
      </c>
      <c r="F63" s="26">
        <f t="shared" si="25"/>
        <v>0</v>
      </c>
      <c r="G63" s="26">
        <f t="shared" si="26"/>
        <v>0</v>
      </c>
      <c r="H63" s="26">
        <f t="shared" si="27"/>
        <v>0</v>
      </c>
      <c r="I63" s="27">
        <f t="shared" si="48"/>
        <v>0</v>
      </c>
      <c r="J63" s="27">
        <f t="shared" si="48"/>
        <v>0</v>
      </c>
      <c r="K63" s="27">
        <f t="shared" si="48"/>
        <v>0</v>
      </c>
      <c r="L63" s="27">
        <f t="shared" si="48"/>
        <v>0</v>
      </c>
      <c r="M63" s="28">
        <f t="shared" si="49"/>
        <v>0</v>
      </c>
      <c r="N63" s="29">
        <f t="shared" si="50"/>
        <v>6</v>
      </c>
      <c r="O63" s="28">
        <f t="shared" si="51"/>
        <v>0</v>
      </c>
      <c r="P63" s="28">
        <f t="shared" si="52"/>
        <v>0</v>
      </c>
      <c r="Q63" s="28">
        <f t="shared" si="28"/>
        <v>6</v>
      </c>
      <c r="R63" s="22">
        <f t="shared" si="33"/>
        <v>0</v>
      </c>
      <c r="S63" s="22">
        <f t="shared" si="34"/>
        <v>0</v>
      </c>
      <c r="T63" s="22">
        <f t="shared" si="35"/>
        <v>0</v>
      </c>
      <c r="U63" s="22">
        <f t="shared" si="36"/>
        <v>0</v>
      </c>
      <c r="V63" s="21">
        <f t="shared" si="37"/>
        <v>0</v>
      </c>
      <c r="W63" s="21">
        <f t="shared" si="38"/>
        <v>0</v>
      </c>
      <c r="X63" s="21">
        <f t="shared" si="39"/>
        <v>0</v>
      </c>
      <c r="Y63" s="21">
        <f t="shared" si="40"/>
        <v>0</v>
      </c>
      <c r="Z63" s="221">
        <f t="shared" si="29"/>
        <v>0</v>
      </c>
      <c r="AA63" s="30">
        <f t="shared" si="20"/>
        <v>0</v>
      </c>
      <c r="AB63" s="30">
        <f t="shared" si="21"/>
        <v>0</v>
      </c>
      <c r="AC63" s="30">
        <f t="shared" si="22"/>
        <v>0</v>
      </c>
      <c r="AD63" s="30">
        <f t="shared" si="23"/>
        <v>0</v>
      </c>
      <c r="AE63" s="32">
        <f t="shared" si="30"/>
        <v>0</v>
      </c>
      <c r="AF63" s="33">
        <f t="shared" si="47"/>
        <v>0</v>
      </c>
      <c r="AG63" s="40">
        <f t="shared" si="31"/>
        <v>0</v>
      </c>
      <c r="AH63" s="224">
        <f>AG63*$P$36</f>
        <v>0</v>
      </c>
      <c r="AI63" s="226">
        <f>SUM(Z63,IF(Z63&lt;&gt;0,$F$34,0),IF(Z63&lt;&gt;0,$N$36,0),IF(Z63&lt;&gt;0,$T$36,0),IF(Z63=0,AH68,IF(Z63=1,AH69,IF(Z63=2,AH70,IF(Z63=3,AH71,IF(Z63=4,AH72,IF(Z63=5,AH73,IF(Z63=6,AH74,IF(Z63=7,AH75,IF(Z63=8,AH76,IF(Z63=9,AH77,IF(Z63=10,AH78,IF(Z63=11,AH79,IF(Z63=12,AH80,IF(Z63=13,AH81,IF(Z63=14,AH82,IF(Z63=15,AH83,IF(Z63=16,AH84,IF(Z63=17,AH85,IF(Z63=18,AH86,IF(Z63=19,AH87,IF(Z63=20,AH88,IF(Z63=21,AH89,IF(Z63=22,AH90,IF(Z63=23,AH91,IF(Z63=24,AH92,IF(Z63=25,AH93,IF(Z63=26,AH94,IF(Z63=27,AH95,IF(Z63=28,AH96,IF(Z63=29,AH97,IF(Z63=30,AH98))))))))))))))))))))))))))))))))</f>
        <v>0</v>
      </c>
      <c r="AJ63" s="253">
        <f>IF(V63&lt;&gt;0,SUM($F$34,V63,$N$36,MAX($AH$42:$AH$342),$T$36),0)</f>
        <v>0</v>
      </c>
      <c r="AK63" s="253">
        <f>IF(W63&lt;&gt;0,SUM($F$34,W63,$N$36,MAX($AH$42:$AH$342),$T$36),0)</f>
        <v>0</v>
      </c>
      <c r="AL63" s="253">
        <f>IF(X63&lt;&gt;0,SUM($F$34,X63,$N$36,MAX($AH$42:$AH$342),$T$36),0)</f>
        <v>0</v>
      </c>
      <c r="AM63" s="260">
        <f>IF(Y63&lt;&gt;0,SUM($F$34,Y63,$N$36,MAX($AH$42:$AH$342),$T$36),0)</f>
        <v>0</v>
      </c>
    </row>
    <row r="64" spans="1:39" x14ac:dyDescent="0.35">
      <c r="A64" s="259">
        <v>1322</v>
      </c>
      <c r="B64" s="58">
        <f>SUMIF([2]!Table2_23[ETA],'FIS Optimal Model (2)'!A64,[2]!Table2_23[FIS PAX])</f>
        <v>0</v>
      </c>
      <c r="C64" s="44">
        <f t="shared" si="32"/>
        <v>0</v>
      </c>
      <c r="D64" s="52">
        <f t="shared" si="41"/>
        <v>0</v>
      </c>
      <c r="E64" s="26">
        <f t="shared" si="24"/>
        <v>0</v>
      </c>
      <c r="F64" s="26">
        <f t="shared" si="25"/>
        <v>0</v>
      </c>
      <c r="G64" s="26">
        <f t="shared" si="26"/>
        <v>0</v>
      </c>
      <c r="H64" s="26">
        <f t="shared" si="27"/>
        <v>0</v>
      </c>
      <c r="I64" s="27">
        <f t="shared" si="48"/>
        <v>0</v>
      </c>
      <c r="J64" s="27">
        <f t="shared" si="48"/>
        <v>0</v>
      </c>
      <c r="K64" s="27">
        <f t="shared" si="48"/>
        <v>0</v>
      </c>
      <c r="L64" s="27">
        <f t="shared" si="48"/>
        <v>0</v>
      </c>
      <c r="M64" s="28">
        <f t="shared" si="49"/>
        <v>0</v>
      </c>
      <c r="N64" s="29">
        <f t="shared" si="50"/>
        <v>6</v>
      </c>
      <c r="O64" s="28">
        <f t="shared" si="51"/>
        <v>0</v>
      </c>
      <c r="P64" s="28">
        <f t="shared" si="52"/>
        <v>0</v>
      </c>
      <c r="Q64" s="28">
        <f t="shared" si="28"/>
        <v>6</v>
      </c>
      <c r="R64" s="22">
        <f t="shared" si="33"/>
        <v>0</v>
      </c>
      <c r="S64" s="22">
        <f t="shared" si="34"/>
        <v>0</v>
      </c>
      <c r="T64" s="22">
        <f t="shared" si="35"/>
        <v>0</v>
      </c>
      <c r="U64" s="22">
        <f t="shared" si="36"/>
        <v>0</v>
      </c>
      <c r="V64" s="21">
        <f t="shared" si="37"/>
        <v>0</v>
      </c>
      <c r="W64" s="21">
        <f t="shared" si="38"/>
        <v>0</v>
      </c>
      <c r="X64" s="21">
        <f t="shared" si="39"/>
        <v>0</v>
      </c>
      <c r="Y64" s="21">
        <f t="shared" si="40"/>
        <v>0</v>
      </c>
      <c r="Z64" s="221">
        <f t="shared" si="29"/>
        <v>0</v>
      </c>
      <c r="AA64" s="30">
        <f t="shared" si="20"/>
        <v>0</v>
      </c>
      <c r="AB64" s="30">
        <f t="shared" si="21"/>
        <v>0</v>
      </c>
      <c r="AC64" s="30">
        <f t="shared" si="22"/>
        <v>0</v>
      </c>
      <c r="AD64" s="30">
        <f t="shared" si="23"/>
        <v>0</v>
      </c>
      <c r="AE64" s="32">
        <f t="shared" si="30"/>
        <v>0</v>
      </c>
      <c r="AF64" s="33">
        <f t="shared" si="47"/>
        <v>0</v>
      </c>
      <c r="AG64" s="40">
        <f t="shared" si="31"/>
        <v>0</v>
      </c>
      <c r="AH64" s="224">
        <f>AG64*$P$36</f>
        <v>0</v>
      </c>
      <c r="AI64" s="226">
        <f>SUM(Z64,IF(Z64&lt;&gt;0,$F$34,0),IF(Z64&lt;&gt;0,$N$36,0),IF(Z64&lt;&gt;0,$T$36,0),IF(Z64=0,AH69,IF(Z64=1,AH70,IF(Z64=2,AH71,IF(Z64=3,AH72,IF(Z64=4,AH73,IF(Z64=5,AH74,IF(Z64=6,AH75,IF(Z64=7,AH76,IF(Z64=8,AH77,IF(Z64=9,AH78,IF(Z64=10,AH79,IF(Z64=11,AH80,IF(Z64=12,AH81,IF(Z64=13,AH82,IF(Z64=14,AH83,IF(Z64=15,AH84,IF(Z64=16,AH85,IF(Z64=17,AH86,IF(Z64=18,AH87,IF(Z64=19,AH88,IF(Z64=20,AH89,IF(Z64=21,AH90,IF(Z64=22,AH91,IF(Z64=23,AH92,IF(Z64=24,AH93,IF(Z64=25,AH94,IF(Z64=26,AH95,IF(Z64=27,AH96,IF(Z64=28,AH97,IF(Z64=29,AH98,IF(Z64=30,AH99))))))))))))))))))))))))))))))))</f>
        <v>0</v>
      </c>
      <c r="AJ64" s="253">
        <f>IF(V64&lt;&gt;0,SUM($F$34,V64,$N$36,MAX($AH$42:$AH$342),$T$36),0)</f>
        <v>0</v>
      </c>
      <c r="AK64" s="253">
        <f>IF(W64&lt;&gt;0,SUM($F$34,W64,$N$36,MAX($AH$42:$AH$342),$T$36),0)</f>
        <v>0</v>
      </c>
      <c r="AL64" s="253">
        <f>IF(X64&lt;&gt;0,SUM($F$34,X64,$N$36,MAX($AH$42:$AH$342),$T$36),0)</f>
        <v>0</v>
      </c>
      <c r="AM64" s="260">
        <f>IF(Y64&lt;&gt;0,SUM($F$34,Y64,$N$36,MAX($AH$42:$AH$342),$T$36),0)</f>
        <v>0</v>
      </c>
    </row>
    <row r="65" spans="1:39" x14ac:dyDescent="0.35">
      <c r="A65" s="259">
        <v>1323</v>
      </c>
      <c r="B65" s="58">
        <f>SUMIF([2]!Table2_23[ETA],'FIS Optimal Model (2)'!A65,[2]!Table2_23[FIS PAX])</f>
        <v>0</v>
      </c>
      <c r="C65" s="44">
        <f t="shared" si="32"/>
        <v>0</v>
      </c>
      <c r="D65" s="52">
        <f t="shared" si="41"/>
        <v>0</v>
      </c>
      <c r="E65" s="26">
        <f t="shared" si="24"/>
        <v>0</v>
      </c>
      <c r="F65" s="26">
        <f t="shared" si="25"/>
        <v>0</v>
      </c>
      <c r="G65" s="26">
        <f t="shared" si="26"/>
        <v>0</v>
      </c>
      <c r="H65" s="26">
        <f t="shared" si="27"/>
        <v>0</v>
      </c>
      <c r="I65" s="27">
        <f t="shared" si="48"/>
        <v>0</v>
      </c>
      <c r="J65" s="27">
        <f t="shared" si="48"/>
        <v>0</v>
      </c>
      <c r="K65" s="27">
        <f t="shared" si="48"/>
        <v>0</v>
      </c>
      <c r="L65" s="27">
        <f t="shared" si="48"/>
        <v>0</v>
      </c>
      <c r="M65" s="28">
        <f t="shared" si="49"/>
        <v>0</v>
      </c>
      <c r="N65" s="29">
        <f t="shared" si="50"/>
        <v>6</v>
      </c>
      <c r="O65" s="28">
        <f t="shared" si="51"/>
        <v>0</v>
      </c>
      <c r="P65" s="28">
        <f t="shared" si="52"/>
        <v>0</v>
      </c>
      <c r="Q65" s="28">
        <f t="shared" si="28"/>
        <v>6</v>
      </c>
      <c r="R65" s="22">
        <f t="shared" si="33"/>
        <v>0</v>
      </c>
      <c r="S65" s="22">
        <f t="shared" si="34"/>
        <v>0</v>
      </c>
      <c r="T65" s="22">
        <f t="shared" si="35"/>
        <v>0</v>
      </c>
      <c r="U65" s="22">
        <f t="shared" si="36"/>
        <v>0</v>
      </c>
      <c r="V65" s="21">
        <f t="shared" si="37"/>
        <v>0</v>
      </c>
      <c r="W65" s="21">
        <f t="shared" si="38"/>
        <v>0</v>
      </c>
      <c r="X65" s="21">
        <f t="shared" si="39"/>
        <v>0</v>
      </c>
      <c r="Y65" s="21">
        <f t="shared" si="40"/>
        <v>0</v>
      </c>
      <c r="Z65" s="221">
        <f t="shared" si="29"/>
        <v>0</v>
      </c>
      <c r="AA65" s="30">
        <f t="shared" si="20"/>
        <v>0</v>
      </c>
      <c r="AB65" s="30">
        <f t="shared" si="21"/>
        <v>0</v>
      </c>
      <c r="AC65" s="30">
        <f t="shared" si="22"/>
        <v>0</v>
      </c>
      <c r="AD65" s="30">
        <f t="shared" si="23"/>
        <v>0</v>
      </c>
      <c r="AE65" s="32">
        <f t="shared" si="30"/>
        <v>0</v>
      </c>
      <c r="AF65" s="33">
        <f t="shared" si="47"/>
        <v>0</v>
      </c>
      <c r="AG65" s="40">
        <f t="shared" si="31"/>
        <v>0</v>
      </c>
      <c r="AH65" s="224">
        <f>AG65*$P$36</f>
        <v>0</v>
      </c>
      <c r="AI65" s="226">
        <f>SUM(Z65,IF(Z65&lt;&gt;0,$F$34,0),IF(Z65&lt;&gt;0,$N$36,0),IF(Z65&lt;&gt;0,$T$36,0),IF(Z65=0,AH70,IF(Z65=1,AH71,IF(Z65=2,AH72,IF(Z65=3,AH73,IF(Z65=4,AH74,IF(Z65=5,AH75,IF(Z65=6,AH76,IF(Z65=7,AH77,IF(Z65=8,AH78,IF(Z65=9,AH79,IF(Z65=10,AH80,IF(Z65=11,AH81,IF(Z65=12,AH82,IF(Z65=13,AH83,IF(Z65=14,AH84,IF(Z65=15,AH85,IF(Z65=16,AH86,IF(Z65=17,AH87,IF(Z65=18,AH88,IF(Z65=19,AH89,IF(Z65=20,AH90,IF(Z65=21,AH91,IF(Z65=22,AH92,IF(Z65=23,AH93,IF(Z65=24,AH94,IF(Z65=25,AH95,IF(Z65=26,AH96,IF(Z65=27,AH97,IF(Z65=28,AH98,IF(Z65=29,AH99,IF(Z65=30,AH100))))))))))))))))))))))))))))))))</f>
        <v>0</v>
      </c>
      <c r="AJ65" s="253">
        <f>IF(V65&lt;&gt;0,SUM($F$34,V65,$N$36,MAX($AH$42:$AH$342),$T$36),0)</f>
        <v>0</v>
      </c>
      <c r="AK65" s="253">
        <f>IF(W65&lt;&gt;0,SUM($F$34,W65,$N$36,MAX($AH$42:$AH$342),$T$36),0)</f>
        <v>0</v>
      </c>
      <c r="AL65" s="253">
        <f>IF(X65&lt;&gt;0,SUM($F$34,X65,$N$36,MAX($AH$42:$AH$342),$T$36),0)</f>
        <v>0</v>
      </c>
      <c r="AM65" s="260">
        <f>IF(Y65&lt;&gt;0,SUM($F$34,Y65,$N$36,MAX($AH$42:$AH$342),$T$36),0)</f>
        <v>0</v>
      </c>
    </row>
    <row r="66" spans="1:39" x14ac:dyDescent="0.35">
      <c r="A66" s="259">
        <v>1324</v>
      </c>
      <c r="B66" s="58">
        <f>SUMIF([2]!Table2_23[ETA],'FIS Optimal Model (2)'!A66,[2]!Table2_23[FIS PAX])</f>
        <v>0</v>
      </c>
      <c r="C66" s="44">
        <f t="shared" si="32"/>
        <v>0</v>
      </c>
      <c r="D66" s="52">
        <f t="shared" si="41"/>
        <v>0</v>
      </c>
      <c r="E66" s="26">
        <f t="shared" si="24"/>
        <v>0</v>
      </c>
      <c r="F66" s="26">
        <f t="shared" si="25"/>
        <v>0</v>
      </c>
      <c r="G66" s="26">
        <f t="shared" si="26"/>
        <v>0</v>
      </c>
      <c r="H66" s="26">
        <f t="shared" si="27"/>
        <v>0</v>
      </c>
      <c r="I66" s="27">
        <f t="shared" si="48"/>
        <v>0</v>
      </c>
      <c r="J66" s="27">
        <f t="shared" si="48"/>
        <v>0</v>
      </c>
      <c r="K66" s="27">
        <f t="shared" si="48"/>
        <v>0</v>
      </c>
      <c r="L66" s="27">
        <f t="shared" si="48"/>
        <v>0</v>
      </c>
      <c r="M66" s="28">
        <f t="shared" si="49"/>
        <v>0</v>
      </c>
      <c r="N66" s="29">
        <f t="shared" si="50"/>
        <v>6</v>
      </c>
      <c r="O66" s="28">
        <f t="shared" si="51"/>
        <v>0</v>
      </c>
      <c r="P66" s="28">
        <f t="shared" si="52"/>
        <v>0</v>
      </c>
      <c r="Q66" s="28">
        <f t="shared" si="28"/>
        <v>6</v>
      </c>
      <c r="R66" s="22">
        <f t="shared" si="33"/>
        <v>0</v>
      </c>
      <c r="S66" s="22">
        <f t="shared" si="34"/>
        <v>0</v>
      </c>
      <c r="T66" s="22">
        <f t="shared" si="35"/>
        <v>0</v>
      </c>
      <c r="U66" s="22">
        <f t="shared" si="36"/>
        <v>0</v>
      </c>
      <c r="V66" s="21">
        <f t="shared" si="37"/>
        <v>0</v>
      </c>
      <c r="W66" s="21">
        <f t="shared" si="38"/>
        <v>0</v>
      </c>
      <c r="X66" s="21">
        <f t="shared" si="39"/>
        <v>0</v>
      </c>
      <c r="Y66" s="21">
        <f t="shared" si="40"/>
        <v>0</v>
      </c>
      <c r="Z66" s="221">
        <f t="shared" si="29"/>
        <v>0</v>
      </c>
      <c r="AA66" s="30">
        <f t="shared" si="20"/>
        <v>0</v>
      </c>
      <c r="AB66" s="30">
        <f t="shared" si="21"/>
        <v>0</v>
      </c>
      <c r="AC66" s="30">
        <f t="shared" si="22"/>
        <v>0</v>
      </c>
      <c r="AD66" s="30">
        <f t="shared" si="23"/>
        <v>0</v>
      </c>
      <c r="AE66" s="32">
        <f t="shared" si="30"/>
        <v>0</v>
      </c>
      <c r="AF66" s="33">
        <f t="shared" si="47"/>
        <v>0</v>
      </c>
      <c r="AG66" s="40">
        <f t="shared" si="31"/>
        <v>0</v>
      </c>
      <c r="AH66" s="224">
        <f>AG66*$P$36</f>
        <v>0</v>
      </c>
      <c r="AI66" s="226">
        <f>SUM(Z66,IF(Z66&lt;&gt;0,$F$34,0),IF(Z66&lt;&gt;0,$N$36,0),IF(Z66&lt;&gt;0,$T$36,0),IF(Z66=0,AH71,IF(Z66=1,AH72,IF(Z66=2,AH73,IF(Z66=3,AH74,IF(Z66=4,AH75,IF(Z66=5,AH76,IF(Z66=6,AH77,IF(Z66=7,AH78,IF(Z66=8,AH79,IF(Z66=9,AH80,IF(Z66=10,AH81,IF(Z66=11,AH82,IF(Z66=12,AH83,IF(Z66=13,AH84,IF(Z66=14,AH85,IF(Z66=15,AH86,IF(Z66=16,AH87,IF(Z66=17,AH88,IF(Z66=18,AH89,IF(Z66=19,AH90,IF(Z66=20,AH91,IF(Z66=21,AH92,IF(Z66=22,AH93,IF(Z66=23,AH94,IF(Z66=24,AH95,IF(Z66=25,AH96,IF(Z66=26,AH97,IF(Z66=27,AH98,IF(Z66=28,AH99,IF(Z66=29,AH100,IF(Z66=30,AH101))))))))))))))))))))))))))))))))</f>
        <v>0</v>
      </c>
      <c r="AJ66" s="253">
        <f>IF(V66&lt;&gt;0,SUM($F$34,V66,$N$36,MAX($AH$42:$AH$342),$T$36),0)</f>
        <v>0</v>
      </c>
      <c r="AK66" s="253">
        <f>IF(W66&lt;&gt;0,SUM($F$34,W66,$N$36,MAX($AH$42:$AH$342),$T$36),0)</f>
        <v>0</v>
      </c>
      <c r="AL66" s="253">
        <f>IF(X66&lt;&gt;0,SUM($F$34,X66,$N$36,MAX($AH$42:$AH$342),$T$36),0)</f>
        <v>0</v>
      </c>
      <c r="AM66" s="260">
        <f>IF(Y66&lt;&gt;0,SUM($F$34,Y66,$N$36,MAX($AH$42:$AH$342),$T$36),0)</f>
        <v>0</v>
      </c>
    </row>
    <row r="67" spans="1:39" x14ac:dyDescent="0.35">
      <c r="A67" s="259">
        <v>1325</v>
      </c>
      <c r="B67" s="58">
        <f>SUMIF([2]!Table2_23[ETA],'FIS Optimal Model (2)'!A67,[2]!Table2_23[FIS PAX])</f>
        <v>0</v>
      </c>
      <c r="C67" s="44">
        <f t="shared" si="32"/>
        <v>0</v>
      </c>
      <c r="D67" s="52">
        <f t="shared" si="41"/>
        <v>0</v>
      </c>
      <c r="E67" s="26">
        <f t="shared" si="24"/>
        <v>0</v>
      </c>
      <c r="F67" s="26">
        <f t="shared" si="25"/>
        <v>0</v>
      </c>
      <c r="G67" s="26">
        <f t="shared" si="26"/>
        <v>0</v>
      </c>
      <c r="H67" s="26">
        <f t="shared" si="27"/>
        <v>0</v>
      </c>
      <c r="I67" s="27">
        <f t="shared" si="48"/>
        <v>0</v>
      </c>
      <c r="J67" s="27">
        <f t="shared" si="48"/>
        <v>0</v>
      </c>
      <c r="K67" s="27">
        <f t="shared" si="48"/>
        <v>0</v>
      </c>
      <c r="L67" s="27">
        <f t="shared" si="48"/>
        <v>0</v>
      </c>
      <c r="M67" s="28">
        <f t="shared" si="49"/>
        <v>0</v>
      </c>
      <c r="N67" s="29">
        <f t="shared" si="50"/>
        <v>6</v>
      </c>
      <c r="O67" s="28">
        <f t="shared" si="51"/>
        <v>0</v>
      </c>
      <c r="P67" s="28">
        <f t="shared" si="52"/>
        <v>0</v>
      </c>
      <c r="Q67" s="28">
        <f t="shared" si="28"/>
        <v>6</v>
      </c>
      <c r="R67" s="22">
        <f t="shared" si="33"/>
        <v>0</v>
      </c>
      <c r="S67" s="22">
        <f t="shared" si="34"/>
        <v>0</v>
      </c>
      <c r="T67" s="22">
        <f t="shared" si="35"/>
        <v>0</v>
      </c>
      <c r="U67" s="22">
        <f t="shared" si="36"/>
        <v>0</v>
      </c>
      <c r="V67" s="21">
        <f t="shared" si="37"/>
        <v>0</v>
      </c>
      <c r="W67" s="21">
        <f t="shared" si="38"/>
        <v>0</v>
      </c>
      <c r="X67" s="21">
        <f t="shared" si="39"/>
        <v>0</v>
      </c>
      <c r="Y67" s="21">
        <f t="shared" si="40"/>
        <v>0</v>
      </c>
      <c r="Z67" s="221">
        <f t="shared" si="29"/>
        <v>0</v>
      </c>
      <c r="AA67" s="30">
        <f t="shared" si="20"/>
        <v>0</v>
      </c>
      <c r="AB67" s="30">
        <f t="shared" si="21"/>
        <v>0</v>
      </c>
      <c r="AC67" s="30">
        <f t="shared" si="22"/>
        <v>0</v>
      </c>
      <c r="AD67" s="30">
        <f t="shared" si="23"/>
        <v>0</v>
      </c>
      <c r="AE67" s="32">
        <f t="shared" si="30"/>
        <v>0</v>
      </c>
      <c r="AF67" s="33">
        <f t="shared" si="47"/>
        <v>0</v>
      </c>
      <c r="AG67" s="40">
        <f t="shared" si="31"/>
        <v>0</v>
      </c>
      <c r="AH67" s="224">
        <f>AG67*$P$36</f>
        <v>0</v>
      </c>
      <c r="AI67" s="226">
        <f>SUM(Z67,IF(Z67&lt;&gt;0,$F$34,0),IF(Z67&lt;&gt;0,$N$36,0),IF(Z67&lt;&gt;0,$T$36,0),IF(Z67=0,AH72,IF(Z67=1,AH73,IF(Z67=2,AH74,IF(Z67=3,AH75,IF(Z67=4,AH76,IF(Z67=5,AH77,IF(Z67=6,AH78,IF(Z67=7,AH79,IF(Z67=8,AH80,IF(Z67=9,AH81,IF(Z67=10,AH82,IF(Z67=11,AH83,IF(Z67=12,AH84,IF(Z67=13,AH85,IF(Z67=14,AH86,IF(Z67=15,AH87,IF(Z67=16,AH88,IF(Z67=17,AH89,IF(Z67=18,AH90,IF(Z67=19,AH91,IF(Z67=20,AH92,IF(Z67=21,AH93,IF(Z67=22,AH94,IF(Z67=23,AH95,IF(Z67=24,AH96,IF(Z67=25,AH97,IF(Z67=26,AH98,IF(Z67=27,AH99,IF(Z67=28,AH100,IF(Z67=29,AH101,IF(Z67=30,AH102))))))))))))))))))))))))))))))))</f>
        <v>0</v>
      </c>
      <c r="AJ67" s="253">
        <f>IF(V67&lt;&gt;0,SUM($F$34,V67,$N$36,MAX($AH$42:$AH$342),$T$36),0)</f>
        <v>0</v>
      </c>
      <c r="AK67" s="253">
        <f>IF(W67&lt;&gt;0,SUM($F$34,W67,$N$36,MAX($AH$42:$AH$342),$T$36),0)</f>
        <v>0</v>
      </c>
      <c r="AL67" s="253">
        <f>IF(X67&lt;&gt;0,SUM($F$34,X67,$N$36,MAX($AH$42:$AH$342),$T$36),0)</f>
        <v>0</v>
      </c>
      <c r="AM67" s="260">
        <f>IF(Y67&lt;&gt;0,SUM($F$34,Y67,$N$36,MAX($AH$42:$AH$342),$T$36),0)</f>
        <v>0</v>
      </c>
    </row>
    <row r="68" spans="1:39" x14ac:dyDescent="0.35">
      <c r="A68" s="259">
        <v>1326</v>
      </c>
      <c r="B68" s="58">
        <f>SUMIF([2]!Table2_23[ETA],'FIS Optimal Model (2)'!A68,[2]!Table2_23[FIS PAX])</f>
        <v>0</v>
      </c>
      <c r="C68" s="44">
        <f t="shared" si="32"/>
        <v>0</v>
      </c>
      <c r="D68" s="52">
        <f t="shared" si="41"/>
        <v>0</v>
      </c>
      <c r="E68" s="26">
        <f t="shared" si="24"/>
        <v>0</v>
      </c>
      <c r="F68" s="26">
        <f t="shared" si="25"/>
        <v>0</v>
      </c>
      <c r="G68" s="26">
        <f t="shared" si="26"/>
        <v>0</v>
      </c>
      <c r="H68" s="26">
        <f t="shared" si="27"/>
        <v>0</v>
      </c>
      <c r="I68" s="27">
        <f t="shared" si="48"/>
        <v>0</v>
      </c>
      <c r="J68" s="27">
        <f t="shared" si="48"/>
        <v>0</v>
      </c>
      <c r="K68" s="27">
        <f t="shared" si="48"/>
        <v>0</v>
      </c>
      <c r="L68" s="27">
        <f t="shared" si="48"/>
        <v>0</v>
      </c>
      <c r="M68" s="28">
        <f t="shared" si="49"/>
        <v>0</v>
      </c>
      <c r="N68" s="29">
        <f t="shared" si="50"/>
        <v>6</v>
      </c>
      <c r="O68" s="28">
        <f t="shared" si="51"/>
        <v>0</v>
      </c>
      <c r="P68" s="28">
        <f t="shared" si="52"/>
        <v>0</v>
      </c>
      <c r="Q68" s="28">
        <f t="shared" si="28"/>
        <v>6</v>
      </c>
      <c r="R68" s="22">
        <f t="shared" si="33"/>
        <v>0</v>
      </c>
      <c r="S68" s="22">
        <f t="shared" si="34"/>
        <v>0</v>
      </c>
      <c r="T68" s="22">
        <f t="shared" si="35"/>
        <v>0</v>
      </c>
      <c r="U68" s="22">
        <f t="shared" si="36"/>
        <v>0</v>
      </c>
      <c r="V68" s="21">
        <f t="shared" si="37"/>
        <v>0</v>
      </c>
      <c r="W68" s="21">
        <f t="shared" si="38"/>
        <v>0</v>
      </c>
      <c r="X68" s="21">
        <f t="shared" si="39"/>
        <v>0</v>
      </c>
      <c r="Y68" s="21">
        <f t="shared" si="40"/>
        <v>0</v>
      </c>
      <c r="Z68" s="221">
        <f t="shared" si="29"/>
        <v>0</v>
      </c>
      <c r="AA68" s="30">
        <f t="shared" si="20"/>
        <v>0</v>
      </c>
      <c r="AB68" s="30">
        <f t="shared" si="21"/>
        <v>0</v>
      </c>
      <c r="AC68" s="30">
        <f t="shared" si="22"/>
        <v>0</v>
      </c>
      <c r="AD68" s="30">
        <f t="shared" si="23"/>
        <v>0</v>
      </c>
      <c r="AE68" s="32">
        <f t="shared" si="30"/>
        <v>0</v>
      </c>
      <c r="AF68" s="33">
        <f t="shared" si="47"/>
        <v>0</v>
      </c>
      <c r="AG68" s="40">
        <f t="shared" si="31"/>
        <v>0</v>
      </c>
      <c r="AH68" s="224">
        <f>AG68*$P$36</f>
        <v>0</v>
      </c>
      <c r="AI68" s="226">
        <f>SUM(Z68,IF(Z68&lt;&gt;0,$F$34,0),IF(Z68&lt;&gt;0,$N$36,0),IF(Z68&lt;&gt;0,$T$36,0),IF(Z68=0,AH73,IF(Z68=1,AH74,IF(Z68=2,AH75,IF(Z68=3,AH76,IF(Z68=4,AH77,IF(Z68=5,AH78,IF(Z68=6,AH79,IF(Z68=7,AH80,IF(Z68=8,AH81,IF(Z68=9,AH82,IF(Z68=10,AH83,IF(Z68=11,AH84,IF(Z68=12,AH85,IF(Z68=13,AH86,IF(Z68=14,AH87,IF(Z68=15,AH88,IF(Z68=16,AH89,IF(Z68=17,AH90,IF(Z68=18,AH91,IF(Z68=19,AH92,IF(Z68=20,AH93,IF(Z68=21,AH94,IF(Z68=22,AH95,IF(Z68=23,AH96,IF(Z68=24,AH97,IF(Z68=25,AH98,IF(Z68=26,AH99,IF(Z68=27,AH100,IF(Z68=28,AH101,IF(Z68=29,AH102,IF(Z68=30,AH103))))))))))))))))))))))))))))))))</f>
        <v>0</v>
      </c>
      <c r="AJ68" s="253">
        <f>IF(V68&lt;&gt;0,SUM($F$34,V68,$N$36,MAX($AH$42:$AH$342),$T$36),0)</f>
        <v>0</v>
      </c>
      <c r="AK68" s="253">
        <f>IF(W68&lt;&gt;0,SUM($F$34,W68,$N$36,MAX($AH$42:$AH$342),$T$36),0)</f>
        <v>0</v>
      </c>
      <c r="AL68" s="253">
        <f>IF(X68&lt;&gt;0,SUM($F$34,X68,$N$36,MAX($AH$42:$AH$342),$T$36),0)</f>
        <v>0</v>
      </c>
      <c r="AM68" s="260">
        <f>IF(Y68&lt;&gt;0,SUM($F$34,Y68,$N$36,MAX($AH$42:$AH$342),$T$36),0)</f>
        <v>0</v>
      </c>
    </row>
    <row r="69" spans="1:39" x14ac:dyDescent="0.35">
      <c r="A69" s="259">
        <v>1327</v>
      </c>
      <c r="B69" s="58">
        <f>SUMIF([2]!Table2_23[ETA],'FIS Optimal Model (2)'!A69,[2]!Table2_23[FIS PAX])</f>
        <v>0</v>
      </c>
      <c r="C69" s="44">
        <f t="shared" si="32"/>
        <v>0</v>
      </c>
      <c r="D69" s="52">
        <f t="shared" si="41"/>
        <v>0</v>
      </c>
      <c r="E69" s="26">
        <f t="shared" si="24"/>
        <v>0</v>
      </c>
      <c r="F69" s="26">
        <f t="shared" si="25"/>
        <v>0</v>
      </c>
      <c r="G69" s="26">
        <f t="shared" si="26"/>
        <v>0</v>
      </c>
      <c r="H69" s="26">
        <f t="shared" si="27"/>
        <v>0</v>
      </c>
      <c r="I69" s="27">
        <f t="shared" si="48"/>
        <v>0</v>
      </c>
      <c r="J69" s="27">
        <f t="shared" si="48"/>
        <v>0</v>
      </c>
      <c r="K69" s="27">
        <f t="shared" si="48"/>
        <v>0</v>
      </c>
      <c r="L69" s="27">
        <f t="shared" si="48"/>
        <v>0</v>
      </c>
      <c r="M69" s="28">
        <f t="shared" si="49"/>
        <v>0</v>
      </c>
      <c r="N69" s="29">
        <f t="shared" si="50"/>
        <v>6</v>
      </c>
      <c r="O69" s="28">
        <f t="shared" si="51"/>
        <v>0</v>
      </c>
      <c r="P69" s="28">
        <f t="shared" si="52"/>
        <v>0</v>
      </c>
      <c r="Q69" s="28">
        <f t="shared" si="28"/>
        <v>6</v>
      </c>
      <c r="R69" s="22">
        <f t="shared" si="33"/>
        <v>0</v>
      </c>
      <c r="S69" s="22">
        <f t="shared" si="34"/>
        <v>0</v>
      </c>
      <c r="T69" s="22">
        <f t="shared" si="35"/>
        <v>0</v>
      </c>
      <c r="U69" s="22">
        <f t="shared" si="36"/>
        <v>0</v>
      </c>
      <c r="V69" s="21">
        <f t="shared" si="37"/>
        <v>0</v>
      </c>
      <c r="W69" s="21">
        <f t="shared" si="38"/>
        <v>0</v>
      </c>
      <c r="X69" s="21">
        <f t="shared" si="39"/>
        <v>0</v>
      </c>
      <c r="Y69" s="21">
        <f t="shared" si="40"/>
        <v>0</v>
      </c>
      <c r="Z69" s="221">
        <f t="shared" si="29"/>
        <v>0</v>
      </c>
      <c r="AA69" s="30">
        <f t="shared" si="20"/>
        <v>0</v>
      </c>
      <c r="AB69" s="30">
        <f t="shared" si="21"/>
        <v>0</v>
      </c>
      <c r="AC69" s="30">
        <f t="shared" si="22"/>
        <v>0</v>
      </c>
      <c r="AD69" s="30">
        <f t="shared" si="23"/>
        <v>0</v>
      </c>
      <c r="AE69" s="32">
        <f t="shared" si="30"/>
        <v>0</v>
      </c>
      <c r="AF69" s="33">
        <f t="shared" si="47"/>
        <v>0</v>
      </c>
      <c r="AG69" s="40">
        <f t="shared" si="31"/>
        <v>0</v>
      </c>
      <c r="AH69" s="224">
        <f>AG69*$P$36</f>
        <v>0</v>
      </c>
      <c r="AI69" s="226">
        <f>SUM(Z69,IF(Z69&lt;&gt;0,$F$34,0),IF(Z69&lt;&gt;0,$N$36,0),IF(Z69&lt;&gt;0,$T$36,0),IF(Z69=0,AH74,IF(Z69=1,AH75,IF(Z69=2,AH76,IF(Z69=3,AH77,IF(Z69=4,AH78,IF(Z69=5,AH79,IF(Z69=6,AH80,IF(Z69=7,AH81,IF(Z69=8,AH82,IF(Z69=9,AH83,IF(Z69=10,AH84,IF(Z69=11,AH85,IF(Z69=12,AH86,IF(Z69=13,AH87,IF(Z69=14,AH88,IF(Z69=15,AH89,IF(Z69=16,AH90,IF(Z69=17,AH91,IF(Z69=18,AH92,IF(Z69=19,AH93,IF(Z69=20,AH94,IF(Z69=21,AH95,IF(Z69=22,AH96,IF(Z69=23,AH97,IF(Z69=24,AH98,IF(Z69=25,AH99,IF(Z69=26,AH100,IF(Z69=27,AH101,IF(Z69=28,AH102,IF(Z69=29,AH103,IF(Z69=30,AH104))))))))))))))))))))))))))))))))</f>
        <v>0</v>
      </c>
      <c r="AJ69" s="253">
        <f>IF(V69&lt;&gt;0,SUM($F$34,V69,$N$36,MAX($AH$42:$AH$342),$T$36),0)</f>
        <v>0</v>
      </c>
      <c r="AK69" s="253">
        <f>IF(W69&lt;&gt;0,SUM($F$34,W69,$N$36,MAX($AH$42:$AH$342),$T$36),0)</f>
        <v>0</v>
      </c>
      <c r="AL69" s="253">
        <f>IF(X69&lt;&gt;0,SUM($F$34,X69,$N$36,MAX($AH$42:$AH$342),$T$36),0)</f>
        <v>0</v>
      </c>
      <c r="AM69" s="260">
        <f>IF(Y69&lt;&gt;0,SUM($F$34,Y69,$N$36,MAX($AH$42:$AH$342),$T$36),0)</f>
        <v>0</v>
      </c>
    </row>
    <row r="70" spans="1:39" x14ac:dyDescent="0.35">
      <c r="A70" s="259">
        <v>1328</v>
      </c>
      <c r="B70" s="58">
        <f>SUMIF([2]!Table2_23[ETA],'FIS Optimal Model (2)'!A70,[2]!Table2_23[FIS PAX])</f>
        <v>0</v>
      </c>
      <c r="C70" s="44">
        <f t="shared" si="32"/>
        <v>0</v>
      </c>
      <c r="D70" s="52">
        <f t="shared" si="41"/>
        <v>0</v>
      </c>
      <c r="E70" s="26">
        <f t="shared" si="24"/>
        <v>0</v>
      </c>
      <c r="F70" s="26">
        <f t="shared" si="25"/>
        <v>0</v>
      </c>
      <c r="G70" s="26">
        <f t="shared" si="26"/>
        <v>0</v>
      </c>
      <c r="H70" s="26">
        <f t="shared" si="27"/>
        <v>0</v>
      </c>
      <c r="I70" s="27">
        <f t="shared" si="48"/>
        <v>0</v>
      </c>
      <c r="J70" s="27">
        <f t="shared" si="48"/>
        <v>0</v>
      </c>
      <c r="K70" s="27">
        <f t="shared" si="48"/>
        <v>0</v>
      </c>
      <c r="L70" s="27">
        <f t="shared" si="48"/>
        <v>0</v>
      </c>
      <c r="M70" s="28">
        <f t="shared" si="49"/>
        <v>0</v>
      </c>
      <c r="N70" s="29">
        <f t="shared" si="50"/>
        <v>6</v>
      </c>
      <c r="O70" s="28">
        <f t="shared" si="51"/>
        <v>0</v>
      </c>
      <c r="P70" s="28">
        <f t="shared" si="52"/>
        <v>0</v>
      </c>
      <c r="Q70" s="28">
        <f t="shared" si="28"/>
        <v>6</v>
      </c>
      <c r="R70" s="22">
        <f t="shared" si="33"/>
        <v>0</v>
      </c>
      <c r="S70" s="22">
        <f t="shared" si="34"/>
        <v>0</v>
      </c>
      <c r="T70" s="22">
        <f t="shared" si="35"/>
        <v>0</v>
      </c>
      <c r="U70" s="22">
        <f t="shared" si="36"/>
        <v>0</v>
      </c>
      <c r="V70" s="21">
        <f t="shared" si="37"/>
        <v>0</v>
      </c>
      <c r="W70" s="21">
        <f t="shared" si="38"/>
        <v>0</v>
      </c>
      <c r="X70" s="21">
        <f t="shared" si="39"/>
        <v>0</v>
      </c>
      <c r="Y70" s="21">
        <f t="shared" si="40"/>
        <v>0</v>
      </c>
      <c r="Z70" s="221">
        <f t="shared" si="29"/>
        <v>0</v>
      </c>
      <c r="AA70" s="30">
        <f t="shared" si="20"/>
        <v>0</v>
      </c>
      <c r="AB70" s="30">
        <f t="shared" si="21"/>
        <v>0</v>
      </c>
      <c r="AC70" s="30">
        <f t="shared" si="22"/>
        <v>0</v>
      </c>
      <c r="AD70" s="30">
        <f t="shared" si="23"/>
        <v>0</v>
      </c>
      <c r="AE70" s="32">
        <f t="shared" si="30"/>
        <v>0</v>
      </c>
      <c r="AF70" s="33">
        <f t="shared" si="47"/>
        <v>0</v>
      </c>
      <c r="AG70" s="40">
        <f t="shared" si="31"/>
        <v>0</v>
      </c>
      <c r="AH70" s="224">
        <f>AG70*$P$36</f>
        <v>0</v>
      </c>
      <c r="AI70" s="226">
        <f>SUM(Z70,IF(Z70&lt;&gt;0,$F$34,0),IF(Z70&lt;&gt;0,$N$36,0),IF(Z70&lt;&gt;0,$T$36,0),IF(Z70=0,AH75,IF(Z70=1,AH76,IF(Z70=2,AH77,IF(Z70=3,AH78,IF(Z70=4,AH79,IF(Z70=5,AH80,IF(Z70=6,AH81,IF(Z70=7,AH82,IF(Z70=8,AH83,IF(Z70=9,AH84,IF(Z70=10,AH85,IF(Z70=11,AH86,IF(Z70=12,AH87,IF(Z70=13,AH88,IF(Z70=14,AH89,IF(Z70=15,AH90,IF(Z70=16,AH91,IF(Z70=17,AH92,IF(Z70=18,AH93,IF(Z70=19,AH94,IF(Z70=20,AH95,IF(Z70=21,AH96,IF(Z70=22,AH97,IF(Z70=23,AH98,IF(Z70=24,AH99,IF(Z70=25,AH100,IF(Z70=26,AH101,IF(Z70=27,AH102,IF(Z70=28,AH103,IF(Z70=29,AH104,IF(Z70=30,AH105))))))))))))))))))))))))))))))))</f>
        <v>0</v>
      </c>
      <c r="AJ70" s="253">
        <f>IF(V70&lt;&gt;0,SUM($F$34,V70,$N$36,MAX($AH$42:$AH$342),$T$36),0)</f>
        <v>0</v>
      </c>
      <c r="AK70" s="253">
        <f>IF(W70&lt;&gt;0,SUM($F$34,W70,$N$36,MAX($AH$42:$AH$342),$T$36),0)</f>
        <v>0</v>
      </c>
      <c r="AL70" s="253">
        <f>IF(X70&lt;&gt;0,SUM($F$34,X70,$N$36,MAX($AH$42:$AH$342),$T$36),0)</f>
        <v>0</v>
      </c>
      <c r="AM70" s="260">
        <f>IF(Y70&lt;&gt;0,SUM($F$34,Y70,$N$36,MAX($AH$42:$AH$342),$T$36),0)</f>
        <v>0</v>
      </c>
    </row>
    <row r="71" spans="1:39" x14ac:dyDescent="0.35">
      <c r="A71" s="259">
        <v>1329</v>
      </c>
      <c r="B71" s="58">
        <f>SUMIF([2]!Table2_23[ETA],'FIS Optimal Model (2)'!A71,[2]!Table2_23[FIS PAX])</f>
        <v>0</v>
      </c>
      <c r="C71" s="44">
        <f t="shared" si="32"/>
        <v>0</v>
      </c>
      <c r="D71" s="52">
        <f t="shared" si="41"/>
        <v>0</v>
      </c>
      <c r="E71" s="26">
        <f t="shared" si="24"/>
        <v>0</v>
      </c>
      <c r="F71" s="26">
        <f t="shared" si="25"/>
        <v>0</v>
      </c>
      <c r="G71" s="26">
        <f t="shared" si="26"/>
        <v>0</v>
      </c>
      <c r="H71" s="26">
        <f t="shared" si="27"/>
        <v>0</v>
      </c>
      <c r="I71" s="27">
        <f t="shared" si="48"/>
        <v>0</v>
      </c>
      <c r="J71" s="27">
        <f t="shared" si="48"/>
        <v>0</v>
      </c>
      <c r="K71" s="27">
        <f t="shared" si="48"/>
        <v>0</v>
      </c>
      <c r="L71" s="27">
        <f t="shared" si="48"/>
        <v>0</v>
      </c>
      <c r="M71" s="28">
        <f t="shared" si="49"/>
        <v>0</v>
      </c>
      <c r="N71" s="29">
        <f t="shared" si="50"/>
        <v>6</v>
      </c>
      <c r="O71" s="28">
        <f t="shared" si="51"/>
        <v>0</v>
      </c>
      <c r="P71" s="28">
        <f t="shared" si="52"/>
        <v>0</v>
      </c>
      <c r="Q71" s="28">
        <f t="shared" si="28"/>
        <v>6</v>
      </c>
      <c r="R71" s="22">
        <f t="shared" si="33"/>
        <v>0</v>
      </c>
      <c r="S71" s="22">
        <f t="shared" si="34"/>
        <v>0</v>
      </c>
      <c r="T71" s="22">
        <f t="shared" si="35"/>
        <v>0</v>
      </c>
      <c r="U71" s="22">
        <f t="shared" si="36"/>
        <v>0</v>
      </c>
      <c r="V71" s="21">
        <f t="shared" si="37"/>
        <v>0</v>
      </c>
      <c r="W71" s="21">
        <f t="shared" si="38"/>
        <v>0</v>
      </c>
      <c r="X71" s="21">
        <f t="shared" si="39"/>
        <v>0</v>
      </c>
      <c r="Y71" s="21">
        <f t="shared" si="40"/>
        <v>0</v>
      </c>
      <c r="Z71" s="221">
        <f t="shared" si="29"/>
        <v>0</v>
      </c>
      <c r="AA71" s="30">
        <f t="shared" si="20"/>
        <v>0</v>
      </c>
      <c r="AB71" s="30">
        <f t="shared" si="21"/>
        <v>0</v>
      </c>
      <c r="AC71" s="30">
        <f t="shared" si="22"/>
        <v>0</v>
      </c>
      <c r="AD71" s="30">
        <f t="shared" si="23"/>
        <v>0</v>
      </c>
      <c r="AE71" s="32">
        <f t="shared" si="30"/>
        <v>0</v>
      </c>
      <c r="AF71" s="33">
        <f t="shared" si="47"/>
        <v>0</v>
      </c>
      <c r="AG71" s="40">
        <f t="shared" si="31"/>
        <v>0</v>
      </c>
      <c r="AH71" s="224">
        <f>AG71*$P$36</f>
        <v>0</v>
      </c>
      <c r="AI71" s="226">
        <f>SUM(Z71,IF(Z71&lt;&gt;0,$F$34,0),IF(Z71&lt;&gt;0,$N$36,0),IF(Z71&lt;&gt;0,$T$36,0),IF(Z71=0,AH76,IF(Z71=1,AH77,IF(Z71=2,AH78,IF(Z71=3,AH79,IF(Z71=4,AH80,IF(Z71=5,AH81,IF(Z71=6,AH82,IF(Z71=7,AH83,IF(Z71=8,AH84,IF(Z71=9,AH85,IF(Z71=10,AH86,IF(Z71=11,AH87,IF(Z71=12,AH88,IF(Z71=13,AH89,IF(Z71=14,AH90,IF(Z71=15,AH91,IF(Z71=16,AH92,IF(Z71=17,AH93,IF(Z71=18,AH94,IF(Z71=19,AH95,IF(Z71=20,AH96,IF(Z71=21,AH97,IF(Z71=22,AH98,IF(Z71=23,AH99,IF(Z71=24,AH100,IF(Z71=25,AH101,IF(Z71=26,AH102,IF(Z71=27,AH103,IF(Z71=28,AH104,IF(Z71=29,AH105,IF(Z71=30,AH106))))))))))))))))))))))))))))))))</f>
        <v>0</v>
      </c>
      <c r="AJ71" s="253">
        <f>IF(V71&lt;&gt;0,SUM($F$34,V71,$N$36,MAX($AH$42:$AH$342),$T$36),0)</f>
        <v>0</v>
      </c>
      <c r="AK71" s="253">
        <f>IF(W71&lt;&gt;0,SUM($F$34,W71,$N$36,MAX($AH$42:$AH$342),$T$36),0)</f>
        <v>0</v>
      </c>
      <c r="AL71" s="253">
        <f>IF(X71&lt;&gt;0,SUM($F$34,X71,$N$36,MAX($AH$42:$AH$342),$T$36),0)</f>
        <v>0</v>
      </c>
      <c r="AM71" s="260">
        <f>IF(Y71&lt;&gt;0,SUM($F$34,Y71,$N$36,MAX($AH$42:$AH$342),$T$36),0)</f>
        <v>0</v>
      </c>
    </row>
    <row r="72" spans="1:39" x14ac:dyDescent="0.35">
      <c r="A72" s="259">
        <v>1330</v>
      </c>
      <c r="B72" s="58">
        <f>SUMIF([2]!Table2_23[ETA],'FIS Optimal Model (2)'!A72,[2]!Table2_23[FIS PAX])</f>
        <v>0</v>
      </c>
      <c r="C72" s="44">
        <f t="shared" si="32"/>
        <v>0</v>
      </c>
      <c r="D72" s="52">
        <f t="shared" si="41"/>
        <v>0</v>
      </c>
      <c r="E72" s="26">
        <f t="shared" si="24"/>
        <v>0</v>
      </c>
      <c r="F72" s="26">
        <f t="shared" si="25"/>
        <v>0</v>
      </c>
      <c r="G72" s="26">
        <f t="shared" si="26"/>
        <v>0</v>
      </c>
      <c r="H72" s="26">
        <f t="shared" si="27"/>
        <v>0</v>
      </c>
      <c r="I72" s="27">
        <f t="shared" si="48"/>
        <v>0</v>
      </c>
      <c r="J72" s="27">
        <f t="shared" si="48"/>
        <v>0</v>
      </c>
      <c r="K72" s="27">
        <f t="shared" si="48"/>
        <v>0</v>
      </c>
      <c r="L72" s="27">
        <f t="shared" si="48"/>
        <v>0</v>
      </c>
      <c r="M72" s="28">
        <f t="shared" si="49"/>
        <v>0</v>
      </c>
      <c r="N72" s="29">
        <f t="shared" si="50"/>
        <v>6</v>
      </c>
      <c r="O72" s="28">
        <f t="shared" si="51"/>
        <v>0</v>
      </c>
      <c r="P72" s="28">
        <f t="shared" si="52"/>
        <v>0</v>
      </c>
      <c r="Q72" s="28">
        <f t="shared" si="28"/>
        <v>6</v>
      </c>
      <c r="R72" s="22">
        <f t="shared" si="33"/>
        <v>0</v>
      </c>
      <c r="S72" s="22">
        <f t="shared" si="34"/>
        <v>0</v>
      </c>
      <c r="T72" s="22">
        <f t="shared" si="35"/>
        <v>0</v>
      </c>
      <c r="U72" s="22">
        <f t="shared" si="36"/>
        <v>0</v>
      </c>
      <c r="V72" s="21">
        <f t="shared" si="37"/>
        <v>0</v>
      </c>
      <c r="W72" s="21">
        <f t="shared" si="38"/>
        <v>0</v>
      </c>
      <c r="X72" s="21">
        <f t="shared" si="39"/>
        <v>0</v>
      </c>
      <c r="Y72" s="21">
        <f t="shared" si="40"/>
        <v>0</v>
      </c>
      <c r="Z72" s="221">
        <f t="shared" si="29"/>
        <v>0</v>
      </c>
      <c r="AA72" s="30">
        <f t="shared" si="20"/>
        <v>0</v>
      </c>
      <c r="AB72" s="30">
        <f t="shared" si="21"/>
        <v>0</v>
      </c>
      <c r="AC72" s="30">
        <f t="shared" si="22"/>
        <v>0</v>
      </c>
      <c r="AD72" s="30">
        <f t="shared" si="23"/>
        <v>0</v>
      </c>
      <c r="AE72" s="32">
        <f t="shared" si="30"/>
        <v>0</v>
      </c>
      <c r="AF72" s="33">
        <f t="shared" si="47"/>
        <v>0</v>
      </c>
      <c r="AG72" s="40">
        <f t="shared" si="31"/>
        <v>0</v>
      </c>
      <c r="AH72" s="224">
        <f>AG72*$P$36</f>
        <v>0</v>
      </c>
      <c r="AI72" s="226">
        <f>SUM(Z72,IF(Z72&lt;&gt;0,$F$34,0),IF(Z72&lt;&gt;0,$N$36,0),IF(Z72&lt;&gt;0,$T$36,0),IF(Z72=0,AH77,IF(Z72=1,AH78,IF(Z72=2,AH79,IF(Z72=3,AH80,IF(Z72=4,AH81,IF(Z72=5,AH82,IF(Z72=6,AH83,IF(Z72=7,AH84,IF(Z72=8,AH85,IF(Z72=9,AH86,IF(Z72=10,AH87,IF(Z72=11,AH88,IF(Z72=12,AH89,IF(Z72=13,AH90,IF(Z72=14,AH91,IF(Z72=15,AH92,IF(Z72=16,AH93,IF(Z72=17,AH94,IF(Z72=18,AH95,IF(Z72=19,AH96,IF(Z72=20,AH97,IF(Z72=21,AH98,IF(Z72=22,AH99,IF(Z72=23,AH100,IF(Z72=24,AH101,IF(Z72=25,AH102,IF(Z72=26,AH103,IF(Z72=27,AH104,IF(Z72=28,AH105,IF(Z72=29,AH106,IF(Z72=30,AH107))))))))))))))))))))))))))))))))</f>
        <v>0</v>
      </c>
      <c r="AJ72" s="253">
        <f>IF(V72&lt;&gt;0,SUM($F$34,V72,$N$36,MAX($AH$42:$AH$342),$T$36),0)</f>
        <v>0</v>
      </c>
      <c r="AK72" s="253">
        <f>IF(W72&lt;&gt;0,SUM($F$34,W72,$N$36,MAX($AH$42:$AH$342),$T$36),0)</f>
        <v>0</v>
      </c>
      <c r="AL72" s="253">
        <f>IF(X72&lt;&gt;0,SUM($F$34,X72,$N$36,MAX($AH$42:$AH$342),$T$36),0)</f>
        <v>0</v>
      </c>
      <c r="AM72" s="260">
        <f>IF(Y72&lt;&gt;0,SUM($F$34,Y72,$N$36,MAX($AH$42:$AH$342),$T$36),0)</f>
        <v>0</v>
      </c>
    </row>
    <row r="73" spans="1:39" x14ac:dyDescent="0.35">
      <c r="A73" s="259">
        <v>1331</v>
      </c>
      <c r="B73" s="58">
        <f>SUMIF([2]!Table2_23[ETA],'FIS Optimal Model (2)'!A73,[2]!Table2_23[FIS PAX])</f>
        <v>0</v>
      </c>
      <c r="C73" s="44">
        <f t="shared" si="32"/>
        <v>0</v>
      </c>
      <c r="D73" s="52">
        <f t="shared" si="41"/>
        <v>0</v>
      </c>
      <c r="E73" s="26">
        <f t="shared" si="24"/>
        <v>0</v>
      </c>
      <c r="F73" s="26">
        <f t="shared" si="25"/>
        <v>0</v>
      </c>
      <c r="G73" s="26">
        <f t="shared" si="26"/>
        <v>0</v>
      </c>
      <c r="H73" s="26">
        <f t="shared" si="27"/>
        <v>0</v>
      </c>
      <c r="I73" s="27">
        <f t="shared" si="48"/>
        <v>0</v>
      </c>
      <c r="J73" s="27">
        <f t="shared" si="48"/>
        <v>0</v>
      </c>
      <c r="K73" s="27">
        <f t="shared" si="48"/>
        <v>0</v>
      </c>
      <c r="L73" s="27">
        <f t="shared" si="48"/>
        <v>0</v>
      </c>
      <c r="M73" s="28">
        <f>IF(R72=0,0,$Q$8)</f>
        <v>0</v>
      </c>
      <c r="N73" s="29">
        <f>$U$8-M73-O73-P73</f>
        <v>6</v>
      </c>
      <c r="O73" s="28">
        <f>IF(T72=0,0,$S$8)</f>
        <v>0</v>
      </c>
      <c r="P73" s="28">
        <f>IF(U72=0,0,$T$8)</f>
        <v>0</v>
      </c>
      <c r="Q73" s="28">
        <f t="shared" si="28"/>
        <v>6</v>
      </c>
      <c r="R73" s="22">
        <f t="shared" si="33"/>
        <v>0</v>
      </c>
      <c r="S73" s="22">
        <f t="shared" si="34"/>
        <v>0</v>
      </c>
      <c r="T73" s="22">
        <f t="shared" si="35"/>
        <v>0</v>
      </c>
      <c r="U73" s="22">
        <f t="shared" si="36"/>
        <v>0</v>
      </c>
      <c r="V73" s="21">
        <f t="shared" si="37"/>
        <v>0</v>
      </c>
      <c r="W73" s="21">
        <f t="shared" si="38"/>
        <v>0</v>
      </c>
      <c r="X73" s="21">
        <f t="shared" si="39"/>
        <v>0</v>
      </c>
      <c r="Y73" s="21">
        <f t="shared" si="40"/>
        <v>0</v>
      </c>
      <c r="Z73" s="221">
        <f t="shared" si="29"/>
        <v>0</v>
      </c>
      <c r="AA73" s="30">
        <f t="shared" si="20"/>
        <v>0</v>
      </c>
      <c r="AB73" s="30">
        <f t="shared" si="21"/>
        <v>0</v>
      </c>
      <c r="AC73" s="30">
        <f t="shared" si="22"/>
        <v>0</v>
      </c>
      <c r="AD73" s="30">
        <f t="shared" si="23"/>
        <v>0</v>
      </c>
      <c r="AE73" s="32">
        <f t="shared" si="30"/>
        <v>0</v>
      </c>
      <c r="AF73" s="33">
        <f t="shared" si="47"/>
        <v>0</v>
      </c>
      <c r="AG73" s="40">
        <f t="shared" si="31"/>
        <v>0</v>
      </c>
      <c r="AH73" s="224">
        <f>AG73*$P$36</f>
        <v>0</v>
      </c>
      <c r="AI73" s="226">
        <f>SUM(Z73,IF(Z73&lt;&gt;0,$F$34,0),IF(Z73&lt;&gt;0,$N$36,0),IF(Z73&lt;&gt;0,$T$36,0),IF(Z73=0,AH78,IF(Z73=1,AH79,IF(Z73=2,AH80,IF(Z73=3,AH81,IF(Z73=4,AH82,IF(Z73=5,AH83,IF(Z73=6,AH84,IF(Z73=7,AH85,IF(Z73=8,AH86,IF(Z73=9,AH87,IF(Z73=10,AH88,IF(Z73=11,AH89,IF(Z73=12,AH90,IF(Z73=13,AH91,IF(Z73=14,AH92,IF(Z73=15,AH93,IF(Z73=16,AH94,IF(Z73=17,AH95,IF(Z73=18,AH96,IF(Z73=19,AH97,IF(Z73=20,AH98,IF(Z73=21,AH99,IF(Z73=22,AH100,IF(Z73=23,AH101,IF(Z73=24,AH102,IF(Z73=25,AH103,IF(Z73=26,AH104,IF(Z73=27,AH105,IF(Z73=28,AH106,IF(Z73=29,AH107,IF(Z73=30,AH108))))))))))))))))))))))))))))))))</f>
        <v>0</v>
      </c>
      <c r="AJ73" s="253">
        <f>IF(V73&lt;&gt;0,SUM($F$34,V73,$N$36,MAX($AH$42:$AH$342),$T$36),0)</f>
        <v>0</v>
      </c>
      <c r="AK73" s="253">
        <f>IF(W73&lt;&gt;0,SUM($F$34,W73,$N$36,MAX($AH$42:$AH$342),$T$36),0)</f>
        <v>0</v>
      </c>
      <c r="AL73" s="253">
        <f>IF(X73&lt;&gt;0,SUM($F$34,X73,$N$36,MAX($AH$42:$AH$342),$T$36),0)</f>
        <v>0</v>
      </c>
      <c r="AM73" s="260">
        <f>IF(Y73&lt;&gt;0,SUM($F$34,Y73,$N$36,MAX($AH$42:$AH$342),$T$36),0)</f>
        <v>0</v>
      </c>
    </row>
    <row r="74" spans="1:39" x14ac:dyDescent="0.35">
      <c r="A74" s="259">
        <v>1332</v>
      </c>
      <c r="B74" s="58">
        <f>SUMIF([2]!Table2_23[ETA],'FIS Optimal Model (2)'!A74,[2]!Table2_23[FIS PAX])</f>
        <v>0</v>
      </c>
      <c r="C74" s="44">
        <f t="shared" si="32"/>
        <v>0</v>
      </c>
      <c r="D74" s="52">
        <f t="shared" si="41"/>
        <v>0</v>
      </c>
      <c r="E74" s="26">
        <f t="shared" si="24"/>
        <v>0</v>
      </c>
      <c r="F74" s="26">
        <f t="shared" si="25"/>
        <v>0</v>
      </c>
      <c r="G74" s="26">
        <f t="shared" si="26"/>
        <v>0</v>
      </c>
      <c r="H74" s="26">
        <f t="shared" si="27"/>
        <v>0</v>
      </c>
      <c r="I74" s="27">
        <f t="shared" si="48"/>
        <v>0</v>
      </c>
      <c r="J74" s="27">
        <f t="shared" si="48"/>
        <v>0</v>
      </c>
      <c r="K74" s="27">
        <f t="shared" si="48"/>
        <v>0</v>
      </c>
      <c r="L74" s="27">
        <f t="shared" si="48"/>
        <v>0</v>
      </c>
      <c r="M74" s="28">
        <f>M73</f>
        <v>0</v>
      </c>
      <c r="N74" s="29">
        <f>N73</f>
        <v>6</v>
      </c>
      <c r="O74" s="28">
        <f>O73</f>
        <v>0</v>
      </c>
      <c r="P74" s="28">
        <f>P73</f>
        <v>0</v>
      </c>
      <c r="Q74" s="28">
        <f t="shared" si="28"/>
        <v>6</v>
      </c>
      <c r="R74" s="22">
        <f t="shared" si="33"/>
        <v>0</v>
      </c>
      <c r="S74" s="22">
        <f t="shared" si="34"/>
        <v>0</v>
      </c>
      <c r="T74" s="22">
        <f t="shared" si="35"/>
        <v>0</v>
      </c>
      <c r="U74" s="22">
        <f t="shared" si="36"/>
        <v>0</v>
      </c>
      <c r="V74" s="21">
        <f t="shared" si="37"/>
        <v>0</v>
      </c>
      <c r="W74" s="21">
        <f t="shared" si="38"/>
        <v>0</v>
      </c>
      <c r="X74" s="21">
        <f t="shared" si="39"/>
        <v>0</v>
      </c>
      <c r="Y74" s="21">
        <f t="shared" si="40"/>
        <v>0</v>
      </c>
      <c r="Z74" s="221">
        <f t="shared" si="29"/>
        <v>0</v>
      </c>
      <c r="AA74" s="30">
        <f t="shared" si="20"/>
        <v>0</v>
      </c>
      <c r="AB74" s="30">
        <f t="shared" si="21"/>
        <v>0</v>
      </c>
      <c r="AC74" s="30">
        <f t="shared" si="22"/>
        <v>0</v>
      </c>
      <c r="AD74" s="30">
        <f t="shared" si="23"/>
        <v>0</v>
      </c>
      <c r="AE74" s="32">
        <f t="shared" si="30"/>
        <v>0</v>
      </c>
      <c r="AF74" s="33">
        <f t="shared" si="47"/>
        <v>0</v>
      </c>
      <c r="AG74" s="40">
        <f t="shared" si="31"/>
        <v>0</v>
      </c>
      <c r="AH74" s="224">
        <f>AG74*$P$36</f>
        <v>0</v>
      </c>
      <c r="AI74" s="226">
        <f>SUM(Z74,IF(Z74&lt;&gt;0,$F$34,0),IF(Z74&lt;&gt;0,$N$36,0),IF(Z74&lt;&gt;0,$T$36,0),IF(Z74=0,AH79,IF(Z74=1,AH80,IF(Z74=2,AH81,IF(Z74=3,AH82,IF(Z74=4,AH83,IF(Z74=5,AH84,IF(Z74=6,AH85,IF(Z74=7,AH86,IF(Z74=8,AH87,IF(Z74=9,AH88,IF(Z74=10,AH89,IF(Z74=11,AH90,IF(Z74=12,AH91,IF(Z74=13,AH92,IF(Z74=14,AH93,IF(Z74=15,AH94,IF(Z74=16,AH95,IF(Z74=17,AH96,IF(Z74=18,AH97,IF(Z74=19,AH98,IF(Z74=20,AH99,IF(Z74=21,AH100,IF(Z74=22,AH101,IF(Z74=23,AH102,IF(Z74=24,AH103,IF(Z74=25,AH104,IF(Z74=26,AH105,IF(Z74=27,AH106,IF(Z74=28,AH107,IF(Z74=29,AH108,IF(Z74=30,AH109))))))))))))))))))))))))))))))))</f>
        <v>0</v>
      </c>
      <c r="AJ74" s="253">
        <f>IF(V74&lt;&gt;0,SUM($F$34,V74,$N$36,MAX($AH$42:$AH$342),$T$36),0)</f>
        <v>0</v>
      </c>
      <c r="AK74" s="253">
        <f>IF(W74&lt;&gt;0,SUM($F$34,W74,$N$36,MAX($AH$42:$AH$342),$T$36),0)</f>
        <v>0</v>
      </c>
      <c r="AL74" s="253">
        <f>IF(X74&lt;&gt;0,SUM($F$34,X74,$N$36,MAX($AH$42:$AH$342),$T$36),0)</f>
        <v>0</v>
      </c>
      <c r="AM74" s="260">
        <f>IF(Y74&lt;&gt;0,SUM($F$34,Y74,$N$36,MAX($AH$42:$AH$342),$T$36),0)</f>
        <v>0</v>
      </c>
    </row>
    <row r="75" spans="1:39" x14ac:dyDescent="0.35">
      <c r="A75" s="259">
        <v>1333</v>
      </c>
      <c r="B75" s="58">
        <f>SUMIF([2]!Table2_23[ETA],'FIS Optimal Model (2)'!A75,[2]!Table2_23[FIS PAX])</f>
        <v>0</v>
      </c>
      <c r="C75" s="44">
        <f t="shared" si="32"/>
        <v>0</v>
      </c>
      <c r="D75" s="52">
        <f t="shared" si="41"/>
        <v>0</v>
      </c>
      <c r="E75" s="26">
        <f t="shared" si="24"/>
        <v>0</v>
      </c>
      <c r="F75" s="26">
        <f t="shared" si="25"/>
        <v>0</v>
      </c>
      <c r="G75" s="26">
        <f t="shared" si="26"/>
        <v>0</v>
      </c>
      <c r="H75" s="26">
        <f t="shared" si="27"/>
        <v>0</v>
      </c>
      <c r="I75" s="27">
        <f t="shared" si="48"/>
        <v>0</v>
      </c>
      <c r="J75" s="27">
        <f t="shared" si="48"/>
        <v>0</v>
      </c>
      <c r="K75" s="27">
        <f t="shared" si="48"/>
        <v>0</v>
      </c>
      <c r="L75" s="27">
        <f t="shared" si="48"/>
        <v>0</v>
      </c>
      <c r="M75" s="28">
        <f t="shared" ref="M75:P87" si="53">M74</f>
        <v>0</v>
      </c>
      <c r="N75" s="29">
        <f t="shared" si="53"/>
        <v>6</v>
      </c>
      <c r="O75" s="28">
        <f t="shared" si="53"/>
        <v>0</v>
      </c>
      <c r="P75" s="28">
        <f t="shared" si="53"/>
        <v>0</v>
      </c>
      <c r="Q75" s="28">
        <f t="shared" si="28"/>
        <v>6</v>
      </c>
      <c r="R75" s="22">
        <f t="shared" si="33"/>
        <v>0</v>
      </c>
      <c r="S75" s="22">
        <f t="shared" si="34"/>
        <v>0</v>
      </c>
      <c r="T75" s="22">
        <f t="shared" si="35"/>
        <v>0</v>
      </c>
      <c r="U75" s="22">
        <f t="shared" si="36"/>
        <v>0</v>
      </c>
      <c r="V75" s="21">
        <f t="shared" si="37"/>
        <v>0</v>
      </c>
      <c r="W75" s="21">
        <f t="shared" si="38"/>
        <v>0</v>
      </c>
      <c r="X75" s="21">
        <f t="shared" si="39"/>
        <v>0</v>
      </c>
      <c r="Y75" s="21">
        <f t="shared" si="40"/>
        <v>0</v>
      </c>
      <c r="Z75" s="221">
        <f t="shared" si="29"/>
        <v>0</v>
      </c>
      <c r="AA75" s="30">
        <f t="shared" si="20"/>
        <v>0</v>
      </c>
      <c r="AB75" s="30">
        <f t="shared" si="21"/>
        <v>0</v>
      </c>
      <c r="AC75" s="30">
        <f t="shared" si="22"/>
        <v>0</v>
      </c>
      <c r="AD75" s="30">
        <f t="shared" si="23"/>
        <v>0</v>
      </c>
      <c r="AE75" s="32">
        <f t="shared" si="30"/>
        <v>0</v>
      </c>
      <c r="AF75" s="33">
        <f t="shared" si="47"/>
        <v>0</v>
      </c>
      <c r="AG75" s="40">
        <f t="shared" si="31"/>
        <v>0</v>
      </c>
      <c r="AH75" s="224">
        <f>AG75*$P$36</f>
        <v>0</v>
      </c>
      <c r="AI75" s="226">
        <f>SUM(Z75,IF(Z75&lt;&gt;0,$F$34,0),IF(Z75&lt;&gt;0,$N$36,0),IF(Z75&lt;&gt;0,$T$36,0),IF(Z75=0,AH80,IF(Z75=1,AH81,IF(Z75=2,AH82,IF(Z75=3,AH83,IF(Z75=4,AH84,IF(Z75=5,AH85,IF(Z75=6,AH86,IF(Z75=7,AH87,IF(Z75=8,AH88,IF(Z75=9,AH89,IF(Z75=10,AH90,IF(Z75=11,AH91,IF(Z75=12,AH92,IF(Z75=13,AH93,IF(Z75=14,AH94,IF(Z75=15,AH95,IF(Z75=16,AH96,IF(Z75=17,AH97,IF(Z75=18,AH98,IF(Z75=19,AH99,IF(Z75=20,AH100,IF(Z75=21,AH101,IF(Z75=22,AH102,IF(Z75=23,AH103,IF(Z75=24,AH104,IF(Z75=25,AH105,IF(Z75=26,AH106,IF(Z75=27,AH107,IF(Z75=28,AH108,IF(Z75=29,AH109,IF(Z75=30,AH110))))))))))))))))))))))))))))))))</f>
        <v>0</v>
      </c>
      <c r="AJ75" s="253">
        <f>IF(V75&lt;&gt;0,SUM($F$34,V75,$N$36,MAX($AH$42:$AH$342),$T$36),0)</f>
        <v>0</v>
      </c>
      <c r="AK75" s="253">
        <f>IF(W75&lt;&gt;0,SUM($F$34,W75,$N$36,MAX($AH$42:$AH$342),$T$36),0)</f>
        <v>0</v>
      </c>
      <c r="AL75" s="253">
        <f>IF(X75&lt;&gt;0,SUM($F$34,X75,$N$36,MAX($AH$42:$AH$342),$T$36),0)</f>
        <v>0</v>
      </c>
      <c r="AM75" s="260">
        <f>IF(Y75&lt;&gt;0,SUM($F$34,Y75,$N$36,MAX($AH$42:$AH$342),$T$36),0)</f>
        <v>0</v>
      </c>
    </row>
    <row r="76" spans="1:39" x14ac:dyDescent="0.35">
      <c r="A76" s="259">
        <v>1334</v>
      </c>
      <c r="B76" s="58">
        <f>SUMIF([2]!Table2_23[ETA],'FIS Optimal Model (2)'!A76,[2]!Table2_23[FIS PAX])</f>
        <v>152</v>
      </c>
      <c r="C76" s="44">
        <f>IF((D75-D76)&gt;-1,(D75-D76),18)</f>
        <v>0</v>
      </c>
      <c r="D76" s="52">
        <f t="shared" si="41"/>
        <v>0</v>
      </c>
      <c r="E76" s="26">
        <f t="shared" si="24"/>
        <v>0</v>
      </c>
      <c r="F76" s="26">
        <f t="shared" si="25"/>
        <v>0</v>
      </c>
      <c r="G76" s="26">
        <f t="shared" si="26"/>
        <v>0</v>
      </c>
      <c r="H76" s="26">
        <f t="shared" si="27"/>
        <v>0</v>
      </c>
      <c r="I76" s="27">
        <f t="shared" si="48"/>
        <v>0</v>
      </c>
      <c r="J76" s="27">
        <f t="shared" si="48"/>
        <v>0</v>
      </c>
      <c r="K76" s="27">
        <f t="shared" si="48"/>
        <v>0</v>
      </c>
      <c r="L76" s="27">
        <f t="shared" si="48"/>
        <v>0</v>
      </c>
      <c r="M76" s="28">
        <f t="shared" si="53"/>
        <v>0</v>
      </c>
      <c r="N76" s="29">
        <f t="shared" si="53"/>
        <v>6</v>
      </c>
      <c r="O76" s="28">
        <f t="shared" si="53"/>
        <v>0</v>
      </c>
      <c r="P76" s="28">
        <f t="shared" si="53"/>
        <v>0</v>
      </c>
      <c r="Q76" s="28">
        <f t="shared" si="28"/>
        <v>6</v>
      </c>
      <c r="R76" s="22">
        <f t="shared" si="33"/>
        <v>0</v>
      </c>
      <c r="S76" s="22">
        <f t="shared" si="34"/>
        <v>0</v>
      </c>
      <c r="T76" s="22">
        <f t="shared" si="35"/>
        <v>0</v>
      </c>
      <c r="U76" s="22">
        <f t="shared" si="36"/>
        <v>0</v>
      </c>
      <c r="V76" s="21">
        <f t="shared" si="37"/>
        <v>0</v>
      </c>
      <c r="W76" s="21">
        <f t="shared" si="38"/>
        <v>0</v>
      </c>
      <c r="X76" s="21">
        <f t="shared" si="39"/>
        <v>0</v>
      </c>
      <c r="Y76" s="21">
        <f t="shared" si="40"/>
        <v>0</v>
      </c>
      <c r="Z76" s="221">
        <f t="shared" si="29"/>
        <v>0</v>
      </c>
      <c r="AA76" s="30">
        <f t="shared" si="20"/>
        <v>0</v>
      </c>
      <c r="AB76" s="30">
        <f t="shared" si="21"/>
        <v>0</v>
      </c>
      <c r="AC76" s="30">
        <f t="shared" si="22"/>
        <v>0</v>
      </c>
      <c r="AD76" s="30">
        <f t="shared" si="23"/>
        <v>0</v>
      </c>
      <c r="AE76" s="32">
        <f t="shared" si="30"/>
        <v>0</v>
      </c>
      <c r="AF76" s="33">
        <f t="shared" si="47"/>
        <v>0</v>
      </c>
      <c r="AG76" s="40">
        <f t="shared" si="31"/>
        <v>0</v>
      </c>
      <c r="AH76" s="224">
        <f>AG76*$P$36</f>
        <v>0</v>
      </c>
      <c r="AI76" s="226">
        <f>SUM(Z76,IF(Z76&lt;&gt;0,$F$34,0),IF(Z76&lt;&gt;0,$N$36,0),IF(Z76&lt;&gt;0,$T$36,0),IF(Z76=0,AH81,IF(Z76=1,AH82,IF(Z76=2,AH83,IF(Z76=3,AH84,IF(Z76=4,AH85,IF(Z76=5,AH86,IF(Z76=6,AH87,IF(Z76=7,AH88,IF(Z76=8,AH89,IF(Z76=9,AH90,IF(Z76=10,AH91,IF(Z76=11,AH92,IF(Z76=12,AH93,IF(Z76=13,AH94,IF(Z76=14,AH95,IF(Z76=15,AH96,IF(Z76=16,AH97,IF(Z76=17,AH98,IF(Z76=18,AH99,IF(Z76=19,AH100,IF(Z76=20,AH101,IF(Z76=21,AH102,IF(Z76=22,AH103,IF(Z76=23,AH104,IF(Z76=24,AH105,IF(Z76=25,AH106,IF(Z76=26,AH107,IF(Z76=27,AH108,IF(Z76=28,AH109,IF(Z76=29,AH110,IF(Z76=30,AH111))))))))))))))))))))))))))))))))</f>
        <v>0</v>
      </c>
      <c r="AJ76" s="253">
        <f>IF(V76&lt;&gt;0,SUM($F$34,V76,$N$36,MAX($AH$42:$AH$342),$T$36),0)</f>
        <v>0</v>
      </c>
      <c r="AK76" s="253">
        <f>IF(W76&lt;&gt;0,SUM($F$34,W76,$N$36,MAX($AH$42:$AH$342),$T$36),0)</f>
        <v>0</v>
      </c>
      <c r="AL76" s="253">
        <f>IF(X76&lt;&gt;0,SUM($F$34,X76,$N$36,MAX($AH$42:$AH$342),$T$36),0)</f>
        <v>0</v>
      </c>
      <c r="AM76" s="260">
        <f>IF(Y76&lt;&gt;0,SUM($F$34,Y76,$N$36,MAX($AH$42:$AH$342),$T$36),0)</f>
        <v>0</v>
      </c>
    </row>
    <row r="77" spans="1:39" x14ac:dyDescent="0.35">
      <c r="A77" s="259">
        <v>1335</v>
      </c>
      <c r="B77" s="58">
        <f>SUMIF([2]!Table2_23[ETA],'FIS Optimal Model (2)'!A77,[2]!Table2_23[FIS PAX])</f>
        <v>0</v>
      </c>
      <c r="C77" s="44">
        <f t="shared" si="32"/>
        <v>18</v>
      </c>
      <c r="D77" s="52">
        <f t="shared" si="41"/>
        <v>134</v>
      </c>
      <c r="E77" s="26">
        <f t="shared" si="24"/>
        <v>10</v>
      </c>
      <c r="F77" s="26">
        <f t="shared" si="25"/>
        <v>5</v>
      </c>
      <c r="G77" s="26">
        <f t="shared" si="26"/>
        <v>3</v>
      </c>
      <c r="H77" s="26">
        <f t="shared" si="27"/>
        <v>1</v>
      </c>
      <c r="I77" s="27">
        <f t="shared" si="48"/>
        <v>0</v>
      </c>
      <c r="J77" s="27">
        <f t="shared" si="48"/>
        <v>0</v>
      </c>
      <c r="K77" s="27">
        <f t="shared" si="48"/>
        <v>0</v>
      </c>
      <c r="L77" s="27">
        <f t="shared" si="48"/>
        <v>0</v>
      </c>
      <c r="M77" s="28">
        <f t="shared" si="53"/>
        <v>0</v>
      </c>
      <c r="N77" s="29">
        <f t="shared" si="53"/>
        <v>6</v>
      </c>
      <c r="O77" s="28">
        <f t="shared" si="53"/>
        <v>0</v>
      </c>
      <c r="P77" s="28">
        <f t="shared" si="53"/>
        <v>0</v>
      </c>
      <c r="Q77" s="28">
        <f t="shared" si="28"/>
        <v>6</v>
      </c>
      <c r="R77" s="22">
        <f t="shared" si="33"/>
        <v>0</v>
      </c>
      <c r="S77" s="22">
        <f t="shared" si="34"/>
        <v>0</v>
      </c>
      <c r="T77" s="22">
        <f t="shared" si="35"/>
        <v>0</v>
      </c>
      <c r="U77" s="22">
        <f t="shared" si="36"/>
        <v>0</v>
      </c>
      <c r="V77" s="21">
        <f t="shared" si="37"/>
        <v>0</v>
      </c>
      <c r="W77" s="21">
        <f t="shared" si="38"/>
        <v>0</v>
      </c>
      <c r="X77" s="21">
        <f t="shared" si="39"/>
        <v>0</v>
      </c>
      <c r="Y77" s="21">
        <f t="shared" si="40"/>
        <v>0</v>
      </c>
      <c r="Z77" s="221">
        <f t="shared" si="29"/>
        <v>0</v>
      </c>
      <c r="AA77" s="30">
        <f t="shared" si="20"/>
        <v>0</v>
      </c>
      <c r="AB77" s="30">
        <f t="shared" si="21"/>
        <v>0</v>
      </c>
      <c r="AC77" s="30">
        <f t="shared" si="22"/>
        <v>0</v>
      </c>
      <c r="AD77" s="30">
        <f t="shared" si="23"/>
        <v>0</v>
      </c>
      <c r="AE77" s="32">
        <f t="shared" si="30"/>
        <v>0</v>
      </c>
      <c r="AF77" s="33">
        <f t="shared" si="47"/>
        <v>0</v>
      </c>
      <c r="AG77" s="40">
        <f t="shared" si="31"/>
        <v>0</v>
      </c>
      <c r="AH77" s="224">
        <f>AG77*$P$36</f>
        <v>0</v>
      </c>
      <c r="AI77" s="226">
        <f>SUM(Z77,IF(Z77&lt;&gt;0,$F$34,0),IF(Z77&lt;&gt;0,$N$36,0),IF(Z77&lt;&gt;0,$T$36,0),IF(Z77=0,AH82,IF(Z77=1,AH83,IF(Z77=2,AH84,IF(Z77=3,AH85,IF(Z77=4,AH86,IF(Z77=5,AH87,IF(Z77=6,AH88,IF(Z77=7,AH89,IF(Z77=8,AH90,IF(Z77=9,AH91,IF(Z77=10,AH92,IF(Z77=11,AH93,IF(Z77=12,AH94,IF(Z77=13,AH95,IF(Z77=14,AH96,IF(Z77=15,AH97,IF(Z77=16,AH98,IF(Z77=17,AH99,IF(Z77=18,AH100,IF(Z77=19,AH101,IF(Z77=20,AH102,IF(Z77=21,AH103,IF(Z77=22,AH104,IF(Z77=23,AH105,IF(Z77=24,AH106,IF(Z77=25,AH107,IF(Z77=26,AH108,IF(Z77=27,AH109,IF(Z77=28,AH110,IF(Z77=29,AH111,IF(Z77=30,AH112))))))))))))))))))))))))))))))))</f>
        <v>0</v>
      </c>
      <c r="AJ77" s="253">
        <f>IF(V77&lt;&gt;0,SUM($F$34,V77,$N$36,MAX($AH$42:$AH$342),$T$36),0)</f>
        <v>0</v>
      </c>
      <c r="AK77" s="253">
        <f>IF(W77&lt;&gt;0,SUM($F$34,W77,$N$36,MAX($AH$42:$AH$342),$T$36),0)</f>
        <v>0</v>
      </c>
      <c r="AL77" s="253">
        <f>IF(X77&lt;&gt;0,SUM($F$34,X77,$N$36,MAX($AH$42:$AH$342),$T$36),0)</f>
        <v>0</v>
      </c>
      <c r="AM77" s="260">
        <f>IF(Y77&lt;&gt;0,SUM($F$34,Y77,$N$36,MAX($AH$42:$AH$342),$T$36),0)</f>
        <v>0</v>
      </c>
    </row>
    <row r="78" spans="1:39" x14ac:dyDescent="0.35">
      <c r="A78" s="259">
        <v>1336</v>
      </c>
      <c r="B78" s="58">
        <f>SUMIF([2]!Table2_23[ETA],'FIS Optimal Model (2)'!A78,[2]!Table2_23[FIS PAX])</f>
        <v>0</v>
      </c>
      <c r="C78" s="44">
        <f t="shared" si="32"/>
        <v>18</v>
      </c>
      <c r="D78" s="52">
        <f t="shared" si="41"/>
        <v>116</v>
      </c>
      <c r="E78" s="26">
        <f t="shared" si="24"/>
        <v>10</v>
      </c>
      <c r="F78" s="26">
        <f t="shared" si="25"/>
        <v>5</v>
      </c>
      <c r="G78" s="26">
        <f t="shared" si="26"/>
        <v>3</v>
      </c>
      <c r="H78" s="26">
        <f t="shared" si="27"/>
        <v>1</v>
      </c>
      <c r="I78" s="27">
        <f t="shared" si="48"/>
        <v>0</v>
      </c>
      <c r="J78" s="27">
        <f t="shared" si="48"/>
        <v>0</v>
      </c>
      <c r="K78" s="27">
        <f t="shared" si="48"/>
        <v>0</v>
      </c>
      <c r="L78" s="27">
        <f t="shared" si="48"/>
        <v>0</v>
      </c>
      <c r="M78" s="28">
        <f t="shared" si="53"/>
        <v>0</v>
      </c>
      <c r="N78" s="29">
        <f t="shared" si="53"/>
        <v>6</v>
      </c>
      <c r="O78" s="28">
        <f t="shared" si="53"/>
        <v>0</v>
      </c>
      <c r="P78" s="28">
        <f t="shared" si="53"/>
        <v>0</v>
      </c>
      <c r="Q78" s="28">
        <f t="shared" si="28"/>
        <v>6</v>
      </c>
      <c r="R78" s="22">
        <f t="shared" si="33"/>
        <v>0</v>
      </c>
      <c r="S78" s="22">
        <f t="shared" si="34"/>
        <v>0</v>
      </c>
      <c r="T78" s="22">
        <f t="shared" si="35"/>
        <v>0</v>
      </c>
      <c r="U78" s="22">
        <f t="shared" si="36"/>
        <v>0</v>
      </c>
      <c r="V78" s="21">
        <f t="shared" si="37"/>
        <v>0</v>
      </c>
      <c r="W78" s="21">
        <f t="shared" si="38"/>
        <v>0</v>
      </c>
      <c r="X78" s="21">
        <f t="shared" si="39"/>
        <v>0</v>
      </c>
      <c r="Y78" s="21">
        <f t="shared" si="40"/>
        <v>0</v>
      </c>
      <c r="Z78" s="221">
        <f t="shared" si="29"/>
        <v>0</v>
      </c>
      <c r="AA78" s="30">
        <f t="shared" si="20"/>
        <v>0</v>
      </c>
      <c r="AB78" s="30">
        <f t="shared" si="21"/>
        <v>0</v>
      </c>
      <c r="AC78" s="30">
        <f t="shared" si="22"/>
        <v>0</v>
      </c>
      <c r="AD78" s="30">
        <f t="shared" si="23"/>
        <v>0</v>
      </c>
      <c r="AE78" s="32">
        <f t="shared" si="30"/>
        <v>0</v>
      </c>
      <c r="AF78" s="33">
        <f t="shared" si="47"/>
        <v>0</v>
      </c>
      <c r="AG78" s="40">
        <f t="shared" si="31"/>
        <v>0</v>
      </c>
      <c r="AH78" s="224">
        <f>AG78*$P$36</f>
        <v>0</v>
      </c>
      <c r="AI78" s="226">
        <f>SUM(Z78,IF(Z78&lt;&gt;0,$F$34,0),IF(Z78&lt;&gt;0,$N$36,0),IF(Z78&lt;&gt;0,$T$36,0),IF(Z78=0,AH83,IF(Z78=1,AH84,IF(Z78=2,AH85,IF(Z78=3,AH86,IF(Z78=4,AH87,IF(Z78=5,AH88,IF(Z78=6,AH89,IF(Z78=7,AH90,IF(Z78=8,AH91,IF(Z78=9,AH92,IF(Z78=10,AH93,IF(Z78=11,AH94,IF(Z78=12,AH95,IF(Z78=13,AH96,IF(Z78=14,AH97,IF(Z78=15,AH98,IF(Z78=16,AH99,IF(Z78=17,AH100,IF(Z78=18,AH101,IF(Z78=19,AH102,IF(Z78=20,AH103,IF(Z78=21,AH104,IF(Z78=22,AH105,IF(Z78=23,AH106,IF(Z78=24,AH107,IF(Z78=25,AH108,IF(Z78=26,AH109,IF(Z78=27,AH110,IF(Z78=28,AH111,IF(Z78=29,AH112,IF(Z78=30,AH113))))))))))))))))))))))))))))))))</f>
        <v>0</v>
      </c>
      <c r="AJ78" s="253">
        <f>IF(V78&lt;&gt;0,SUM($F$34,V78,$N$36,MAX($AH$42:$AH$342),$T$36),0)</f>
        <v>0</v>
      </c>
      <c r="AK78" s="253">
        <f>IF(W78&lt;&gt;0,SUM($F$34,W78,$N$36,MAX($AH$42:$AH$342),$T$36),0)</f>
        <v>0</v>
      </c>
      <c r="AL78" s="253">
        <f>IF(X78&lt;&gt;0,SUM($F$34,X78,$N$36,MAX($AH$42:$AH$342),$T$36),0)</f>
        <v>0</v>
      </c>
      <c r="AM78" s="260">
        <f>IF(Y78&lt;&gt;0,SUM($F$34,Y78,$N$36,MAX($AH$42:$AH$342),$T$36),0)</f>
        <v>0</v>
      </c>
    </row>
    <row r="79" spans="1:39" x14ac:dyDescent="0.35">
      <c r="A79" s="259">
        <v>1337</v>
      </c>
      <c r="B79" s="58">
        <f>SUMIF([2]!Table2_23[ETA],'FIS Optimal Model (2)'!A79,[2]!Table2_23[FIS PAX])</f>
        <v>0</v>
      </c>
      <c r="C79" s="44">
        <f t="shared" si="32"/>
        <v>18</v>
      </c>
      <c r="D79" s="52">
        <f t="shared" si="41"/>
        <v>98</v>
      </c>
      <c r="E79" s="26">
        <f t="shared" si="24"/>
        <v>10</v>
      </c>
      <c r="F79" s="26">
        <f t="shared" si="25"/>
        <v>5</v>
      </c>
      <c r="G79" s="26">
        <f t="shared" si="26"/>
        <v>3</v>
      </c>
      <c r="H79" s="26">
        <f t="shared" si="27"/>
        <v>1</v>
      </c>
      <c r="I79" s="27">
        <f t="shared" si="48"/>
        <v>0</v>
      </c>
      <c r="J79" s="27">
        <f t="shared" si="48"/>
        <v>0</v>
      </c>
      <c r="K79" s="27">
        <f t="shared" si="48"/>
        <v>0</v>
      </c>
      <c r="L79" s="27">
        <f t="shared" si="48"/>
        <v>0</v>
      </c>
      <c r="M79" s="28">
        <f t="shared" si="53"/>
        <v>0</v>
      </c>
      <c r="N79" s="29">
        <f t="shared" si="53"/>
        <v>6</v>
      </c>
      <c r="O79" s="28">
        <f t="shared" si="53"/>
        <v>0</v>
      </c>
      <c r="P79" s="28">
        <f t="shared" si="53"/>
        <v>0</v>
      </c>
      <c r="Q79" s="28">
        <f t="shared" si="28"/>
        <v>6</v>
      </c>
      <c r="R79" s="22">
        <f t="shared" si="33"/>
        <v>0</v>
      </c>
      <c r="S79" s="22">
        <f t="shared" si="34"/>
        <v>0</v>
      </c>
      <c r="T79" s="22">
        <f t="shared" si="35"/>
        <v>0</v>
      </c>
      <c r="U79" s="22">
        <f t="shared" si="36"/>
        <v>0</v>
      </c>
      <c r="V79" s="21">
        <f t="shared" si="37"/>
        <v>0</v>
      </c>
      <c r="W79" s="21">
        <f t="shared" si="38"/>
        <v>0</v>
      </c>
      <c r="X79" s="21">
        <f t="shared" si="39"/>
        <v>0</v>
      </c>
      <c r="Y79" s="21">
        <f t="shared" si="40"/>
        <v>0</v>
      </c>
      <c r="Z79" s="221">
        <f t="shared" si="29"/>
        <v>0</v>
      </c>
      <c r="AA79" s="30">
        <f t="shared" si="20"/>
        <v>0</v>
      </c>
      <c r="AB79" s="30">
        <f t="shared" si="21"/>
        <v>0</v>
      </c>
      <c r="AC79" s="30">
        <f t="shared" si="22"/>
        <v>0</v>
      </c>
      <c r="AD79" s="30">
        <f t="shared" si="23"/>
        <v>0</v>
      </c>
      <c r="AE79" s="32">
        <f t="shared" si="30"/>
        <v>0</v>
      </c>
      <c r="AF79" s="33">
        <f t="shared" si="47"/>
        <v>0</v>
      </c>
      <c r="AG79" s="40">
        <f t="shared" si="31"/>
        <v>0</v>
      </c>
      <c r="AH79" s="224">
        <f>AG79*$P$36</f>
        <v>0</v>
      </c>
      <c r="AI79" s="226">
        <f>SUM(Z79,IF(Z79&lt;&gt;0,$F$34,0),IF(Z79&lt;&gt;0,$N$36,0),IF(Z79&lt;&gt;0,$T$36,0),IF(Z79=0,AH84,IF(Z79=1,AH85,IF(Z79=2,AH86,IF(Z79=3,AH87,IF(Z79=4,AH88,IF(Z79=5,AH89,IF(Z79=6,AH90,IF(Z79=7,AH91,IF(Z79=8,AH92,IF(Z79=9,AH93,IF(Z79=10,AH94,IF(Z79=11,AH95,IF(Z79=12,AH96,IF(Z79=13,AH97,IF(Z79=14,AH98,IF(Z79=15,AH99,IF(Z79=16,AH100,IF(Z79=17,AH101,IF(Z79=18,AH102,IF(Z79=19,AH103,IF(Z79=20,AH104,IF(Z79=21,AH105,IF(Z79=22,AH106,IF(Z79=23,AH107,IF(Z79=24,AH108,IF(Z79=25,AH109,IF(Z79=26,AH110,IF(Z79=27,AH111,IF(Z79=28,AH112,IF(Z79=29,AH113,IF(Z79=30,AH114))))))))))))))))))))))))))))))))</f>
        <v>0</v>
      </c>
      <c r="AJ79" s="253">
        <f>IF(V79&lt;&gt;0,SUM($F$34,V79,$N$36,MAX($AH$42:$AH$342),$T$36),0)</f>
        <v>0</v>
      </c>
      <c r="AK79" s="253">
        <f>IF(W79&lt;&gt;0,SUM($F$34,W79,$N$36,MAX($AH$42:$AH$342),$T$36),0)</f>
        <v>0</v>
      </c>
      <c r="AL79" s="253">
        <f>IF(X79&lt;&gt;0,SUM($F$34,X79,$N$36,MAX($AH$42:$AH$342),$T$36),0)</f>
        <v>0</v>
      </c>
      <c r="AM79" s="260">
        <f>IF(Y79&lt;&gt;0,SUM($F$34,Y79,$N$36,MAX($AH$42:$AH$342),$T$36),0)</f>
        <v>0</v>
      </c>
    </row>
    <row r="80" spans="1:39" x14ac:dyDescent="0.35">
      <c r="A80" s="259">
        <v>1338</v>
      </c>
      <c r="B80" s="58">
        <f>SUMIF([2]!Table2_23[ETA],'FIS Optimal Model (2)'!A80,[2]!Table2_23[FIS PAX])</f>
        <v>0</v>
      </c>
      <c r="C80" s="44">
        <f t="shared" si="32"/>
        <v>18</v>
      </c>
      <c r="D80" s="52">
        <f t="shared" si="41"/>
        <v>80</v>
      </c>
      <c r="E80" s="26">
        <f t="shared" si="24"/>
        <v>10</v>
      </c>
      <c r="F80" s="26">
        <f t="shared" si="25"/>
        <v>5</v>
      </c>
      <c r="G80" s="26">
        <f t="shared" si="26"/>
        <v>3</v>
      </c>
      <c r="H80" s="26">
        <f t="shared" si="27"/>
        <v>1</v>
      </c>
      <c r="I80" s="27">
        <f t="shared" si="48"/>
        <v>0</v>
      </c>
      <c r="J80" s="27">
        <f t="shared" si="48"/>
        <v>0</v>
      </c>
      <c r="K80" s="27">
        <f t="shared" si="48"/>
        <v>0</v>
      </c>
      <c r="L80" s="27">
        <f t="shared" si="48"/>
        <v>0</v>
      </c>
      <c r="M80" s="28">
        <f t="shared" si="53"/>
        <v>0</v>
      </c>
      <c r="N80" s="29">
        <f t="shared" si="53"/>
        <v>6</v>
      </c>
      <c r="O80" s="28">
        <f t="shared" si="53"/>
        <v>0</v>
      </c>
      <c r="P80" s="28">
        <f t="shared" si="53"/>
        <v>0</v>
      </c>
      <c r="Q80" s="28">
        <f t="shared" si="28"/>
        <v>6</v>
      </c>
      <c r="R80" s="22">
        <f t="shared" si="33"/>
        <v>0</v>
      </c>
      <c r="S80" s="22">
        <f t="shared" si="34"/>
        <v>0</v>
      </c>
      <c r="T80" s="22">
        <f t="shared" si="35"/>
        <v>0</v>
      </c>
      <c r="U80" s="22">
        <f t="shared" si="36"/>
        <v>0</v>
      </c>
      <c r="V80" s="21">
        <f t="shared" si="37"/>
        <v>0</v>
      </c>
      <c r="W80" s="21">
        <f t="shared" si="38"/>
        <v>0</v>
      </c>
      <c r="X80" s="21">
        <f t="shared" si="39"/>
        <v>0</v>
      </c>
      <c r="Y80" s="21">
        <f t="shared" si="40"/>
        <v>0</v>
      </c>
      <c r="Z80" s="221">
        <f t="shared" si="29"/>
        <v>0</v>
      </c>
      <c r="AA80" s="30">
        <f t="shared" si="20"/>
        <v>0</v>
      </c>
      <c r="AB80" s="30">
        <f t="shared" si="21"/>
        <v>0</v>
      </c>
      <c r="AC80" s="30">
        <f t="shared" si="22"/>
        <v>0</v>
      </c>
      <c r="AD80" s="30">
        <f t="shared" si="23"/>
        <v>0</v>
      </c>
      <c r="AE80" s="32">
        <f t="shared" si="30"/>
        <v>0</v>
      </c>
      <c r="AF80" s="33">
        <f t="shared" si="47"/>
        <v>0</v>
      </c>
      <c r="AG80" s="40">
        <f t="shared" si="31"/>
        <v>0</v>
      </c>
      <c r="AH80" s="224">
        <f>AG80*$P$36</f>
        <v>0</v>
      </c>
      <c r="AI80" s="226">
        <f>SUM(Z80,IF(Z80&lt;&gt;0,$F$34,0),IF(Z80&lt;&gt;0,$N$36,0),IF(Z80&lt;&gt;0,$T$36,0),IF(Z80=0,AH85,IF(Z80=1,AH86,IF(Z80=2,AH87,IF(Z80=3,AH88,IF(Z80=4,AH89,IF(Z80=5,AH90,IF(Z80=6,AH91,IF(Z80=7,AH92,IF(Z80=8,AH93,IF(Z80=9,AH94,IF(Z80=10,AH95,IF(Z80=11,AH96,IF(Z80=12,AH97,IF(Z80=13,AH98,IF(Z80=14,AH99,IF(Z80=15,AH100,IF(Z80=16,AH101,IF(Z80=17,AH102,IF(Z80=18,AH103,IF(Z80=19,AH104,IF(Z80=20,AH105,IF(Z80=21,AH106,IF(Z80=22,AH107,IF(Z80=23,AH108,IF(Z80=24,AH109,IF(Z80=25,AH110,IF(Z80=26,AH111,IF(Z80=27,AH112,IF(Z80=28,AH113,IF(Z80=29,AH114,IF(Z80=30,AH115))))))))))))))))))))))))))))))))</f>
        <v>0</v>
      </c>
      <c r="AJ80" s="253">
        <f>IF(V80&lt;&gt;0,SUM($F$34,V80,$N$36,MAX($AH$42:$AH$342),$T$36),0)</f>
        <v>0</v>
      </c>
      <c r="AK80" s="253">
        <f>IF(W80&lt;&gt;0,SUM($F$34,W80,$N$36,MAX($AH$42:$AH$342),$T$36),0)</f>
        <v>0</v>
      </c>
      <c r="AL80" s="253">
        <f>IF(X80&lt;&gt;0,SUM($F$34,X80,$N$36,MAX($AH$42:$AH$342),$T$36),0)</f>
        <v>0</v>
      </c>
      <c r="AM80" s="260">
        <f>IF(Y80&lt;&gt;0,SUM($F$34,Y80,$N$36,MAX($AH$42:$AH$342),$T$36),0)</f>
        <v>0</v>
      </c>
    </row>
    <row r="81" spans="1:39" x14ac:dyDescent="0.35">
      <c r="A81" s="259">
        <v>1339</v>
      </c>
      <c r="B81" s="58">
        <f>SUMIF([2]!Table2_23[ETA],'FIS Optimal Model (2)'!A81,[2]!Table2_23[FIS PAX])</f>
        <v>0</v>
      </c>
      <c r="C81" s="44">
        <f t="shared" si="32"/>
        <v>18</v>
      </c>
      <c r="D81" s="52">
        <f t="shared" si="41"/>
        <v>62</v>
      </c>
      <c r="E81" s="26">
        <f t="shared" si="24"/>
        <v>10</v>
      </c>
      <c r="F81" s="26">
        <f t="shared" si="25"/>
        <v>5</v>
      </c>
      <c r="G81" s="26">
        <f t="shared" si="26"/>
        <v>3</v>
      </c>
      <c r="H81" s="26">
        <f t="shared" si="27"/>
        <v>1</v>
      </c>
      <c r="I81" s="27">
        <f t="shared" si="48"/>
        <v>0</v>
      </c>
      <c r="J81" s="27">
        <f t="shared" si="48"/>
        <v>0</v>
      </c>
      <c r="K81" s="27">
        <f t="shared" si="48"/>
        <v>0</v>
      </c>
      <c r="L81" s="27">
        <f t="shared" si="48"/>
        <v>0</v>
      </c>
      <c r="M81" s="28">
        <f t="shared" si="53"/>
        <v>0</v>
      </c>
      <c r="N81" s="29">
        <f t="shared" si="53"/>
        <v>6</v>
      </c>
      <c r="O81" s="28">
        <f t="shared" si="53"/>
        <v>0</v>
      </c>
      <c r="P81" s="28">
        <f t="shared" si="53"/>
        <v>0</v>
      </c>
      <c r="Q81" s="28">
        <f t="shared" si="28"/>
        <v>6</v>
      </c>
      <c r="R81" s="22">
        <f t="shared" si="33"/>
        <v>0</v>
      </c>
      <c r="S81" s="22">
        <f t="shared" si="34"/>
        <v>0</v>
      </c>
      <c r="T81" s="22">
        <f t="shared" si="35"/>
        <v>0</v>
      </c>
      <c r="U81" s="22">
        <f t="shared" si="36"/>
        <v>0</v>
      </c>
      <c r="V81" s="21">
        <f t="shared" si="37"/>
        <v>0</v>
      </c>
      <c r="W81" s="21">
        <f t="shared" si="38"/>
        <v>0</v>
      </c>
      <c r="X81" s="21">
        <f t="shared" si="39"/>
        <v>0</v>
      </c>
      <c r="Y81" s="21">
        <f t="shared" si="40"/>
        <v>0</v>
      </c>
      <c r="Z81" s="221">
        <f t="shared" si="29"/>
        <v>0</v>
      </c>
      <c r="AA81" s="30">
        <f t="shared" si="20"/>
        <v>0</v>
      </c>
      <c r="AB81" s="30">
        <f t="shared" si="21"/>
        <v>0</v>
      </c>
      <c r="AC81" s="30">
        <f t="shared" si="22"/>
        <v>0</v>
      </c>
      <c r="AD81" s="30">
        <f t="shared" si="23"/>
        <v>0</v>
      </c>
      <c r="AE81" s="32">
        <f t="shared" si="30"/>
        <v>0</v>
      </c>
      <c r="AF81" s="33">
        <f t="shared" si="47"/>
        <v>0</v>
      </c>
      <c r="AG81" s="40">
        <f t="shared" si="31"/>
        <v>0</v>
      </c>
      <c r="AH81" s="224">
        <f>AG81*$P$36</f>
        <v>0</v>
      </c>
      <c r="AI81" s="226">
        <f>SUM(Z81,IF(Z81&lt;&gt;0,$F$34,0),IF(Z81&lt;&gt;0,$N$36,0),IF(Z81&lt;&gt;0,$T$36,0),IF(Z81=0,AH86,IF(Z81=1,AH87,IF(Z81=2,AH88,IF(Z81=3,AH89,IF(Z81=4,AH90,IF(Z81=5,AH91,IF(Z81=6,AH92,IF(Z81=7,AH93,IF(Z81=8,AH94,IF(Z81=9,AH95,IF(Z81=10,AH96,IF(Z81=11,AH97,IF(Z81=12,AH98,IF(Z81=13,AH99,IF(Z81=14,AH100,IF(Z81=15,AH101,IF(Z81=16,AH102,IF(Z81=17,AH103,IF(Z81=18,AH104,IF(Z81=19,AH105,IF(Z81=20,AH106,IF(Z81=21,AH107,IF(Z81=22,AH108,IF(Z81=23,AH109,IF(Z81=24,AH110,IF(Z81=25,AH111,IF(Z81=26,AH112,IF(Z81=27,AH113,IF(Z81=28,AH114,IF(Z81=29,AH115,IF(Z81=30,AH116))))))))))))))))))))))))))))))))</f>
        <v>0</v>
      </c>
      <c r="AJ81" s="253">
        <f>IF(V81&lt;&gt;0,SUM($F$34,V81,$N$36,MAX($AH$42:$AH$342),$T$36),0)</f>
        <v>0</v>
      </c>
      <c r="AK81" s="253">
        <f>IF(W81&lt;&gt;0,SUM($F$34,W81,$N$36,MAX($AH$42:$AH$342),$T$36),0)</f>
        <v>0</v>
      </c>
      <c r="AL81" s="253">
        <f>IF(X81&lt;&gt;0,SUM($F$34,X81,$N$36,MAX($AH$42:$AH$342),$T$36),0)</f>
        <v>0</v>
      </c>
      <c r="AM81" s="260">
        <f>IF(Y81&lt;&gt;0,SUM($F$34,Y81,$N$36,MAX($AH$42:$AH$342),$T$36),0)</f>
        <v>0</v>
      </c>
    </row>
    <row r="82" spans="1:39" x14ac:dyDescent="0.35">
      <c r="A82" s="259">
        <v>1340</v>
      </c>
      <c r="B82" s="58">
        <f>SUMIF([2]!Table2_23[ETA],'FIS Optimal Model (2)'!A82,[2]!Table2_23[FIS PAX])</f>
        <v>0</v>
      </c>
      <c r="C82" s="44">
        <f t="shared" si="32"/>
        <v>18</v>
      </c>
      <c r="D82" s="52">
        <f t="shared" si="41"/>
        <v>44</v>
      </c>
      <c r="E82" s="26">
        <f t="shared" si="24"/>
        <v>10</v>
      </c>
      <c r="F82" s="26">
        <f t="shared" si="25"/>
        <v>5</v>
      </c>
      <c r="G82" s="26">
        <f t="shared" si="26"/>
        <v>3</v>
      </c>
      <c r="H82" s="26">
        <f t="shared" si="27"/>
        <v>1</v>
      </c>
      <c r="I82" s="27">
        <f t="shared" si="48"/>
        <v>10</v>
      </c>
      <c r="J82" s="27">
        <f t="shared" si="48"/>
        <v>5</v>
      </c>
      <c r="K82" s="27">
        <f t="shared" si="48"/>
        <v>3</v>
      </c>
      <c r="L82" s="27">
        <f t="shared" si="48"/>
        <v>1</v>
      </c>
      <c r="M82" s="28">
        <f t="shared" si="53"/>
        <v>0</v>
      </c>
      <c r="N82" s="29">
        <f t="shared" si="53"/>
        <v>6</v>
      </c>
      <c r="O82" s="28">
        <f t="shared" si="53"/>
        <v>0</v>
      </c>
      <c r="P82" s="28">
        <f t="shared" si="53"/>
        <v>0</v>
      </c>
      <c r="Q82" s="28">
        <f t="shared" si="28"/>
        <v>6</v>
      </c>
      <c r="R82" s="22">
        <f t="shared" si="33"/>
        <v>10</v>
      </c>
      <c r="S82" s="22">
        <f t="shared" si="34"/>
        <v>1.8517782206017301</v>
      </c>
      <c r="T82" s="22">
        <f t="shared" si="35"/>
        <v>3</v>
      </c>
      <c r="U82" s="22">
        <f t="shared" si="36"/>
        <v>1</v>
      </c>
      <c r="V82" s="21">
        <f t="shared" si="37"/>
        <v>0</v>
      </c>
      <c r="W82" s="21">
        <f t="shared" si="38"/>
        <v>0.5293783333333334</v>
      </c>
      <c r="X82" s="21">
        <f t="shared" si="39"/>
        <v>0</v>
      </c>
      <c r="Y82" s="21">
        <f t="shared" si="40"/>
        <v>0</v>
      </c>
      <c r="Z82" s="221">
        <f t="shared" si="29"/>
        <v>1</v>
      </c>
      <c r="AA82" s="30">
        <f t="shared" si="20"/>
        <v>0</v>
      </c>
      <c r="AB82" s="30">
        <f t="shared" si="21"/>
        <v>3.1482217793982699</v>
      </c>
      <c r="AC82" s="30">
        <f t="shared" si="22"/>
        <v>0</v>
      </c>
      <c r="AD82" s="30">
        <f t="shared" si="23"/>
        <v>0</v>
      </c>
      <c r="AE82" s="32">
        <f t="shared" si="30"/>
        <v>3.1482217793982699</v>
      </c>
      <c r="AF82" s="33">
        <f t="shared" si="47"/>
        <v>0</v>
      </c>
      <c r="AG82" s="40">
        <f t="shared" si="31"/>
        <v>0</v>
      </c>
      <c r="AH82" s="224">
        <f>AG82*$P$36</f>
        <v>0</v>
      </c>
      <c r="AI82" s="226">
        <f>SUM(Z82,IF(Z82&lt;&gt;0,$F$34,0),IF(Z82&lt;&gt;0,$N$36,0),IF(Z82&lt;&gt;0,$T$36,0),IF(Z82=0,AH87,IF(Z82=1,AH88,IF(Z82=2,AH89,IF(Z82=3,AH90,IF(Z82=4,AH91,IF(Z82=5,AH92,IF(Z82=6,AH93,IF(Z82=7,AH94,IF(Z82=8,AH95,IF(Z82=9,AH96,IF(Z82=10,AH97,IF(Z82=11,AH98,IF(Z82=12,AH99,IF(Z82=13,AH100,IF(Z82=14,AH101,IF(Z82=15,AH102,IF(Z82=16,AH103,IF(Z82=17,AH104,IF(Z82=18,AH105,IF(Z82=19,AH106,IF(Z82=20,AH107,IF(Z82=21,AH108,IF(Z82=22,AH109,IF(Z82=23,AH110,IF(Z82=24,AH111,IF(Z82=25,AH112,IF(Z82=26,AH113,IF(Z82=27,AH114,IF(Z82=28,AH115,IF(Z82=29,AH116,IF(Z82=30,AH117))))))))))))))))))))))))))))))))</f>
        <v>22</v>
      </c>
      <c r="AJ82" s="253">
        <f>IF(V82&lt;&gt;0,SUM($F$34,V82,$N$36,MAX($AH$42:$AH$342),$T$36),0)</f>
        <v>0</v>
      </c>
      <c r="AK82" s="253">
        <f>IF(W82&lt;&gt;0,SUM($F$34,W82,$N$36,MAX($AH$42:$AH$342),$T$36),0)</f>
        <v>30.120866943707782</v>
      </c>
      <c r="AL82" s="253">
        <f>IF(X82&lt;&gt;0,SUM($F$34,X82,$N$36,MAX($AH$42:$AH$342),$T$36),0)</f>
        <v>0</v>
      </c>
      <c r="AM82" s="260">
        <f>IF(Y82&lt;&gt;0,SUM($F$34,Y82,$N$36,MAX($AH$42:$AH$342),$T$36),0)</f>
        <v>0</v>
      </c>
    </row>
    <row r="83" spans="1:39" x14ac:dyDescent="0.35">
      <c r="A83" s="259">
        <v>1341</v>
      </c>
      <c r="B83" s="58">
        <f>SUMIF([2]!Table2_23[ETA],'FIS Optimal Model (2)'!A83,[2]!Table2_23[FIS PAX])</f>
        <v>0</v>
      </c>
      <c r="C83" s="44">
        <f t="shared" si="32"/>
        <v>18</v>
      </c>
      <c r="D83" s="52">
        <f t="shared" si="41"/>
        <v>26</v>
      </c>
      <c r="E83" s="26">
        <f t="shared" si="24"/>
        <v>10</v>
      </c>
      <c r="F83" s="26">
        <f t="shared" si="25"/>
        <v>5</v>
      </c>
      <c r="G83" s="26">
        <f t="shared" si="26"/>
        <v>3</v>
      </c>
      <c r="H83" s="26">
        <f t="shared" si="27"/>
        <v>1</v>
      </c>
      <c r="I83" s="27">
        <f t="shared" si="48"/>
        <v>10</v>
      </c>
      <c r="J83" s="27">
        <f t="shared" si="48"/>
        <v>5</v>
      </c>
      <c r="K83" s="27">
        <f t="shared" si="48"/>
        <v>3</v>
      </c>
      <c r="L83" s="27">
        <f t="shared" si="48"/>
        <v>1</v>
      </c>
      <c r="M83" s="28">
        <f t="shared" si="53"/>
        <v>0</v>
      </c>
      <c r="N83" s="29">
        <f t="shared" si="53"/>
        <v>6</v>
      </c>
      <c r="O83" s="28">
        <f t="shared" si="53"/>
        <v>0</v>
      </c>
      <c r="P83" s="28">
        <f t="shared" si="53"/>
        <v>0</v>
      </c>
      <c r="Q83" s="28">
        <f t="shared" si="28"/>
        <v>6</v>
      </c>
      <c r="R83" s="22">
        <f t="shared" si="33"/>
        <v>20</v>
      </c>
      <c r="S83" s="22">
        <f t="shared" si="34"/>
        <v>3.7035564412034603</v>
      </c>
      <c r="T83" s="22">
        <f t="shared" si="35"/>
        <v>6</v>
      </c>
      <c r="U83" s="22">
        <f t="shared" si="36"/>
        <v>2</v>
      </c>
      <c r="V83" s="21">
        <f t="shared" si="37"/>
        <v>0</v>
      </c>
      <c r="W83" s="21">
        <f t="shared" si="38"/>
        <v>1.0587566666666668</v>
      </c>
      <c r="X83" s="21">
        <f t="shared" si="39"/>
        <v>0</v>
      </c>
      <c r="Y83" s="21">
        <f t="shared" si="40"/>
        <v>0</v>
      </c>
      <c r="Z83" s="221">
        <f t="shared" si="29"/>
        <v>1</v>
      </c>
      <c r="AA83" s="30">
        <f t="shared" si="20"/>
        <v>0</v>
      </c>
      <c r="AB83" s="30">
        <f t="shared" si="21"/>
        <v>3.1482217793982699</v>
      </c>
      <c r="AC83" s="30">
        <f t="shared" si="22"/>
        <v>0</v>
      </c>
      <c r="AD83" s="30">
        <f t="shared" si="23"/>
        <v>0</v>
      </c>
      <c r="AE83" s="32">
        <f t="shared" si="30"/>
        <v>3.1482217793982699</v>
      </c>
      <c r="AF83" s="33">
        <f t="shared" si="47"/>
        <v>0</v>
      </c>
      <c r="AG83" s="40">
        <f t="shared" si="31"/>
        <v>0</v>
      </c>
      <c r="AH83" s="224">
        <f>AG83*$P$36</f>
        <v>0</v>
      </c>
      <c r="AI83" s="226">
        <f>SUM(Z83,IF(Z83&lt;&gt;0,$F$34,0),IF(Z83&lt;&gt;0,$N$36,0),IF(Z83&lt;&gt;0,$T$36,0),IF(Z83=0,AH88,IF(Z83=1,AH89,IF(Z83=2,AH90,IF(Z83=3,AH91,IF(Z83=4,AH92,IF(Z83=5,AH93,IF(Z83=6,AH94,IF(Z83=7,AH95,IF(Z83=8,AH96,IF(Z83=9,AH97,IF(Z83=10,AH98,IF(Z83=11,AH99,IF(Z83=12,AH100,IF(Z83=13,AH101,IF(Z83=14,AH102,IF(Z83=15,AH103,IF(Z83=16,AH104,IF(Z83=17,AH105,IF(Z83=18,AH106,IF(Z83=19,AH107,IF(Z83=20,AH108,IF(Z83=21,AH109,IF(Z83=22,AH110,IF(Z83=23,AH111,IF(Z83=24,AH112,IF(Z83=25,AH113,IF(Z83=26,AH114,IF(Z83=27,AH115,IF(Z83=28,AH116,IF(Z83=29,AH117,IF(Z83=30,AH118))))))))))))))))))))))))))))))))</f>
        <v>22</v>
      </c>
      <c r="AJ83" s="253">
        <f>IF(V83&lt;&gt;0,SUM($F$34,V83,$N$36,MAX($AH$42:$AH$342),$T$36),0)</f>
        <v>0</v>
      </c>
      <c r="AK83" s="253">
        <f>IF(W83&lt;&gt;0,SUM($F$34,W83,$N$36,MAX($AH$42:$AH$342),$T$36),0)</f>
        <v>30.650245277041115</v>
      </c>
      <c r="AL83" s="253">
        <f>IF(X83&lt;&gt;0,SUM($F$34,X83,$N$36,MAX($AH$42:$AH$342),$T$36),0)</f>
        <v>0</v>
      </c>
      <c r="AM83" s="260">
        <f>IF(Y83&lt;&gt;0,SUM($F$34,Y83,$N$36,MAX($AH$42:$AH$342),$T$36),0)</f>
        <v>0</v>
      </c>
    </row>
    <row r="84" spans="1:39" x14ac:dyDescent="0.35">
      <c r="A84" s="259">
        <v>1342</v>
      </c>
      <c r="B84" s="58">
        <f>SUMIF([2]!Table2_23[ETA],'FIS Optimal Model (2)'!A84,[2]!Table2_23[FIS PAX])</f>
        <v>0</v>
      </c>
      <c r="C84" s="44">
        <f t="shared" si="32"/>
        <v>18</v>
      </c>
      <c r="D84" s="52">
        <f t="shared" si="41"/>
        <v>8</v>
      </c>
      <c r="E84" s="26">
        <f t="shared" si="24"/>
        <v>10</v>
      </c>
      <c r="F84" s="26">
        <f t="shared" si="25"/>
        <v>5</v>
      </c>
      <c r="G84" s="26">
        <f t="shared" si="26"/>
        <v>3</v>
      </c>
      <c r="H84" s="26">
        <f t="shared" si="27"/>
        <v>1</v>
      </c>
      <c r="I84" s="27">
        <f t="shared" si="48"/>
        <v>10</v>
      </c>
      <c r="J84" s="27">
        <f t="shared" si="48"/>
        <v>5</v>
      </c>
      <c r="K84" s="27">
        <f t="shared" si="48"/>
        <v>3</v>
      </c>
      <c r="L84" s="27">
        <f t="shared" si="48"/>
        <v>1</v>
      </c>
      <c r="M84" s="28">
        <f t="shared" si="53"/>
        <v>0</v>
      </c>
      <c r="N84" s="29">
        <f t="shared" si="53"/>
        <v>6</v>
      </c>
      <c r="O84" s="28">
        <f t="shared" si="53"/>
        <v>0</v>
      </c>
      <c r="P84" s="28">
        <f t="shared" si="53"/>
        <v>0</v>
      </c>
      <c r="Q84" s="28">
        <f t="shared" si="28"/>
        <v>6</v>
      </c>
      <c r="R84" s="22">
        <f t="shared" si="33"/>
        <v>30</v>
      </c>
      <c r="S84" s="22">
        <f t="shared" si="34"/>
        <v>5.5553346618051904</v>
      </c>
      <c r="T84" s="22">
        <f t="shared" si="35"/>
        <v>9</v>
      </c>
      <c r="U84" s="22">
        <f t="shared" si="36"/>
        <v>3</v>
      </c>
      <c r="V84" s="21">
        <f t="shared" si="37"/>
        <v>0</v>
      </c>
      <c r="W84" s="21">
        <f t="shared" si="38"/>
        <v>1.5881350000000001</v>
      </c>
      <c r="X84" s="21">
        <f t="shared" si="39"/>
        <v>0</v>
      </c>
      <c r="Y84" s="21">
        <f t="shared" si="40"/>
        <v>0</v>
      </c>
      <c r="Z84" s="221">
        <f t="shared" si="29"/>
        <v>1</v>
      </c>
      <c r="AA84" s="30">
        <f t="shared" si="20"/>
        <v>0</v>
      </c>
      <c r="AB84" s="30">
        <f t="shared" si="21"/>
        <v>3.1482217793982699</v>
      </c>
      <c r="AC84" s="30">
        <f t="shared" si="22"/>
        <v>0</v>
      </c>
      <c r="AD84" s="30">
        <f t="shared" si="23"/>
        <v>0</v>
      </c>
      <c r="AE84" s="32">
        <f t="shared" si="30"/>
        <v>3.1482217793982699</v>
      </c>
      <c r="AF84" s="33">
        <f t="shared" si="47"/>
        <v>0</v>
      </c>
      <c r="AG84" s="40">
        <f t="shared" si="31"/>
        <v>0</v>
      </c>
      <c r="AH84" s="224">
        <f>AG84*$P$36</f>
        <v>0</v>
      </c>
      <c r="AI84" s="226">
        <f>SUM(Z84,IF(Z84&lt;&gt;0,$F$34,0),IF(Z84&lt;&gt;0,$N$36,0),IF(Z84&lt;&gt;0,$T$36,0),IF(Z84=0,AH89,IF(Z84=1,AH90,IF(Z84=2,AH91,IF(Z84=3,AH92,IF(Z84=4,AH93,IF(Z84=5,AH94,IF(Z84=6,AH95,IF(Z84=7,AH96,IF(Z84=8,AH97,IF(Z84=9,AH98,IF(Z84=10,AH99,IF(Z84=11,AH100,IF(Z84=12,AH101,IF(Z84=13,AH102,IF(Z84=14,AH103,IF(Z84=15,AH104,IF(Z84=16,AH105,IF(Z84=17,AH106,IF(Z84=18,AH107,IF(Z84=19,AH108,IF(Z84=20,AH109,IF(Z84=21,AH110,IF(Z84=22,AH111,IF(Z84=23,AH112,IF(Z84=24,AH113,IF(Z84=25,AH114,IF(Z84=26,AH115,IF(Z84=27,AH116,IF(Z84=28,AH117,IF(Z84=29,AH118,IF(Z84=30,AH119))))))))))))))))))))))))))))))))</f>
        <v>22</v>
      </c>
      <c r="AJ84" s="253">
        <f>IF(V84&lt;&gt;0,SUM($F$34,V84,$N$36,MAX($AH$42:$AH$342),$T$36),0)</f>
        <v>0</v>
      </c>
      <c r="AK84" s="253">
        <f>IF(W84&lt;&gt;0,SUM($F$34,W84,$N$36,MAX($AH$42:$AH$342),$T$36),0)</f>
        <v>31.179623610374449</v>
      </c>
      <c r="AL84" s="253">
        <f>IF(X84&lt;&gt;0,SUM($F$34,X84,$N$36,MAX($AH$42:$AH$342),$T$36),0)</f>
        <v>0</v>
      </c>
      <c r="AM84" s="260">
        <f>IF(Y84&lt;&gt;0,SUM($F$34,Y84,$N$36,MAX($AH$42:$AH$342),$T$36),0)</f>
        <v>0</v>
      </c>
    </row>
    <row r="85" spans="1:39" x14ac:dyDescent="0.35">
      <c r="A85" s="259">
        <v>1343</v>
      </c>
      <c r="B85" s="58">
        <f>SUMIF([2]!Table2_23[ETA],'FIS Optimal Model (2)'!A85,[2]!Table2_23[FIS PAX])</f>
        <v>0</v>
      </c>
      <c r="C85" s="44">
        <f t="shared" si="32"/>
        <v>8</v>
      </c>
      <c r="D85" s="52">
        <f t="shared" si="41"/>
        <v>0</v>
      </c>
      <c r="E85" s="26">
        <f t="shared" si="24"/>
        <v>5</v>
      </c>
      <c r="F85" s="26">
        <f t="shared" si="25"/>
        <v>2</v>
      </c>
      <c r="G85" s="26">
        <f t="shared" si="26"/>
        <v>2</v>
      </c>
      <c r="H85" s="26">
        <f t="shared" si="27"/>
        <v>1</v>
      </c>
      <c r="I85" s="27">
        <f t="shared" si="48"/>
        <v>10</v>
      </c>
      <c r="J85" s="27">
        <f t="shared" si="48"/>
        <v>5</v>
      </c>
      <c r="K85" s="27">
        <f t="shared" si="48"/>
        <v>3</v>
      </c>
      <c r="L85" s="27">
        <f t="shared" si="48"/>
        <v>1</v>
      </c>
      <c r="M85" s="28">
        <f t="shared" si="53"/>
        <v>0</v>
      </c>
      <c r="N85" s="29">
        <f t="shared" si="53"/>
        <v>6</v>
      </c>
      <c r="O85" s="28">
        <f t="shared" si="53"/>
        <v>0</v>
      </c>
      <c r="P85" s="28">
        <f t="shared" si="53"/>
        <v>0</v>
      </c>
      <c r="Q85" s="28">
        <f t="shared" si="28"/>
        <v>6</v>
      </c>
      <c r="R85" s="22">
        <f t="shared" si="33"/>
        <v>40</v>
      </c>
      <c r="S85" s="22">
        <f t="shared" si="34"/>
        <v>7.4071128824069206</v>
      </c>
      <c r="T85" s="22">
        <f t="shared" si="35"/>
        <v>12</v>
      </c>
      <c r="U85" s="22">
        <f t="shared" si="36"/>
        <v>4</v>
      </c>
      <c r="V85" s="21">
        <f t="shared" si="37"/>
        <v>0</v>
      </c>
      <c r="W85" s="21">
        <f t="shared" si="38"/>
        <v>2.1175133333333336</v>
      </c>
      <c r="X85" s="21">
        <f t="shared" si="39"/>
        <v>0</v>
      </c>
      <c r="Y85" s="21">
        <f t="shared" si="40"/>
        <v>0</v>
      </c>
      <c r="Z85" s="221">
        <f t="shared" si="29"/>
        <v>1</v>
      </c>
      <c r="AA85" s="30">
        <f t="shared" si="20"/>
        <v>0</v>
      </c>
      <c r="AB85" s="30">
        <f t="shared" si="21"/>
        <v>3.1482217793982699</v>
      </c>
      <c r="AC85" s="30">
        <f t="shared" si="22"/>
        <v>0</v>
      </c>
      <c r="AD85" s="30">
        <f t="shared" si="23"/>
        <v>0</v>
      </c>
      <c r="AE85" s="32">
        <f t="shared" si="30"/>
        <v>3.1482217793982699</v>
      </c>
      <c r="AF85" s="33">
        <f t="shared" si="47"/>
        <v>0</v>
      </c>
      <c r="AG85" s="40">
        <f t="shared" si="31"/>
        <v>0</v>
      </c>
      <c r="AH85" s="224">
        <f>AG85*$P$36</f>
        <v>0</v>
      </c>
      <c r="AI85" s="226">
        <f>SUM(Z85,IF(Z85&lt;&gt;0,$F$34,0),IF(Z85&lt;&gt;0,$N$36,0),IF(Z85&lt;&gt;0,$T$36,0),IF(Z85=0,AH90,IF(Z85=1,AH91,IF(Z85=2,AH92,IF(Z85=3,AH93,IF(Z85=4,AH94,IF(Z85=5,AH95,IF(Z85=6,AH96,IF(Z85=7,AH97,IF(Z85=8,AH98,IF(Z85=9,AH99,IF(Z85=10,AH100,IF(Z85=11,AH101,IF(Z85=12,AH102,IF(Z85=13,AH103,IF(Z85=14,AH104,IF(Z85=15,AH105,IF(Z85=16,AH106,IF(Z85=17,AH107,IF(Z85=18,AH108,IF(Z85=19,AH109,IF(Z85=20,AH110,IF(Z85=21,AH111,IF(Z85=22,AH112,IF(Z85=23,AH113,IF(Z85=24,AH114,IF(Z85=25,AH115,IF(Z85=26,AH116,IF(Z85=27,AH117,IF(Z85=28,AH118,IF(Z85=29,AH119,IF(Z85=30,AH120))))))))))))))))))))))))))))))))</f>
        <v>22</v>
      </c>
      <c r="AJ85" s="253">
        <f>IF(V85&lt;&gt;0,SUM($F$34,V85,$N$36,MAX($AH$42:$AH$342),$T$36),0)</f>
        <v>0</v>
      </c>
      <c r="AK85" s="253">
        <f>IF(W85&lt;&gt;0,SUM($F$34,W85,$N$36,MAX($AH$42:$AH$342),$T$36),0)</f>
        <v>31.709001943707783</v>
      </c>
      <c r="AL85" s="253">
        <f>IF(X85&lt;&gt;0,SUM($F$34,X85,$N$36,MAX($AH$42:$AH$342),$T$36),0)</f>
        <v>0</v>
      </c>
      <c r="AM85" s="260">
        <f>IF(Y85&lt;&gt;0,SUM($F$34,Y85,$N$36,MAX($AH$42:$AH$342),$T$36),0)</f>
        <v>0</v>
      </c>
    </row>
    <row r="86" spans="1:39" x14ac:dyDescent="0.35">
      <c r="A86" s="259">
        <v>1344</v>
      </c>
      <c r="B86" s="58">
        <f>SUMIF([2]!Table2_23[ETA],'FIS Optimal Model (2)'!A86,[2]!Table2_23[FIS PAX])</f>
        <v>0</v>
      </c>
      <c r="C86" s="44">
        <f t="shared" si="32"/>
        <v>0</v>
      </c>
      <c r="D86" s="52">
        <f t="shared" si="41"/>
        <v>0</v>
      </c>
      <c r="E86" s="26">
        <f t="shared" si="24"/>
        <v>0</v>
      </c>
      <c r="F86" s="26">
        <f t="shared" si="25"/>
        <v>0</v>
      </c>
      <c r="G86" s="26">
        <f t="shared" si="26"/>
        <v>0</v>
      </c>
      <c r="H86" s="26">
        <f t="shared" si="27"/>
        <v>0</v>
      </c>
      <c r="I86" s="27">
        <f t="shared" si="48"/>
        <v>10</v>
      </c>
      <c r="J86" s="27">
        <f t="shared" si="48"/>
        <v>5</v>
      </c>
      <c r="K86" s="27">
        <f t="shared" si="48"/>
        <v>3</v>
      </c>
      <c r="L86" s="27">
        <f t="shared" si="48"/>
        <v>1</v>
      </c>
      <c r="M86" s="28">
        <f t="shared" si="53"/>
        <v>0</v>
      </c>
      <c r="N86" s="29">
        <f t="shared" si="53"/>
        <v>6</v>
      </c>
      <c r="O86" s="28">
        <f t="shared" si="53"/>
        <v>0</v>
      </c>
      <c r="P86" s="28">
        <f t="shared" si="53"/>
        <v>0</v>
      </c>
      <c r="Q86" s="28">
        <f t="shared" si="28"/>
        <v>6</v>
      </c>
      <c r="R86" s="22">
        <f t="shared" si="33"/>
        <v>50</v>
      </c>
      <c r="S86" s="22">
        <f t="shared" si="34"/>
        <v>9.2588911030086507</v>
      </c>
      <c r="T86" s="22">
        <f t="shared" si="35"/>
        <v>15</v>
      </c>
      <c r="U86" s="22">
        <f t="shared" si="36"/>
        <v>5</v>
      </c>
      <c r="V86" s="21">
        <f t="shared" si="37"/>
        <v>0</v>
      </c>
      <c r="W86" s="21">
        <f t="shared" si="38"/>
        <v>2.6468916666666669</v>
      </c>
      <c r="X86" s="21">
        <f t="shared" si="39"/>
        <v>0</v>
      </c>
      <c r="Y86" s="21">
        <f t="shared" si="40"/>
        <v>0</v>
      </c>
      <c r="Z86" s="221">
        <f t="shared" si="29"/>
        <v>1</v>
      </c>
      <c r="AA86" s="30">
        <f t="shared" si="20"/>
        <v>0</v>
      </c>
      <c r="AB86" s="30">
        <f t="shared" si="21"/>
        <v>3.1482217793982699</v>
      </c>
      <c r="AC86" s="30">
        <f t="shared" si="22"/>
        <v>0</v>
      </c>
      <c r="AD86" s="30">
        <f t="shared" si="23"/>
        <v>0</v>
      </c>
      <c r="AE86" s="32">
        <f t="shared" si="30"/>
        <v>3.1482217793982699</v>
      </c>
      <c r="AF86" s="33">
        <f t="shared" si="47"/>
        <v>3.1482217793982699</v>
      </c>
      <c r="AG86" s="40">
        <f t="shared" si="31"/>
        <v>0</v>
      </c>
      <c r="AH86" s="224">
        <f>AG86*$P$36</f>
        <v>0</v>
      </c>
      <c r="AI86" s="226">
        <f>SUM(Z86,IF(Z86&lt;&gt;0,$F$34,0),IF(Z86&lt;&gt;0,$N$36,0),IF(Z86&lt;&gt;0,$T$36,0),IF(Z86=0,AH91,IF(Z86=1,AH92,IF(Z86=2,AH93,IF(Z86=3,AH94,IF(Z86=4,AH95,IF(Z86=5,AH96,IF(Z86=6,AH97,IF(Z86=7,AH98,IF(Z86=8,AH99,IF(Z86=9,AH100,IF(Z86=10,AH101,IF(Z86=11,AH102,IF(Z86=12,AH103,IF(Z86=13,AH104,IF(Z86=14,AH105,IF(Z86=15,AH106,IF(Z86=16,AH107,IF(Z86=17,AH108,IF(Z86=18,AH109,IF(Z86=19,AH110,IF(Z86=20,AH111,IF(Z86=21,AH112,IF(Z86=22,AH113,IF(Z86=23,AH114,IF(Z86=24,AH115,IF(Z86=25,AH116,IF(Z86=26,AH117,IF(Z86=27,AH118,IF(Z86=28,AH119,IF(Z86=29,AH120,IF(Z86=30,AH121))))))))))))))))))))))))))))))))</f>
        <v>22</v>
      </c>
      <c r="AJ86" s="253">
        <f>IF(V86&lt;&gt;0,SUM($F$34,V86,$N$36,MAX($AH$42:$AH$342),$T$36),0)</f>
        <v>0</v>
      </c>
      <c r="AK86" s="253">
        <f>IF(W86&lt;&gt;0,SUM($F$34,W86,$N$36,MAX($AH$42:$AH$342),$T$36),0)</f>
        <v>32.238380277041117</v>
      </c>
      <c r="AL86" s="253">
        <f>IF(X86&lt;&gt;0,SUM($F$34,X86,$N$36,MAX($AH$42:$AH$342),$T$36),0)</f>
        <v>0</v>
      </c>
      <c r="AM86" s="260">
        <f>IF(Y86&lt;&gt;0,SUM($F$34,Y86,$N$36,MAX($AH$42:$AH$342),$T$36),0)</f>
        <v>0</v>
      </c>
    </row>
    <row r="87" spans="1:39" x14ac:dyDescent="0.35">
      <c r="A87" s="259">
        <v>1345</v>
      </c>
      <c r="B87" s="58">
        <f>SUMIF([2]!Table2_23[ETA],'FIS Optimal Model (2)'!A87,[2]!Table2_23[FIS PAX])</f>
        <v>0</v>
      </c>
      <c r="C87" s="44">
        <f t="shared" si="32"/>
        <v>0</v>
      </c>
      <c r="D87" s="52">
        <f t="shared" si="41"/>
        <v>0</v>
      </c>
      <c r="E87" s="26">
        <f t="shared" si="24"/>
        <v>0</v>
      </c>
      <c r="F87" s="26">
        <f t="shared" si="25"/>
        <v>0</v>
      </c>
      <c r="G87" s="26">
        <f t="shared" si="26"/>
        <v>0</v>
      </c>
      <c r="H87" s="26">
        <f t="shared" si="27"/>
        <v>0</v>
      </c>
      <c r="I87" s="27">
        <f t="shared" si="48"/>
        <v>10</v>
      </c>
      <c r="J87" s="27">
        <f t="shared" si="48"/>
        <v>5</v>
      </c>
      <c r="K87" s="27">
        <f t="shared" si="48"/>
        <v>3</v>
      </c>
      <c r="L87" s="27">
        <f t="shared" si="48"/>
        <v>1</v>
      </c>
      <c r="M87" s="28">
        <f t="shared" si="53"/>
        <v>0</v>
      </c>
      <c r="N87" s="29">
        <f t="shared" si="53"/>
        <v>6</v>
      </c>
      <c r="O87" s="28">
        <f t="shared" si="53"/>
        <v>0</v>
      </c>
      <c r="P87" s="28">
        <f t="shared" si="53"/>
        <v>0</v>
      </c>
      <c r="Q87" s="28">
        <f t="shared" si="28"/>
        <v>6</v>
      </c>
      <c r="R87" s="22">
        <f t="shared" si="33"/>
        <v>60</v>
      </c>
      <c r="S87" s="22">
        <f t="shared" si="34"/>
        <v>11.110669323610381</v>
      </c>
      <c r="T87" s="22">
        <f t="shared" si="35"/>
        <v>18</v>
      </c>
      <c r="U87" s="22">
        <f t="shared" si="36"/>
        <v>6</v>
      </c>
      <c r="V87" s="21">
        <f t="shared" si="37"/>
        <v>0</v>
      </c>
      <c r="W87" s="21">
        <f t="shared" si="38"/>
        <v>3.1762700000000001</v>
      </c>
      <c r="X87" s="21">
        <f t="shared" si="39"/>
        <v>0</v>
      </c>
      <c r="Y87" s="21">
        <f t="shared" si="40"/>
        <v>0</v>
      </c>
      <c r="Z87" s="221">
        <f t="shared" si="29"/>
        <v>1</v>
      </c>
      <c r="AA87" s="30">
        <f t="shared" si="20"/>
        <v>0</v>
      </c>
      <c r="AB87" s="30">
        <f t="shared" si="21"/>
        <v>3.1482217793982699</v>
      </c>
      <c r="AC87" s="30">
        <f t="shared" si="22"/>
        <v>0</v>
      </c>
      <c r="AD87" s="30">
        <f t="shared" si="23"/>
        <v>0</v>
      </c>
      <c r="AE87" s="32">
        <f t="shared" si="30"/>
        <v>3.1482217793982699</v>
      </c>
      <c r="AF87" s="33">
        <f t="shared" si="47"/>
        <v>3.1482217793982699</v>
      </c>
      <c r="AG87" s="40">
        <f t="shared" si="31"/>
        <v>0</v>
      </c>
      <c r="AH87" s="224">
        <f>AG87*$P$36</f>
        <v>0</v>
      </c>
      <c r="AI87" s="226">
        <f>SUM(Z87,IF(Z87&lt;&gt;0,$F$34,0),IF(Z87&lt;&gt;0,$N$36,0),IF(Z87&lt;&gt;0,$T$36,0),IF(Z87=0,AH92,IF(Z87=1,AH93,IF(Z87=2,AH94,IF(Z87=3,AH95,IF(Z87=4,AH96,IF(Z87=5,AH97,IF(Z87=6,AH98,IF(Z87=7,AH99,IF(Z87=8,AH100,IF(Z87=9,AH101,IF(Z87=10,AH102,IF(Z87=11,AH103,IF(Z87=12,AH104,IF(Z87=13,AH105,IF(Z87=14,AH106,IF(Z87=15,AH107,IF(Z87=16,AH108,IF(Z87=17,AH109,IF(Z87=18,AH110,IF(Z87=19,AH111,IF(Z87=20,AH112,IF(Z87=21,AH113,IF(Z87=22,AH114,IF(Z87=23,AH115,IF(Z87=24,AH116,IF(Z87=25,AH117,IF(Z87=26,AH118,IF(Z87=27,AH119,IF(Z87=28,AH120,IF(Z87=29,AH121,IF(Z87=30,AH122))))))))))))))))))))))))))))))))</f>
        <v>22</v>
      </c>
      <c r="AJ87" s="253">
        <f>IF(V87&lt;&gt;0,SUM($F$34,V87,$N$36,MAX($AH$42:$AH$342),$T$36),0)</f>
        <v>0</v>
      </c>
      <c r="AK87" s="253">
        <f>IF(W87&lt;&gt;0,SUM($F$34,W87,$N$36,MAX($AH$42:$AH$342),$T$36),0)</f>
        <v>32.76775861037445</v>
      </c>
      <c r="AL87" s="253">
        <f>IF(X87&lt;&gt;0,SUM($F$34,X87,$N$36,MAX($AH$42:$AH$342),$T$36),0)</f>
        <v>0</v>
      </c>
      <c r="AM87" s="260">
        <f>IF(Y87&lt;&gt;0,SUM($F$34,Y87,$N$36,MAX($AH$42:$AH$342),$T$36),0)</f>
        <v>0</v>
      </c>
    </row>
    <row r="88" spans="1:39" x14ac:dyDescent="0.35">
      <c r="A88" s="259">
        <v>1346</v>
      </c>
      <c r="B88" s="58">
        <f>SUMIF([2]!Table2_23[ETA],'FIS Optimal Model (2)'!A88,[2]!Table2_23[FIS PAX])</f>
        <v>0</v>
      </c>
      <c r="C88" s="44">
        <f t="shared" si="32"/>
        <v>0</v>
      </c>
      <c r="D88" s="52">
        <f t="shared" si="41"/>
        <v>0</v>
      </c>
      <c r="E88" s="26">
        <f t="shared" si="24"/>
        <v>0</v>
      </c>
      <c r="F88" s="26">
        <f t="shared" si="25"/>
        <v>0</v>
      </c>
      <c r="G88" s="26">
        <f t="shared" si="26"/>
        <v>0</v>
      </c>
      <c r="H88" s="26">
        <f t="shared" si="27"/>
        <v>0</v>
      </c>
      <c r="I88" s="27">
        <f t="shared" si="48"/>
        <v>10</v>
      </c>
      <c r="J88" s="27">
        <f t="shared" si="48"/>
        <v>5</v>
      </c>
      <c r="K88" s="27">
        <f t="shared" si="48"/>
        <v>3</v>
      </c>
      <c r="L88" s="27">
        <f t="shared" si="48"/>
        <v>1</v>
      </c>
      <c r="M88" s="28">
        <f>IF(R87=0,0,$Q$9)</f>
        <v>2</v>
      </c>
      <c r="N88" s="29">
        <f>$U$9-M88-O88-P88</f>
        <v>2</v>
      </c>
      <c r="O88" s="28">
        <f>IF(T87=0,0,$S$9)</f>
        <v>1</v>
      </c>
      <c r="P88" s="28">
        <f>IF(U87=0,0,$T$9)</f>
        <v>1</v>
      </c>
      <c r="Q88" s="28">
        <f t="shared" si="28"/>
        <v>6</v>
      </c>
      <c r="R88" s="22">
        <f t="shared" si="33"/>
        <v>65.543009953944434</v>
      </c>
      <c r="S88" s="22">
        <f t="shared" si="34"/>
        <v>15.061262063810958</v>
      </c>
      <c r="T88" s="22">
        <f t="shared" si="35"/>
        <v>18.373083445463752</v>
      </c>
      <c r="U88" s="22">
        <f t="shared" si="36"/>
        <v>5.0556473722074236</v>
      </c>
      <c r="V88" s="21">
        <f t="shared" si="37"/>
        <v>13.235099999999999</v>
      </c>
      <c r="W88" s="21">
        <f t="shared" si="38"/>
        <v>12.916945</v>
      </c>
      <c r="X88" s="21">
        <f t="shared" si="39"/>
        <v>6.2947470000000001</v>
      </c>
      <c r="Y88" s="21">
        <f t="shared" si="40"/>
        <v>2.3401529999999999</v>
      </c>
      <c r="Z88" s="221">
        <f t="shared" si="29"/>
        <v>12</v>
      </c>
      <c r="AA88" s="30">
        <f t="shared" si="20"/>
        <v>4.456990046055564</v>
      </c>
      <c r="AB88" s="30">
        <f t="shared" si="21"/>
        <v>1.0494072597994233</v>
      </c>
      <c r="AC88" s="30">
        <f t="shared" si="22"/>
        <v>2.6269165545362472</v>
      </c>
      <c r="AD88" s="30">
        <f t="shared" si="23"/>
        <v>1.9443526277925764</v>
      </c>
      <c r="AE88" s="32">
        <f t="shared" si="30"/>
        <v>10.077666488183812</v>
      </c>
      <c r="AF88" s="33">
        <f t="shared" si="47"/>
        <v>3.1482217793982699</v>
      </c>
      <c r="AG88" s="40">
        <f t="shared" si="31"/>
        <v>0</v>
      </c>
      <c r="AH88" s="224">
        <f>AG88*$P$36</f>
        <v>0</v>
      </c>
      <c r="AI88" s="226">
        <f>SUM(Z88,IF(Z88&lt;&gt;0,$F$34,0),IF(Z88&lt;&gt;0,$N$36,0),IF(Z88&lt;&gt;0,$T$36,0),IF(Z88=0,AH93,IF(Z88=1,AH94,IF(Z88=2,AH95,IF(Z88=3,AH96,IF(Z88=4,AH97,IF(Z88=5,AH98,IF(Z88=6,AH99,IF(Z88=7,AH100,IF(Z88=8,AH101,IF(Z88=9,AH102,IF(Z88=10,AH103,IF(Z88=11,AH104,IF(Z88=12,AH105,IF(Z88=13,AH106,IF(Z88=14,AH107,IF(Z88=15,AH108,IF(Z88=16,AH109,IF(Z88=17,AH110,IF(Z88=18,AH111,IF(Z88=19,AH112,IF(Z88=20,AH113,IF(Z88=21,AH114,IF(Z88=22,AH115,IF(Z88=23,AH116,IF(Z88=24,AH117,IF(Z88=25,AH118,IF(Z88=26,AH119,IF(Z88=27,AH120,IF(Z88=28,AH121,IF(Z88=29,AH122,IF(Z88=30,AH123))))))))))))))))))))))))))))))))</f>
        <v>33</v>
      </c>
      <c r="AJ88" s="253">
        <f>IF(V88&lt;&gt;0,SUM($F$34,V88,$N$36,MAX($AH$42:$AH$342),$T$36),0)</f>
        <v>42.826588610374444</v>
      </c>
      <c r="AK88" s="253">
        <f>IF(W88&lt;&gt;0,SUM($F$34,W88,$N$36,MAX($AH$42:$AH$342),$T$36),0)</f>
        <v>42.508433610374446</v>
      </c>
      <c r="AL88" s="253">
        <f>IF(X88&lt;&gt;0,SUM($F$34,X88,$N$36,MAX($AH$42:$AH$342),$T$36),0)</f>
        <v>35.886235610374449</v>
      </c>
      <c r="AM88" s="260">
        <f>IF(Y88&lt;&gt;0,SUM($F$34,Y88,$N$36,MAX($AH$42:$AH$342),$T$36),0)</f>
        <v>31.931641610374449</v>
      </c>
    </row>
    <row r="89" spans="1:39" x14ac:dyDescent="0.35">
      <c r="A89" s="259">
        <v>1347</v>
      </c>
      <c r="B89" s="58">
        <f>SUMIF([2]!Table2_23[ETA],'FIS Optimal Model (2)'!A89,[2]!Table2_23[FIS PAX])</f>
        <v>0</v>
      </c>
      <c r="C89" s="44">
        <f t="shared" si="32"/>
        <v>0</v>
      </c>
      <c r="D89" s="52">
        <f t="shared" si="41"/>
        <v>0</v>
      </c>
      <c r="E89" s="26">
        <f t="shared" si="24"/>
        <v>0</v>
      </c>
      <c r="F89" s="26">
        <f t="shared" si="25"/>
        <v>0</v>
      </c>
      <c r="G89" s="26">
        <f t="shared" si="26"/>
        <v>0</v>
      </c>
      <c r="H89" s="26">
        <f t="shared" si="27"/>
        <v>0</v>
      </c>
      <c r="I89" s="27">
        <f t="shared" si="48"/>
        <v>10</v>
      </c>
      <c r="J89" s="27">
        <f t="shared" si="48"/>
        <v>5</v>
      </c>
      <c r="K89" s="27">
        <f t="shared" si="48"/>
        <v>3</v>
      </c>
      <c r="L89" s="27">
        <f t="shared" si="48"/>
        <v>1</v>
      </c>
      <c r="M89" s="28">
        <f>$M$88</f>
        <v>2</v>
      </c>
      <c r="N89" s="29">
        <f>$N$88</f>
        <v>2</v>
      </c>
      <c r="O89" s="28">
        <f>$O$88</f>
        <v>1</v>
      </c>
      <c r="P89" s="28">
        <f>$P$88</f>
        <v>1</v>
      </c>
      <c r="Q89" s="28">
        <f t="shared" si="28"/>
        <v>6</v>
      </c>
      <c r="R89" s="22">
        <f t="shared" si="33"/>
        <v>71.086019907888868</v>
      </c>
      <c r="S89" s="22">
        <f t="shared" si="34"/>
        <v>19.011854804011534</v>
      </c>
      <c r="T89" s="22">
        <f t="shared" si="35"/>
        <v>18.746166890927505</v>
      </c>
      <c r="U89" s="22">
        <f t="shared" si="36"/>
        <v>4.1112947444148471</v>
      </c>
      <c r="V89" s="21">
        <f t="shared" si="37"/>
        <v>14.354399999999998</v>
      </c>
      <c r="W89" s="21">
        <f t="shared" si="38"/>
        <v>16.30508</v>
      </c>
      <c r="X89" s="21">
        <f t="shared" si="39"/>
        <v>6.4225679999999992</v>
      </c>
      <c r="Y89" s="21">
        <f t="shared" si="40"/>
        <v>1.9030320000000001</v>
      </c>
      <c r="Z89" s="221">
        <f t="shared" si="29"/>
        <v>13</v>
      </c>
      <c r="AA89" s="30">
        <f t="shared" si="20"/>
        <v>4.456990046055564</v>
      </c>
      <c r="AB89" s="30">
        <f t="shared" si="21"/>
        <v>1.0494072597994233</v>
      </c>
      <c r="AC89" s="30">
        <f t="shared" si="22"/>
        <v>2.6269165545362472</v>
      </c>
      <c r="AD89" s="30">
        <f t="shared" si="23"/>
        <v>1.9443526277925764</v>
      </c>
      <c r="AE89" s="32">
        <f t="shared" si="30"/>
        <v>10.077666488183812</v>
      </c>
      <c r="AF89" s="33">
        <f t="shared" si="47"/>
        <v>3.1482217793982699</v>
      </c>
      <c r="AG89" s="40">
        <f t="shared" si="31"/>
        <v>0</v>
      </c>
      <c r="AH89" s="224">
        <f>AG89*$P$36</f>
        <v>0</v>
      </c>
      <c r="AI89" s="226">
        <f>SUM(Z89,IF(Z89&lt;&gt;0,$F$34,0),IF(Z89&lt;&gt;0,$N$36,0),IF(Z89&lt;&gt;0,$T$36,0),IF(Z89=0,AH94,IF(Z89=1,AH95,IF(Z89=2,AH96,IF(Z89=3,AH97,IF(Z89=4,AH98,IF(Z89=5,AH99,IF(Z89=6,AH100,IF(Z89=7,AH101,IF(Z89=8,AH102,IF(Z89=9,AH103,IF(Z89=10,AH104,IF(Z89=11,AH105,IF(Z89=12,AH106,IF(Z89=13,AH107,IF(Z89=14,AH108,IF(Z89=15,AH109,IF(Z89=16,AH110,IF(Z89=17,AH111,IF(Z89=18,AH112,IF(Z89=19,AH113,IF(Z89=20,AH114,IF(Z89=21,AH115,IF(Z89=22,AH116,IF(Z89=23,AH117,IF(Z89=24,AH118,IF(Z89=25,AH119,IF(Z89=26,AH120,IF(Z89=27,AH121,IF(Z89=28,AH122,IF(Z89=29,AH123,IF(Z89=30,AH124))))))))))))))))))))))))))))))))</f>
        <v>34</v>
      </c>
      <c r="AJ89" s="253">
        <f>IF(V89&lt;&gt;0,SUM($F$34,V89,$N$36,MAX($AH$42:$AH$342),$T$36),0)</f>
        <v>43.945888610374446</v>
      </c>
      <c r="AK89" s="253">
        <f>IF(W89&lt;&gt;0,SUM($F$34,W89,$N$36,MAX($AH$42:$AH$342),$T$36),0)</f>
        <v>45.896568610374445</v>
      </c>
      <c r="AL89" s="253">
        <f>IF(X89&lt;&gt;0,SUM($F$34,X89,$N$36,MAX($AH$42:$AH$342),$T$36),0)</f>
        <v>36.014056610374446</v>
      </c>
      <c r="AM89" s="260">
        <f>IF(Y89&lt;&gt;0,SUM($F$34,Y89,$N$36,MAX($AH$42:$AH$342),$T$36),0)</f>
        <v>31.494520610374448</v>
      </c>
    </row>
    <row r="90" spans="1:39" x14ac:dyDescent="0.35">
      <c r="A90" s="259">
        <v>1348</v>
      </c>
      <c r="B90" s="58">
        <f>SUMIF([2]!Table2_23[ETA],'FIS Optimal Model (2)'!A90,[2]!Table2_23[FIS PAX])</f>
        <v>0</v>
      </c>
      <c r="C90" s="44">
        <f t="shared" si="32"/>
        <v>0</v>
      </c>
      <c r="D90" s="52">
        <f t="shared" si="41"/>
        <v>0</v>
      </c>
      <c r="E90" s="26">
        <f t="shared" si="24"/>
        <v>0</v>
      </c>
      <c r="F90" s="26">
        <f t="shared" si="25"/>
        <v>0</v>
      </c>
      <c r="G90" s="26">
        <f t="shared" si="26"/>
        <v>0</v>
      </c>
      <c r="H90" s="26">
        <f t="shared" si="27"/>
        <v>0</v>
      </c>
      <c r="I90" s="27">
        <f t="shared" si="48"/>
        <v>5</v>
      </c>
      <c r="J90" s="27">
        <f t="shared" si="48"/>
        <v>2</v>
      </c>
      <c r="K90" s="27">
        <f t="shared" si="48"/>
        <v>2</v>
      </c>
      <c r="L90" s="27">
        <f t="shared" si="48"/>
        <v>1</v>
      </c>
      <c r="M90" s="28">
        <f t="shared" ref="M90:M102" si="54">$M$88</f>
        <v>2</v>
      </c>
      <c r="N90" s="29">
        <f t="shared" ref="N90:N102" si="55">$N$88</f>
        <v>2</v>
      </c>
      <c r="O90" s="28">
        <f t="shared" ref="O90:O102" si="56">$O$88</f>
        <v>1</v>
      </c>
      <c r="P90" s="28">
        <f t="shared" ref="P90:P102" si="57">$P$88</f>
        <v>1</v>
      </c>
      <c r="Q90" s="28">
        <f t="shared" si="28"/>
        <v>6</v>
      </c>
      <c r="R90" s="22">
        <f t="shared" si="33"/>
        <v>71.629029861833303</v>
      </c>
      <c r="S90" s="22">
        <f t="shared" si="34"/>
        <v>19.962447544212111</v>
      </c>
      <c r="T90" s="22">
        <f t="shared" si="35"/>
        <v>18.119250336391257</v>
      </c>
      <c r="U90" s="22">
        <f t="shared" si="36"/>
        <v>3.1669421166222707</v>
      </c>
      <c r="V90" s="21">
        <f t="shared" si="37"/>
        <v>14.464049999999999</v>
      </c>
      <c r="W90" s="21">
        <f t="shared" si="38"/>
        <v>17.120334</v>
      </c>
      <c r="X90" s="21">
        <f t="shared" si="39"/>
        <v>6.207781999999999</v>
      </c>
      <c r="Y90" s="21">
        <f t="shared" si="40"/>
        <v>1.465911</v>
      </c>
      <c r="Z90" s="221">
        <f t="shared" si="29"/>
        <v>14</v>
      </c>
      <c r="AA90" s="30">
        <f t="shared" si="20"/>
        <v>4.456990046055564</v>
      </c>
      <c r="AB90" s="30">
        <f t="shared" si="21"/>
        <v>1.0494072597994233</v>
      </c>
      <c r="AC90" s="30">
        <f t="shared" si="22"/>
        <v>2.6269165545362472</v>
      </c>
      <c r="AD90" s="30">
        <f t="shared" si="23"/>
        <v>1.9443526277925764</v>
      </c>
      <c r="AE90" s="32">
        <f t="shared" si="30"/>
        <v>10.077666488183812</v>
      </c>
      <c r="AF90" s="33">
        <f t="shared" si="47"/>
        <v>3.1482217793982699</v>
      </c>
      <c r="AG90" s="40">
        <f t="shared" si="31"/>
        <v>0</v>
      </c>
      <c r="AH90" s="224">
        <f>AG90*$P$36</f>
        <v>0</v>
      </c>
      <c r="AI90" s="226">
        <f>SUM(Z90,IF(Z90&lt;&gt;0,$F$34,0),IF(Z90&lt;&gt;0,$N$36,0),IF(Z90&lt;&gt;0,$T$36,0),IF(Z90=0,AH95,IF(Z90=1,AH96,IF(Z90=2,AH97,IF(Z90=3,AH98,IF(Z90=4,AH99,IF(Z90=5,AH100,IF(Z90=6,AH101,IF(Z90=7,AH102,IF(Z90=8,AH103,IF(Z90=9,AH104,IF(Z90=10,AH105,IF(Z90=11,AH106,IF(Z90=12,AH107,IF(Z90=13,AH108,IF(Z90=14,AH109,IF(Z90=15,AH110,IF(Z90=16,AH111,IF(Z90=17,AH112,IF(Z90=18,AH113,IF(Z90=19,AH114,IF(Z90=20,AH115,IF(Z90=21,AH116,IF(Z90=22,AH117,IF(Z90=23,AH118,IF(Z90=24,AH119,IF(Z90=25,AH120,IF(Z90=26,AH121,IF(Z90=27,AH122,IF(Z90=28,AH123,IF(Z90=29,AH124,IF(Z90=30,AH125))))))))))))))))))))))))))))))))</f>
        <v>35</v>
      </c>
      <c r="AJ90" s="253">
        <f>IF(V90&lt;&gt;0,SUM($F$34,V90,$N$36,MAX($AH$42:$AH$342),$T$36),0)</f>
        <v>44.055538610374448</v>
      </c>
      <c r="AK90" s="253">
        <f>IF(W90&lt;&gt;0,SUM($F$34,W90,$N$36,MAX($AH$42:$AH$342),$T$36),0)</f>
        <v>46.711822610374448</v>
      </c>
      <c r="AL90" s="253">
        <f>IF(X90&lt;&gt;0,SUM($F$34,X90,$N$36,MAX($AH$42:$AH$342),$T$36),0)</f>
        <v>35.79927061037445</v>
      </c>
      <c r="AM90" s="260">
        <f>IF(Y90&lt;&gt;0,SUM($F$34,Y90,$N$36,MAX($AH$42:$AH$342),$T$36),0)</f>
        <v>31.057399610374446</v>
      </c>
    </row>
    <row r="91" spans="1:39" x14ac:dyDescent="0.35">
      <c r="A91" s="259">
        <v>1349</v>
      </c>
      <c r="B91" s="58">
        <f>SUMIF([2]!Table2_23[ETA],'FIS Optimal Model (2)'!A91,[2]!Table2_23[FIS PAX])</f>
        <v>0</v>
      </c>
      <c r="C91" s="44">
        <f t="shared" si="32"/>
        <v>0</v>
      </c>
      <c r="D91" s="52">
        <f t="shared" si="41"/>
        <v>0</v>
      </c>
      <c r="E91" s="26">
        <f t="shared" si="24"/>
        <v>0</v>
      </c>
      <c r="F91" s="26">
        <f t="shared" si="25"/>
        <v>0</v>
      </c>
      <c r="G91" s="26">
        <f t="shared" si="26"/>
        <v>0</v>
      </c>
      <c r="H91" s="26">
        <f t="shared" si="27"/>
        <v>0</v>
      </c>
      <c r="I91" s="27">
        <f t="shared" si="48"/>
        <v>0</v>
      </c>
      <c r="J91" s="27">
        <f t="shared" si="48"/>
        <v>0</v>
      </c>
      <c r="K91" s="27">
        <f t="shared" si="48"/>
        <v>0</v>
      </c>
      <c r="L91" s="27">
        <f t="shared" si="48"/>
        <v>0</v>
      </c>
      <c r="M91" s="28">
        <f t="shared" si="54"/>
        <v>2</v>
      </c>
      <c r="N91" s="29">
        <f t="shared" si="55"/>
        <v>2</v>
      </c>
      <c r="O91" s="28">
        <f t="shared" si="56"/>
        <v>1</v>
      </c>
      <c r="P91" s="28">
        <f t="shared" si="57"/>
        <v>1</v>
      </c>
      <c r="Q91" s="28">
        <f t="shared" si="28"/>
        <v>6</v>
      </c>
      <c r="R91" s="22">
        <f t="shared" si="33"/>
        <v>67.172039815777737</v>
      </c>
      <c r="S91" s="22">
        <f t="shared" si="34"/>
        <v>18.913040284412688</v>
      </c>
      <c r="T91" s="22">
        <f t="shared" si="35"/>
        <v>15.49233378185501</v>
      </c>
      <c r="U91" s="22">
        <f t="shared" si="36"/>
        <v>1.2225894888296942</v>
      </c>
      <c r="V91" s="21">
        <f t="shared" si="37"/>
        <v>13.564049999999998</v>
      </c>
      <c r="W91" s="21">
        <f t="shared" si="38"/>
        <v>16.220334000000001</v>
      </c>
      <c r="X91" s="21">
        <f t="shared" si="39"/>
        <v>5.3077819999999996</v>
      </c>
      <c r="Y91" s="21">
        <f t="shared" si="40"/>
        <v>0.56591100000000005</v>
      </c>
      <c r="Z91" s="221">
        <f t="shared" si="29"/>
        <v>13</v>
      </c>
      <c r="AA91" s="30">
        <f t="shared" si="20"/>
        <v>4.456990046055564</v>
      </c>
      <c r="AB91" s="30">
        <f t="shared" si="21"/>
        <v>1.0494072597994233</v>
      </c>
      <c r="AC91" s="30">
        <f t="shared" si="22"/>
        <v>2.6269165545362472</v>
      </c>
      <c r="AD91" s="30">
        <f t="shared" si="23"/>
        <v>1.9443526277925764</v>
      </c>
      <c r="AE91" s="32">
        <f t="shared" si="30"/>
        <v>10.077666488183812</v>
      </c>
      <c r="AF91" s="33">
        <f t="shared" si="47"/>
        <v>3.1482217793982699</v>
      </c>
      <c r="AG91" s="40">
        <f t="shared" si="31"/>
        <v>0</v>
      </c>
      <c r="AH91" s="224">
        <f>AG91*$P$36</f>
        <v>0</v>
      </c>
      <c r="AI91" s="226">
        <f>SUM(Z91,IF(Z91&lt;&gt;0,$F$34,0),IF(Z91&lt;&gt;0,$N$36,0),IF(Z91&lt;&gt;0,$T$36,0),IF(Z91=0,AH96,IF(Z91=1,AH97,IF(Z91=2,AH98,IF(Z91=3,AH99,IF(Z91=4,AH100,IF(Z91=5,AH101,IF(Z91=6,AH102,IF(Z91=7,AH103,IF(Z91=8,AH104,IF(Z91=9,AH105,IF(Z91=10,AH106,IF(Z91=11,AH107,IF(Z91=12,AH108,IF(Z91=13,AH109,IF(Z91=14,AH110,IF(Z91=15,AH111,IF(Z91=16,AH112,IF(Z91=17,AH113,IF(Z91=18,AH114,IF(Z91=19,AH115,IF(Z91=20,AH116,IF(Z91=21,AH117,IF(Z91=22,AH118,IF(Z91=23,AH119,IF(Z91=24,AH120,IF(Z91=25,AH121,IF(Z91=26,AH122,IF(Z91=27,AH123,IF(Z91=28,AH124,IF(Z91=29,AH125,IF(Z91=30,AH126))))))))))))))))))))))))))))))))</f>
        <v>34</v>
      </c>
      <c r="AJ91" s="253">
        <f>IF(V91&lt;&gt;0,SUM($F$34,V91,$N$36,MAX($AH$42:$AH$342),$T$36),0)</f>
        <v>43.15553861037445</v>
      </c>
      <c r="AK91" s="253">
        <f>IF(W91&lt;&gt;0,SUM($F$34,W91,$N$36,MAX($AH$42:$AH$342),$T$36),0)</f>
        <v>45.811822610374449</v>
      </c>
      <c r="AL91" s="253">
        <f>IF(X91&lt;&gt;0,SUM($F$34,X91,$N$36,MAX($AH$42:$AH$342),$T$36),0)</f>
        <v>34.899270610374444</v>
      </c>
      <c r="AM91" s="260">
        <f>IF(Y91&lt;&gt;0,SUM($F$34,Y91,$N$36,MAX($AH$42:$AH$342),$T$36),0)</f>
        <v>30.157399610374448</v>
      </c>
    </row>
    <row r="92" spans="1:39" x14ac:dyDescent="0.35">
      <c r="A92" s="259">
        <v>1350</v>
      </c>
      <c r="B92" s="58">
        <f>SUMIF([2]!Table2_23[ETA],'FIS Optimal Model (2)'!A92,[2]!Table2_23[FIS PAX])</f>
        <v>0</v>
      </c>
      <c r="C92" s="44">
        <f t="shared" si="32"/>
        <v>0</v>
      </c>
      <c r="D92" s="52">
        <f t="shared" si="41"/>
        <v>0</v>
      </c>
      <c r="E92" s="26">
        <f t="shared" si="24"/>
        <v>0</v>
      </c>
      <c r="F92" s="26">
        <f t="shared" si="25"/>
        <v>0</v>
      </c>
      <c r="G92" s="26">
        <f t="shared" si="26"/>
        <v>0</v>
      </c>
      <c r="H92" s="26">
        <f t="shared" si="27"/>
        <v>0</v>
      </c>
      <c r="I92" s="27">
        <f t="shared" si="48"/>
        <v>0</v>
      </c>
      <c r="J92" s="27">
        <f t="shared" si="48"/>
        <v>0</v>
      </c>
      <c r="K92" s="27">
        <f t="shared" si="48"/>
        <v>0</v>
      </c>
      <c r="L92" s="27">
        <f t="shared" si="48"/>
        <v>0</v>
      </c>
      <c r="M92" s="28">
        <f t="shared" si="54"/>
        <v>2</v>
      </c>
      <c r="N92" s="29">
        <f t="shared" si="55"/>
        <v>2</v>
      </c>
      <c r="O92" s="28">
        <f t="shared" si="56"/>
        <v>1</v>
      </c>
      <c r="P92" s="28">
        <f t="shared" si="57"/>
        <v>1</v>
      </c>
      <c r="Q92" s="28">
        <f t="shared" si="28"/>
        <v>6</v>
      </c>
      <c r="R92" s="22">
        <f t="shared" si="33"/>
        <v>62.715049769722171</v>
      </c>
      <c r="S92" s="22">
        <f t="shared" si="34"/>
        <v>17.338929394713553</v>
      </c>
      <c r="T92" s="22">
        <f t="shared" si="35"/>
        <v>12.865417227318762</v>
      </c>
      <c r="U92" s="22">
        <f t="shared" si="36"/>
        <v>0</v>
      </c>
      <c r="V92" s="21">
        <f t="shared" si="37"/>
        <v>12.664049999999998</v>
      </c>
      <c r="W92" s="21">
        <f t="shared" si="38"/>
        <v>14.870334000000001</v>
      </c>
      <c r="X92" s="21">
        <f t="shared" si="39"/>
        <v>4.4077819999999992</v>
      </c>
      <c r="Y92" s="21">
        <f t="shared" si="40"/>
        <v>0</v>
      </c>
      <c r="Z92" s="221">
        <f t="shared" si="29"/>
        <v>12</v>
      </c>
      <c r="AA92" s="30">
        <f t="shared" si="20"/>
        <v>4.456990046055564</v>
      </c>
      <c r="AB92" s="30">
        <f t="shared" si="21"/>
        <v>1.0494072597994233</v>
      </c>
      <c r="AC92" s="30">
        <f t="shared" si="22"/>
        <v>2.6269165545362472</v>
      </c>
      <c r="AD92" s="30">
        <f t="shared" si="23"/>
        <v>0</v>
      </c>
      <c r="AE92" s="32">
        <f t="shared" si="30"/>
        <v>8.1333138603912349</v>
      </c>
      <c r="AF92" s="33">
        <f t="shared" si="47"/>
        <v>10.077666488183812</v>
      </c>
      <c r="AG92" s="40">
        <f t="shared" si="31"/>
        <v>0</v>
      </c>
      <c r="AH92" s="224">
        <f>AG92*$P$36</f>
        <v>0</v>
      </c>
      <c r="AI92" s="226">
        <f>SUM(Z92,IF(Z92&lt;&gt;0,$F$34,0),IF(Z92&lt;&gt;0,$N$36,0),IF(Z92&lt;&gt;0,$T$36,0),IF(Z92=0,AH97,IF(Z92=1,AH98,IF(Z92=2,AH99,IF(Z92=3,AH100,IF(Z92=4,AH101,IF(Z92=5,AH102,IF(Z92=6,AH103,IF(Z92=7,AH104,IF(Z92=8,AH105,IF(Z92=9,AH106,IF(Z92=10,AH107,IF(Z92=11,AH108,IF(Z92=12,AH109,IF(Z92=13,AH110,IF(Z92=14,AH111,IF(Z92=15,AH112,IF(Z92=16,AH113,IF(Z92=17,AH114,IF(Z92=18,AH115,IF(Z92=19,AH116,IF(Z92=20,AH117,IF(Z92=21,AH118,IF(Z92=22,AH119,IF(Z92=23,AH120,IF(Z92=24,AH121,IF(Z92=25,AH122,IF(Z92=26,AH123,IF(Z92=27,AH124,IF(Z92=28,AH125,IF(Z92=29,AH126,IF(Z92=30,AH127))))))))))))))))))))))))))))))))</f>
        <v>33</v>
      </c>
      <c r="AJ92" s="253">
        <f>IF(V92&lt;&gt;0,SUM($F$34,V92,$N$36,MAX($AH$42:$AH$342),$T$36),0)</f>
        <v>42.255538610374444</v>
      </c>
      <c r="AK92" s="253">
        <f>IF(W92&lt;&gt;0,SUM($F$34,W92,$N$36,MAX($AH$42:$AH$342),$T$36),0)</f>
        <v>44.461822610374448</v>
      </c>
      <c r="AL92" s="253">
        <f>IF(X92&lt;&gt;0,SUM($F$34,X92,$N$36,MAX($AH$42:$AH$342),$T$36),0)</f>
        <v>33.999270610374445</v>
      </c>
      <c r="AM92" s="260">
        <f>IF(Y92&lt;&gt;0,SUM($F$34,Y92,$N$36,MAX($AH$42:$AH$342),$T$36),0)</f>
        <v>0</v>
      </c>
    </row>
    <row r="93" spans="1:39" x14ac:dyDescent="0.35">
      <c r="A93" s="259">
        <v>1351</v>
      </c>
      <c r="B93" s="58">
        <f>SUMIF([2]!Table2_23[ETA],'FIS Optimal Model (2)'!A93,[2]!Table2_23[FIS PAX])</f>
        <v>0</v>
      </c>
      <c r="C93" s="44">
        <f t="shared" si="32"/>
        <v>0</v>
      </c>
      <c r="D93" s="52">
        <f t="shared" si="41"/>
        <v>0</v>
      </c>
      <c r="E93" s="26">
        <f t="shared" si="24"/>
        <v>0</v>
      </c>
      <c r="F93" s="26">
        <f t="shared" si="25"/>
        <v>0</v>
      </c>
      <c r="G93" s="26">
        <f t="shared" si="26"/>
        <v>0</v>
      </c>
      <c r="H93" s="26">
        <f t="shared" si="27"/>
        <v>0</v>
      </c>
      <c r="I93" s="27">
        <f t="shared" si="48"/>
        <v>0</v>
      </c>
      <c r="J93" s="27">
        <f t="shared" si="48"/>
        <v>0</v>
      </c>
      <c r="K93" s="27">
        <f t="shared" si="48"/>
        <v>0</v>
      </c>
      <c r="L93" s="27">
        <f t="shared" si="48"/>
        <v>0</v>
      </c>
      <c r="M93" s="28">
        <f t="shared" si="54"/>
        <v>2</v>
      </c>
      <c r="N93" s="29">
        <f t="shared" si="55"/>
        <v>2</v>
      </c>
      <c r="O93" s="28">
        <f t="shared" si="56"/>
        <v>1</v>
      </c>
      <c r="P93" s="28">
        <f t="shared" si="57"/>
        <v>1</v>
      </c>
      <c r="Q93" s="28">
        <f t="shared" si="28"/>
        <v>6</v>
      </c>
      <c r="R93" s="22">
        <f t="shared" si="33"/>
        <v>58.258059723666605</v>
      </c>
      <c r="S93" s="22">
        <f t="shared" si="34"/>
        <v>15.764818505014418</v>
      </c>
      <c r="T93" s="22">
        <f t="shared" si="35"/>
        <v>10.238500672782514</v>
      </c>
      <c r="U93" s="22">
        <f t="shared" si="36"/>
        <v>0</v>
      </c>
      <c r="V93" s="21">
        <f t="shared" si="37"/>
        <v>11.764049999999997</v>
      </c>
      <c r="W93" s="21">
        <f t="shared" si="38"/>
        <v>13.520334</v>
      </c>
      <c r="X93" s="21">
        <f t="shared" si="39"/>
        <v>3.5077819999999988</v>
      </c>
      <c r="Y93" s="21">
        <f t="shared" si="40"/>
        <v>0</v>
      </c>
      <c r="Z93" s="221">
        <f t="shared" si="29"/>
        <v>11</v>
      </c>
      <c r="AA93" s="30">
        <f t="shared" si="20"/>
        <v>4.456990046055564</v>
      </c>
      <c r="AB93" s="30">
        <f t="shared" si="21"/>
        <v>1.0494072597994233</v>
      </c>
      <c r="AC93" s="30">
        <f t="shared" si="22"/>
        <v>2.6269165545362472</v>
      </c>
      <c r="AD93" s="30">
        <f t="shared" si="23"/>
        <v>0</v>
      </c>
      <c r="AE93" s="32">
        <f t="shared" si="30"/>
        <v>8.1333138603912349</v>
      </c>
      <c r="AF93" s="33">
        <f t="shared" si="47"/>
        <v>10.077666488183812</v>
      </c>
      <c r="AG93" s="40">
        <f t="shared" si="31"/>
        <v>0</v>
      </c>
      <c r="AH93" s="224">
        <f>AG93*$P$36</f>
        <v>0</v>
      </c>
      <c r="AI93" s="226">
        <f>SUM(Z93,IF(Z93&lt;&gt;0,$F$34,0),IF(Z93&lt;&gt;0,$N$36,0),IF(Z93&lt;&gt;0,$T$36,0),IF(Z93=0,AH98,IF(Z93=1,AH99,IF(Z93=2,AH100,IF(Z93=3,AH101,IF(Z93=4,AH102,IF(Z93=5,AH103,IF(Z93=6,AH104,IF(Z93=7,AH105,IF(Z93=8,AH106,IF(Z93=9,AH107,IF(Z93=10,AH108,IF(Z93=11,AH109,IF(Z93=12,AH110,IF(Z93=13,AH111,IF(Z93=14,AH112,IF(Z93=15,AH113,IF(Z93=16,AH114,IF(Z93=17,AH115,IF(Z93=18,AH116,IF(Z93=19,AH117,IF(Z93=20,AH118,IF(Z93=21,AH119,IF(Z93=22,AH120,IF(Z93=23,AH121,IF(Z93=24,AH122,IF(Z93=25,AH123,IF(Z93=26,AH124,IF(Z93=27,AH125,IF(Z93=28,AH126,IF(Z93=29,AH127,IF(Z93=30,AH128))))))))))))))))))))))))))))))))</f>
        <v>32</v>
      </c>
      <c r="AJ93" s="253">
        <f>IF(V93&lt;&gt;0,SUM($F$34,V93,$N$36,MAX($AH$42:$AH$342),$T$36),0)</f>
        <v>41.355538610374445</v>
      </c>
      <c r="AK93" s="253">
        <f>IF(W93&lt;&gt;0,SUM($F$34,W93,$N$36,MAX($AH$42:$AH$342),$T$36),0)</f>
        <v>43.111822610374446</v>
      </c>
      <c r="AL93" s="253">
        <f>IF(X93&lt;&gt;0,SUM($F$34,X93,$N$36,MAX($AH$42:$AH$342),$T$36),0)</f>
        <v>33.099270610374447</v>
      </c>
      <c r="AM93" s="260">
        <f>IF(Y93&lt;&gt;0,SUM($F$34,Y93,$N$36,MAX($AH$42:$AH$342),$T$36),0)</f>
        <v>0</v>
      </c>
    </row>
    <row r="94" spans="1:39" x14ac:dyDescent="0.35">
      <c r="A94" s="259">
        <v>1352</v>
      </c>
      <c r="B94" s="58">
        <f>SUMIF([2]!Table2_23[ETA],'FIS Optimal Model (2)'!A94,[2]!Table2_23[FIS PAX])</f>
        <v>0</v>
      </c>
      <c r="C94" s="44">
        <f t="shared" si="32"/>
        <v>0</v>
      </c>
      <c r="D94" s="52">
        <f t="shared" si="41"/>
        <v>0</v>
      </c>
      <c r="E94" s="26">
        <f t="shared" si="24"/>
        <v>0</v>
      </c>
      <c r="F94" s="26">
        <f t="shared" si="25"/>
        <v>0</v>
      </c>
      <c r="G94" s="26">
        <f t="shared" si="26"/>
        <v>0</v>
      </c>
      <c r="H94" s="26">
        <f t="shared" si="27"/>
        <v>0</v>
      </c>
      <c r="I94" s="27">
        <f t="shared" si="48"/>
        <v>0</v>
      </c>
      <c r="J94" s="27">
        <f t="shared" si="48"/>
        <v>0</v>
      </c>
      <c r="K94" s="27">
        <f t="shared" si="48"/>
        <v>0</v>
      </c>
      <c r="L94" s="27">
        <f t="shared" si="48"/>
        <v>0</v>
      </c>
      <c r="M94" s="28">
        <f t="shared" si="54"/>
        <v>2</v>
      </c>
      <c r="N94" s="29">
        <f t="shared" si="55"/>
        <v>2</v>
      </c>
      <c r="O94" s="28">
        <f t="shared" si="56"/>
        <v>1</v>
      </c>
      <c r="P94" s="28">
        <f t="shared" si="57"/>
        <v>1</v>
      </c>
      <c r="Q94" s="28">
        <f t="shared" si="28"/>
        <v>6</v>
      </c>
      <c r="R94" s="22">
        <f t="shared" si="33"/>
        <v>53.801069677611039</v>
      </c>
      <c r="S94" s="22">
        <f t="shared" si="34"/>
        <v>14.190707615315283</v>
      </c>
      <c r="T94" s="22">
        <f t="shared" si="35"/>
        <v>7.6115841182462667</v>
      </c>
      <c r="U94" s="22">
        <f t="shared" si="36"/>
        <v>0</v>
      </c>
      <c r="V94" s="21">
        <f t="shared" si="37"/>
        <v>10.864049999999997</v>
      </c>
      <c r="W94" s="21">
        <f t="shared" si="38"/>
        <v>12.170334</v>
      </c>
      <c r="X94" s="21">
        <f t="shared" si="39"/>
        <v>2.6077819999999985</v>
      </c>
      <c r="Y94" s="21">
        <f t="shared" si="40"/>
        <v>0</v>
      </c>
      <c r="Z94" s="221">
        <f t="shared" si="29"/>
        <v>10</v>
      </c>
      <c r="AA94" s="30">
        <f t="shared" si="20"/>
        <v>4.456990046055564</v>
      </c>
      <c r="AB94" s="30">
        <f t="shared" si="21"/>
        <v>1.0494072597994233</v>
      </c>
      <c r="AC94" s="30">
        <f t="shared" si="22"/>
        <v>2.6269165545362472</v>
      </c>
      <c r="AD94" s="30">
        <f t="shared" si="23"/>
        <v>0</v>
      </c>
      <c r="AE94" s="32">
        <f t="shared" si="30"/>
        <v>8.1333138603912349</v>
      </c>
      <c r="AF94" s="33">
        <f t="shared" si="47"/>
        <v>10.077666488183812</v>
      </c>
      <c r="AG94" s="40">
        <f t="shared" si="31"/>
        <v>0</v>
      </c>
      <c r="AH94" s="224">
        <f>AG94*$P$36</f>
        <v>0</v>
      </c>
      <c r="AI94" s="226">
        <f>SUM(Z94,IF(Z94&lt;&gt;0,$F$34,0),IF(Z94&lt;&gt;0,$N$36,0),IF(Z94&lt;&gt;0,$T$36,0),IF(Z94=0,AH99,IF(Z94=1,AH100,IF(Z94=2,AH101,IF(Z94=3,AH102,IF(Z94=4,AH103,IF(Z94=5,AH104,IF(Z94=6,AH105,IF(Z94=7,AH106,IF(Z94=8,AH107,IF(Z94=9,AH108,IF(Z94=10,AH109,IF(Z94=11,AH110,IF(Z94=12,AH111,IF(Z94=13,AH112,IF(Z94=14,AH113,IF(Z94=15,AH114,IF(Z94=16,AH115,IF(Z94=17,AH116,IF(Z94=18,AH117,IF(Z94=19,AH118,IF(Z94=20,AH119,IF(Z94=21,AH120,IF(Z94=22,AH121,IF(Z94=23,AH122,IF(Z94=24,AH123,IF(Z94=25,AH124,IF(Z94=26,AH125,IF(Z94=27,AH126,IF(Z94=28,AH127,IF(Z94=29,AH128,IF(Z94=30,AH129))))))))))))))))))))))))))))))))</f>
        <v>31</v>
      </c>
      <c r="AJ94" s="253">
        <f>IF(V94&lt;&gt;0,SUM($F$34,V94,$N$36,MAX($AH$42:$AH$342),$T$36),0)</f>
        <v>40.455538610374447</v>
      </c>
      <c r="AK94" s="253">
        <f>IF(W94&lt;&gt;0,SUM($F$34,W94,$N$36,MAX($AH$42:$AH$342),$T$36),0)</f>
        <v>41.761822610374452</v>
      </c>
      <c r="AL94" s="253">
        <f>IF(X94&lt;&gt;0,SUM($F$34,X94,$N$36,MAX($AH$42:$AH$342),$T$36),0)</f>
        <v>32.199270610374448</v>
      </c>
      <c r="AM94" s="260">
        <f>IF(Y94&lt;&gt;0,SUM($F$34,Y94,$N$36,MAX($AH$42:$AH$342),$T$36),0)</f>
        <v>0</v>
      </c>
    </row>
    <row r="95" spans="1:39" x14ac:dyDescent="0.35">
      <c r="A95" s="259">
        <v>1353</v>
      </c>
      <c r="B95" s="58">
        <f>SUMIF([2]!Table2_23[ETA],'FIS Optimal Model (2)'!A95,[2]!Table2_23[FIS PAX])</f>
        <v>0</v>
      </c>
      <c r="C95" s="44">
        <f t="shared" si="32"/>
        <v>0</v>
      </c>
      <c r="D95" s="52">
        <f t="shared" si="41"/>
        <v>0</v>
      </c>
      <c r="E95" s="26">
        <f t="shared" si="24"/>
        <v>0</v>
      </c>
      <c r="F95" s="26">
        <f t="shared" si="25"/>
        <v>0</v>
      </c>
      <c r="G95" s="26">
        <f t="shared" si="26"/>
        <v>0</v>
      </c>
      <c r="H95" s="26">
        <f t="shared" si="27"/>
        <v>0</v>
      </c>
      <c r="I95" s="27">
        <f t="shared" si="48"/>
        <v>0</v>
      </c>
      <c r="J95" s="27">
        <f t="shared" si="48"/>
        <v>0</v>
      </c>
      <c r="K95" s="27">
        <f t="shared" si="48"/>
        <v>0</v>
      </c>
      <c r="L95" s="27">
        <f t="shared" si="48"/>
        <v>0</v>
      </c>
      <c r="M95" s="28">
        <f t="shared" si="54"/>
        <v>2</v>
      </c>
      <c r="N95" s="29">
        <f t="shared" si="55"/>
        <v>2</v>
      </c>
      <c r="O95" s="28">
        <f t="shared" si="56"/>
        <v>1</v>
      </c>
      <c r="P95" s="28">
        <f t="shared" si="57"/>
        <v>1</v>
      </c>
      <c r="Q95" s="28">
        <f t="shared" si="28"/>
        <v>6</v>
      </c>
      <c r="R95" s="22">
        <f t="shared" si="33"/>
        <v>49.344079631555473</v>
      </c>
      <c r="S95" s="22">
        <f t="shared" si="34"/>
        <v>12.616596725616148</v>
      </c>
      <c r="T95" s="22">
        <f t="shared" si="35"/>
        <v>4.9846675637100191</v>
      </c>
      <c r="U95" s="22">
        <f t="shared" si="36"/>
        <v>0</v>
      </c>
      <c r="V95" s="21">
        <f t="shared" si="37"/>
        <v>9.9640499999999967</v>
      </c>
      <c r="W95" s="21">
        <f t="shared" si="38"/>
        <v>10.820334000000001</v>
      </c>
      <c r="X95" s="21">
        <f t="shared" si="39"/>
        <v>1.7077819999999986</v>
      </c>
      <c r="Y95" s="21">
        <f t="shared" si="40"/>
        <v>0</v>
      </c>
      <c r="Z95" s="221">
        <f t="shared" si="29"/>
        <v>9</v>
      </c>
      <c r="AA95" s="30">
        <f t="shared" si="20"/>
        <v>4.456990046055564</v>
      </c>
      <c r="AB95" s="30">
        <f t="shared" si="21"/>
        <v>1.0494072597994233</v>
      </c>
      <c r="AC95" s="30">
        <f t="shared" si="22"/>
        <v>2.6269165545362472</v>
      </c>
      <c r="AD95" s="30">
        <f t="shared" si="23"/>
        <v>0</v>
      </c>
      <c r="AE95" s="32">
        <f t="shared" si="30"/>
        <v>8.1333138603912349</v>
      </c>
      <c r="AF95" s="33">
        <f t="shared" si="47"/>
        <v>10.077666488183812</v>
      </c>
      <c r="AG95" s="40">
        <f t="shared" si="31"/>
        <v>0</v>
      </c>
      <c r="AH95" s="224">
        <f>AG95*$P$36</f>
        <v>0</v>
      </c>
      <c r="AI95" s="226">
        <f>SUM(Z95,IF(Z95&lt;&gt;0,$F$34,0),IF(Z95&lt;&gt;0,$N$36,0),IF(Z95&lt;&gt;0,$T$36,0),IF(Z95=0,AH100,IF(Z95=1,AH101,IF(Z95=2,AH102,IF(Z95=3,AH103,IF(Z95=4,AH104,IF(Z95=5,AH105,IF(Z95=6,AH106,IF(Z95=7,AH107,IF(Z95=8,AH108,IF(Z95=9,AH109,IF(Z95=10,AH110,IF(Z95=11,AH111,IF(Z95=12,AH112,IF(Z95=13,AH113,IF(Z95=14,AH114,IF(Z95=15,AH115,IF(Z95=16,AH116,IF(Z95=17,AH117,IF(Z95=18,AH118,IF(Z95=19,AH119,IF(Z95=20,AH120,IF(Z95=21,AH121,IF(Z95=22,AH122,IF(Z95=23,AH123,IF(Z95=24,AH124,IF(Z95=25,AH125,IF(Z95=26,AH126,IF(Z95=27,AH127,IF(Z95=28,AH128,IF(Z95=29,AH129,IF(Z95=30,AH130))))))))))))))))))))))))))))))))</f>
        <v>30</v>
      </c>
      <c r="AJ95" s="253">
        <f>IF(V95&lt;&gt;0,SUM($F$34,V95,$N$36,MAX($AH$42:$AH$342),$T$36),0)</f>
        <v>39.555538610374441</v>
      </c>
      <c r="AK95" s="253">
        <f>IF(W95&lt;&gt;0,SUM($F$34,W95,$N$36,MAX($AH$42:$AH$342),$T$36),0)</f>
        <v>40.41182261037445</v>
      </c>
      <c r="AL95" s="253">
        <f>IF(X95&lt;&gt;0,SUM($F$34,X95,$N$36,MAX($AH$42:$AH$342),$T$36),0)</f>
        <v>31.299270610374446</v>
      </c>
      <c r="AM95" s="260">
        <f>IF(Y95&lt;&gt;0,SUM($F$34,Y95,$N$36,MAX($AH$42:$AH$342),$T$36),0)</f>
        <v>0</v>
      </c>
    </row>
    <row r="96" spans="1:39" x14ac:dyDescent="0.35">
      <c r="A96" s="259">
        <v>1354</v>
      </c>
      <c r="B96" s="58">
        <f>SUMIF([2]!Table2_23[ETA],'FIS Optimal Model (2)'!A96,[2]!Table2_23[FIS PAX])</f>
        <v>0</v>
      </c>
      <c r="C96" s="44">
        <f t="shared" si="32"/>
        <v>0</v>
      </c>
      <c r="D96" s="52">
        <f t="shared" si="41"/>
        <v>0</v>
      </c>
      <c r="E96" s="26">
        <f t="shared" si="24"/>
        <v>0</v>
      </c>
      <c r="F96" s="26">
        <f t="shared" si="25"/>
        <v>0</v>
      </c>
      <c r="G96" s="26">
        <f t="shared" si="26"/>
        <v>0</v>
      </c>
      <c r="H96" s="26">
        <f t="shared" si="27"/>
        <v>0</v>
      </c>
      <c r="I96" s="27">
        <f t="shared" si="48"/>
        <v>0</v>
      </c>
      <c r="J96" s="27">
        <f t="shared" si="48"/>
        <v>0</v>
      </c>
      <c r="K96" s="27">
        <f t="shared" si="48"/>
        <v>0</v>
      </c>
      <c r="L96" s="27">
        <f t="shared" si="48"/>
        <v>0</v>
      </c>
      <c r="M96" s="28">
        <f t="shared" si="54"/>
        <v>2</v>
      </c>
      <c r="N96" s="29">
        <f t="shared" si="55"/>
        <v>2</v>
      </c>
      <c r="O96" s="28">
        <f t="shared" si="56"/>
        <v>1</v>
      </c>
      <c r="P96" s="28">
        <f t="shared" si="57"/>
        <v>1</v>
      </c>
      <c r="Q96" s="28">
        <f t="shared" si="28"/>
        <v>6</v>
      </c>
      <c r="R96" s="22">
        <f t="shared" si="33"/>
        <v>44.887089585499908</v>
      </c>
      <c r="S96" s="22">
        <f t="shared" si="34"/>
        <v>11.042485835917013</v>
      </c>
      <c r="T96" s="22">
        <f t="shared" si="35"/>
        <v>2.3577510091737719</v>
      </c>
      <c r="U96" s="22">
        <f t="shared" si="36"/>
        <v>0</v>
      </c>
      <c r="V96" s="21">
        <f t="shared" si="37"/>
        <v>9.0640499999999964</v>
      </c>
      <c r="W96" s="21">
        <f t="shared" si="38"/>
        <v>9.4703340000000011</v>
      </c>
      <c r="X96" s="21">
        <f t="shared" si="39"/>
        <v>0.80778199999999845</v>
      </c>
      <c r="Y96" s="21">
        <f t="shared" si="40"/>
        <v>0</v>
      </c>
      <c r="Z96" s="221">
        <f t="shared" si="29"/>
        <v>8</v>
      </c>
      <c r="AA96" s="30">
        <f t="shared" si="20"/>
        <v>4.456990046055564</v>
      </c>
      <c r="AB96" s="30">
        <f t="shared" si="21"/>
        <v>1.0494072597994233</v>
      </c>
      <c r="AC96" s="30">
        <f t="shared" si="22"/>
        <v>2.6269165545362472</v>
      </c>
      <c r="AD96" s="30">
        <f t="shared" si="23"/>
        <v>0</v>
      </c>
      <c r="AE96" s="32">
        <f t="shared" si="30"/>
        <v>8.1333138603912349</v>
      </c>
      <c r="AF96" s="33">
        <f t="shared" si="47"/>
        <v>8.1333138603912349</v>
      </c>
      <c r="AG96" s="40">
        <f t="shared" si="31"/>
        <v>0</v>
      </c>
      <c r="AH96" s="224">
        <f>AG96*$P$36</f>
        <v>0</v>
      </c>
      <c r="AI96" s="226">
        <f>SUM(Z96,IF(Z96&lt;&gt;0,$F$34,0),IF(Z96&lt;&gt;0,$N$36,0),IF(Z96&lt;&gt;0,$T$36,0),IF(Z96=0,AH101,IF(Z96=1,AH102,IF(Z96=2,AH103,IF(Z96=3,AH104,IF(Z96=4,AH105,IF(Z96=5,AH106,IF(Z96=6,AH107,IF(Z96=7,AH108,IF(Z96=8,AH109,IF(Z96=9,AH110,IF(Z96=10,AH111,IF(Z96=11,AH112,IF(Z96=12,AH113,IF(Z96=13,AH114,IF(Z96=14,AH115,IF(Z96=15,AH116,IF(Z96=16,AH117,IF(Z96=17,AH118,IF(Z96=18,AH119,IF(Z96=19,AH120,IF(Z96=20,AH121,IF(Z96=21,AH122,IF(Z96=22,AH123,IF(Z96=23,AH124,IF(Z96=24,AH125,IF(Z96=25,AH126,IF(Z96=26,AH127,IF(Z96=27,AH128,IF(Z96=28,AH129,IF(Z96=29,AH130,IF(Z96=30,AH131))))))))))))))))))))))))))))))))</f>
        <v>29</v>
      </c>
      <c r="AJ96" s="253">
        <f>IF(V96&lt;&gt;0,SUM($F$34,V96,$N$36,MAX($AH$42:$AH$342),$T$36),0)</f>
        <v>38.655538610374442</v>
      </c>
      <c r="AK96" s="253">
        <f>IF(W96&lt;&gt;0,SUM($F$34,W96,$N$36,MAX($AH$42:$AH$342),$T$36),0)</f>
        <v>39.061822610374449</v>
      </c>
      <c r="AL96" s="253">
        <f>IF(X96&lt;&gt;0,SUM($F$34,X96,$N$36,MAX($AH$42:$AH$342),$T$36),0)</f>
        <v>30.399270610374447</v>
      </c>
      <c r="AM96" s="260">
        <f>IF(Y96&lt;&gt;0,SUM($F$34,Y96,$N$36,MAX($AH$42:$AH$342),$T$36),0)</f>
        <v>0</v>
      </c>
    </row>
    <row r="97" spans="1:39" x14ac:dyDescent="0.35">
      <c r="A97" s="259">
        <v>1355</v>
      </c>
      <c r="B97" s="58">
        <f>SUMIF([2]!Table2_23[ETA],'FIS Optimal Model (2)'!A97,[2]!Table2_23[FIS PAX])</f>
        <v>0</v>
      </c>
      <c r="C97" s="44">
        <f t="shared" si="32"/>
        <v>0</v>
      </c>
      <c r="D97" s="52">
        <f t="shared" si="41"/>
        <v>0</v>
      </c>
      <c r="E97" s="26">
        <f t="shared" si="24"/>
        <v>0</v>
      </c>
      <c r="F97" s="26">
        <f t="shared" si="25"/>
        <v>0</v>
      </c>
      <c r="G97" s="26">
        <f t="shared" si="26"/>
        <v>0</v>
      </c>
      <c r="H97" s="26">
        <f t="shared" si="27"/>
        <v>0</v>
      </c>
      <c r="I97" s="27">
        <f t="shared" si="48"/>
        <v>0</v>
      </c>
      <c r="J97" s="27">
        <f t="shared" si="48"/>
        <v>0</v>
      </c>
      <c r="K97" s="27">
        <f t="shared" si="48"/>
        <v>0</v>
      </c>
      <c r="L97" s="27">
        <f t="shared" si="48"/>
        <v>0</v>
      </c>
      <c r="M97" s="28">
        <f t="shared" si="54"/>
        <v>2</v>
      </c>
      <c r="N97" s="29">
        <f t="shared" si="55"/>
        <v>2</v>
      </c>
      <c r="O97" s="28">
        <f t="shared" si="56"/>
        <v>1</v>
      </c>
      <c r="P97" s="28">
        <f t="shared" si="57"/>
        <v>1</v>
      </c>
      <c r="Q97" s="28">
        <f t="shared" si="28"/>
        <v>6</v>
      </c>
      <c r="R97" s="22">
        <f t="shared" si="33"/>
        <v>40.430099539444342</v>
      </c>
      <c r="S97" s="22">
        <f t="shared" si="34"/>
        <v>9.4683749462178781</v>
      </c>
      <c r="T97" s="22">
        <f t="shared" si="35"/>
        <v>0</v>
      </c>
      <c r="U97" s="22">
        <f t="shared" si="36"/>
        <v>0</v>
      </c>
      <c r="V97" s="21">
        <f t="shared" si="37"/>
        <v>8.164049999999996</v>
      </c>
      <c r="W97" s="21">
        <f t="shared" si="38"/>
        <v>8.1203339999999997</v>
      </c>
      <c r="X97" s="21">
        <f t="shared" si="39"/>
        <v>0</v>
      </c>
      <c r="Y97" s="21">
        <f t="shared" si="40"/>
        <v>0</v>
      </c>
      <c r="Z97" s="221">
        <f t="shared" si="29"/>
        <v>7</v>
      </c>
      <c r="AA97" s="30">
        <f t="shared" si="20"/>
        <v>4.456990046055564</v>
      </c>
      <c r="AB97" s="30">
        <f t="shared" si="21"/>
        <v>1.0494072597994233</v>
      </c>
      <c r="AC97" s="30">
        <f t="shared" si="22"/>
        <v>0</v>
      </c>
      <c r="AD97" s="30">
        <f t="shared" si="23"/>
        <v>0</v>
      </c>
      <c r="AE97" s="32">
        <f t="shared" si="30"/>
        <v>5.5063973058549873</v>
      </c>
      <c r="AF97" s="33">
        <f t="shared" si="47"/>
        <v>8.1333138603912349</v>
      </c>
      <c r="AG97" s="40">
        <f t="shared" si="31"/>
        <v>0</v>
      </c>
      <c r="AH97" s="224">
        <f>AG97*$P$36</f>
        <v>0</v>
      </c>
      <c r="AI97" s="226">
        <f>SUM(Z97,IF(Z97&lt;&gt;0,$F$34,0),IF(Z97&lt;&gt;0,$N$36,0),IF(Z97&lt;&gt;0,$T$36,0),IF(Z97=0,AH102,IF(Z97=1,AH103,IF(Z97=2,AH104,IF(Z97=3,AH105,IF(Z97=4,AH106,IF(Z97=5,AH107,IF(Z97=6,AH108,IF(Z97=7,AH109,IF(Z97=8,AH110,IF(Z97=9,AH111,IF(Z97=10,AH112,IF(Z97=11,AH113,IF(Z97=12,AH114,IF(Z97=13,AH115,IF(Z97=14,AH116,IF(Z97=15,AH117,IF(Z97=16,AH118,IF(Z97=17,AH119,IF(Z97=18,AH120,IF(Z97=19,AH121,IF(Z97=20,AH122,IF(Z97=21,AH123,IF(Z97=22,AH124,IF(Z97=23,AH125,IF(Z97=24,AH126,IF(Z97=25,AH127,IF(Z97=26,AH128,IF(Z97=27,AH129,IF(Z97=28,AH130,IF(Z97=29,AH131,IF(Z97=30,AH132))))))))))))))))))))))))))))))))</f>
        <v>28</v>
      </c>
      <c r="AJ97" s="253">
        <f>IF(V97&lt;&gt;0,SUM($F$34,V97,$N$36,MAX($AH$42:$AH$342),$T$36),0)</f>
        <v>37.755538610374444</v>
      </c>
      <c r="AK97" s="253">
        <f>IF(W97&lt;&gt;0,SUM($F$34,W97,$N$36,MAX($AH$42:$AH$342),$T$36),0)</f>
        <v>37.711822610374448</v>
      </c>
      <c r="AL97" s="253">
        <f>IF(X97&lt;&gt;0,SUM($F$34,X97,$N$36,MAX($AH$42:$AH$342),$T$36),0)</f>
        <v>0</v>
      </c>
      <c r="AM97" s="260">
        <f>IF(Y97&lt;&gt;0,SUM($F$34,Y97,$N$36,MAX($AH$42:$AH$342),$T$36),0)</f>
        <v>0</v>
      </c>
    </row>
    <row r="98" spans="1:39" x14ac:dyDescent="0.35">
      <c r="A98" s="259">
        <v>1356</v>
      </c>
      <c r="B98" s="58">
        <f>SUMIF([2]!Table2_23[ETA],'FIS Optimal Model (2)'!A98,[2]!Table2_23[FIS PAX])</f>
        <v>0</v>
      </c>
      <c r="C98" s="44">
        <f t="shared" si="32"/>
        <v>0</v>
      </c>
      <c r="D98" s="52">
        <f t="shared" si="41"/>
        <v>0</v>
      </c>
      <c r="E98" s="26">
        <f t="shared" si="24"/>
        <v>0</v>
      </c>
      <c r="F98" s="26">
        <f t="shared" si="25"/>
        <v>0</v>
      </c>
      <c r="G98" s="26">
        <f t="shared" si="26"/>
        <v>0</v>
      </c>
      <c r="H98" s="26">
        <f t="shared" si="27"/>
        <v>0</v>
      </c>
      <c r="I98" s="27">
        <f t="shared" si="48"/>
        <v>0</v>
      </c>
      <c r="J98" s="27">
        <f t="shared" si="48"/>
        <v>0</v>
      </c>
      <c r="K98" s="27">
        <f t="shared" si="48"/>
        <v>0</v>
      </c>
      <c r="L98" s="27">
        <f t="shared" si="48"/>
        <v>0</v>
      </c>
      <c r="M98" s="28">
        <f t="shared" si="54"/>
        <v>2</v>
      </c>
      <c r="N98" s="29">
        <f t="shared" si="55"/>
        <v>2</v>
      </c>
      <c r="O98" s="28">
        <f t="shared" si="56"/>
        <v>1</v>
      </c>
      <c r="P98" s="28">
        <f t="shared" si="57"/>
        <v>1</v>
      </c>
      <c r="Q98" s="28">
        <f t="shared" si="28"/>
        <v>6</v>
      </c>
      <c r="R98" s="22">
        <f t="shared" si="33"/>
        <v>35.973109493388776</v>
      </c>
      <c r="S98" s="22">
        <f t="shared" si="34"/>
        <v>7.8942640565187432</v>
      </c>
      <c r="T98" s="22">
        <f t="shared" si="35"/>
        <v>0</v>
      </c>
      <c r="U98" s="22">
        <f t="shared" si="36"/>
        <v>0</v>
      </c>
      <c r="V98" s="21">
        <f t="shared" si="37"/>
        <v>7.2640499999999957</v>
      </c>
      <c r="W98" s="21">
        <f t="shared" si="38"/>
        <v>6.7703340000000001</v>
      </c>
      <c r="X98" s="21">
        <f t="shared" si="39"/>
        <v>0</v>
      </c>
      <c r="Y98" s="21">
        <f t="shared" si="40"/>
        <v>0</v>
      </c>
      <c r="Z98" s="221">
        <f t="shared" si="29"/>
        <v>6</v>
      </c>
      <c r="AA98" s="30">
        <f t="shared" si="20"/>
        <v>4.456990046055564</v>
      </c>
      <c r="AB98" s="30">
        <f t="shared" si="21"/>
        <v>1.0494072597994233</v>
      </c>
      <c r="AC98" s="30">
        <f t="shared" si="22"/>
        <v>0</v>
      </c>
      <c r="AD98" s="30">
        <f t="shared" si="23"/>
        <v>0</v>
      </c>
      <c r="AE98" s="32">
        <f t="shared" si="30"/>
        <v>5.5063973058549873</v>
      </c>
      <c r="AF98" s="33">
        <f t="shared" si="47"/>
        <v>8.1333138603912349</v>
      </c>
      <c r="AG98" s="40">
        <f t="shared" si="31"/>
        <v>0</v>
      </c>
      <c r="AH98" s="224">
        <f>AG98*$P$36</f>
        <v>0</v>
      </c>
      <c r="AI98" s="226">
        <f>SUM(Z98,IF(Z98&lt;&gt;0,$F$34,0),IF(Z98&lt;&gt;0,$N$36,0),IF(Z98&lt;&gt;0,$T$36,0),IF(Z98=0,AH103,IF(Z98=1,AH104,IF(Z98=2,AH105,IF(Z98=3,AH106,IF(Z98=4,AH107,IF(Z98=5,AH108,IF(Z98=6,AH109,IF(Z98=7,AH110,IF(Z98=8,AH111,IF(Z98=9,AH112,IF(Z98=10,AH113,IF(Z98=11,AH114,IF(Z98=12,AH115,IF(Z98=13,AH116,IF(Z98=14,AH117,IF(Z98=15,AH118,IF(Z98=16,AH119,IF(Z98=17,AH120,IF(Z98=18,AH121,IF(Z98=19,AH122,IF(Z98=20,AH123,IF(Z98=21,AH124,IF(Z98=22,AH125,IF(Z98=23,AH126,IF(Z98=24,AH127,IF(Z98=25,AH128,IF(Z98=26,AH129,IF(Z98=27,AH130,IF(Z98=28,AH131,IF(Z98=29,AH132,IF(Z98=30,AH133))))))))))))))))))))))))))))))))</f>
        <v>27</v>
      </c>
      <c r="AJ98" s="253">
        <f>IF(V98&lt;&gt;0,SUM($F$34,V98,$N$36,MAX($AH$42:$AH$342),$T$36),0)</f>
        <v>36.855538610374445</v>
      </c>
      <c r="AK98" s="253">
        <f>IF(W98&lt;&gt;0,SUM($F$34,W98,$N$36,MAX($AH$42:$AH$342),$T$36),0)</f>
        <v>36.361822610374446</v>
      </c>
      <c r="AL98" s="253">
        <f>IF(X98&lt;&gt;0,SUM($F$34,X98,$N$36,MAX($AH$42:$AH$342),$T$36),0)</f>
        <v>0</v>
      </c>
      <c r="AM98" s="260">
        <f>IF(Y98&lt;&gt;0,SUM($F$34,Y98,$N$36,MAX($AH$42:$AH$342),$T$36),0)</f>
        <v>0</v>
      </c>
    </row>
    <row r="99" spans="1:39" x14ac:dyDescent="0.35">
      <c r="A99" s="259">
        <v>1357</v>
      </c>
      <c r="B99" s="58">
        <f>SUMIF([2]!Table2_23[ETA],'FIS Optimal Model (2)'!A99,[2]!Table2_23[FIS PAX])</f>
        <v>0</v>
      </c>
      <c r="C99" s="44">
        <f t="shared" si="32"/>
        <v>0</v>
      </c>
      <c r="D99" s="52">
        <f t="shared" si="41"/>
        <v>0</v>
      </c>
      <c r="E99" s="26">
        <f t="shared" si="24"/>
        <v>0</v>
      </c>
      <c r="F99" s="26">
        <f t="shared" si="25"/>
        <v>0</v>
      </c>
      <c r="G99" s="26">
        <f t="shared" si="26"/>
        <v>0</v>
      </c>
      <c r="H99" s="26">
        <f t="shared" si="27"/>
        <v>0</v>
      </c>
      <c r="I99" s="27">
        <f t="shared" si="48"/>
        <v>0</v>
      </c>
      <c r="J99" s="27">
        <f t="shared" si="48"/>
        <v>0</v>
      </c>
      <c r="K99" s="27">
        <f t="shared" si="48"/>
        <v>0</v>
      </c>
      <c r="L99" s="27">
        <f t="shared" si="48"/>
        <v>0</v>
      </c>
      <c r="M99" s="28">
        <f t="shared" si="54"/>
        <v>2</v>
      </c>
      <c r="N99" s="29">
        <f t="shared" si="55"/>
        <v>2</v>
      </c>
      <c r="O99" s="28">
        <f t="shared" si="56"/>
        <v>1</v>
      </c>
      <c r="P99" s="28">
        <f t="shared" si="57"/>
        <v>1</v>
      </c>
      <c r="Q99" s="28">
        <f t="shared" si="28"/>
        <v>6</v>
      </c>
      <c r="R99" s="22">
        <f t="shared" si="33"/>
        <v>31.51611944733321</v>
      </c>
      <c r="S99" s="22">
        <f t="shared" si="34"/>
        <v>6.3201531668196083</v>
      </c>
      <c r="T99" s="22">
        <f t="shared" si="35"/>
        <v>0</v>
      </c>
      <c r="U99" s="22">
        <f t="shared" si="36"/>
        <v>0</v>
      </c>
      <c r="V99" s="21">
        <f t="shared" si="37"/>
        <v>6.3640499999999953</v>
      </c>
      <c r="W99" s="21">
        <f t="shared" si="38"/>
        <v>5.4203340000000004</v>
      </c>
      <c r="X99" s="21">
        <f t="shared" si="39"/>
        <v>0</v>
      </c>
      <c r="Y99" s="21">
        <f t="shared" si="40"/>
        <v>0</v>
      </c>
      <c r="Z99" s="221">
        <f t="shared" si="29"/>
        <v>5</v>
      </c>
      <c r="AA99" s="30">
        <f t="shared" si="20"/>
        <v>4.456990046055564</v>
      </c>
      <c r="AB99" s="30">
        <f t="shared" si="21"/>
        <v>1.0494072597994233</v>
      </c>
      <c r="AC99" s="30">
        <f t="shared" si="22"/>
        <v>0</v>
      </c>
      <c r="AD99" s="30">
        <f t="shared" si="23"/>
        <v>0</v>
      </c>
      <c r="AE99" s="32">
        <f t="shared" si="30"/>
        <v>5.5063973058549873</v>
      </c>
      <c r="AF99" s="33">
        <f t="shared" si="47"/>
        <v>8.1333138603912349</v>
      </c>
      <c r="AG99" s="40">
        <f t="shared" si="31"/>
        <v>0</v>
      </c>
      <c r="AH99" s="224">
        <f>AG99*$P$36</f>
        <v>0</v>
      </c>
      <c r="AI99" s="226">
        <f>SUM(Z99,IF(Z99&lt;&gt;0,$F$34,0),IF(Z99&lt;&gt;0,$N$36,0),IF(Z99&lt;&gt;0,$T$36,0),IF(Z99=0,AH104,IF(Z99=1,AH105,IF(Z99=2,AH106,IF(Z99=3,AH107,IF(Z99=4,AH108,IF(Z99=5,AH109,IF(Z99=6,AH110,IF(Z99=7,AH111,IF(Z99=8,AH112,IF(Z99=9,AH113,IF(Z99=10,AH114,IF(Z99=11,AH115,IF(Z99=12,AH116,IF(Z99=13,AH117,IF(Z99=14,AH118,IF(Z99=15,AH119,IF(Z99=16,AH120,IF(Z99=17,AH121,IF(Z99=18,AH122,IF(Z99=19,AH123,IF(Z99=20,AH124,IF(Z99=21,AH125,IF(Z99=22,AH126,IF(Z99=23,AH127,IF(Z99=24,AH128,IF(Z99=25,AH129,IF(Z99=26,AH130,IF(Z99=27,AH131,IF(Z99=28,AH132,IF(Z99=29,AH133,IF(Z99=30,AH134))))))))))))))))))))))))))))))))</f>
        <v>26</v>
      </c>
      <c r="AJ99" s="253">
        <f>IF(V99&lt;&gt;0,SUM($F$34,V99,$N$36,MAX($AH$42:$AH$342),$T$36),0)</f>
        <v>35.955538610374447</v>
      </c>
      <c r="AK99" s="253">
        <f>IF(W99&lt;&gt;0,SUM($F$34,W99,$N$36,MAX($AH$42:$AH$342),$T$36),0)</f>
        <v>35.011822610374452</v>
      </c>
      <c r="AL99" s="253">
        <f>IF(X99&lt;&gt;0,SUM($F$34,X99,$N$36,MAX($AH$42:$AH$342),$T$36),0)</f>
        <v>0</v>
      </c>
      <c r="AM99" s="260">
        <f>IF(Y99&lt;&gt;0,SUM($F$34,Y99,$N$36,MAX($AH$42:$AH$342),$T$36),0)</f>
        <v>0</v>
      </c>
    </row>
    <row r="100" spans="1:39" x14ac:dyDescent="0.35">
      <c r="A100" s="259">
        <v>1358</v>
      </c>
      <c r="B100" s="58">
        <f>SUMIF([2]!Table2_23[ETA],'FIS Optimal Model (2)'!A100,[2]!Table2_23[FIS PAX])</f>
        <v>0</v>
      </c>
      <c r="C100" s="44">
        <f t="shared" si="32"/>
        <v>0</v>
      </c>
      <c r="D100" s="52">
        <f t="shared" si="41"/>
        <v>0</v>
      </c>
      <c r="E100" s="26">
        <f t="shared" si="24"/>
        <v>0</v>
      </c>
      <c r="F100" s="26">
        <f t="shared" si="25"/>
        <v>0</v>
      </c>
      <c r="G100" s="26">
        <f t="shared" si="26"/>
        <v>0</v>
      </c>
      <c r="H100" s="26">
        <f t="shared" si="27"/>
        <v>0</v>
      </c>
      <c r="I100" s="27">
        <f t="shared" si="48"/>
        <v>0</v>
      </c>
      <c r="J100" s="27">
        <f t="shared" si="48"/>
        <v>0</v>
      </c>
      <c r="K100" s="27">
        <f t="shared" si="48"/>
        <v>0</v>
      </c>
      <c r="L100" s="27">
        <f t="shared" si="48"/>
        <v>0</v>
      </c>
      <c r="M100" s="28">
        <f t="shared" si="54"/>
        <v>2</v>
      </c>
      <c r="N100" s="29">
        <f t="shared" si="55"/>
        <v>2</v>
      </c>
      <c r="O100" s="28">
        <f t="shared" si="56"/>
        <v>1</v>
      </c>
      <c r="P100" s="28">
        <f t="shared" si="57"/>
        <v>1</v>
      </c>
      <c r="Q100" s="28">
        <f t="shared" si="28"/>
        <v>6</v>
      </c>
      <c r="R100" s="22">
        <f t="shared" si="33"/>
        <v>27.059129401277644</v>
      </c>
      <c r="S100" s="22">
        <f t="shared" si="34"/>
        <v>4.7460422771204733</v>
      </c>
      <c r="T100" s="22">
        <f t="shared" si="35"/>
        <v>0</v>
      </c>
      <c r="U100" s="22">
        <f t="shared" si="36"/>
        <v>0</v>
      </c>
      <c r="V100" s="21">
        <f t="shared" si="37"/>
        <v>5.464049999999995</v>
      </c>
      <c r="W100" s="21">
        <f t="shared" si="38"/>
        <v>4.0703339999999999</v>
      </c>
      <c r="X100" s="21">
        <f t="shared" si="39"/>
        <v>0</v>
      </c>
      <c r="Y100" s="21">
        <f t="shared" si="40"/>
        <v>0</v>
      </c>
      <c r="Z100" s="221">
        <f t="shared" si="29"/>
        <v>4</v>
      </c>
      <c r="AA100" s="30">
        <f t="shared" si="20"/>
        <v>4.456990046055564</v>
      </c>
      <c r="AB100" s="30">
        <f t="shared" si="21"/>
        <v>1.0494072597994233</v>
      </c>
      <c r="AC100" s="30">
        <f t="shared" si="22"/>
        <v>0</v>
      </c>
      <c r="AD100" s="30">
        <f t="shared" si="23"/>
        <v>0</v>
      </c>
      <c r="AE100" s="32">
        <f t="shared" si="30"/>
        <v>5.5063973058549873</v>
      </c>
      <c r="AF100" s="33">
        <f t="shared" si="47"/>
        <v>8.1333138603912349</v>
      </c>
      <c r="AG100" s="40">
        <f t="shared" si="31"/>
        <v>0</v>
      </c>
      <c r="AH100" s="224">
        <f>AG100*$P$36</f>
        <v>0</v>
      </c>
      <c r="AI100" s="226">
        <f>SUM(Z100,IF(Z100&lt;&gt;0,$F$34,0),IF(Z100&lt;&gt;0,$N$36,0),IF(Z100&lt;&gt;0,$T$36,0),IF(Z100=0,AH105,IF(Z100=1,AH106,IF(Z100=2,AH107,IF(Z100=3,AH108,IF(Z100=4,AH109,IF(Z100=5,AH110,IF(Z100=6,AH111,IF(Z100=7,AH112,IF(Z100=8,AH113,IF(Z100=9,AH114,IF(Z100=10,AH115,IF(Z100=11,AH116,IF(Z100=12,AH117,IF(Z100=13,AH118,IF(Z100=14,AH119,IF(Z100=15,AH120,IF(Z100=16,AH121,IF(Z100=17,AH122,IF(Z100=18,AH123,IF(Z100=19,AH124,IF(Z100=20,AH125,IF(Z100=21,AH126,IF(Z100=22,AH127,IF(Z100=23,AH128,IF(Z100=24,AH129,IF(Z100=25,AH130,IF(Z100=26,AH131,IF(Z100=27,AH132,IF(Z100=28,AH133,IF(Z100=29,AH134,IF(Z100=30,AH135))))))))))))))))))))))))))))))))</f>
        <v>25</v>
      </c>
      <c r="AJ100" s="253">
        <f>IF(V100&lt;&gt;0,SUM($F$34,V100,$N$36,MAX($AH$42:$AH$342),$T$36),0)</f>
        <v>35.055538610374441</v>
      </c>
      <c r="AK100" s="253">
        <f>IF(W100&lt;&gt;0,SUM($F$34,W100,$N$36,MAX($AH$42:$AH$342),$T$36),0)</f>
        <v>33.661822610374443</v>
      </c>
      <c r="AL100" s="253">
        <f>IF(X100&lt;&gt;0,SUM($F$34,X100,$N$36,MAX($AH$42:$AH$342),$T$36),0)</f>
        <v>0</v>
      </c>
      <c r="AM100" s="260">
        <f>IF(Y100&lt;&gt;0,SUM($F$34,Y100,$N$36,MAX($AH$42:$AH$342),$T$36),0)</f>
        <v>0</v>
      </c>
    </row>
    <row r="101" spans="1:39" x14ac:dyDescent="0.35">
      <c r="A101" s="259">
        <v>1359</v>
      </c>
      <c r="B101" s="58">
        <f>SUMIF([2]!Table2_23[ETA],'FIS Optimal Model (2)'!A101,[2]!Table2_23[FIS PAX])</f>
        <v>0</v>
      </c>
      <c r="C101" s="44">
        <f t="shared" si="32"/>
        <v>0</v>
      </c>
      <c r="D101" s="52">
        <f t="shared" si="41"/>
        <v>0</v>
      </c>
      <c r="E101" s="26">
        <f t="shared" si="24"/>
        <v>0</v>
      </c>
      <c r="F101" s="26">
        <f t="shared" si="25"/>
        <v>0</v>
      </c>
      <c r="G101" s="26">
        <f t="shared" si="26"/>
        <v>0</v>
      </c>
      <c r="H101" s="26">
        <f t="shared" si="27"/>
        <v>0</v>
      </c>
      <c r="I101" s="27">
        <f t="shared" si="48"/>
        <v>0</v>
      </c>
      <c r="J101" s="27">
        <f t="shared" si="48"/>
        <v>0</v>
      </c>
      <c r="K101" s="27">
        <f t="shared" si="48"/>
        <v>0</v>
      </c>
      <c r="L101" s="27">
        <f t="shared" si="48"/>
        <v>0</v>
      </c>
      <c r="M101" s="28">
        <f t="shared" si="54"/>
        <v>2</v>
      </c>
      <c r="N101" s="29">
        <f t="shared" si="55"/>
        <v>2</v>
      </c>
      <c r="O101" s="28">
        <f t="shared" si="56"/>
        <v>1</v>
      </c>
      <c r="P101" s="28">
        <f t="shared" si="57"/>
        <v>1</v>
      </c>
      <c r="Q101" s="28">
        <f t="shared" si="28"/>
        <v>6</v>
      </c>
      <c r="R101" s="22">
        <f t="shared" si="33"/>
        <v>22.602139355222079</v>
      </c>
      <c r="S101" s="22">
        <f t="shared" si="34"/>
        <v>3.1719313874213384</v>
      </c>
      <c r="T101" s="22">
        <f t="shared" si="35"/>
        <v>0</v>
      </c>
      <c r="U101" s="22">
        <f t="shared" si="36"/>
        <v>0</v>
      </c>
      <c r="V101" s="21">
        <f t="shared" si="37"/>
        <v>4.5640499999999946</v>
      </c>
      <c r="W101" s="21">
        <f t="shared" si="38"/>
        <v>2.7203340000000003</v>
      </c>
      <c r="X101" s="21">
        <f t="shared" si="39"/>
        <v>0</v>
      </c>
      <c r="Y101" s="21">
        <f t="shared" si="40"/>
        <v>0</v>
      </c>
      <c r="Z101" s="221">
        <f t="shared" si="29"/>
        <v>4</v>
      </c>
      <c r="AA101" s="30">
        <f t="shared" si="20"/>
        <v>4.456990046055564</v>
      </c>
      <c r="AB101" s="30">
        <f t="shared" si="21"/>
        <v>1.0494072597994233</v>
      </c>
      <c r="AC101" s="30">
        <f t="shared" si="22"/>
        <v>0</v>
      </c>
      <c r="AD101" s="30">
        <f t="shared" si="23"/>
        <v>0</v>
      </c>
      <c r="AE101" s="32">
        <f t="shared" si="30"/>
        <v>5.5063973058549873</v>
      </c>
      <c r="AF101" s="33">
        <f t="shared" si="47"/>
        <v>5.5063973058549873</v>
      </c>
      <c r="AG101" s="40">
        <f t="shared" si="31"/>
        <v>0</v>
      </c>
      <c r="AH101" s="224">
        <f>AG101*$P$36</f>
        <v>0</v>
      </c>
      <c r="AI101" s="226">
        <f>SUM(Z101,IF(Z101&lt;&gt;0,$F$34,0),IF(Z101&lt;&gt;0,$N$36,0),IF(Z101&lt;&gt;0,$T$36,0),IF(Z101=0,AH106,IF(Z101=1,AH107,IF(Z101=2,AH108,IF(Z101=3,AH109,IF(Z101=4,AH110,IF(Z101=5,AH111,IF(Z101=6,AH112,IF(Z101=7,AH113,IF(Z101=8,AH114,IF(Z101=9,AH115,IF(Z101=10,AH116,IF(Z101=11,AH117,IF(Z101=12,AH118,IF(Z101=13,AH119,IF(Z101=14,AH120,IF(Z101=15,AH121,IF(Z101=16,AH122,IF(Z101=17,AH123,IF(Z101=18,AH124,IF(Z101=19,AH125,IF(Z101=20,AH126,IF(Z101=21,AH127,IF(Z101=22,AH128,IF(Z101=23,AH129,IF(Z101=24,AH130,IF(Z101=25,AH131,IF(Z101=26,AH132,IF(Z101=27,AH133,IF(Z101=28,AH134,IF(Z101=29,AH135,IF(Z101=30,AH136))))))))))))))))))))))))))))))))</f>
        <v>25</v>
      </c>
      <c r="AJ101" s="253">
        <f>IF(V101&lt;&gt;0,SUM($F$34,V101,$N$36,MAX($AH$42:$AH$342),$T$36),0)</f>
        <v>34.155538610374442</v>
      </c>
      <c r="AK101" s="253">
        <f>IF(W101&lt;&gt;0,SUM($F$34,W101,$N$36,MAX($AH$42:$AH$342),$T$36),0)</f>
        <v>32.311822610374449</v>
      </c>
      <c r="AL101" s="253">
        <f>IF(X101&lt;&gt;0,SUM($F$34,X101,$N$36,MAX($AH$42:$AH$342),$T$36),0)</f>
        <v>0</v>
      </c>
      <c r="AM101" s="260">
        <f>IF(Y101&lt;&gt;0,SUM($F$34,Y101,$N$36,MAX($AH$42:$AH$342),$T$36),0)</f>
        <v>0</v>
      </c>
    </row>
    <row r="102" spans="1:39" x14ac:dyDescent="0.35">
      <c r="A102" s="259">
        <v>1400</v>
      </c>
      <c r="B102" s="58">
        <f>SUMIF([2]!Table2_23[ETA],'FIS Optimal Model (2)'!A102,[2]!Table2_23[FIS PAX])</f>
        <v>0</v>
      </c>
      <c r="C102" s="44">
        <f t="shared" si="32"/>
        <v>0</v>
      </c>
      <c r="D102" s="52">
        <f t="shared" si="41"/>
        <v>0</v>
      </c>
      <c r="E102" s="26">
        <f t="shared" si="24"/>
        <v>0</v>
      </c>
      <c r="F102" s="26">
        <f t="shared" si="25"/>
        <v>0</v>
      </c>
      <c r="G102" s="26">
        <f t="shared" si="26"/>
        <v>0</v>
      </c>
      <c r="H102" s="26">
        <f t="shared" si="27"/>
        <v>0</v>
      </c>
      <c r="I102" s="27">
        <f t="shared" si="48"/>
        <v>0</v>
      </c>
      <c r="J102" s="27">
        <f t="shared" si="48"/>
        <v>0</v>
      </c>
      <c r="K102" s="27">
        <f t="shared" si="48"/>
        <v>0</v>
      </c>
      <c r="L102" s="27">
        <f t="shared" si="48"/>
        <v>0</v>
      </c>
      <c r="M102" s="28">
        <f t="shared" si="54"/>
        <v>2</v>
      </c>
      <c r="N102" s="29">
        <f t="shared" si="55"/>
        <v>2</v>
      </c>
      <c r="O102" s="28">
        <f t="shared" si="56"/>
        <v>1</v>
      </c>
      <c r="P102" s="28">
        <f t="shared" si="57"/>
        <v>1</v>
      </c>
      <c r="Q102" s="28">
        <f t="shared" si="28"/>
        <v>6</v>
      </c>
      <c r="R102" s="22">
        <f t="shared" si="33"/>
        <v>18.145149309166513</v>
      </c>
      <c r="S102" s="22">
        <f t="shared" si="34"/>
        <v>1.5978204977222035</v>
      </c>
      <c r="T102" s="22">
        <f t="shared" si="35"/>
        <v>0</v>
      </c>
      <c r="U102" s="22">
        <f t="shared" si="36"/>
        <v>0</v>
      </c>
      <c r="V102" s="21">
        <f t="shared" si="37"/>
        <v>3.6640499999999938</v>
      </c>
      <c r="W102" s="21">
        <f t="shared" si="38"/>
        <v>1.3703340000000002</v>
      </c>
      <c r="X102" s="21">
        <f t="shared" si="39"/>
        <v>0</v>
      </c>
      <c r="Y102" s="21">
        <f t="shared" si="40"/>
        <v>0</v>
      </c>
      <c r="Z102" s="221">
        <f t="shared" si="29"/>
        <v>3</v>
      </c>
      <c r="AA102" s="30">
        <f t="shared" si="20"/>
        <v>4.456990046055564</v>
      </c>
      <c r="AB102" s="30">
        <f t="shared" si="21"/>
        <v>1.0494072597994233</v>
      </c>
      <c r="AC102" s="30">
        <f t="shared" si="22"/>
        <v>0</v>
      </c>
      <c r="AD102" s="30">
        <f t="shared" si="23"/>
        <v>0</v>
      </c>
      <c r="AE102" s="32">
        <f t="shared" si="30"/>
        <v>5.5063973058549873</v>
      </c>
      <c r="AF102" s="33">
        <f t="shared" si="47"/>
        <v>5.5063973058549873</v>
      </c>
      <c r="AG102" s="40">
        <f t="shared" si="31"/>
        <v>0</v>
      </c>
      <c r="AH102" s="224">
        <f>AG102*$P$36</f>
        <v>0</v>
      </c>
      <c r="AI102" s="226">
        <f>SUM(Z102,IF(Z102&lt;&gt;0,$F$34,0),IF(Z102&lt;&gt;0,$N$36,0),IF(Z102&lt;&gt;0,$T$36,0),IF(Z102=0,AH107,IF(Z102=1,AH108,IF(Z102=2,AH109,IF(Z102=3,AH110,IF(Z102=4,AH111,IF(Z102=5,AH112,IF(Z102=6,AH113,IF(Z102=7,AH114,IF(Z102=8,AH115,IF(Z102=9,AH116,IF(Z102=10,AH117,IF(Z102=11,AH118,IF(Z102=12,AH119,IF(Z102=13,AH120,IF(Z102=14,AH121,IF(Z102=15,AH122,IF(Z102=16,AH123,IF(Z102=17,AH124,IF(Z102=18,AH125,IF(Z102=19,AH126,IF(Z102=20,AH127,IF(Z102=21,AH128,IF(Z102=22,AH129,IF(Z102=23,AH130,IF(Z102=24,AH131,IF(Z102=25,AH132,IF(Z102=26,AH133,IF(Z102=27,AH134,IF(Z102=28,AH135,IF(Z102=29,AH136,IF(Z102=30,AH137))))))))))))))))))))))))))))))))</f>
        <v>24</v>
      </c>
      <c r="AJ102" s="253">
        <f>IF(V102&lt;&gt;0,SUM($F$34,V102,$N$36,MAX($AH$42:$AH$342),$T$36),0)</f>
        <v>33.255538610374444</v>
      </c>
      <c r="AK102" s="253">
        <f>IF(W102&lt;&gt;0,SUM($F$34,W102,$N$36,MAX($AH$42:$AH$342),$T$36),0)</f>
        <v>30.961822610374448</v>
      </c>
      <c r="AL102" s="253">
        <f>IF(X102&lt;&gt;0,SUM($F$34,X102,$N$36,MAX($AH$42:$AH$342),$T$36),0)</f>
        <v>0</v>
      </c>
      <c r="AM102" s="260">
        <f>IF(Y102&lt;&gt;0,SUM($F$34,Y102,$N$36,MAX($AH$42:$AH$342),$T$36),0)</f>
        <v>0</v>
      </c>
    </row>
    <row r="103" spans="1:39" x14ac:dyDescent="0.35">
      <c r="A103" s="259">
        <v>1401</v>
      </c>
      <c r="B103" s="58">
        <f>SUMIF([2]!Table2_23[ETA],'FIS Optimal Model (2)'!A103,[2]!Table2_23[FIS PAX])</f>
        <v>0</v>
      </c>
      <c r="C103" s="44">
        <f t="shared" si="32"/>
        <v>0</v>
      </c>
      <c r="D103" s="52">
        <f t="shared" si="41"/>
        <v>0</v>
      </c>
      <c r="E103" s="26">
        <f t="shared" si="24"/>
        <v>0</v>
      </c>
      <c r="F103" s="26">
        <f t="shared" si="25"/>
        <v>0</v>
      </c>
      <c r="G103" s="26">
        <f t="shared" si="26"/>
        <v>0</v>
      </c>
      <c r="H103" s="26">
        <f t="shared" si="27"/>
        <v>0</v>
      </c>
      <c r="I103" s="27">
        <f t="shared" si="48"/>
        <v>0</v>
      </c>
      <c r="J103" s="27">
        <f t="shared" si="48"/>
        <v>0</v>
      </c>
      <c r="K103" s="27">
        <f t="shared" si="48"/>
        <v>0</v>
      </c>
      <c r="L103" s="27">
        <f t="shared" si="48"/>
        <v>0</v>
      </c>
      <c r="M103" s="28">
        <f>IF(R102=0,0,$Q$10)</f>
        <v>2</v>
      </c>
      <c r="N103" s="29">
        <f>$U$10-M103-O103-P103</f>
        <v>4</v>
      </c>
      <c r="O103" s="28">
        <f>IF(T102=0,0,$S$10)</f>
        <v>0</v>
      </c>
      <c r="P103" s="28">
        <f>IF(U102=0,0,$T$10)</f>
        <v>0</v>
      </c>
      <c r="Q103" s="28">
        <f t="shared" si="28"/>
        <v>6</v>
      </c>
      <c r="R103" s="22">
        <f t="shared" si="33"/>
        <v>13.688159263110949</v>
      </c>
      <c r="S103" s="22">
        <f t="shared" si="34"/>
        <v>0</v>
      </c>
      <c r="T103" s="22">
        <f t="shared" si="35"/>
        <v>0</v>
      </c>
      <c r="U103" s="22">
        <f t="shared" si="36"/>
        <v>0</v>
      </c>
      <c r="V103" s="21">
        <f t="shared" si="37"/>
        <v>2.7640499999999939</v>
      </c>
      <c r="W103" s="21">
        <f t="shared" si="38"/>
        <v>0</v>
      </c>
      <c r="X103" s="21">
        <f t="shared" si="39"/>
        <v>0</v>
      </c>
      <c r="Y103" s="21">
        <f t="shared" si="40"/>
        <v>0</v>
      </c>
      <c r="Z103" s="221">
        <f t="shared" si="29"/>
        <v>2</v>
      </c>
      <c r="AA103" s="30">
        <f t="shared" si="20"/>
        <v>4.456990046055564</v>
      </c>
      <c r="AB103" s="30">
        <f t="shared" si="21"/>
        <v>0</v>
      </c>
      <c r="AC103" s="30">
        <f t="shared" si="22"/>
        <v>0</v>
      </c>
      <c r="AD103" s="30">
        <f t="shared" si="23"/>
        <v>0</v>
      </c>
      <c r="AE103" s="32">
        <f t="shared" si="30"/>
        <v>4.456990046055564</v>
      </c>
      <c r="AF103" s="33">
        <f t="shared" si="47"/>
        <v>5.5063973058549873</v>
      </c>
      <c r="AG103" s="40">
        <f t="shared" si="31"/>
        <v>0</v>
      </c>
      <c r="AH103" s="224">
        <f>AG103*$P$36</f>
        <v>0</v>
      </c>
      <c r="AI103" s="226">
        <f>SUM(Z103,IF(Z103&lt;&gt;0,$F$34,0),IF(Z103&lt;&gt;0,$N$36,0),IF(Z103&lt;&gt;0,$T$36,0),IF(Z103=0,AH108,IF(Z103=1,AH109,IF(Z103=2,AH110,IF(Z103=3,AH111,IF(Z103=4,AH112,IF(Z103=5,AH113,IF(Z103=6,AH114,IF(Z103=7,AH115,IF(Z103=8,AH116,IF(Z103=9,AH117,IF(Z103=10,AH118,IF(Z103=11,AH119,IF(Z103=12,AH120,IF(Z103=13,AH121,IF(Z103=14,AH122,IF(Z103=15,AH123,IF(Z103=16,AH124,IF(Z103=17,AH125,IF(Z103=18,AH126,IF(Z103=19,AH127,IF(Z103=20,AH128,IF(Z103=21,AH129,IF(Z103=22,AH130,IF(Z103=23,AH131,IF(Z103=24,AH132,IF(Z103=25,AH133,IF(Z103=26,AH134,IF(Z103=27,AH135,IF(Z103=28,AH136,IF(Z103=29,AH137,IF(Z103=30,AH138))))))))))))))))))))))))))))))))</f>
        <v>23</v>
      </c>
      <c r="AJ103" s="253">
        <f>IF(V103&lt;&gt;0,SUM($F$34,V103,$N$36,MAX($AH$42:$AH$342),$T$36),0)</f>
        <v>32.355538610374438</v>
      </c>
      <c r="AK103" s="253">
        <f>IF(W103&lt;&gt;0,SUM($F$34,W103,$N$36,MAX($AH$42:$AH$342),$T$36),0)</f>
        <v>0</v>
      </c>
      <c r="AL103" s="253">
        <f>IF(X103&lt;&gt;0,SUM($F$34,X103,$N$36,MAX($AH$42:$AH$342),$T$36),0)</f>
        <v>0</v>
      </c>
      <c r="AM103" s="260">
        <f>IF(Y103&lt;&gt;0,SUM($F$34,Y103,$N$36,MAX($AH$42:$AH$342),$T$36),0)</f>
        <v>0</v>
      </c>
    </row>
    <row r="104" spans="1:39" x14ac:dyDescent="0.35">
      <c r="A104" s="259">
        <v>1402</v>
      </c>
      <c r="B104" s="58">
        <f>SUMIF([2]!Table2_23[ETA],'FIS Optimal Model (2)'!A104,[2]!Table2_23[FIS PAX])</f>
        <v>0</v>
      </c>
      <c r="C104" s="44">
        <f t="shared" si="32"/>
        <v>0</v>
      </c>
      <c r="D104" s="52">
        <f t="shared" si="41"/>
        <v>0</v>
      </c>
      <c r="E104" s="26">
        <f t="shared" si="24"/>
        <v>0</v>
      </c>
      <c r="F104" s="26">
        <f t="shared" si="25"/>
        <v>0</v>
      </c>
      <c r="G104" s="26">
        <f t="shared" si="26"/>
        <v>0</v>
      </c>
      <c r="H104" s="26">
        <f t="shared" si="27"/>
        <v>0</v>
      </c>
      <c r="I104" s="27">
        <f t="shared" si="48"/>
        <v>0</v>
      </c>
      <c r="J104" s="27">
        <f t="shared" si="48"/>
        <v>0</v>
      </c>
      <c r="K104" s="27">
        <f t="shared" si="48"/>
        <v>0</v>
      </c>
      <c r="L104" s="27">
        <f t="shared" si="48"/>
        <v>0</v>
      </c>
      <c r="M104" s="28">
        <f>$M$103</f>
        <v>2</v>
      </c>
      <c r="N104" s="29">
        <f>$N$103</f>
        <v>4</v>
      </c>
      <c r="O104" s="28">
        <f>$O$103</f>
        <v>0</v>
      </c>
      <c r="P104" s="28">
        <f>$P$103</f>
        <v>0</v>
      </c>
      <c r="Q104" s="28">
        <f t="shared" si="28"/>
        <v>6</v>
      </c>
      <c r="R104" s="22">
        <f t="shared" si="33"/>
        <v>9.2311692170553847</v>
      </c>
      <c r="S104" s="22">
        <f t="shared" si="34"/>
        <v>0</v>
      </c>
      <c r="T104" s="22">
        <f t="shared" si="35"/>
        <v>0</v>
      </c>
      <c r="U104" s="22">
        <f t="shared" si="36"/>
        <v>0</v>
      </c>
      <c r="V104" s="21">
        <f t="shared" si="37"/>
        <v>1.8640499999999938</v>
      </c>
      <c r="W104" s="21">
        <f t="shared" si="38"/>
        <v>0</v>
      </c>
      <c r="X104" s="21">
        <f t="shared" si="39"/>
        <v>0</v>
      </c>
      <c r="Y104" s="21">
        <f t="shared" si="40"/>
        <v>0</v>
      </c>
      <c r="Z104" s="221">
        <f t="shared" si="29"/>
        <v>2</v>
      </c>
      <c r="AA104" s="30">
        <f t="shared" si="20"/>
        <v>4.456990046055564</v>
      </c>
      <c r="AB104" s="30">
        <f t="shared" si="21"/>
        <v>0</v>
      </c>
      <c r="AC104" s="30">
        <f t="shared" si="22"/>
        <v>0</v>
      </c>
      <c r="AD104" s="30">
        <f t="shared" si="23"/>
        <v>0</v>
      </c>
      <c r="AE104" s="32">
        <f t="shared" si="30"/>
        <v>4.456990046055564</v>
      </c>
      <c r="AF104" s="33">
        <f t="shared" si="47"/>
        <v>5.5063973058549873</v>
      </c>
      <c r="AG104" s="40">
        <f t="shared" si="31"/>
        <v>0</v>
      </c>
      <c r="AH104" s="224">
        <f>AG104*$P$36</f>
        <v>0</v>
      </c>
      <c r="AI104" s="226">
        <f>SUM(Z104,IF(Z104&lt;&gt;0,$F$34,0),IF(Z104&lt;&gt;0,$N$36,0),IF(Z104&lt;&gt;0,$T$36,0),IF(Z104=0,AH109,IF(Z104=1,AH110,IF(Z104=2,AH111,IF(Z104=3,AH112,IF(Z104=4,AH113,IF(Z104=5,AH114,IF(Z104=6,AH115,IF(Z104=7,AH116,IF(Z104=8,AH117,IF(Z104=9,AH118,IF(Z104=10,AH119,IF(Z104=11,AH120,IF(Z104=12,AH121,IF(Z104=13,AH122,IF(Z104=14,AH123,IF(Z104=15,AH124,IF(Z104=16,AH125,IF(Z104=17,AH126,IF(Z104=18,AH127,IF(Z104=19,AH128,IF(Z104=20,AH129,IF(Z104=21,AH130,IF(Z104=22,AH131,IF(Z104=23,AH132,IF(Z104=24,AH133,IF(Z104=25,AH134,IF(Z104=26,AH135,IF(Z104=27,AH136,IF(Z104=28,AH137,IF(Z104=29,AH138,IF(Z104=30,AH139))))))))))))))))))))))))))))))))</f>
        <v>23</v>
      </c>
      <c r="AJ104" s="253">
        <f>IF(V104&lt;&gt;0,SUM($F$34,V104,$N$36,MAX($AH$42:$AH$342),$T$36),0)</f>
        <v>31.45553861037444</v>
      </c>
      <c r="AK104" s="253">
        <f>IF(W104&lt;&gt;0,SUM($F$34,W104,$N$36,MAX($AH$42:$AH$342),$T$36),0)</f>
        <v>0</v>
      </c>
      <c r="AL104" s="253">
        <f>IF(X104&lt;&gt;0,SUM($F$34,X104,$N$36,MAX($AH$42:$AH$342),$T$36),0)</f>
        <v>0</v>
      </c>
      <c r="AM104" s="260">
        <f>IF(Y104&lt;&gt;0,SUM($F$34,Y104,$N$36,MAX($AH$42:$AH$342),$T$36),0)</f>
        <v>0</v>
      </c>
    </row>
    <row r="105" spans="1:39" x14ac:dyDescent="0.35">
      <c r="A105" s="259">
        <v>1403</v>
      </c>
      <c r="B105" s="58">
        <f>SUMIF([2]!Table2_23[ETA],'FIS Optimal Model (2)'!A105,[2]!Table2_23[FIS PAX])</f>
        <v>0</v>
      </c>
      <c r="C105" s="44">
        <f t="shared" si="32"/>
        <v>0</v>
      </c>
      <c r="D105" s="52">
        <f t="shared" si="41"/>
        <v>0</v>
      </c>
      <c r="E105" s="26">
        <f t="shared" si="24"/>
        <v>0</v>
      </c>
      <c r="F105" s="26">
        <f t="shared" si="25"/>
        <v>0</v>
      </c>
      <c r="G105" s="26">
        <f t="shared" si="26"/>
        <v>0</v>
      </c>
      <c r="H105" s="26">
        <f t="shared" si="27"/>
        <v>0</v>
      </c>
      <c r="I105" s="27">
        <f t="shared" si="48"/>
        <v>0</v>
      </c>
      <c r="J105" s="27">
        <f t="shared" si="48"/>
        <v>0</v>
      </c>
      <c r="K105" s="27">
        <f t="shared" si="48"/>
        <v>0</v>
      </c>
      <c r="L105" s="27">
        <f t="shared" si="48"/>
        <v>0</v>
      </c>
      <c r="M105" s="28">
        <f t="shared" ref="M105:M117" si="58">$M$103</f>
        <v>2</v>
      </c>
      <c r="N105" s="29">
        <f t="shared" ref="N105:N117" si="59">$N$103</f>
        <v>4</v>
      </c>
      <c r="O105" s="28">
        <f t="shared" ref="O105:O117" si="60">$O$103</f>
        <v>0</v>
      </c>
      <c r="P105" s="28">
        <f t="shared" ref="P105:P117" si="61">$P$103</f>
        <v>0</v>
      </c>
      <c r="Q105" s="28">
        <f t="shared" si="28"/>
        <v>6</v>
      </c>
      <c r="R105" s="22">
        <f t="shared" si="33"/>
        <v>4.7741791709998207</v>
      </c>
      <c r="S105" s="22">
        <f t="shared" si="34"/>
        <v>0</v>
      </c>
      <c r="T105" s="22">
        <f t="shared" si="35"/>
        <v>0</v>
      </c>
      <c r="U105" s="22">
        <f t="shared" si="36"/>
        <v>0</v>
      </c>
      <c r="V105" s="21">
        <f t="shared" si="37"/>
        <v>0.96404999999999375</v>
      </c>
      <c r="W105" s="21">
        <f t="shared" si="38"/>
        <v>0</v>
      </c>
      <c r="X105" s="21">
        <f t="shared" si="39"/>
        <v>0</v>
      </c>
      <c r="Y105" s="21">
        <f t="shared" si="40"/>
        <v>0</v>
      </c>
      <c r="Z105" s="221">
        <f t="shared" si="29"/>
        <v>1</v>
      </c>
      <c r="AA105" s="30">
        <f t="shared" si="20"/>
        <v>4.456990046055564</v>
      </c>
      <c r="AB105" s="30">
        <f t="shared" si="21"/>
        <v>0</v>
      </c>
      <c r="AC105" s="30">
        <f t="shared" si="22"/>
        <v>0</v>
      </c>
      <c r="AD105" s="30">
        <f t="shared" si="23"/>
        <v>0</v>
      </c>
      <c r="AE105" s="32">
        <f t="shared" si="30"/>
        <v>4.456990046055564</v>
      </c>
      <c r="AF105" s="33">
        <f t="shared" si="47"/>
        <v>5.5063973058549873</v>
      </c>
      <c r="AG105" s="40">
        <f t="shared" si="31"/>
        <v>0</v>
      </c>
      <c r="AH105" s="224">
        <f>AG105*$P$36</f>
        <v>0</v>
      </c>
      <c r="AI105" s="226">
        <f>SUM(Z105,IF(Z105&lt;&gt;0,$F$34,0),IF(Z105&lt;&gt;0,$N$36,0),IF(Z105&lt;&gt;0,$T$36,0),IF(Z105=0,AH110,IF(Z105=1,AH111,IF(Z105=2,AH112,IF(Z105=3,AH113,IF(Z105=4,AH114,IF(Z105=5,AH115,IF(Z105=6,AH116,IF(Z105=7,AH117,IF(Z105=8,AH118,IF(Z105=9,AH119,IF(Z105=10,AH120,IF(Z105=11,AH121,IF(Z105=12,AH122,IF(Z105=13,AH123,IF(Z105=14,AH124,IF(Z105=15,AH125,IF(Z105=16,AH126,IF(Z105=17,AH127,IF(Z105=18,AH128,IF(Z105=19,AH129,IF(Z105=20,AH130,IF(Z105=21,AH131,IF(Z105=22,AH132,IF(Z105=23,AH133,IF(Z105=24,AH134,IF(Z105=25,AH135,IF(Z105=26,AH136,IF(Z105=27,AH137,IF(Z105=28,AH138,IF(Z105=29,AH139,IF(Z105=30,AH140))))))))))))))))))))))))))))))))</f>
        <v>22</v>
      </c>
      <c r="AJ105" s="253">
        <f>IF(V105&lt;&gt;0,SUM($F$34,V105,$N$36,MAX($AH$42:$AH$342),$T$36),0)</f>
        <v>30.555538610374441</v>
      </c>
      <c r="AK105" s="253">
        <f>IF(W105&lt;&gt;0,SUM($F$34,W105,$N$36,MAX($AH$42:$AH$342),$T$36),0)</f>
        <v>0</v>
      </c>
      <c r="AL105" s="253">
        <f>IF(X105&lt;&gt;0,SUM($F$34,X105,$N$36,MAX($AH$42:$AH$342),$T$36),0)</f>
        <v>0</v>
      </c>
      <c r="AM105" s="260">
        <f>IF(Y105&lt;&gt;0,SUM($F$34,Y105,$N$36,MAX($AH$42:$AH$342),$T$36),0)</f>
        <v>0</v>
      </c>
    </row>
    <row r="106" spans="1:39" x14ac:dyDescent="0.35">
      <c r="A106" s="259">
        <v>1404</v>
      </c>
      <c r="B106" s="58">
        <f>SUMIF([2]!Table2_23[ETA],'FIS Optimal Model (2)'!A106,[2]!Table2_23[FIS PAX])</f>
        <v>0</v>
      </c>
      <c r="C106" s="44">
        <f t="shared" si="32"/>
        <v>0</v>
      </c>
      <c r="D106" s="52">
        <f t="shared" si="41"/>
        <v>0</v>
      </c>
      <c r="E106" s="26">
        <f t="shared" si="24"/>
        <v>0</v>
      </c>
      <c r="F106" s="26">
        <f t="shared" si="25"/>
        <v>0</v>
      </c>
      <c r="G106" s="26">
        <f t="shared" si="26"/>
        <v>0</v>
      </c>
      <c r="H106" s="26">
        <f t="shared" si="27"/>
        <v>0</v>
      </c>
      <c r="I106" s="27">
        <f t="shared" si="48"/>
        <v>0</v>
      </c>
      <c r="J106" s="27">
        <f t="shared" si="48"/>
        <v>0</v>
      </c>
      <c r="K106" s="27">
        <f t="shared" si="48"/>
        <v>0</v>
      </c>
      <c r="L106" s="27">
        <f t="shared" si="48"/>
        <v>0</v>
      </c>
      <c r="M106" s="28">
        <f t="shared" si="58"/>
        <v>2</v>
      </c>
      <c r="N106" s="29">
        <f t="shared" si="59"/>
        <v>4</v>
      </c>
      <c r="O106" s="28">
        <f t="shared" si="60"/>
        <v>0</v>
      </c>
      <c r="P106" s="28">
        <f t="shared" si="61"/>
        <v>0</v>
      </c>
      <c r="Q106" s="28">
        <f t="shared" si="28"/>
        <v>6</v>
      </c>
      <c r="R106" s="22">
        <f t="shared" si="33"/>
        <v>0.31718912494425666</v>
      </c>
      <c r="S106" s="22">
        <f t="shared" si="34"/>
        <v>0</v>
      </c>
      <c r="T106" s="22">
        <f t="shared" si="35"/>
        <v>0</v>
      </c>
      <c r="U106" s="22">
        <f t="shared" si="36"/>
        <v>0</v>
      </c>
      <c r="V106" s="21">
        <f t="shared" si="37"/>
        <v>6.4049999999993751E-2</v>
      </c>
      <c r="W106" s="21">
        <f t="shared" si="38"/>
        <v>0</v>
      </c>
      <c r="X106" s="21">
        <f t="shared" si="39"/>
        <v>0</v>
      </c>
      <c r="Y106" s="21">
        <f t="shared" si="40"/>
        <v>0</v>
      </c>
      <c r="Z106" s="221">
        <f t="shared" si="29"/>
        <v>1</v>
      </c>
      <c r="AA106" s="30">
        <f t="shared" ref="AA106:AA169" si="62">IF(R106&lt;&gt;0,($J$33*M106*$L$36),0)</f>
        <v>4.456990046055564</v>
      </c>
      <c r="AB106" s="30">
        <f t="shared" ref="AB106:AB169" si="63">IF(W106&lt;&gt;0,($J$34*N106*$L$36),0)</f>
        <v>0</v>
      </c>
      <c r="AC106" s="30">
        <f t="shared" ref="AC106:AC169" si="64">IF(X106&lt;&gt;0,($J$35*O106*$L$36),0)</f>
        <v>0</v>
      </c>
      <c r="AD106" s="30">
        <f t="shared" ref="AD106:AD169" si="65">IF(Y106&lt;&gt;0,($J$36*P106*$L$36),0)</f>
        <v>0</v>
      </c>
      <c r="AE106" s="32">
        <f t="shared" si="30"/>
        <v>4.456990046055564</v>
      </c>
      <c r="AF106" s="33">
        <f t="shared" si="47"/>
        <v>5.5063973058549873</v>
      </c>
      <c r="AG106" s="40">
        <f t="shared" si="31"/>
        <v>0</v>
      </c>
      <c r="AH106" s="224">
        <f>AG106*$P$36</f>
        <v>0</v>
      </c>
      <c r="AI106" s="226">
        <f>SUM(Z106,IF(Z106&lt;&gt;0,$F$34,0),IF(Z106&lt;&gt;0,$N$36,0),IF(Z106&lt;&gt;0,$T$36,0),IF(Z106=0,AH111,IF(Z106=1,AH112,IF(Z106=2,AH113,IF(Z106=3,AH114,IF(Z106=4,AH115,IF(Z106=5,AH116,IF(Z106=6,AH117,IF(Z106=7,AH118,IF(Z106=8,AH119,IF(Z106=9,AH120,IF(Z106=10,AH121,IF(Z106=11,AH122,IF(Z106=12,AH123,IF(Z106=13,AH124,IF(Z106=14,AH125,IF(Z106=15,AH126,IF(Z106=16,AH127,IF(Z106=17,AH128,IF(Z106=18,AH129,IF(Z106=19,AH130,IF(Z106=20,AH131,IF(Z106=21,AH132,IF(Z106=22,AH133,IF(Z106=23,AH134,IF(Z106=24,AH135,IF(Z106=25,AH136,IF(Z106=26,AH137,IF(Z106=27,AH138,IF(Z106=28,AH139,IF(Z106=29,AH140,IF(Z106=30,AH141))))))))))))))))))))))))))))))))</f>
        <v>22</v>
      </c>
      <c r="AJ106" s="253">
        <f>IF(V106&lt;&gt;0,SUM($F$34,V106,$N$36,MAX($AH$42:$AH$342),$T$36),0)</f>
        <v>29.655538610374442</v>
      </c>
      <c r="AK106" s="253">
        <f>IF(W106&lt;&gt;0,SUM($F$34,W106,$N$36,MAX($AH$42:$AH$342),$T$36),0)</f>
        <v>0</v>
      </c>
      <c r="AL106" s="253">
        <f>IF(X106&lt;&gt;0,SUM($F$34,X106,$N$36,MAX($AH$42:$AH$342),$T$36),0)</f>
        <v>0</v>
      </c>
      <c r="AM106" s="260">
        <f>IF(Y106&lt;&gt;0,SUM($F$34,Y106,$N$36,MAX($AH$42:$AH$342),$T$36),0)</f>
        <v>0</v>
      </c>
    </row>
    <row r="107" spans="1:39" x14ac:dyDescent="0.35">
      <c r="A107" s="259">
        <v>1405</v>
      </c>
      <c r="B107" s="58">
        <f>SUMIF([2]!Table2_23[ETA],'FIS Optimal Model (2)'!A107,[2]!Table2_23[FIS PAX])</f>
        <v>0</v>
      </c>
      <c r="C107" s="44">
        <f t="shared" si="32"/>
        <v>0</v>
      </c>
      <c r="D107" s="52">
        <f t="shared" si="41"/>
        <v>0</v>
      </c>
      <c r="E107" s="26">
        <f t="shared" ref="E107:E170" si="66">ROUNDUP($C$33*C107,0)</f>
        <v>0</v>
      </c>
      <c r="F107" s="26">
        <f t="shared" ref="F107:F170" si="67">ROUNDUP($C$34*C107,0)</f>
        <v>0</v>
      </c>
      <c r="G107" s="26">
        <f t="shared" ref="G107:G170" si="68">ROUNDUP($C$35*C107,0)</f>
        <v>0</v>
      </c>
      <c r="H107" s="26">
        <f t="shared" ref="H107:H170" si="69">ROUNDUP($C$36*C107,0)</f>
        <v>0</v>
      </c>
      <c r="I107" s="27">
        <f t="shared" si="48"/>
        <v>0</v>
      </c>
      <c r="J107" s="27">
        <f t="shared" si="48"/>
        <v>0</v>
      </c>
      <c r="K107" s="27">
        <f t="shared" si="48"/>
        <v>0</v>
      </c>
      <c r="L107" s="27">
        <f t="shared" si="48"/>
        <v>0</v>
      </c>
      <c r="M107" s="28">
        <f t="shared" si="58"/>
        <v>2</v>
      </c>
      <c r="N107" s="29">
        <f t="shared" si="59"/>
        <v>4</v>
      </c>
      <c r="O107" s="28">
        <f t="shared" si="60"/>
        <v>0</v>
      </c>
      <c r="P107" s="28">
        <f t="shared" si="61"/>
        <v>0</v>
      </c>
      <c r="Q107" s="28">
        <f t="shared" ref="Q107:Q170" si="70">SUM(M107:P107)</f>
        <v>6</v>
      </c>
      <c r="R107" s="22">
        <f t="shared" ref="R107:R170" si="71">MAX(R106-($J$33*M107*$L$36)+I107,0)</f>
        <v>0</v>
      </c>
      <c r="S107" s="22">
        <f t="shared" ref="S107:S170" si="72">IF(U107&lt;&gt;0,(MAX(S106-($J$34*N107*$L$36)+J107,0)),(MAX(S106-($J$34*(N107+P107)*$L$36)+J107,0)))</f>
        <v>0</v>
      </c>
      <c r="T107" s="22">
        <f t="shared" ref="T107:T170" si="73">MAX(T106-($J$35*O107*$L$36)+K107,0)</f>
        <v>0</v>
      </c>
      <c r="U107" s="22">
        <f t="shared" ref="U107:U170" si="74">MAX(U106-($J$36*P107*$L$36)+L107,0)</f>
        <v>0</v>
      </c>
      <c r="V107" s="21">
        <f t="shared" si="37"/>
        <v>0</v>
      </c>
      <c r="W107" s="21">
        <f t="shared" si="38"/>
        <v>0</v>
      </c>
      <c r="X107" s="21">
        <f t="shared" si="39"/>
        <v>0</v>
      </c>
      <c r="Y107" s="21">
        <f t="shared" si="40"/>
        <v>0</v>
      </c>
      <c r="Z107" s="221">
        <f t="shared" ref="Z107:Z170" si="75">ROUNDUP(SUM(V107*$C$33,W107*$C$34,X107*$C$35,Y107*$C$36),0)</f>
        <v>0</v>
      </c>
      <c r="AA107" s="30">
        <f t="shared" si="62"/>
        <v>0</v>
      </c>
      <c r="AB107" s="30">
        <f t="shared" si="63"/>
        <v>0</v>
      </c>
      <c r="AC107" s="30">
        <f t="shared" si="64"/>
        <v>0</v>
      </c>
      <c r="AD107" s="30">
        <f t="shared" si="65"/>
        <v>0</v>
      </c>
      <c r="AE107" s="32">
        <f t="shared" ref="AE107:AE170" si="76">SUM(AA107:AD107)</f>
        <v>0</v>
      </c>
      <c r="AF107" s="33">
        <f t="shared" si="47"/>
        <v>4.456990046055564</v>
      </c>
      <c r="AG107" s="40">
        <f t="shared" ref="AG107:AG170" si="77">MAX(AG106-$Q$36+AF107,0)</f>
        <v>0</v>
      </c>
      <c r="AH107" s="224">
        <f>AG107*$P$36</f>
        <v>0</v>
      </c>
      <c r="AI107" s="226">
        <f>SUM(Z107,IF(Z107&lt;&gt;0,$F$34,0),IF(Z107&lt;&gt;0,$N$36,0),IF(Z107&lt;&gt;0,$T$36,0),IF(Z107=0,AH112,IF(Z107=1,AH113,IF(Z107=2,AH114,IF(Z107=3,AH115,IF(Z107=4,AH116,IF(Z107=5,AH117,IF(Z107=6,AH118,IF(Z107=7,AH119,IF(Z107=8,AH120,IF(Z107=9,AH121,IF(Z107=10,AH122,IF(Z107=11,AH123,IF(Z107=12,AH124,IF(Z107=13,AH125,IF(Z107=14,AH126,IF(Z107=15,AH127,IF(Z107=16,AH128,IF(Z107=17,AH129,IF(Z107=18,AH130,IF(Z107=19,AH131,IF(Z107=20,AH132,IF(Z107=21,AH133,IF(Z107=22,AH134,IF(Z107=23,AH135,IF(Z107=24,AH136,IF(Z107=25,AH137,IF(Z107=26,AH138,IF(Z107=27,AH139,IF(Z107=28,AH140,IF(Z107=29,AH141,IF(Z107=30,AH142))))))))))))))))))))))))))))))))</f>
        <v>0</v>
      </c>
      <c r="AJ107" s="253">
        <f>IF(V107&lt;&gt;0,SUM($F$34,V107,$N$36,MAX($AH$42:$AH$342),$T$36),0)</f>
        <v>0</v>
      </c>
      <c r="AK107" s="253">
        <f>IF(W107&lt;&gt;0,SUM($F$34,W107,$N$36,MAX($AH$42:$AH$342),$T$36),0)</f>
        <v>0</v>
      </c>
      <c r="AL107" s="253">
        <f>IF(X107&lt;&gt;0,SUM($F$34,X107,$N$36,MAX($AH$42:$AH$342),$T$36),0)</f>
        <v>0</v>
      </c>
      <c r="AM107" s="260">
        <f>IF(Y107&lt;&gt;0,SUM($F$34,Y107,$N$36,MAX($AH$42:$AH$342),$T$36),0)</f>
        <v>0</v>
      </c>
    </row>
    <row r="108" spans="1:39" x14ac:dyDescent="0.35">
      <c r="A108" s="259">
        <v>1406</v>
      </c>
      <c r="B108" s="58">
        <f>SUMIF([2]!Table2_23[ETA],'FIS Optimal Model (2)'!A108,[2]!Table2_23[FIS PAX])</f>
        <v>0</v>
      </c>
      <c r="C108" s="44">
        <f t="shared" ref="C108:C171" si="78">IF((D107-D108)&gt;-1,(D107-D108),18)</f>
        <v>0</v>
      </c>
      <c r="D108" s="52">
        <f t="shared" si="41"/>
        <v>0</v>
      </c>
      <c r="E108" s="26">
        <f t="shared" si="66"/>
        <v>0</v>
      </c>
      <c r="F108" s="26">
        <f t="shared" si="67"/>
        <v>0</v>
      </c>
      <c r="G108" s="26">
        <f t="shared" si="68"/>
        <v>0</v>
      </c>
      <c r="H108" s="26">
        <f t="shared" si="69"/>
        <v>0</v>
      </c>
      <c r="I108" s="27">
        <f t="shared" si="48"/>
        <v>0</v>
      </c>
      <c r="J108" s="27">
        <f t="shared" si="48"/>
        <v>0</v>
      </c>
      <c r="K108" s="27">
        <f t="shared" si="48"/>
        <v>0</v>
      </c>
      <c r="L108" s="27">
        <f t="shared" si="48"/>
        <v>0</v>
      </c>
      <c r="M108" s="28">
        <f t="shared" si="58"/>
        <v>2</v>
      </c>
      <c r="N108" s="29">
        <f t="shared" si="59"/>
        <v>4</v>
      </c>
      <c r="O108" s="28">
        <f t="shared" si="60"/>
        <v>0</v>
      </c>
      <c r="P108" s="28">
        <f t="shared" si="61"/>
        <v>0</v>
      </c>
      <c r="Q108" s="28">
        <f t="shared" si="70"/>
        <v>6</v>
      </c>
      <c r="R108" s="22">
        <f t="shared" si="71"/>
        <v>0</v>
      </c>
      <c r="S108" s="22">
        <f t="shared" si="72"/>
        <v>0</v>
      </c>
      <c r="T108" s="22">
        <f t="shared" si="73"/>
        <v>0</v>
      </c>
      <c r="U108" s="22">
        <f t="shared" si="74"/>
        <v>0</v>
      </c>
      <c r="V108" s="21">
        <f t="shared" ref="V108:V117" si="79">IFERROR(R108*($I$33/M108),0)</f>
        <v>0</v>
      </c>
      <c r="W108" s="21">
        <f t="shared" ref="W108:W118" si="80">S108*($I$34/N108)</f>
        <v>0</v>
      </c>
      <c r="X108" s="21">
        <f t="shared" ref="X108:X171" si="81">IFERROR(T108*($I$35/O108),0)</f>
        <v>0</v>
      </c>
      <c r="Y108" s="21">
        <f t="shared" ref="Y108:Y171" si="82">IFERROR(U108*($I$36/P108),0)</f>
        <v>0</v>
      </c>
      <c r="Z108" s="221">
        <f t="shared" si="75"/>
        <v>0</v>
      </c>
      <c r="AA108" s="30">
        <f t="shared" si="62"/>
        <v>0</v>
      </c>
      <c r="AB108" s="30">
        <f t="shared" si="63"/>
        <v>0</v>
      </c>
      <c r="AC108" s="30">
        <f t="shared" si="64"/>
        <v>0</v>
      </c>
      <c r="AD108" s="30">
        <f t="shared" si="65"/>
        <v>0</v>
      </c>
      <c r="AE108" s="32">
        <f t="shared" si="76"/>
        <v>0</v>
      </c>
      <c r="AF108" s="33">
        <f t="shared" si="47"/>
        <v>4.456990046055564</v>
      </c>
      <c r="AG108" s="40">
        <f t="shared" si="77"/>
        <v>0</v>
      </c>
      <c r="AH108" s="224">
        <f>AG108*$P$36</f>
        <v>0</v>
      </c>
      <c r="AI108" s="226">
        <f>SUM(Z108,IF(Z108&lt;&gt;0,$F$34,0),IF(Z108&lt;&gt;0,$N$36,0),IF(Z108&lt;&gt;0,$T$36,0),IF(Z108=0,AH113,IF(Z108=1,AH114,IF(Z108=2,AH115,IF(Z108=3,AH116,IF(Z108=4,AH117,IF(Z108=5,AH118,IF(Z108=6,AH119,IF(Z108=7,AH120,IF(Z108=8,AH121,IF(Z108=9,AH122,IF(Z108=10,AH123,IF(Z108=11,AH124,IF(Z108=12,AH125,IF(Z108=13,AH126,IF(Z108=14,AH127,IF(Z108=15,AH128,IF(Z108=16,AH129,IF(Z108=17,AH130,IF(Z108=18,AH131,IF(Z108=19,AH132,IF(Z108=20,AH133,IF(Z108=21,AH134,IF(Z108=22,AH135,IF(Z108=23,AH136,IF(Z108=24,AH137,IF(Z108=25,AH138,IF(Z108=26,AH139,IF(Z108=27,AH140,IF(Z108=28,AH141,IF(Z108=29,AH142,IF(Z108=30,AH143))))))))))))))))))))))))))))))))</f>
        <v>0</v>
      </c>
      <c r="AJ108" s="253">
        <f>IF(V108&lt;&gt;0,SUM($F$34,V108,$N$36,MAX($AH$42:$AH$342),$T$36),0)</f>
        <v>0</v>
      </c>
      <c r="AK108" s="253">
        <f>IF(W108&lt;&gt;0,SUM($F$34,W108,$N$36,MAX($AH$42:$AH$342),$T$36),0)</f>
        <v>0</v>
      </c>
      <c r="AL108" s="253">
        <f>IF(X108&lt;&gt;0,SUM($F$34,X108,$N$36,MAX($AH$42:$AH$342),$T$36),0)</f>
        <v>0</v>
      </c>
      <c r="AM108" s="260">
        <f>IF(Y108&lt;&gt;0,SUM($F$34,Y108,$N$36,MAX($AH$42:$AH$342),$T$36),0)</f>
        <v>0</v>
      </c>
    </row>
    <row r="109" spans="1:39" x14ac:dyDescent="0.35">
      <c r="A109" s="259">
        <v>1407</v>
      </c>
      <c r="B109" s="58">
        <f>SUMIF([2]!Table2_23[ETA],'FIS Optimal Model (2)'!A109,[2]!Table2_23[FIS PAX])</f>
        <v>0</v>
      </c>
      <c r="C109" s="44">
        <f t="shared" si="78"/>
        <v>0</v>
      </c>
      <c r="D109" s="52">
        <f t="shared" ref="D109:D172" si="83">MAX(D108-$E$34+B108,0)</f>
        <v>0</v>
      </c>
      <c r="E109" s="26">
        <f t="shared" si="66"/>
        <v>0</v>
      </c>
      <c r="F109" s="26">
        <f t="shared" si="67"/>
        <v>0</v>
      </c>
      <c r="G109" s="26">
        <f t="shared" si="68"/>
        <v>0</v>
      </c>
      <c r="H109" s="26">
        <f t="shared" si="69"/>
        <v>0</v>
      </c>
      <c r="I109" s="27">
        <f t="shared" si="48"/>
        <v>0</v>
      </c>
      <c r="J109" s="27">
        <f t="shared" si="48"/>
        <v>0</v>
      </c>
      <c r="K109" s="27">
        <f t="shared" si="48"/>
        <v>0</v>
      </c>
      <c r="L109" s="27">
        <f t="shared" si="48"/>
        <v>0</v>
      </c>
      <c r="M109" s="28">
        <f t="shared" si="58"/>
        <v>2</v>
      </c>
      <c r="N109" s="29">
        <f t="shared" si="59"/>
        <v>4</v>
      </c>
      <c r="O109" s="28">
        <f t="shared" si="60"/>
        <v>0</v>
      </c>
      <c r="P109" s="28">
        <f t="shared" si="61"/>
        <v>0</v>
      </c>
      <c r="Q109" s="28">
        <f t="shared" si="70"/>
        <v>6</v>
      </c>
      <c r="R109" s="22">
        <f t="shared" si="71"/>
        <v>0</v>
      </c>
      <c r="S109" s="22">
        <f t="shared" si="72"/>
        <v>0</v>
      </c>
      <c r="T109" s="22">
        <f t="shared" si="73"/>
        <v>0</v>
      </c>
      <c r="U109" s="22">
        <f t="shared" si="74"/>
        <v>0</v>
      </c>
      <c r="V109" s="21">
        <f t="shared" si="79"/>
        <v>0</v>
      </c>
      <c r="W109" s="21">
        <f t="shared" si="80"/>
        <v>0</v>
      </c>
      <c r="X109" s="21">
        <f t="shared" si="81"/>
        <v>0</v>
      </c>
      <c r="Y109" s="21">
        <f t="shared" si="82"/>
        <v>0</v>
      </c>
      <c r="Z109" s="221">
        <f t="shared" si="75"/>
        <v>0</v>
      </c>
      <c r="AA109" s="30">
        <f t="shared" si="62"/>
        <v>0</v>
      </c>
      <c r="AB109" s="30">
        <f t="shared" si="63"/>
        <v>0</v>
      </c>
      <c r="AC109" s="30">
        <f t="shared" si="64"/>
        <v>0</v>
      </c>
      <c r="AD109" s="30">
        <f t="shared" si="65"/>
        <v>0</v>
      </c>
      <c r="AE109" s="32">
        <f t="shared" si="76"/>
        <v>0</v>
      </c>
      <c r="AF109" s="33">
        <f t="shared" si="47"/>
        <v>4.456990046055564</v>
      </c>
      <c r="AG109" s="40">
        <f t="shared" si="77"/>
        <v>0</v>
      </c>
      <c r="AH109" s="224">
        <f>AG109*$P$36</f>
        <v>0</v>
      </c>
      <c r="AI109" s="226">
        <f>SUM(Z109,IF(Z109&lt;&gt;0,$F$34,0),IF(Z109&lt;&gt;0,$N$36,0),IF(Z109&lt;&gt;0,$T$36,0),IF(Z109=0,AH114,IF(Z109=1,AH115,IF(Z109=2,AH116,IF(Z109=3,AH117,IF(Z109=4,AH118,IF(Z109=5,AH119,IF(Z109=6,AH120,IF(Z109=7,AH121,IF(Z109=8,AH122,IF(Z109=9,AH123,IF(Z109=10,AH124,IF(Z109=11,AH125,IF(Z109=12,AH126,IF(Z109=13,AH127,IF(Z109=14,AH128,IF(Z109=15,AH129,IF(Z109=16,AH130,IF(Z109=17,AH131,IF(Z109=18,AH132,IF(Z109=19,AH133,IF(Z109=20,AH134,IF(Z109=21,AH135,IF(Z109=22,AH136,IF(Z109=23,AH137,IF(Z109=24,AH138,IF(Z109=25,AH139,IF(Z109=26,AH140,IF(Z109=27,AH141,IF(Z109=28,AH142,IF(Z109=29,AH143,IF(Z109=30,AH144))))))))))))))))))))))))))))))))</f>
        <v>0</v>
      </c>
      <c r="AJ109" s="253">
        <f>IF(V109&lt;&gt;0,SUM($F$34,V109,$N$36,MAX($AH$42:$AH$342),$T$36),0)</f>
        <v>0</v>
      </c>
      <c r="AK109" s="253">
        <f>IF(W109&lt;&gt;0,SUM($F$34,W109,$N$36,MAX($AH$42:$AH$342),$T$36),0)</f>
        <v>0</v>
      </c>
      <c r="AL109" s="253">
        <f>IF(X109&lt;&gt;0,SUM($F$34,X109,$N$36,MAX($AH$42:$AH$342),$T$36),0)</f>
        <v>0</v>
      </c>
      <c r="AM109" s="260">
        <f>IF(Y109&lt;&gt;0,SUM($F$34,Y109,$N$36,MAX($AH$42:$AH$342),$T$36),0)</f>
        <v>0</v>
      </c>
    </row>
    <row r="110" spans="1:39" x14ac:dyDescent="0.35">
      <c r="A110" s="259">
        <v>1408</v>
      </c>
      <c r="B110" s="58">
        <f>SUMIF([2]!Table2_23[ETA],'FIS Optimal Model (2)'!A110,[2]!Table2_23[FIS PAX])</f>
        <v>0</v>
      </c>
      <c r="C110" s="44">
        <f t="shared" si="78"/>
        <v>0</v>
      </c>
      <c r="D110" s="52">
        <f t="shared" si="83"/>
        <v>0</v>
      </c>
      <c r="E110" s="26">
        <f t="shared" si="66"/>
        <v>0</v>
      </c>
      <c r="F110" s="26">
        <f t="shared" si="67"/>
        <v>0</v>
      </c>
      <c r="G110" s="26">
        <f t="shared" si="68"/>
        <v>0</v>
      </c>
      <c r="H110" s="26">
        <f t="shared" si="69"/>
        <v>0</v>
      </c>
      <c r="I110" s="27">
        <f t="shared" si="48"/>
        <v>0</v>
      </c>
      <c r="J110" s="27">
        <f t="shared" si="48"/>
        <v>0</v>
      </c>
      <c r="K110" s="27">
        <f t="shared" si="48"/>
        <v>0</v>
      </c>
      <c r="L110" s="27">
        <f t="shared" si="48"/>
        <v>0</v>
      </c>
      <c r="M110" s="28">
        <f t="shared" si="58"/>
        <v>2</v>
      </c>
      <c r="N110" s="29">
        <f t="shared" si="59"/>
        <v>4</v>
      </c>
      <c r="O110" s="28">
        <f t="shared" si="60"/>
        <v>0</v>
      </c>
      <c r="P110" s="28">
        <f t="shared" si="61"/>
        <v>0</v>
      </c>
      <c r="Q110" s="28">
        <f t="shared" si="70"/>
        <v>6</v>
      </c>
      <c r="R110" s="22">
        <f t="shared" si="71"/>
        <v>0</v>
      </c>
      <c r="S110" s="22">
        <f t="shared" si="72"/>
        <v>0</v>
      </c>
      <c r="T110" s="22">
        <f t="shared" si="73"/>
        <v>0</v>
      </c>
      <c r="U110" s="22">
        <f t="shared" si="74"/>
        <v>0</v>
      </c>
      <c r="V110" s="21">
        <f t="shared" si="79"/>
        <v>0</v>
      </c>
      <c r="W110" s="21">
        <f t="shared" si="80"/>
        <v>0</v>
      </c>
      <c r="X110" s="21">
        <f t="shared" si="81"/>
        <v>0</v>
      </c>
      <c r="Y110" s="21">
        <f t="shared" si="82"/>
        <v>0</v>
      </c>
      <c r="Z110" s="221">
        <f t="shared" si="75"/>
        <v>0</v>
      </c>
      <c r="AA110" s="30">
        <f t="shared" si="62"/>
        <v>0</v>
      </c>
      <c r="AB110" s="30">
        <f t="shared" si="63"/>
        <v>0</v>
      </c>
      <c r="AC110" s="30">
        <f t="shared" si="64"/>
        <v>0</v>
      </c>
      <c r="AD110" s="30">
        <f t="shared" si="65"/>
        <v>0</v>
      </c>
      <c r="AE110" s="32">
        <f t="shared" si="76"/>
        <v>0</v>
      </c>
      <c r="AF110" s="33">
        <f t="shared" si="47"/>
        <v>4.456990046055564</v>
      </c>
      <c r="AG110" s="40">
        <f t="shared" si="77"/>
        <v>0</v>
      </c>
      <c r="AH110" s="224">
        <f>AG110*$P$36</f>
        <v>0</v>
      </c>
      <c r="AI110" s="226">
        <f>SUM(Z110,IF(Z110&lt;&gt;0,$F$34,0),IF(Z110&lt;&gt;0,$N$36,0),IF(Z110&lt;&gt;0,$T$36,0),IF(Z110=0,AH115,IF(Z110=1,AH116,IF(Z110=2,AH117,IF(Z110=3,AH118,IF(Z110=4,AH119,IF(Z110=5,AH120,IF(Z110=6,AH121,IF(Z110=7,AH122,IF(Z110=8,AH123,IF(Z110=9,AH124,IF(Z110=10,AH125,IF(Z110=11,AH126,IF(Z110=12,AH127,IF(Z110=13,AH128,IF(Z110=14,AH129,IF(Z110=15,AH130,IF(Z110=16,AH131,IF(Z110=17,AH132,IF(Z110=18,AH133,IF(Z110=19,AH134,IF(Z110=20,AH135,IF(Z110=21,AH136,IF(Z110=22,AH137,IF(Z110=23,AH138,IF(Z110=24,AH139,IF(Z110=25,AH140,IF(Z110=26,AH141,IF(Z110=27,AH142,IF(Z110=28,AH143,IF(Z110=29,AH144,IF(Z110=30,AH145))))))))))))))))))))))))))))))))</f>
        <v>0</v>
      </c>
      <c r="AJ110" s="253">
        <f>IF(V110&lt;&gt;0,SUM($F$34,V110,$N$36,MAX($AH$42:$AH$342),$T$36),0)</f>
        <v>0</v>
      </c>
      <c r="AK110" s="253">
        <f>IF(W110&lt;&gt;0,SUM($F$34,W110,$N$36,MAX($AH$42:$AH$342),$T$36),0)</f>
        <v>0</v>
      </c>
      <c r="AL110" s="253">
        <f>IF(X110&lt;&gt;0,SUM($F$34,X110,$N$36,MAX($AH$42:$AH$342),$T$36),0)</f>
        <v>0</v>
      </c>
      <c r="AM110" s="260">
        <f>IF(Y110&lt;&gt;0,SUM($F$34,Y110,$N$36,MAX($AH$42:$AH$342),$T$36),0)</f>
        <v>0</v>
      </c>
    </row>
    <row r="111" spans="1:39" x14ac:dyDescent="0.35">
      <c r="A111" s="259">
        <v>1409</v>
      </c>
      <c r="B111" s="58">
        <f>SUMIF([2]!Table2_23[ETA],'FIS Optimal Model (2)'!A111,[2]!Table2_23[FIS PAX])</f>
        <v>0</v>
      </c>
      <c r="C111" s="44">
        <f t="shared" si="78"/>
        <v>0</v>
      </c>
      <c r="D111" s="52">
        <f t="shared" si="83"/>
        <v>0</v>
      </c>
      <c r="E111" s="26">
        <f t="shared" si="66"/>
        <v>0</v>
      </c>
      <c r="F111" s="26">
        <f t="shared" si="67"/>
        <v>0</v>
      </c>
      <c r="G111" s="26">
        <f t="shared" si="68"/>
        <v>0</v>
      </c>
      <c r="H111" s="26">
        <f t="shared" si="69"/>
        <v>0</v>
      </c>
      <c r="I111" s="27">
        <f t="shared" si="48"/>
        <v>0</v>
      </c>
      <c r="J111" s="27">
        <f t="shared" si="48"/>
        <v>0</v>
      </c>
      <c r="K111" s="27">
        <f t="shared" si="48"/>
        <v>0</v>
      </c>
      <c r="L111" s="27">
        <f t="shared" si="48"/>
        <v>0</v>
      </c>
      <c r="M111" s="28">
        <f t="shared" si="58"/>
        <v>2</v>
      </c>
      <c r="N111" s="29">
        <f t="shared" si="59"/>
        <v>4</v>
      </c>
      <c r="O111" s="28">
        <f t="shared" si="60"/>
        <v>0</v>
      </c>
      <c r="P111" s="28">
        <f t="shared" si="61"/>
        <v>0</v>
      </c>
      <c r="Q111" s="28">
        <f t="shared" si="70"/>
        <v>6</v>
      </c>
      <c r="R111" s="22">
        <f t="shared" si="71"/>
        <v>0</v>
      </c>
      <c r="S111" s="22">
        <f t="shared" si="72"/>
        <v>0</v>
      </c>
      <c r="T111" s="22">
        <f t="shared" si="73"/>
        <v>0</v>
      </c>
      <c r="U111" s="22">
        <f t="shared" si="74"/>
        <v>0</v>
      </c>
      <c r="V111" s="21">
        <f t="shared" si="79"/>
        <v>0</v>
      </c>
      <c r="W111" s="21">
        <f t="shared" si="80"/>
        <v>0</v>
      </c>
      <c r="X111" s="21">
        <f t="shared" si="81"/>
        <v>0</v>
      </c>
      <c r="Y111" s="21">
        <f t="shared" si="82"/>
        <v>0</v>
      </c>
      <c r="Z111" s="221">
        <f t="shared" si="75"/>
        <v>0</v>
      </c>
      <c r="AA111" s="30">
        <f t="shared" si="62"/>
        <v>0</v>
      </c>
      <c r="AB111" s="30">
        <f t="shared" si="63"/>
        <v>0</v>
      </c>
      <c r="AC111" s="30">
        <f t="shared" si="64"/>
        <v>0</v>
      </c>
      <c r="AD111" s="30">
        <f t="shared" si="65"/>
        <v>0</v>
      </c>
      <c r="AE111" s="32">
        <f t="shared" si="76"/>
        <v>0</v>
      </c>
      <c r="AF111" s="33">
        <f t="shared" ref="AF111:AF174" si="84">AE107</f>
        <v>0</v>
      </c>
      <c r="AG111" s="40">
        <f t="shared" si="77"/>
        <v>0</v>
      </c>
      <c r="AH111" s="224">
        <f>AG111*$P$36</f>
        <v>0</v>
      </c>
      <c r="AI111" s="226">
        <f>SUM(Z111,IF(Z111&lt;&gt;0,$F$34,0),IF(Z111&lt;&gt;0,$N$36,0),IF(Z111&lt;&gt;0,$T$36,0),IF(Z111=0,AH116,IF(Z111=1,AH117,IF(Z111=2,AH118,IF(Z111=3,AH119,IF(Z111=4,AH120,IF(Z111=5,AH121,IF(Z111=6,AH122,IF(Z111=7,AH123,IF(Z111=8,AH124,IF(Z111=9,AH125,IF(Z111=10,AH126,IF(Z111=11,AH127,IF(Z111=12,AH128,IF(Z111=13,AH129,IF(Z111=14,AH130,IF(Z111=15,AH131,IF(Z111=16,AH132,IF(Z111=17,AH133,IF(Z111=18,AH134,IF(Z111=19,AH135,IF(Z111=20,AH136,IF(Z111=21,AH137,IF(Z111=22,AH138,IF(Z111=23,AH139,IF(Z111=24,AH140,IF(Z111=25,AH141,IF(Z111=26,AH142,IF(Z111=27,AH143,IF(Z111=28,AH144,IF(Z111=29,AH145,IF(Z111=30,AH146))))))))))))))))))))))))))))))))</f>
        <v>0</v>
      </c>
      <c r="AJ111" s="253">
        <f>IF(V111&lt;&gt;0,SUM($F$34,V111,$N$36,MAX($AH$42:$AH$342),$T$36),0)</f>
        <v>0</v>
      </c>
      <c r="AK111" s="253">
        <f>IF(W111&lt;&gt;0,SUM($F$34,W111,$N$36,MAX($AH$42:$AH$342),$T$36),0)</f>
        <v>0</v>
      </c>
      <c r="AL111" s="253">
        <f>IF(X111&lt;&gt;0,SUM($F$34,X111,$N$36,MAX($AH$42:$AH$342),$T$36),0)</f>
        <v>0</v>
      </c>
      <c r="AM111" s="260">
        <f>IF(Y111&lt;&gt;0,SUM($F$34,Y111,$N$36,MAX($AH$42:$AH$342),$T$36),0)</f>
        <v>0</v>
      </c>
    </row>
    <row r="112" spans="1:39" x14ac:dyDescent="0.35">
      <c r="A112" s="259">
        <v>1410</v>
      </c>
      <c r="B112" s="58">
        <f>SUMIF([2]!Table2_23[ETA],'FIS Optimal Model (2)'!A112,[2]!Table2_23[FIS PAX])</f>
        <v>0</v>
      </c>
      <c r="C112" s="44">
        <f t="shared" si="78"/>
        <v>0</v>
      </c>
      <c r="D112" s="52">
        <f t="shared" si="83"/>
        <v>0</v>
      </c>
      <c r="E112" s="26">
        <f t="shared" si="66"/>
        <v>0</v>
      </c>
      <c r="F112" s="26">
        <f t="shared" si="67"/>
        <v>0</v>
      </c>
      <c r="G112" s="26">
        <f t="shared" si="68"/>
        <v>0</v>
      </c>
      <c r="H112" s="26">
        <f t="shared" si="69"/>
        <v>0</v>
      </c>
      <c r="I112" s="27">
        <f t="shared" ref="I112:L175" si="85">E107</f>
        <v>0</v>
      </c>
      <c r="J112" s="27">
        <f t="shared" si="85"/>
        <v>0</v>
      </c>
      <c r="K112" s="27">
        <f t="shared" si="85"/>
        <v>0</v>
      </c>
      <c r="L112" s="27">
        <f t="shared" si="85"/>
        <v>0</v>
      </c>
      <c r="M112" s="28">
        <f t="shared" si="58"/>
        <v>2</v>
      </c>
      <c r="N112" s="29">
        <f t="shared" si="59"/>
        <v>4</v>
      </c>
      <c r="O112" s="28">
        <f t="shared" si="60"/>
        <v>0</v>
      </c>
      <c r="P112" s="28">
        <f t="shared" si="61"/>
        <v>0</v>
      </c>
      <c r="Q112" s="28">
        <f t="shared" si="70"/>
        <v>6</v>
      </c>
      <c r="R112" s="22">
        <f t="shared" si="71"/>
        <v>0</v>
      </c>
      <c r="S112" s="22">
        <f t="shared" si="72"/>
        <v>0</v>
      </c>
      <c r="T112" s="22">
        <f t="shared" si="73"/>
        <v>0</v>
      </c>
      <c r="U112" s="22">
        <f t="shared" si="74"/>
        <v>0</v>
      </c>
      <c r="V112" s="21">
        <f t="shared" si="79"/>
        <v>0</v>
      </c>
      <c r="W112" s="21">
        <f t="shared" si="80"/>
        <v>0</v>
      </c>
      <c r="X112" s="21">
        <f t="shared" si="81"/>
        <v>0</v>
      </c>
      <c r="Y112" s="21">
        <f t="shared" si="82"/>
        <v>0</v>
      </c>
      <c r="Z112" s="221">
        <f t="shared" si="75"/>
        <v>0</v>
      </c>
      <c r="AA112" s="30">
        <f t="shared" si="62"/>
        <v>0</v>
      </c>
      <c r="AB112" s="30">
        <f t="shared" si="63"/>
        <v>0</v>
      </c>
      <c r="AC112" s="30">
        <f t="shared" si="64"/>
        <v>0</v>
      </c>
      <c r="AD112" s="30">
        <f t="shared" si="65"/>
        <v>0</v>
      </c>
      <c r="AE112" s="32">
        <f t="shared" si="76"/>
        <v>0</v>
      </c>
      <c r="AF112" s="33">
        <f t="shared" si="84"/>
        <v>0</v>
      </c>
      <c r="AG112" s="40">
        <f t="shared" si="77"/>
        <v>0</v>
      </c>
      <c r="AH112" s="224">
        <f>AG112*$P$36</f>
        <v>0</v>
      </c>
      <c r="AI112" s="226">
        <f>SUM(Z112,IF(Z112&lt;&gt;0,$F$34,0),IF(Z112&lt;&gt;0,$N$36,0),IF(Z112&lt;&gt;0,$T$36,0),IF(Z112=0,AH117,IF(Z112=1,AH118,IF(Z112=2,AH119,IF(Z112=3,AH120,IF(Z112=4,AH121,IF(Z112=5,AH122,IF(Z112=6,AH123,IF(Z112=7,AH124,IF(Z112=8,AH125,IF(Z112=9,AH126,IF(Z112=10,AH127,IF(Z112=11,AH128,IF(Z112=12,AH129,IF(Z112=13,AH130,IF(Z112=14,AH131,IF(Z112=15,AH132,IF(Z112=16,AH133,IF(Z112=17,AH134,IF(Z112=18,AH135,IF(Z112=19,AH136,IF(Z112=20,AH137,IF(Z112=21,AH138,IF(Z112=22,AH139,IF(Z112=23,AH140,IF(Z112=24,AH141,IF(Z112=25,AH142,IF(Z112=26,AH143,IF(Z112=27,AH144,IF(Z112=28,AH145,IF(Z112=29,AH146,IF(Z112=30,AH147))))))))))))))))))))))))))))))))</f>
        <v>0</v>
      </c>
      <c r="AJ112" s="253">
        <f>IF(V112&lt;&gt;0,SUM($F$34,V112,$N$36,MAX($AH$42:$AH$342),$T$36),0)</f>
        <v>0</v>
      </c>
      <c r="AK112" s="253">
        <f>IF(W112&lt;&gt;0,SUM($F$34,W112,$N$36,MAX($AH$42:$AH$342),$T$36),0)</f>
        <v>0</v>
      </c>
      <c r="AL112" s="253">
        <f>IF(X112&lt;&gt;0,SUM($F$34,X112,$N$36,MAX($AH$42:$AH$342),$T$36),0)</f>
        <v>0</v>
      </c>
      <c r="AM112" s="260">
        <f>IF(Y112&lt;&gt;0,SUM($F$34,Y112,$N$36,MAX($AH$42:$AH$342),$T$36),0)</f>
        <v>0</v>
      </c>
    </row>
    <row r="113" spans="1:39" x14ac:dyDescent="0.35">
      <c r="A113" s="259">
        <v>1411</v>
      </c>
      <c r="B113" s="58">
        <f>SUMIF([2]!Table2_23[ETA],'FIS Optimal Model (2)'!A113,[2]!Table2_23[FIS PAX])</f>
        <v>0</v>
      </c>
      <c r="C113" s="44">
        <f t="shared" si="78"/>
        <v>0</v>
      </c>
      <c r="D113" s="52">
        <f t="shared" si="83"/>
        <v>0</v>
      </c>
      <c r="E113" s="26">
        <f t="shared" si="66"/>
        <v>0</v>
      </c>
      <c r="F113" s="26">
        <f t="shared" si="67"/>
        <v>0</v>
      </c>
      <c r="G113" s="26">
        <f t="shared" si="68"/>
        <v>0</v>
      </c>
      <c r="H113" s="26">
        <f t="shared" si="69"/>
        <v>0</v>
      </c>
      <c r="I113" s="27">
        <f t="shared" si="85"/>
        <v>0</v>
      </c>
      <c r="J113" s="27">
        <f t="shared" si="85"/>
        <v>0</v>
      </c>
      <c r="K113" s="27">
        <f t="shared" si="85"/>
        <v>0</v>
      </c>
      <c r="L113" s="27">
        <f t="shared" si="85"/>
        <v>0</v>
      </c>
      <c r="M113" s="28">
        <f t="shared" si="58"/>
        <v>2</v>
      </c>
      <c r="N113" s="29">
        <f t="shared" si="59"/>
        <v>4</v>
      </c>
      <c r="O113" s="28">
        <f t="shared" si="60"/>
        <v>0</v>
      </c>
      <c r="P113" s="28">
        <f t="shared" si="61"/>
        <v>0</v>
      </c>
      <c r="Q113" s="28">
        <f t="shared" si="70"/>
        <v>6</v>
      </c>
      <c r="R113" s="22">
        <f t="shared" si="71"/>
        <v>0</v>
      </c>
      <c r="S113" s="22">
        <f t="shared" si="72"/>
        <v>0</v>
      </c>
      <c r="T113" s="22">
        <f t="shared" si="73"/>
        <v>0</v>
      </c>
      <c r="U113" s="22">
        <f t="shared" si="74"/>
        <v>0</v>
      </c>
      <c r="V113" s="21">
        <f t="shared" si="79"/>
        <v>0</v>
      </c>
      <c r="W113" s="21">
        <f t="shared" si="80"/>
        <v>0</v>
      </c>
      <c r="X113" s="21">
        <f t="shared" si="81"/>
        <v>0</v>
      </c>
      <c r="Y113" s="21">
        <f t="shared" si="82"/>
        <v>0</v>
      </c>
      <c r="Z113" s="221">
        <f t="shared" si="75"/>
        <v>0</v>
      </c>
      <c r="AA113" s="30">
        <f t="shared" si="62"/>
        <v>0</v>
      </c>
      <c r="AB113" s="30">
        <f t="shared" si="63"/>
        <v>0</v>
      </c>
      <c r="AC113" s="30">
        <f t="shared" si="64"/>
        <v>0</v>
      </c>
      <c r="AD113" s="30">
        <f t="shared" si="65"/>
        <v>0</v>
      </c>
      <c r="AE113" s="32">
        <f t="shared" si="76"/>
        <v>0</v>
      </c>
      <c r="AF113" s="33">
        <f t="shared" si="84"/>
        <v>0</v>
      </c>
      <c r="AG113" s="40">
        <f t="shared" si="77"/>
        <v>0</v>
      </c>
      <c r="AH113" s="224">
        <f>AG113*$P$36</f>
        <v>0</v>
      </c>
      <c r="AI113" s="226">
        <f>SUM(Z113,IF(Z113&lt;&gt;0,$F$34,0),IF(Z113&lt;&gt;0,$N$36,0),IF(Z113&lt;&gt;0,$T$36,0),IF(Z113=0,AH118,IF(Z113=1,AH119,IF(Z113=2,AH120,IF(Z113=3,AH121,IF(Z113=4,AH122,IF(Z113=5,AH123,IF(Z113=6,AH124,IF(Z113=7,AH125,IF(Z113=8,AH126,IF(Z113=9,AH127,IF(Z113=10,AH128,IF(Z113=11,AH129,IF(Z113=12,AH130,IF(Z113=13,AH131,IF(Z113=14,AH132,IF(Z113=15,AH133,IF(Z113=16,AH134,IF(Z113=17,AH135,IF(Z113=18,AH136,IF(Z113=19,AH137,IF(Z113=20,AH138,IF(Z113=21,AH139,IF(Z113=22,AH140,IF(Z113=23,AH141,IF(Z113=24,AH142,IF(Z113=25,AH143,IF(Z113=26,AH144,IF(Z113=27,AH145,IF(Z113=28,AH146,IF(Z113=29,AH147,IF(Z113=30,AH148))))))))))))))))))))))))))))))))</f>
        <v>0</v>
      </c>
      <c r="AJ113" s="253">
        <f>IF(V113&lt;&gt;0,SUM($F$34,V113,$N$36,MAX($AH$42:$AH$342),$T$36),0)</f>
        <v>0</v>
      </c>
      <c r="AK113" s="253">
        <f>IF(W113&lt;&gt;0,SUM($F$34,W113,$N$36,MAX($AH$42:$AH$342),$T$36),0)</f>
        <v>0</v>
      </c>
      <c r="AL113" s="253">
        <f>IF(X113&lt;&gt;0,SUM($F$34,X113,$N$36,MAX($AH$42:$AH$342),$T$36),0)</f>
        <v>0</v>
      </c>
      <c r="AM113" s="260">
        <f>IF(Y113&lt;&gt;0,SUM($F$34,Y113,$N$36,MAX($AH$42:$AH$342),$T$36),0)</f>
        <v>0</v>
      </c>
    </row>
    <row r="114" spans="1:39" x14ac:dyDescent="0.35">
      <c r="A114" s="259">
        <v>1412</v>
      </c>
      <c r="B114" s="58">
        <f>SUMIF([2]!Table2_23[ETA],'FIS Optimal Model (2)'!A114,[2]!Table2_23[FIS PAX])</f>
        <v>0</v>
      </c>
      <c r="C114" s="44">
        <f t="shared" si="78"/>
        <v>0</v>
      </c>
      <c r="D114" s="52">
        <f t="shared" si="83"/>
        <v>0</v>
      </c>
      <c r="E114" s="26">
        <f t="shared" si="66"/>
        <v>0</v>
      </c>
      <c r="F114" s="26">
        <f t="shared" si="67"/>
        <v>0</v>
      </c>
      <c r="G114" s="26">
        <f t="shared" si="68"/>
        <v>0</v>
      </c>
      <c r="H114" s="26">
        <f t="shared" si="69"/>
        <v>0</v>
      </c>
      <c r="I114" s="27">
        <f t="shared" si="85"/>
        <v>0</v>
      </c>
      <c r="J114" s="27">
        <f t="shared" si="85"/>
        <v>0</v>
      </c>
      <c r="K114" s="27">
        <f t="shared" si="85"/>
        <v>0</v>
      </c>
      <c r="L114" s="27">
        <f t="shared" si="85"/>
        <v>0</v>
      </c>
      <c r="M114" s="28">
        <f t="shared" si="58"/>
        <v>2</v>
      </c>
      <c r="N114" s="29">
        <f t="shared" si="59"/>
        <v>4</v>
      </c>
      <c r="O114" s="28">
        <f t="shared" si="60"/>
        <v>0</v>
      </c>
      <c r="P114" s="28">
        <f t="shared" si="61"/>
        <v>0</v>
      </c>
      <c r="Q114" s="28">
        <f t="shared" si="70"/>
        <v>6</v>
      </c>
      <c r="R114" s="22">
        <f t="shared" si="71"/>
        <v>0</v>
      </c>
      <c r="S114" s="22">
        <f t="shared" si="72"/>
        <v>0</v>
      </c>
      <c r="T114" s="22">
        <f t="shared" si="73"/>
        <v>0</v>
      </c>
      <c r="U114" s="22">
        <f t="shared" si="74"/>
        <v>0</v>
      </c>
      <c r="V114" s="21">
        <f t="shared" si="79"/>
        <v>0</v>
      </c>
      <c r="W114" s="21">
        <f t="shared" si="80"/>
        <v>0</v>
      </c>
      <c r="X114" s="21">
        <f t="shared" si="81"/>
        <v>0</v>
      </c>
      <c r="Y114" s="21">
        <f t="shared" si="82"/>
        <v>0</v>
      </c>
      <c r="Z114" s="221">
        <f t="shared" si="75"/>
        <v>0</v>
      </c>
      <c r="AA114" s="30">
        <f t="shared" si="62"/>
        <v>0</v>
      </c>
      <c r="AB114" s="30">
        <f t="shared" si="63"/>
        <v>0</v>
      </c>
      <c r="AC114" s="30">
        <f t="shared" si="64"/>
        <v>0</v>
      </c>
      <c r="AD114" s="30">
        <f t="shared" si="65"/>
        <v>0</v>
      </c>
      <c r="AE114" s="32">
        <f t="shared" si="76"/>
        <v>0</v>
      </c>
      <c r="AF114" s="33">
        <f t="shared" si="84"/>
        <v>0</v>
      </c>
      <c r="AG114" s="40">
        <f t="shared" si="77"/>
        <v>0</v>
      </c>
      <c r="AH114" s="224">
        <f>AG114*$P$36</f>
        <v>0</v>
      </c>
      <c r="AI114" s="226">
        <f>SUM(Z114,IF(Z114&lt;&gt;0,$F$34,0),IF(Z114&lt;&gt;0,$N$36,0),IF(Z114&lt;&gt;0,$T$36,0),IF(Z114=0,AH119,IF(Z114=1,AH120,IF(Z114=2,AH121,IF(Z114=3,AH122,IF(Z114=4,AH123,IF(Z114=5,AH124,IF(Z114=6,AH125,IF(Z114=7,AH126,IF(Z114=8,AH127,IF(Z114=9,AH128,IF(Z114=10,AH129,IF(Z114=11,AH130,IF(Z114=12,AH131,IF(Z114=13,AH132,IF(Z114=14,AH133,IF(Z114=15,AH134,IF(Z114=16,AH135,IF(Z114=17,AH136,IF(Z114=18,AH137,IF(Z114=19,AH138,IF(Z114=20,AH139,IF(Z114=21,AH140,IF(Z114=22,AH141,IF(Z114=23,AH142,IF(Z114=24,AH143,IF(Z114=25,AH144,IF(Z114=26,AH145,IF(Z114=27,AH146,IF(Z114=28,AH147,IF(Z114=29,AH148,IF(Z114=30,AH149))))))))))))))))))))))))))))))))</f>
        <v>0</v>
      </c>
      <c r="AJ114" s="253">
        <f>IF(V114&lt;&gt;0,SUM($F$34,V114,$N$36,MAX($AH$42:$AH$342),$T$36),0)</f>
        <v>0</v>
      </c>
      <c r="AK114" s="253">
        <f>IF(W114&lt;&gt;0,SUM($F$34,W114,$N$36,MAX($AH$42:$AH$342),$T$36),0)</f>
        <v>0</v>
      </c>
      <c r="AL114" s="253">
        <f>IF(X114&lt;&gt;0,SUM($F$34,X114,$N$36,MAX($AH$42:$AH$342),$T$36),0)</f>
        <v>0</v>
      </c>
      <c r="AM114" s="260">
        <f>IF(Y114&lt;&gt;0,SUM($F$34,Y114,$N$36,MAX($AH$42:$AH$342),$T$36),0)</f>
        <v>0</v>
      </c>
    </row>
    <row r="115" spans="1:39" x14ac:dyDescent="0.35">
      <c r="A115" s="259">
        <v>1413</v>
      </c>
      <c r="B115" s="58">
        <f>SUMIF([2]!Table2_23[ETA],'FIS Optimal Model (2)'!A115,[2]!Table2_23[FIS PAX])</f>
        <v>0</v>
      </c>
      <c r="C115" s="44">
        <f t="shared" si="78"/>
        <v>0</v>
      </c>
      <c r="D115" s="52">
        <f t="shared" si="83"/>
        <v>0</v>
      </c>
      <c r="E115" s="26">
        <f t="shared" si="66"/>
        <v>0</v>
      </c>
      <c r="F115" s="26">
        <f t="shared" si="67"/>
        <v>0</v>
      </c>
      <c r="G115" s="26">
        <f t="shared" si="68"/>
        <v>0</v>
      </c>
      <c r="H115" s="26">
        <f t="shared" si="69"/>
        <v>0</v>
      </c>
      <c r="I115" s="27">
        <f t="shared" si="85"/>
        <v>0</v>
      </c>
      <c r="J115" s="27">
        <f t="shared" si="85"/>
        <v>0</v>
      </c>
      <c r="K115" s="27">
        <f t="shared" si="85"/>
        <v>0</v>
      </c>
      <c r="L115" s="27">
        <f t="shared" si="85"/>
        <v>0</v>
      </c>
      <c r="M115" s="28">
        <f t="shared" si="58"/>
        <v>2</v>
      </c>
      <c r="N115" s="29">
        <f t="shared" si="59"/>
        <v>4</v>
      </c>
      <c r="O115" s="28">
        <f t="shared" si="60"/>
        <v>0</v>
      </c>
      <c r="P115" s="28">
        <f t="shared" si="61"/>
        <v>0</v>
      </c>
      <c r="Q115" s="28">
        <f t="shared" si="70"/>
        <v>6</v>
      </c>
      <c r="R115" s="22">
        <f t="shared" si="71"/>
        <v>0</v>
      </c>
      <c r="S115" s="22">
        <f t="shared" si="72"/>
        <v>0</v>
      </c>
      <c r="T115" s="22">
        <f t="shared" si="73"/>
        <v>0</v>
      </c>
      <c r="U115" s="22">
        <f t="shared" si="74"/>
        <v>0</v>
      </c>
      <c r="V115" s="21">
        <f t="shared" si="79"/>
        <v>0</v>
      </c>
      <c r="W115" s="21">
        <f t="shared" si="80"/>
        <v>0</v>
      </c>
      <c r="X115" s="21">
        <f t="shared" si="81"/>
        <v>0</v>
      </c>
      <c r="Y115" s="21">
        <f t="shared" si="82"/>
        <v>0</v>
      </c>
      <c r="Z115" s="221">
        <f t="shared" si="75"/>
        <v>0</v>
      </c>
      <c r="AA115" s="30">
        <f t="shared" si="62"/>
        <v>0</v>
      </c>
      <c r="AB115" s="30">
        <f t="shared" si="63"/>
        <v>0</v>
      </c>
      <c r="AC115" s="30">
        <f t="shared" si="64"/>
        <v>0</v>
      </c>
      <c r="AD115" s="30">
        <f t="shared" si="65"/>
        <v>0</v>
      </c>
      <c r="AE115" s="32">
        <f t="shared" si="76"/>
        <v>0</v>
      </c>
      <c r="AF115" s="33">
        <f t="shared" si="84"/>
        <v>0</v>
      </c>
      <c r="AG115" s="40">
        <f t="shared" si="77"/>
        <v>0</v>
      </c>
      <c r="AH115" s="224">
        <f>AG115*$P$36</f>
        <v>0</v>
      </c>
      <c r="AI115" s="226">
        <f>SUM(Z115,IF(Z115&lt;&gt;0,$F$34,0),IF(Z115&lt;&gt;0,$N$36,0),IF(Z115&lt;&gt;0,$T$36,0),IF(Z115=0,AH120,IF(Z115=1,AH121,IF(Z115=2,AH122,IF(Z115=3,AH123,IF(Z115=4,AH124,IF(Z115=5,AH125,IF(Z115=6,AH126,IF(Z115=7,AH127,IF(Z115=8,AH128,IF(Z115=9,AH129,IF(Z115=10,AH130,IF(Z115=11,AH131,IF(Z115=12,AH132,IF(Z115=13,AH133,IF(Z115=14,AH134,IF(Z115=15,AH135,IF(Z115=16,AH136,IF(Z115=17,AH137,IF(Z115=18,AH138,IF(Z115=19,AH139,IF(Z115=20,AH140,IF(Z115=21,AH141,IF(Z115=22,AH142,IF(Z115=23,AH143,IF(Z115=24,AH144,IF(Z115=25,AH145,IF(Z115=26,AH146,IF(Z115=27,AH147,IF(Z115=28,AH148,IF(Z115=29,AH149,IF(Z115=30,AH150))))))))))))))))))))))))))))))))</f>
        <v>0</v>
      </c>
      <c r="AJ115" s="253">
        <f>IF(V115&lt;&gt;0,SUM($F$34,V115,$N$36,MAX($AH$42:$AH$342),$T$36),0)</f>
        <v>0</v>
      </c>
      <c r="AK115" s="253">
        <f>IF(W115&lt;&gt;0,SUM($F$34,W115,$N$36,MAX($AH$42:$AH$342),$T$36),0)</f>
        <v>0</v>
      </c>
      <c r="AL115" s="253">
        <f>IF(X115&lt;&gt;0,SUM($F$34,X115,$N$36,MAX($AH$42:$AH$342),$T$36),0)</f>
        <v>0</v>
      </c>
      <c r="AM115" s="260">
        <f>IF(Y115&lt;&gt;0,SUM($F$34,Y115,$N$36,MAX($AH$42:$AH$342),$T$36),0)</f>
        <v>0</v>
      </c>
    </row>
    <row r="116" spans="1:39" x14ac:dyDescent="0.35">
      <c r="A116" s="259">
        <v>1414</v>
      </c>
      <c r="B116" s="58">
        <f>SUMIF([2]!Table2_23[ETA],'FIS Optimal Model (2)'!A116,[2]!Table2_23[FIS PAX])</f>
        <v>0</v>
      </c>
      <c r="C116" s="44">
        <f t="shared" si="78"/>
        <v>0</v>
      </c>
      <c r="D116" s="52">
        <f t="shared" si="83"/>
        <v>0</v>
      </c>
      <c r="E116" s="26">
        <f t="shared" si="66"/>
        <v>0</v>
      </c>
      <c r="F116" s="26">
        <f t="shared" si="67"/>
        <v>0</v>
      </c>
      <c r="G116" s="26">
        <f t="shared" si="68"/>
        <v>0</v>
      </c>
      <c r="H116" s="26">
        <f t="shared" si="69"/>
        <v>0</v>
      </c>
      <c r="I116" s="27">
        <f t="shared" si="85"/>
        <v>0</v>
      </c>
      <c r="J116" s="27">
        <f t="shared" si="85"/>
        <v>0</v>
      </c>
      <c r="K116" s="27">
        <f t="shared" si="85"/>
        <v>0</v>
      </c>
      <c r="L116" s="27">
        <f t="shared" si="85"/>
        <v>0</v>
      </c>
      <c r="M116" s="28">
        <f t="shared" si="58"/>
        <v>2</v>
      </c>
      <c r="N116" s="29">
        <f t="shared" si="59"/>
        <v>4</v>
      </c>
      <c r="O116" s="28">
        <f t="shared" si="60"/>
        <v>0</v>
      </c>
      <c r="P116" s="28">
        <f t="shared" si="61"/>
        <v>0</v>
      </c>
      <c r="Q116" s="28">
        <f t="shared" si="70"/>
        <v>6</v>
      </c>
      <c r="R116" s="22">
        <f t="shared" si="71"/>
        <v>0</v>
      </c>
      <c r="S116" s="22">
        <f t="shared" si="72"/>
        <v>0</v>
      </c>
      <c r="T116" s="22">
        <f t="shared" si="73"/>
        <v>0</v>
      </c>
      <c r="U116" s="22">
        <f t="shared" si="74"/>
        <v>0</v>
      </c>
      <c r="V116" s="21">
        <f t="shared" si="79"/>
        <v>0</v>
      </c>
      <c r="W116" s="21">
        <f t="shared" si="80"/>
        <v>0</v>
      </c>
      <c r="X116" s="21">
        <f t="shared" si="81"/>
        <v>0</v>
      </c>
      <c r="Y116" s="21">
        <f t="shared" si="82"/>
        <v>0</v>
      </c>
      <c r="Z116" s="221">
        <f t="shared" si="75"/>
        <v>0</v>
      </c>
      <c r="AA116" s="30">
        <f t="shared" si="62"/>
        <v>0</v>
      </c>
      <c r="AB116" s="30">
        <f t="shared" si="63"/>
        <v>0</v>
      </c>
      <c r="AC116" s="30">
        <f t="shared" si="64"/>
        <v>0</v>
      </c>
      <c r="AD116" s="30">
        <f t="shared" si="65"/>
        <v>0</v>
      </c>
      <c r="AE116" s="32">
        <f t="shared" si="76"/>
        <v>0</v>
      </c>
      <c r="AF116" s="33">
        <f t="shared" si="84"/>
        <v>0</v>
      </c>
      <c r="AG116" s="40">
        <f t="shared" si="77"/>
        <v>0</v>
      </c>
      <c r="AH116" s="224">
        <f>AG116*$P$36</f>
        <v>0</v>
      </c>
      <c r="AI116" s="226">
        <f>SUM(Z116,IF(Z116&lt;&gt;0,$F$34,0),IF(Z116&lt;&gt;0,$N$36,0),IF(Z116&lt;&gt;0,$T$36,0),IF(Z116=0,AH121,IF(Z116=1,AH122,IF(Z116=2,AH123,IF(Z116=3,AH124,IF(Z116=4,AH125,IF(Z116=5,AH126,IF(Z116=6,AH127,IF(Z116=7,AH128,IF(Z116=8,AH129,IF(Z116=9,AH130,IF(Z116=10,AH131,IF(Z116=11,AH132,IF(Z116=12,AH133,IF(Z116=13,AH134,IF(Z116=14,AH135,IF(Z116=15,AH136,IF(Z116=16,AH137,IF(Z116=17,AH138,IF(Z116=18,AH139,IF(Z116=19,AH140,IF(Z116=20,AH141,IF(Z116=21,AH142,IF(Z116=22,AH143,IF(Z116=23,AH144,IF(Z116=24,AH145,IF(Z116=25,AH146,IF(Z116=26,AH147,IF(Z116=27,AH148,IF(Z116=28,AH149,IF(Z116=29,AH150,IF(Z116=30,AH151))))))))))))))))))))))))))))))))</f>
        <v>0</v>
      </c>
      <c r="AJ116" s="253">
        <f>IF(V116&lt;&gt;0,SUM($F$34,V116,$N$36,MAX($AH$42:$AH$342),$T$36),0)</f>
        <v>0</v>
      </c>
      <c r="AK116" s="253">
        <f>IF(W116&lt;&gt;0,SUM($F$34,W116,$N$36,MAX($AH$42:$AH$342),$T$36),0)</f>
        <v>0</v>
      </c>
      <c r="AL116" s="253">
        <f>IF(X116&lt;&gt;0,SUM($F$34,X116,$N$36,MAX($AH$42:$AH$342),$T$36),0)</f>
        <v>0</v>
      </c>
      <c r="AM116" s="260">
        <f>IF(Y116&lt;&gt;0,SUM($F$34,Y116,$N$36,MAX($AH$42:$AH$342),$T$36),0)</f>
        <v>0</v>
      </c>
    </row>
    <row r="117" spans="1:39" x14ac:dyDescent="0.35">
      <c r="A117" s="259">
        <v>1415</v>
      </c>
      <c r="B117" s="58">
        <f>SUMIF([2]!Table2_23[ETA],'FIS Optimal Model (2)'!A117,[2]!Table2_23[FIS PAX])</f>
        <v>0</v>
      </c>
      <c r="C117" s="44">
        <f t="shared" si="78"/>
        <v>0</v>
      </c>
      <c r="D117" s="52">
        <f t="shared" si="83"/>
        <v>0</v>
      </c>
      <c r="E117" s="26">
        <f t="shared" si="66"/>
        <v>0</v>
      </c>
      <c r="F117" s="26">
        <f t="shared" si="67"/>
        <v>0</v>
      </c>
      <c r="G117" s="26">
        <f t="shared" si="68"/>
        <v>0</v>
      </c>
      <c r="H117" s="26">
        <f t="shared" si="69"/>
        <v>0</v>
      </c>
      <c r="I117" s="27">
        <f t="shared" si="85"/>
        <v>0</v>
      </c>
      <c r="J117" s="27">
        <f t="shared" si="85"/>
        <v>0</v>
      </c>
      <c r="K117" s="27">
        <f t="shared" si="85"/>
        <v>0</v>
      </c>
      <c r="L117" s="27">
        <f t="shared" si="85"/>
        <v>0</v>
      </c>
      <c r="M117" s="28">
        <f t="shared" si="58"/>
        <v>2</v>
      </c>
      <c r="N117" s="29">
        <f t="shared" si="59"/>
        <v>4</v>
      </c>
      <c r="O117" s="28">
        <f t="shared" si="60"/>
        <v>0</v>
      </c>
      <c r="P117" s="28">
        <f t="shared" si="61"/>
        <v>0</v>
      </c>
      <c r="Q117" s="28">
        <f t="shared" si="70"/>
        <v>6</v>
      </c>
      <c r="R117" s="22">
        <f t="shared" si="71"/>
        <v>0</v>
      </c>
      <c r="S117" s="22">
        <f t="shared" si="72"/>
        <v>0</v>
      </c>
      <c r="T117" s="22">
        <f t="shared" si="73"/>
        <v>0</v>
      </c>
      <c r="U117" s="22">
        <f t="shared" si="74"/>
        <v>0</v>
      </c>
      <c r="V117" s="21">
        <f t="shared" si="79"/>
        <v>0</v>
      </c>
      <c r="W117" s="21">
        <f t="shared" si="80"/>
        <v>0</v>
      </c>
      <c r="X117" s="21">
        <f t="shared" si="81"/>
        <v>0</v>
      </c>
      <c r="Y117" s="21">
        <f t="shared" si="82"/>
        <v>0</v>
      </c>
      <c r="Z117" s="221">
        <f t="shared" si="75"/>
        <v>0</v>
      </c>
      <c r="AA117" s="30">
        <f t="shared" si="62"/>
        <v>0</v>
      </c>
      <c r="AB117" s="30">
        <f t="shared" si="63"/>
        <v>0</v>
      </c>
      <c r="AC117" s="30">
        <f t="shared" si="64"/>
        <v>0</v>
      </c>
      <c r="AD117" s="30">
        <f t="shared" si="65"/>
        <v>0</v>
      </c>
      <c r="AE117" s="32">
        <f t="shared" si="76"/>
        <v>0</v>
      </c>
      <c r="AF117" s="33">
        <f t="shared" si="84"/>
        <v>0</v>
      </c>
      <c r="AG117" s="40">
        <f t="shared" si="77"/>
        <v>0</v>
      </c>
      <c r="AH117" s="224">
        <f>AG117*$P$36</f>
        <v>0</v>
      </c>
      <c r="AI117" s="226">
        <f>SUM(Z117,IF(Z117&lt;&gt;0,$F$34,0),IF(Z117&lt;&gt;0,$N$36,0),IF(Z117&lt;&gt;0,$T$36,0),IF(Z117=0,AH122,IF(Z117=1,AH123,IF(Z117=2,AH124,IF(Z117=3,AH125,IF(Z117=4,AH126,IF(Z117=5,AH127,IF(Z117=6,AH128,IF(Z117=7,AH129,IF(Z117=8,AH130,IF(Z117=9,AH131,IF(Z117=10,AH132,IF(Z117=11,AH133,IF(Z117=12,AH134,IF(Z117=13,AH135,IF(Z117=14,AH136,IF(Z117=15,AH137,IF(Z117=16,AH138,IF(Z117=17,AH139,IF(Z117=18,AH140,IF(Z117=19,AH141,IF(Z117=20,AH142,IF(Z117=21,AH143,IF(Z117=22,AH144,IF(Z117=23,AH145,IF(Z117=24,AH146,IF(Z117=25,AH147,IF(Z117=26,AH148,IF(Z117=27,AH149,IF(Z117=28,AH150,IF(Z117=29,AH151,IF(Z117=30,AH152))))))))))))))))))))))))))))))))</f>
        <v>0</v>
      </c>
      <c r="AJ117" s="253">
        <f>IF(V117&lt;&gt;0,SUM($F$34,V117,$N$36,MAX($AH$42:$AH$342),$T$36),0)</f>
        <v>0</v>
      </c>
      <c r="AK117" s="253">
        <f>IF(W117&lt;&gt;0,SUM($F$34,W117,$N$36,MAX($AH$42:$AH$342),$T$36),0)</f>
        <v>0</v>
      </c>
      <c r="AL117" s="253">
        <f>IF(X117&lt;&gt;0,SUM($F$34,X117,$N$36,MAX($AH$42:$AH$342),$T$36),0)</f>
        <v>0</v>
      </c>
      <c r="AM117" s="260">
        <f>IF(Y117&lt;&gt;0,SUM($F$34,Y117,$N$36,MAX($AH$42:$AH$342),$T$36),0)</f>
        <v>0</v>
      </c>
    </row>
    <row r="118" spans="1:39" x14ac:dyDescent="0.35">
      <c r="A118" s="259">
        <v>1416</v>
      </c>
      <c r="B118" s="58">
        <f>SUMIF([2]!Table2_23[ETA],'FIS Optimal Model (2)'!A118,[2]!Table2_23[FIS PAX])</f>
        <v>0</v>
      </c>
      <c r="C118" s="44">
        <f t="shared" si="78"/>
        <v>0</v>
      </c>
      <c r="D118" s="52">
        <f t="shared" si="83"/>
        <v>0</v>
      </c>
      <c r="E118" s="26">
        <f t="shared" si="66"/>
        <v>0</v>
      </c>
      <c r="F118" s="26">
        <f t="shared" si="67"/>
        <v>0</v>
      </c>
      <c r="G118" s="26">
        <f t="shared" si="68"/>
        <v>0</v>
      </c>
      <c r="H118" s="26">
        <f t="shared" si="69"/>
        <v>0</v>
      </c>
      <c r="I118" s="27">
        <f t="shared" si="85"/>
        <v>0</v>
      </c>
      <c r="J118" s="27">
        <f t="shared" si="85"/>
        <v>0</v>
      </c>
      <c r="K118" s="27">
        <f t="shared" si="85"/>
        <v>0</v>
      </c>
      <c r="L118" s="27">
        <f t="shared" si="85"/>
        <v>0</v>
      </c>
      <c r="M118" s="28">
        <f>IF(R117=0,0,$Q$11)</f>
        <v>0</v>
      </c>
      <c r="N118" s="29">
        <f>$U$11-M118-O118-P118</f>
        <v>11</v>
      </c>
      <c r="O118" s="28">
        <f>IF(T117=0,0,$S$11)</f>
        <v>0</v>
      </c>
      <c r="P118" s="28">
        <f>IF(U117=0,0,$T$11)</f>
        <v>0</v>
      </c>
      <c r="Q118" s="28">
        <f t="shared" si="70"/>
        <v>11</v>
      </c>
      <c r="R118" s="22">
        <f t="shared" si="71"/>
        <v>0</v>
      </c>
      <c r="S118" s="22">
        <f t="shared" si="72"/>
        <v>0</v>
      </c>
      <c r="T118" s="22">
        <f t="shared" si="73"/>
        <v>0</v>
      </c>
      <c r="U118" s="22">
        <f t="shared" si="74"/>
        <v>0</v>
      </c>
      <c r="V118" s="21">
        <f>IFERROR(R118*($I$33/M118),0)</f>
        <v>0</v>
      </c>
      <c r="W118" s="21">
        <f t="shared" si="80"/>
        <v>0</v>
      </c>
      <c r="X118" s="21">
        <f t="shared" si="81"/>
        <v>0</v>
      </c>
      <c r="Y118" s="21">
        <f t="shared" si="82"/>
        <v>0</v>
      </c>
      <c r="Z118" s="221">
        <f t="shared" si="75"/>
        <v>0</v>
      </c>
      <c r="AA118" s="30">
        <f t="shared" si="62"/>
        <v>0</v>
      </c>
      <c r="AB118" s="30">
        <f t="shared" si="63"/>
        <v>0</v>
      </c>
      <c r="AC118" s="30">
        <f t="shared" si="64"/>
        <v>0</v>
      </c>
      <c r="AD118" s="30">
        <f t="shared" si="65"/>
        <v>0</v>
      </c>
      <c r="AE118" s="32">
        <f t="shared" si="76"/>
        <v>0</v>
      </c>
      <c r="AF118" s="33">
        <f t="shared" si="84"/>
        <v>0</v>
      </c>
      <c r="AG118" s="40">
        <f t="shared" si="77"/>
        <v>0</v>
      </c>
      <c r="AH118" s="224">
        <f>AG118*$P$36</f>
        <v>0</v>
      </c>
      <c r="AI118" s="226">
        <f>SUM(Z118,IF(Z118&lt;&gt;0,$F$34,0),IF(Z118&lt;&gt;0,$N$36,0),IF(Z118&lt;&gt;0,$T$36,0),IF(Z118=0,AH123,IF(Z118=1,AH124,IF(Z118=2,AH125,IF(Z118=3,AH126,IF(Z118=4,AH127,IF(Z118=5,AH128,IF(Z118=6,AH129,IF(Z118=7,AH130,IF(Z118=8,AH131,IF(Z118=9,AH132,IF(Z118=10,AH133,IF(Z118=11,AH134,IF(Z118=12,AH135,IF(Z118=13,AH136,IF(Z118=14,AH137,IF(Z118=15,AH138,IF(Z118=16,AH139,IF(Z118=17,AH140,IF(Z118=18,AH141,IF(Z118=19,AH142,IF(Z118=20,AH143,IF(Z118=21,AH144,IF(Z118=22,AH145,IF(Z118=23,AH146,IF(Z118=24,AH147,IF(Z118=25,AH148,IF(Z118=26,AH149,IF(Z118=27,AH150,IF(Z118=28,AH151,IF(Z118=29,AH152,IF(Z118=30,AH153))))))))))))))))))))))))))))))))</f>
        <v>0</v>
      </c>
      <c r="AJ118" s="253">
        <f>IF(V118&lt;&gt;0,SUM($F$34,V118,$N$36,MAX($AH$42:$AH$342),$T$36),0)</f>
        <v>0</v>
      </c>
      <c r="AK118" s="253">
        <f>IF(W118&lt;&gt;0,SUM($F$34,W118,$N$36,MAX($AH$42:$AH$342),$T$36),0)</f>
        <v>0</v>
      </c>
      <c r="AL118" s="253">
        <f>IF(X118&lt;&gt;0,SUM($F$34,X118,$N$36,MAX($AH$42:$AH$342),$T$36),0)</f>
        <v>0</v>
      </c>
      <c r="AM118" s="260">
        <f>IF(Y118&lt;&gt;0,SUM($F$34,Y118,$N$36,MAX($AH$42:$AH$342),$T$36),0)</f>
        <v>0</v>
      </c>
    </row>
    <row r="119" spans="1:39" x14ac:dyDescent="0.35">
      <c r="A119" s="259">
        <v>1417</v>
      </c>
      <c r="B119" s="58">
        <f>SUMIF([2]!Table2_23[ETA],'FIS Optimal Model (2)'!A119,[2]!Table2_23[FIS PAX])</f>
        <v>0</v>
      </c>
      <c r="C119" s="44">
        <f t="shared" si="78"/>
        <v>0</v>
      </c>
      <c r="D119" s="52">
        <f t="shared" si="83"/>
        <v>0</v>
      </c>
      <c r="E119" s="26">
        <f t="shared" si="66"/>
        <v>0</v>
      </c>
      <c r="F119" s="26">
        <f t="shared" si="67"/>
        <v>0</v>
      </c>
      <c r="G119" s="26">
        <f t="shared" si="68"/>
        <v>0</v>
      </c>
      <c r="H119" s="26">
        <f t="shared" si="69"/>
        <v>0</v>
      </c>
      <c r="I119" s="27">
        <f t="shared" si="85"/>
        <v>0</v>
      </c>
      <c r="J119" s="27">
        <f t="shared" si="85"/>
        <v>0</v>
      </c>
      <c r="K119" s="27">
        <f t="shared" si="85"/>
        <v>0</v>
      </c>
      <c r="L119" s="27">
        <f t="shared" si="85"/>
        <v>0</v>
      </c>
      <c r="M119" s="28">
        <f>$M$118</f>
        <v>0</v>
      </c>
      <c r="N119" s="29">
        <f>$N$118</f>
        <v>11</v>
      </c>
      <c r="O119" s="28">
        <f>$O$118</f>
        <v>0</v>
      </c>
      <c r="P119" s="28">
        <f>$P$118</f>
        <v>0</v>
      </c>
      <c r="Q119" s="28">
        <f t="shared" si="70"/>
        <v>11</v>
      </c>
      <c r="R119" s="22">
        <f t="shared" si="71"/>
        <v>0</v>
      </c>
      <c r="S119" s="22">
        <f t="shared" si="72"/>
        <v>0</v>
      </c>
      <c r="T119" s="22">
        <f t="shared" si="73"/>
        <v>0</v>
      </c>
      <c r="U119" s="22">
        <f t="shared" si="74"/>
        <v>0</v>
      </c>
      <c r="V119" s="21">
        <f t="shared" ref="V119:V182" si="86">IFERROR(R119*($I$33/M119),0)</f>
        <v>0</v>
      </c>
      <c r="W119" s="21">
        <f>IFERROR(S119*($I$34/N119),0)</f>
        <v>0</v>
      </c>
      <c r="X119" s="21">
        <f t="shared" si="81"/>
        <v>0</v>
      </c>
      <c r="Y119" s="21">
        <f t="shared" si="82"/>
        <v>0</v>
      </c>
      <c r="Z119" s="221">
        <f t="shared" si="75"/>
        <v>0</v>
      </c>
      <c r="AA119" s="30">
        <f t="shared" si="62"/>
        <v>0</v>
      </c>
      <c r="AB119" s="30">
        <f t="shared" si="63"/>
        <v>0</v>
      </c>
      <c r="AC119" s="30">
        <f t="shared" si="64"/>
        <v>0</v>
      </c>
      <c r="AD119" s="30">
        <f t="shared" si="65"/>
        <v>0</v>
      </c>
      <c r="AE119" s="32">
        <f t="shared" si="76"/>
        <v>0</v>
      </c>
      <c r="AF119" s="33">
        <f t="shared" si="84"/>
        <v>0</v>
      </c>
      <c r="AG119" s="40">
        <f t="shared" si="77"/>
        <v>0</v>
      </c>
      <c r="AH119" s="224">
        <f>AG119*$P$36</f>
        <v>0</v>
      </c>
      <c r="AI119" s="226">
        <f>SUM(Z119,IF(Z119&lt;&gt;0,$F$34,0),IF(Z119&lt;&gt;0,$N$36,0),IF(Z119&lt;&gt;0,$T$36,0),IF(Z119=0,AH124,IF(Z119=1,AH125,IF(Z119=2,AH126,IF(Z119=3,AH127,IF(Z119=4,AH128,IF(Z119=5,AH129,IF(Z119=6,AH130,IF(Z119=7,AH131,IF(Z119=8,AH132,IF(Z119=9,AH133,IF(Z119=10,AH134,IF(Z119=11,AH135,IF(Z119=12,AH136,IF(Z119=13,AH137,IF(Z119=14,AH138,IF(Z119=15,AH139,IF(Z119=16,AH140,IF(Z119=17,AH141,IF(Z119=18,AH142,IF(Z119=19,AH143,IF(Z119=20,AH144,IF(Z119=21,AH145,IF(Z119=22,AH146,IF(Z119=23,AH147,IF(Z119=24,AH148,IF(Z119=25,AH149,IF(Z119=26,AH150,IF(Z119=27,AH151,IF(Z119=28,AH152,IF(Z119=29,AH153,IF(Z119=30,AH154))))))))))))))))))))))))))))))))</f>
        <v>0</v>
      </c>
      <c r="AJ119" s="253">
        <f>IF(V119&lt;&gt;0,SUM($F$34,V119,$N$36,MAX($AH$42:$AH$342),$T$36),0)</f>
        <v>0</v>
      </c>
      <c r="AK119" s="253">
        <f>IF(W119&lt;&gt;0,SUM($F$34,W119,$N$36,MAX($AH$42:$AH$342),$T$36),0)</f>
        <v>0</v>
      </c>
      <c r="AL119" s="253">
        <f>IF(X119&lt;&gt;0,SUM($F$34,X119,$N$36,MAX($AH$42:$AH$342),$T$36),0)</f>
        <v>0</v>
      </c>
      <c r="AM119" s="260">
        <f>IF(Y119&lt;&gt;0,SUM($F$34,Y119,$N$36,MAX($AH$42:$AH$342),$T$36),0)</f>
        <v>0</v>
      </c>
    </row>
    <row r="120" spans="1:39" x14ac:dyDescent="0.35">
      <c r="A120" s="259">
        <v>1418</v>
      </c>
      <c r="B120" s="58">
        <f>SUMIF([2]!Table2_23[ETA],'FIS Optimal Model (2)'!A120,[2]!Table2_23[FIS PAX])</f>
        <v>0</v>
      </c>
      <c r="C120" s="44">
        <f t="shared" si="78"/>
        <v>0</v>
      </c>
      <c r="D120" s="52">
        <f t="shared" si="83"/>
        <v>0</v>
      </c>
      <c r="E120" s="26">
        <f t="shared" si="66"/>
        <v>0</v>
      </c>
      <c r="F120" s="26">
        <f t="shared" si="67"/>
        <v>0</v>
      </c>
      <c r="G120" s="26">
        <f t="shared" si="68"/>
        <v>0</v>
      </c>
      <c r="H120" s="26">
        <f t="shared" si="69"/>
        <v>0</v>
      </c>
      <c r="I120" s="27">
        <f t="shared" si="85"/>
        <v>0</v>
      </c>
      <c r="J120" s="27">
        <f t="shared" si="85"/>
        <v>0</v>
      </c>
      <c r="K120" s="27">
        <f t="shared" si="85"/>
        <v>0</v>
      </c>
      <c r="L120" s="27">
        <f t="shared" si="85"/>
        <v>0</v>
      </c>
      <c r="M120" s="28">
        <f t="shared" ref="M120:M132" si="87">$M$118</f>
        <v>0</v>
      </c>
      <c r="N120" s="29">
        <f t="shared" ref="N120:N132" si="88">$N$118</f>
        <v>11</v>
      </c>
      <c r="O120" s="28">
        <f t="shared" ref="O120:O132" si="89">$O$118</f>
        <v>0</v>
      </c>
      <c r="P120" s="28">
        <f t="shared" ref="P120:P132" si="90">$P$118</f>
        <v>0</v>
      </c>
      <c r="Q120" s="28">
        <f t="shared" si="70"/>
        <v>11</v>
      </c>
      <c r="R120" s="22">
        <f t="shared" si="71"/>
        <v>0</v>
      </c>
      <c r="S120" s="22">
        <f t="shared" si="72"/>
        <v>0</v>
      </c>
      <c r="T120" s="22">
        <f t="shared" si="73"/>
        <v>0</v>
      </c>
      <c r="U120" s="22">
        <f t="shared" si="74"/>
        <v>0</v>
      </c>
      <c r="V120" s="21">
        <f t="shared" si="86"/>
        <v>0</v>
      </c>
      <c r="W120" s="21">
        <f t="shared" ref="W120:W183" si="91">IFERROR(S120*($I$34/N120),0)</f>
        <v>0</v>
      </c>
      <c r="X120" s="21">
        <f t="shared" si="81"/>
        <v>0</v>
      </c>
      <c r="Y120" s="21">
        <f t="shared" si="82"/>
        <v>0</v>
      </c>
      <c r="Z120" s="221">
        <f t="shared" si="75"/>
        <v>0</v>
      </c>
      <c r="AA120" s="30">
        <f t="shared" si="62"/>
        <v>0</v>
      </c>
      <c r="AB120" s="30">
        <f t="shared" si="63"/>
        <v>0</v>
      </c>
      <c r="AC120" s="30">
        <f t="shared" si="64"/>
        <v>0</v>
      </c>
      <c r="AD120" s="30">
        <f t="shared" si="65"/>
        <v>0</v>
      </c>
      <c r="AE120" s="32">
        <f t="shared" si="76"/>
        <v>0</v>
      </c>
      <c r="AF120" s="33">
        <f t="shared" si="84"/>
        <v>0</v>
      </c>
      <c r="AG120" s="40">
        <f t="shared" si="77"/>
        <v>0</v>
      </c>
      <c r="AH120" s="224">
        <f>AG120*$P$36</f>
        <v>0</v>
      </c>
      <c r="AI120" s="226">
        <f>SUM(Z120,IF(Z120&lt;&gt;0,$F$34,0),IF(Z120&lt;&gt;0,$N$36,0),IF(Z120&lt;&gt;0,$T$36,0),IF(Z120=0,AH125,IF(Z120=1,AH126,IF(Z120=2,AH127,IF(Z120=3,AH128,IF(Z120=4,AH129,IF(Z120=5,AH130,IF(Z120=6,AH131,IF(Z120=7,AH132,IF(Z120=8,AH133,IF(Z120=9,AH134,IF(Z120=10,AH135,IF(Z120=11,AH136,IF(Z120=12,AH137,IF(Z120=13,AH138,IF(Z120=14,AH139,IF(Z120=15,AH140,IF(Z120=16,AH141,IF(Z120=17,AH142,IF(Z120=18,AH143,IF(Z120=19,AH144,IF(Z120=20,AH145,IF(Z120=21,AH146,IF(Z120=22,AH147,IF(Z120=23,AH148,IF(Z120=24,AH149,IF(Z120=25,AH150,IF(Z120=26,AH151,IF(Z120=27,AH152,IF(Z120=28,AH153,IF(Z120=29,AH154,IF(Z120=30,AH155))))))))))))))))))))))))))))))))</f>
        <v>0</v>
      </c>
      <c r="AJ120" s="253">
        <f>IF(V120&lt;&gt;0,SUM($F$34,V120,$N$36,MAX($AH$42:$AH$342),$T$36),0)</f>
        <v>0</v>
      </c>
      <c r="AK120" s="253">
        <f>IF(W120&lt;&gt;0,SUM($F$34,W120,$N$36,MAX($AH$42:$AH$342),$T$36),0)</f>
        <v>0</v>
      </c>
      <c r="AL120" s="253">
        <f>IF(X120&lt;&gt;0,SUM($F$34,X120,$N$36,MAX($AH$42:$AH$342),$T$36),0)</f>
        <v>0</v>
      </c>
      <c r="AM120" s="260">
        <f>IF(Y120&lt;&gt;0,SUM($F$34,Y120,$N$36,MAX($AH$42:$AH$342),$T$36),0)</f>
        <v>0</v>
      </c>
    </row>
    <row r="121" spans="1:39" x14ac:dyDescent="0.35">
      <c r="A121" s="259">
        <v>1419</v>
      </c>
      <c r="B121" s="58">
        <f>SUMIF([2]!Table2_23[ETA],'FIS Optimal Model (2)'!A121,[2]!Table2_23[FIS PAX])</f>
        <v>0</v>
      </c>
      <c r="C121" s="44">
        <f t="shared" si="78"/>
        <v>0</v>
      </c>
      <c r="D121" s="52">
        <f t="shared" si="83"/>
        <v>0</v>
      </c>
      <c r="E121" s="26">
        <f t="shared" si="66"/>
        <v>0</v>
      </c>
      <c r="F121" s="26">
        <f t="shared" si="67"/>
        <v>0</v>
      </c>
      <c r="G121" s="26">
        <f t="shared" si="68"/>
        <v>0</v>
      </c>
      <c r="H121" s="26">
        <f t="shared" si="69"/>
        <v>0</v>
      </c>
      <c r="I121" s="27">
        <f t="shared" si="85"/>
        <v>0</v>
      </c>
      <c r="J121" s="27">
        <f t="shared" si="85"/>
        <v>0</v>
      </c>
      <c r="K121" s="27">
        <f t="shared" si="85"/>
        <v>0</v>
      </c>
      <c r="L121" s="27">
        <f t="shared" si="85"/>
        <v>0</v>
      </c>
      <c r="M121" s="28">
        <f t="shared" si="87"/>
        <v>0</v>
      </c>
      <c r="N121" s="29">
        <f t="shared" si="88"/>
        <v>11</v>
      </c>
      <c r="O121" s="28">
        <f t="shared" si="89"/>
        <v>0</v>
      </c>
      <c r="P121" s="28">
        <f t="shared" si="90"/>
        <v>0</v>
      </c>
      <c r="Q121" s="28">
        <f t="shared" si="70"/>
        <v>11</v>
      </c>
      <c r="R121" s="22">
        <f t="shared" si="71"/>
        <v>0</v>
      </c>
      <c r="S121" s="22">
        <f t="shared" si="72"/>
        <v>0</v>
      </c>
      <c r="T121" s="22">
        <f t="shared" si="73"/>
        <v>0</v>
      </c>
      <c r="U121" s="22">
        <f t="shared" si="74"/>
        <v>0</v>
      </c>
      <c r="V121" s="21">
        <f t="shared" si="86"/>
        <v>0</v>
      </c>
      <c r="W121" s="21">
        <f t="shared" si="91"/>
        <v>0</v>
      </c>
      <c r="X121" s="21">
        <f t="shared" si="81"/>
        <v>0</v>
      </c>
      <c r="Y121" s="21">
        <f t="shared" si="82"/>
        <v>0</v>
      </c>
      <c r="Z121" s="221">
        <f t="shared" si="75"/>
        <v>0</v>
      </c>
      <c r="AA121" s="30">
        <f t="shared" si="62"/>
        <v>0</v>
      </c>
      <c r="AB121" s="30">
        <f t="shared" si="63"/>
        <v>0</v>
      </c>
      <c r="AC121" s="30">
        <f t="shared" si="64"/>
        <v>0</v>
      </c>
      <c r="AD121" s="30">
        <f t="shared" si="65"/>
        <v>0</v>
      </c>
      <c r="AE121" s="32">
        <f t="shared" si="76"/>
        <v>0</v>
      </c>
      <c r="AF121" s="33">
        <f t="shared" si="84"/>
        <v>0</v>
      </c>
      <c r="AG121" s="40">
        <f t="shared" si="77"/>
        <v>0</v>
      </c>
      <c r="AH121" s="224">
        <f>AG121*$P$36</f>
        <v>0</v>
      </c>
      <c r="AI121" s="226">
        <f>SUM(Z121,IF(Z121&lt;&gt;0,$F$34,0),IF(Z121&lt;&gt;0,$N$36,0),IF(Z121&lt;&gt;0,$T$36,0),IF(Z121=0,AH126,IF(Z121=1,AH127,IF(Z121=2,AH128,IF(Z121=3,AH129,IF(Z121=4,AH130,IF(Z121=5,AH131,IF(Z121=6,AH132,IF(Z121=7,AH133,IF(Z121=8,AH134,IF(Z121=9,AH135,IF(Z121=10,AH136,IF(Z121=11,AH137,IF(Z121=12,AH138,IF(Z121=13,AH139,IF(Z121=14,AH140,IF(Z121=15,AH141,IF(Z121=16,AH142,IF(Z121=17,AH143,IF(Z121=18,AH144,IF(Z121=19,AH145,IF(Z121=20,AH146,IF(Z121=21,AH147,IF(Z121=22,AH148,IF(Z121=23,AH149,IF(Z121=24,AH150,IF(Z121=25,AH151,IF(Z121=26,AH152,IF(Z121=27,AH153,IF(Z121=28,AH154,IF(Z121=29,AH155,IF(Z121=30,AH156))))))))))))))))))))))))))))))))</f>
        <v>0</v>
      </c>
      <c r="AJ121" s="253">
        <f>IF(V121&lt;&gt;0,SUM($F$34,V121,$N$36,MAX($AH$42:$AH$342),$T$36),0)</f>
        <v>0</v>
      </c>
      <c r="AK121" s="253">
        <f>IF(W121&lt;&gt;0,SUM($F$34,W121,$N$36,MAX($AH$42:$AH$342),$T$36),0)</f>
        <v>0</v>
      </c>
      <c r="AL121" s="253">
        <f>IF(X121&lt;&gt;0,SUM($F$34,X121,$N$36,MAX($AH$42:$AH$342),$T$36),0)</f>
        <v>0</v>
      </c>
      <c r="AM121" s="260">
        <f>IF(Y121&lt;&gt;0,SUM($F$34,Y121,$N$36,MAX($AH$42:$AH$342),$T$36),0)</f>
        <v>0</v>
      </c>
    </row>
    <row r="122" spans="1:39" x14ac:dyDescent="0.35">
      <c r="A122" s="259">
        <v>1420</v>
      </c>
      <c r="B122" s="58">
        <f>SUMIF([2]!Table2_23[ETA],'FIS Optimal Model (2)'!A122,[2]!Table2_23[FIS PAX])</f>
        <v>0</v>
      </c>
      <c r="C122" s="44">
        <f t="shared" si="78"/>
        <v>0</v>
      </c>
      <c r="D122" s="52">
        <f t="shared" si="83"/>
        <v>0</v>
      </c>
      <c r="E122" s="26">
        <f t="shared" si="66"/>
        <v>0</v>
      </c>
      <c r="F122" s="26">
        <f t="shared" si="67"/>
        <v>0</v>
      </c>
      <c r="G122" s="26">
        <f t="shared" si="68"/>
        <v>0</v>
      </c>
      <c r="H122" s="26">
        <f t="shared" si="69"/>
        <v>0</v>
      </c>
      <c r="I122" s="27">
        <f t="shared" si="85"/>
        <v>0</v>
      </c>
      <c r="J122" s="27">
        <f t="shared" si="85"/>
        <v>0</v>
      </c>
      <c r="K122" s="27">
        <f t="shared" si="85"/>
        <v>0</v>
      </c>
      <c r="L122" s="27">
        <f t="shared" si="85"/>
        <v>0</v>
      </c>
      <c r="M122" s="28">
        <f t="shared" si="87"/>
        <v>0</v>
      </c>
      <c r="N122" s="29">
        <f t="shared" si="88"/>
        <v>11</v>
      </c>
      <c r="O122" s="28">
        <f t="shared" si="89"/>
        <v>0</v>
      </c>
      <c r="P122" s="28">
        <f t="shared" si="90"/>
        <v>0</v>
      </c>
      <c r="Q122" s="28">
        <f t="shared" si="70"/>
        <v>11</v>
      </c>
      <c r="R122" s="22">
        <f t="shared" si="71"/>
        <v>0</v>
      </c>
      <c r="S122" s="22">
        <f t="shared" si="72"/>
        <v>0</v>
      </c>
      <c r="T122" s="22">
        <f t="shared" si="73"/>
        <v>0</v>
      </c>
      <c r="U122" s="22">
        <f t="shared" si="74"/>
        <v>0</v>
      </c>
      <c r="V122" s="21">
        <f t="shared" si="86"/>
        <v>0</v>
      </c>
      <c r="W122" s="21">
        <f t="shared" si="91"/>
        <v>0</v>
      </c>
      <c r="X122" s="21">
        <f t="shared" si="81"/>
        <v>0</v>
      </c>
      <c r="Y122" s="21">
        <f t="shared" si="82"/>
        <v>0</v>
      </c>
      <c r="Z122" s="221">
        <f t="shared" si="75"/>
        <v>0</v>
      </c>
      <c r="AA122" s="30">
        <f t="shared" si="62"/>
        <v>0</v>
      </c>
      <c r="AB122" s="30">
        <f t="shared" si="63"/>
        <v>0</v>
      </c>
      <c r="AC122" s="30">
        <f t="shared" si="64"/>
        <v>0</v>
      </c>
      <c r="AD122" s="30">
        <f t="shared" si="65"/>
        <v>0</v>
      </c>
      <c r="AE122" s="32">
        <f t="shared" si="76"/>
        <v>0</v>
      </c>
      <c r="AF122" s="33">
        <f t="shared" si="84"/>
        <v>0</v>
      </c>
      <c r="AG122" s="40">
        <f t="shared" si="77"/>
        <v>0</v>
      </c>
      <c r="AH122" s="224">
        <f>AG122*$P$36</f>
        <v>0</v>
      </c>
      <c r="AI122" s="226">
        <f>SUM(Z122,IF(Z122&lt;&gt;0,$F$34,0),IF(Z122&lt;&gt;0,$N$36,0),IF(Z122&lt;&gt;0,$T$36,0),IF(Z122=0,AH127,IF(Z122=1,AH128,IF(Z122=2,AH129,IF(Z122=3,AH130,IF(Z122=4,AH131,IF(Z122=5,AH132,IF(Z122=6,AH133,IF(Z122=7,AH134,IF(Z122=8,AH135,IF(Z122=9,AH136,IF(Z122=10,AH137,IF(Z122=11,AH138,IF(Z122=12,AH139,IF(Z122=13,AH140,IF(Z122=14,AH141,IF(Z122=15,AH142,IF(Z122=16,AH143,IF(Z122=17,AH144,IF(Z122=18,AH145,IF(Z122=19,AH146,IF(Z122=20,AH147,IF(Z122=21,AH148,IF(Z122=22,AH149,IF(Z122=23,AH150,IF(Z122=24,AH151,IF(Z122=25,AH152,IF(Z122=26,AH153,IF(Z122=27,AH154,IF(Z122=28,AH155,IF(Z122=29,AH156,IF(Z122=30,AH157))))))))))))))))))))))))))))))))</f>
        <v>0</v>
      </c>
      <c r="AJ122" s="253">
        <f>IF(V122&lt;&gt;0,SUM($F$34,V122,$N$36,MAX($AH$42:$AH$342),$T$36),0)</f>
        <v>0</v>
      </c>
      <c r="AK122" s="253">
        <f>IF(W122&lt;&gt;0,SUM($F$34,W122,$N$36,MAX($AH$42:$AH$342),$T$36),0)</f>
        <v>0</v>
      </c>
      <c r="AL122" s="253">
        <f>IF(X122&lt;&gt;0,SUM($F$34,X122,$N$36,MAX($AH$42:$AH$342),$T$36),0)</f>
        <v>0</v>
      </c>
      <c r="AM122" s="260">
        <f>IF(Y122&lt;&gt;0,SUM($F$34,Y122,$N$36,MAX($AH$42:$AH$342),$T$36),0)</f>
        <v>0</v>
      </c>
    </row>
    <row r="123" spans="1:39" x14ac:dyDescent="0.35">
      <c r="A123" s="259">
        <v>1421</v>
      </c>
      <c r="B123" s="58">
        <f>SUMIF([2]!Table2_23[ETA],'FIS Optimal Model (2)'!A123,[2]!Table2_23[FIS PAX])</f>
        <v>0</v>
      </c>
      <c r="C123" s="44">
        <f t="shared" si="78"/>
        <v>0</v>
      </c>
      <c r="D123" s="52">
        <f t="shared" si="83"/>
        <v>0</v>
      </c>
      <c r="E123" s="26">
        <f t="shared" si="66"/>
        <v>0</v>
      </c>
      <c r="F123" s="26">
        <f t="shared" si="67"/>
        <v>0</v>
      </c>
      <c r="G123" s="26">
        <f t="shared" si="68"/>
        <v>0</v>
      </c>
      <c r="H123" s="26">
        <f t="shared" si="69"/>
        <v>0</v>
      </c>
      <c r="I123" s="27">
        <f t="shared" si="85"/>
        <v>0</v>
      </c>
      <c r="J123" s="27">
        <f t="shared" si="85"/>
        <v>0</v>
      </c>
      <c r="K123" s="27">
        <f t="shared" si="85"/>
        <v>0</v>
      </c>
      <c r="L123" s="27">
        <f t="shared" si="85"/>
        <v>0</v>
      </c>
      <c r="M123" s="28">
        <f t="shared" si="87"/>
        <v>0</v>
      </c>
      <c r="N123" s="29">
        <f t="shared" si="88"/>
        <v>11</v>
      </c>
      <c r="O123" s="28">
        <f t="shared" si="89"/>
        <v>0</v>
      </c>
      <c r="P123" s="28">
        <f t="shared" si="90"/>
        <v>0</v>
      </c>
      <c r="Q123" s="28">
        <f t="shared" si="70"/>
        <v>11</v>
      </c>
      <c r="R123" s="22">
        <f t="shared" si="71"/>
        <v>0</v>
      </c>
      <c r="S123" s="22">
        <f t="shared" si="72"/>
        <v>0</v>
      </c>
      <c r="T123" s="22">
        <f t="shared" si="73"/>
        <v>0</v>
      </c>
      <c r="U123" s="22">
        <f t="shared" si="74"/>
        <v>0</v>
      </c>
      <c r="V123" s="21">
        <f t="shared" si="86"/>
        <v>0</v>
      </c>
      <c r="W123" s="21">
        <f t="shared" si="91"/>
        <v>0</v>
      </c>
      <c r="X123" s="21">
        <f t="shared" si="81"/>
        <v>0</v>
      </c>
      <c r="Y123" s="21">
        <f t="shared" si="82"/>
        <v>0</v>
      </c>
      <c r="Z123" s="221">
        <f t="shared" si="75"/>
        <v>0</v>
      </c>
      <c r="AA123" s="30">
        <f t="shared" si="62"/>
        <v>0</v>
      </c>
      <c r="AB123" s="30">
        <f t="shared" si="63"/>
        <v>0</v>
      </c>
      <c r="AC123" s="30">
        <f t="shared" si="64"/>
        <v>0</v>
      </c>
      <c r="AD123" s="30">
        <f t="shared" si="65"/>
        <v>0</v>
      </c>
      <c r="AE123" s="32">
        <f t="shared" si="76"/>
        <v>0</v>
      </c>
      <c r="AF123" s="33">
        <f t="shared" si="84"/>
        <v>0</v>
      </c>
      <c r="AG123" s="40">
        <f t="shared" si="77"/>
        <v>0</v>
      </c>
      <c r="AH123" s="224">
        <f>AG123*$P$36</f>
        <v>0</v>
      </c>
      <c r="AI123" s="226">
        <f>SUM(Z123,IF(Z123&lt;&gt;0,$F$34,0),IF(Z123&lt;&gt;0,$N$36,0),IF(Z123&lt;&gt;0,$T$36,0),IF(Z123=0,AH128,IF(Z123=1,AH129,IF(Z123=2,AH130,IF(Z123=3,AH131,IF(Z123=4,AH132,IF(Z123=5,AH133,IF(Z123=6,AH134,IF(Z123=7,AH135,IF(Z123=8,AH136,IF(Z123=9,AH137,IF(Z123=10,AH138,IF(Z123=11,AH139,IF(Z123=12,AH140,IF(Z123=13,AH141,IF(Z123=14,AH142,IF(Z123=15,AH143,IF(Z123=16,AH144,IF(Z123=17,AH145,IF(Z123=18,AH146,IF(Z123=19,AH147,IF(Z123=20,AH148,IF(Z123=21,AH149,IF(Z123=22,AH150,IF(Z123=23,AH151,IF(Z123=24,AH152,IF(Z123=25,AH153,IF(Z123=26,AH154,IF(Z123=27,AH155,IF(Z123=28,AH156,IF(Z123=29,AH157,IF(Z123=30,AH158))))))))))))))))))))))))))))))))</f>
        <v>0</v>
      </c>
      <c r="AJ123" s="253">
        <f>IF(V123&lt;&gt;0,SUM($F$34,V123,$N$36,MAX($AH$42:$AH$342),$T$36),0)</f>
        <v>0</v>
      </c>
      <c r="AK123" s="253">
        <f>IF(W123&lt;&gt;0,SUM($F$34,W123,$N$36,MAX($AH$42:$AH$342),$T$36),0)</f>
        <v>0</v>
      </c>
      <c r="AL123" s="253">
        <f>IF(X123&lt;&gt;0,SUM($F$34,X123,$N$36,MAX($AH$42:$AH$342),$T$36),0)</f>
        <v>0</v>
      </c>
      <c r="AM123" s="260">
        <f>IF(Y123&lt;&gt;0,SUM($F$34,Y123,$N$36,MAX($AH$42:$AH$342),$T$36),0)</f>
        <v>0</v>
      </c>
    </row>
    <row r="124" spans="1:39" x14ac:dyDescent="0.35">
      <c r="A124" s="259">
        <v>1422</v>
      </c>
      <c r="B124" s="58">
        <f>SUMIF([2]!Table2_23[ETA],'FIS Optimal Model (2)'!A124,[2]!Table2_23[FIS PAX])</f>
        <v>0</v>
      </c>
      <c r="C124" s="44">
        <f t="shared" si="78"/>
        <v>0</v>
      </c>
      <c r="D124" s="52">
        <f t="shared" si="83"/>
        <v>0</v>
      </c>
      <c r="E124" s="26">
        <f t="shared" si="66"/>
        <v>0</v>
      </c>
      <c r="F124" s="26">
        <f t="shared" si="67"/>
        <v>0</v>
      </c>
      <c r="G124" s="26">
        <f t="shared" si="68"/>
        <v>0</v>
      </c>
      <c r="H124" s="26">
        <f t="shared" si="69"/>
        <v>0</v>
      </c>
      <c r="I124" s="27">
        <f t="shared" si="85"/>
        <v>0</v>
      </c>
      <c r="J124" s="27">
        <f t="shared" si="85"/>
        <v>0</v>
      </c>
      <c r="K124" s="27">
        <f t="shared" si="85"/>
        <v>0</v>
      </c>
      <c r="L124" s="27">
        <f t="shared" si="85"/>
        <v>0</v>
      </c>
      <c r="M124" s="28">
        <f t="shared" si="87"/>
        <v>0</v>
      </c>
      <c r="N124" s="29">
        <f t="shared" si="88"/>
        <v>11</v>
      </c>
      <c r="O124" s="28">
        <f t="shared" si="89"/>
        <v>0</v>
      </c>
      <c r="P124" s="28">
        <f t="shared" si="90"/>
        <v>0</v>
      </c>
      <c r="Q124" s="28">
        <f t="shared" si="70"/>
        <v>11</v>
      </c>
      <c r="R124" s="22">
        <f t="shared" si="71"/>
        <v>0</v>
      </c>
      <c r="S124" s="22">
        <f t="shared" si="72"/>
        <v>0</v>
      </c>
      <c r="T124" s="22">
        <f t="shared" si="73"/>
        <v>0</v>
      </c>
      <c r="U124" s="22">
        <f t="shared" si="74"/>
        <v>0</v>
      </c>
      <c r="V124" s="21">
        <f t="shared" si="86"/>
        <v>0</v>
      </c>
      <c r="W124" s="21">
        <f t="shared" si="91"/>
        <v>0</v>
      </c>
      <c r="X124" s="21">
        <f t="shared" si="81"/>
        <v>0</v>
      </c>
      <c r="Y124" s="21">
        <f t="shared" si="82"/>
        <v>0</v>
      </c>
      <c r="Z124" s="221">
        <f t="shared" si="75"/>
        <v>0</v>
      </c>
      <c r="AA124" s="30">
        <f t="shared" si="62"/>
        <v>0</v>
      </c>
      <c r="AB124" s="30">
        <f t="shared" si="63"/>
        <v>0</v>
      </c>
      <c r="AC124" s="30">
        <f t="shared" si="64"/>
        <v>0</v>
      </c>
      <c r="AD124" s="30">
        <f t="shared" si="65"/>
        <v>0</v>
      </c>
      <c r="AE124" s="32">
        <f t="shared" si="76"/>
        <v>0</v>
      </c>
      <c r="AF124" s="33">
        <f t="shared" si="84"/>
        <v>0</v>
      </c>
      <c r="AG124" s="40">
        <f t="shared" si="77"/>
        <v>0</v>
      </c>
      <c r="AH124" s="224">
        <f>AG124*$P$36</f>
        <v>0</v>
      </c>
      <c r="AI124" s="226">
        <f>SUM(Z124,IF(Z124&lt;&gt;0,$F$34,0),IF(Z124&lt;&gt;0,$N$36,0),IF(Z124&lt;&gt;0,$T$36,0),IF(Z124=0,AH129,IF(Z124=1,AH130,IF(Z124=2,AH131,IF(Z124=3,AH132,IF(Z124=4,AH133,IF(Z124=5,AH134,IF(Z124=6,AH135,IF(Z124=7,AH136,IF(Z124=8,AH137,IF(Z124=9,AH138,IF(Z124=10,AH139,IF(Z124=11,AH140,IF(Z124=12,AH141,IF(Z124=13,AH142,IF(Z124=14,AH143,IF(Z124=15,AH144,IF(Z124=16,AH145,IF(Z124=17,AH146,IF(Z124=18,AH147,IF(Z124=19,AH148,IF(Z124=20,AH149,IF(Z124=21,AH150,IF(Z124=22,AH151,IF(Z124=23,AH152,IF(Z124=24,AH153,IF(Z124=25,AH154,IF(Z124=26,AH155,IF(Z124=27,AH156,IF(Z124=28,AH157,IF(Z124=29,AH158,IF(Z124=30,AH159))))))))))))))))))))))))))))))))</f>
        <v>0</v>
      </c>
      <c r="AJ124" s="253">
        <f>IF(V124&lt;&gt;0,SUM($F$34,V124,$N$36,MAX($AH$42:$AH$342),$T$36),0)</f>
        <v>0</v>
      </c>
      <c r="AK124" s="253">
        <f>IF(W124&lt;&gt;0,SUM($F$34,W124,$N$36,MAX($AH$42:$AH$342),$T$36),0)</f>
        <v>0</v>
      </c>
      <c r="AL124" s="253">
        <f>IF(X124&lt;&gt;0,SUM($F$34,X124,$N$36,MAX($AH$42:$AH$342),$T$36),0)</f>
        <v>0</v>
      </c>
      <c r="AM124" s="260">
        <f>IF(Y124&lt;&gt;0,SUM($F$34,Y124,$N$36,MAX($AH$42:$AH$342),$T$36),0)</f>
        <v>0</v>
      </c>
    </row>
    <row r="125" spans="1:39" x14ac:dyDescent="0.35">
      <c r="A125" s="259">
        <v>1423</v>
      </c>
      <c r="B125" s="58">
        <f>SUMIF([2]!Table2_23[ETA],'FIS Optimal Model (2)'!A125,[2]!Table2_23[FIS PAX])</f>
        <v>0</v>
      </c>
      <c r="C125" s="44">
        <f t="shared" si="78"/>
        <v>0</v>
      </c>
      <c r="D125" s="52">
        <f t="shared" si="83"/>
        <v>0</v>
      </c>
      <c r="E125" s="26">
        <f t="shared" si="66"/>
        <v>0</v>
      </c>
      <c r="F125" s="26">
        <f t="shared" si="67"/>
        <v>0</v>
      </c>
      <c r="G125" s="26">
        <f t="shared" si="68"/>
        <v>0</v>
      </c>
      <c r="H125" s="26">
        <f t="shared" si="69"/>
        <v>0</v>
      </c>
      <c r="I125" s="27">
        <f t="shared" si="85"/>
        <v>0</v>
      </c>
      <c r="J125" s="27">
        <f t="shared" si="85"/>
        <v>0</v>
      </c>
      <c r="K125" s="27">
        <f t="shared" si="85"/>
        <v>0</v>
      </c>
      <c r="L125" s="27">
        <f t="shared" si="85"/>
        <v>0</v>
      </c>
      <c r="M125" s="28">
        <f t="shared" si="87"/>
        <v>0</v>
      </c>
      <c r="N125" s="29">
        <f t="shared" si="88"/>
        <v>11</v>
      </c>
      <c r="O125" s="28">
        <f t="shared" si="89"/>
        <v>0</v>
      </c>
      <c r="P125" s="28">
        <f t="shared" si="90"/>
        <v>0</v>
      </c>
      <c r="Q125" s="28">
        <f t="shared" si="70"/>
        <v>11</v>
      </c>
      <c r="R125" s="22">
        <f t="shared" si="71"/>
        <v>0</v>
      </c>
      <c r="S125" s="22">
        <f t="shared" si="72"/>
        <v>0</v>
      </c>
      <c r="T125" s="22">
        <f t="shared" si="73"/>
        <v>0</v>
      </c>
      <c r="U125" s="22">
        <f t="shared" si="74"/>
        <v>0</v>
      </c>
      <c r="V125" s="21">
        <f t="shared" si="86"/>
        <v>0</v>
      </c>
      <c r="W125" s="21">
        <f t="shared" si="91"/>
        <v>0</v>
      </c>
      <c r="X125" s="21">
        <f t="shared" si="81"/>
        <v>0</v>
      </c>
      <c r="Y125" s="21">
        <f t="shared" si="82"/>
        <v>0</v>
      </c>
      <c r="Z125" s="221">
        <f t="shared" si="75"/>
        <v>0</v>
      </c>
      <c r="AA125" s="30">
        <f t="shared" si="62"/>
        <v>0</v>
      </c>
      <c r="AB125" s="30">
        <f t="shared" si="63"/>
        <v>0</v>
      </c>
      <c r="AC125" s="30">
        <f t="shared" si="64"/>
        <v>0</v>
      </c>
      <c r="AD125" s="30">
        <f t="shared" si="65"/>
        <v>0</v>
      </c>
      <c r="AE125" s="32">
        <f t="shared" si="76"/>
        <v>0</v>
      </c>
      <c r="AF125" s="33">
        <f t="shared" si="84"/>
        <v>0</v>
      </c>
      <c r="AG125" s="40">
        <f t="shared" si="77"/>
        <v>0</v>
      </c>
      <c r="AH125" s="224">
        <f>AG125*$P$36</f>
        <v>0</v>
      </c>
      <c r="AI125" s="226">
        <f>SUM(Z125,IF(Z125&lt;&gt;0,$F$34,0),IF(Z125&lt;&gt;0,$N$36,0),IF(Z125&lt;&gt;0,$T$36,0),IF(Z125=0,AH130,IF(Z125=1,AH131,IF(Z125=2,AH132,IF(Z125=3,AH133,IF(Z125=4,AH134,IF(Z125=5,AH135,IF(Z125=6,AH136,IF(Z125=7,AH137,IF(Z125=8,AH138,IF(Z125=9,AH139,IF(Z125=10,AH140,IF(Z125=11,AH141,IF(Z125=12,AH142,IF(Z125=13,AH143,IF(Z125=14,AH144,IF(Z125=15,AH145,IF(Z125=16,AH146,IF(Z125=17,AH147,IF(Z125=18,AH148,IF(Z125=19,AH149,IF(Z125=20,AH150,IF(Z125=21,AH151,IF(Z125=22,AH152,IF(Z125=23,AH153,IF(Z125=24,AH154,IF(Z125=25,AH155,IF(Z125=26,AH156,IF(Z125=27,AH157,IF(Z125=28,AH158,IF(Z125=29,AH159,IF(Z125=30,AH160))))))))))))))))))))))))))))))))</f>
        <v>0</v>
      </c>
      <c r="AJ125" s="253">
        <f>IF(V125&lt;&gt;0,SUM($F$34,V125,$N$36,MAX($AH$42:$AH$342),$T$36),0)</f>
        <v>0</v>
      </c>
      <c r="AK125" s="253">
        <f>IF(W125&lt;&gt;0,SUM($F$34,W125,$N$36,MAX($AH$42:$AH$342),$T$36),0)</f>
        <v>0</v>
      </c>
      <c r="AL125" s="253">
        <f>IF(X125&lt;&gt;0,SUM($F$34,X125,$N$36,MAX($AH$42:$AH$342),$T$36),0)</f>
        <v>0</v>
      </c>
      <c r="AM125" s="260">
        <f>IF(Y125&lt;&gt;0,SUM($F$34,Y125,$N$36,MAX($AH$42:$AH$342),$T$36),0)</f>
        <v>0</v>
      </c>
    </row>
    <row r="126" spans="1:39" x14ac:dyDescent="0.35">
      <c r="A126" s="259">
        <v>1424</v>
      </c>
      <c r="B126" s="58">
        <f>SUMIF([2]!Table2_23[ETA],'FIS Optimal Model (2)'!A126,[2]!Table2_23[FIS PAX])</f>
        <v>0</v>
      </c>
      <c r="C126" s="44">
        <f t="shared" si="78"/>
        <v>0</v>
      </c>
      <c r="D126" s="52">
        <f t="shared" si="83"/>
        <v>0</v>
      </c>
      <c r="E126" s="26">
        <f t="shared" si="66"/>
        <v>0</v>
      </c>
      <c r="F126" s="26">
        <f t="shared" si="67"/>
        <v>0</v>
      </c>
      <c r="G126" s="26">
        <f t="shared" si="68"/>
        <v>0</v>
      </c>
      <c r="H126" s="26">
        <f t="shared" si="69"/>
        <v>0</v>
      </c>
      <c r="I126" s="27">
        <f t="shared" si="85"/>
        <v>0</v>
      </c>
      <c r="J126" s="27">
        <f t="shared" si="85"/>
        <v>0</v>
      </c>
      <c r="K126" s="27">
        <f t="shared" si="85"/>
        <v>0</v>
      </c>
      <c r="L126" s="27">
        <f t="shared" si="85"/>
        <v>0</v>
      </c>
      <c r="M126" s="28">
        <f t="shared" si="87"/>
        <v>0</v>
      </c>
      <c r="N126" s="29">
        <f t="shared" si="88"/>
        <v>11</v>
      </c>
      <c r="O126" s="28">
        <f t="shared" si="89"/>
        <v>0</v>
      </c>
      <c r="P126" s="28">
        <f t="shared" si="90"/>
        <v>0</v>
      </c>
      <c r="Q126" s="28">
        <f t="shared" si="70"/>
        <v>11</v>
      </c>
      <c r="R126" s="22">
        <f t="shared" si="71"/>
        <v>0</v>
      </c>
      <c r="S126" s="22">
        <f t="shared" si="72"/>
        <v>0</v>
      </c>
      <c r="T126" s="22">
        <f t="shared" si="73"/>
        <v>0</v>
      </c>
      <c r="U126" s="22">
        <f t="shared" si="74"/>
        <v>0</v>
      </c>
      <c r="V126" s="21">
        <f t="shared" si="86"/>
        <v>0</v>
      </c>
      <c r="W126" s="21">
        <f t="shared" si="91"/>
        <v>0</v>
      </c>
      <c r="X126" s="21">
        <f t="shared" si="81"/>
        <v>0</v>
      </c>
      <c r="Y126" s="21">
        <f t="shared" si="82"/>
        <v>0</v>
      </c>
      <c r="Z126" s="221">
        <f t="shared" si="75"/>
        <v>0</v>
      </c>
      <c r="AA126" s="30">
        <f t="shared" si="62"/>
        <v>0</v>
      </c>
      <c r="AB126" s="30">
        <f t="shared" si="63"/>
        <v>0</v>
      </c>
      <c r="AC126" s="30">
        <f t="shared" si="64"/>
        <v>0</v>
      </c>
      <c r="AD126" s="30">
        <f t="shared" si="65"/>
        <v>0</v>
      </c>
      <c r="AE126" s="32">
        <f t="shared" si="76"/>
        <v>0</v>
      </c>
      <c r="AF126" s="33">
        <f t="shared" si="84"/>
        <v>0</v>
      </c>
      <c r="AG126" s="40">
        <f t="shared" si="77"/>
        <v>0</v>
      </c>
      <c r="AH126" s="224">
        <f>AG126*$P$36</f>
        <v>0</v>
      </c>
      <c r="AI126" s="226">
        <f>SUM(Z126,IF(Z126&lt;&gt;0,$F$34,0),IF(Z126&lt;&gt;0,$N$36,0),IF(Z126&lt;&gt;0,$T$36,0),IF(Z126=0,AH131,IF(Z126=1,AH132,IF(Z126=2,AH133,IF(Z126=3,AH134,IF(Z126=4,AH135,IF(Z126=5,AH136,IF(Z126=6,AH137,IF(Z126=7,AH138,IF(Z126=8,AH139,IF(Z126=9,AH140,IF(Z126=10,AH141,IF(Z126=11,AH142,IF(Z126=12,AH143,IF(Z126=13,AH144,IF(Z126=14,AH145,IF(Z126=15,AH146,IF(Z126=16,AH147,IF(Z126=17,AH148,IF(Z126=18,AH149,IF(Z126=19,AH150,IF(Z126=20,AH151,IF(Z126=21,AH152,IF(Z126=22,AH153,IF(Z126=23,AH154,IF(Z126=24,AH155,IF(Z126=25,AH156,IF(Z126=26,AH157,IF(Z126=27,AH158,IF(Z126=28,AH159,IF(Z126=29,AH160,IF(Z126=30,AH161))))))))))))))))))))))))))))))))</f>
        <v>0</v>
      </c>
      <c r="AJ126" s="253">
        <f>IF(V126&lt;&gt;0,SUM($F$34,V126,$N$36,MAX($AH$42:$AH$342),$T$36),0)</f>
        <v>0</v>
      </c>
      <c r="AK126" s="253">
        <f>IF(W126&lt;&gt;0,SUM($F$34,W126,$N$36,MAX($AH$42:$AH$342),$T$36),0)</f>
        <v>0</v>
      </c>
      <c r="AL126" s="253">
        <f>IF(X126&lt;&gt;0,SUM($F$34,X126,$N$36,MAX($AH$42:$AH$342),$T$36),0)</f>
        <v>0</v>
      </c>
      <c r="AM126" s="260">
        <f>IF(Y126&lt;&gt;0,SUM($F$34,Y126,$N$36,MAX($AH$42:$AH$342),$T$36),0)</f>
        <v>0</v>
      </c>
    </row>
    <row r="127" spans="1:39" x14ac:dyDescent="0.35">
      <c r="A127" s="259">
        <v>1425</v>
      </c>
      <c r="B127" s="58">
        <f>SUMIF([2]!Table2_23[ETA],'FIS Optimal Model (2)'!A127,[2]!Table2_23[FIS PAX])</f>
        <v>0</v>
      </c>
      <c r="C127" s="44">
        <f t="shared" si="78"/>
        <v>0</v>
      </c>
      <c r="D127" s="52">
        <f t="shared" si="83"/>
        <v>0</v>
      </c>
      <c r="E127" s="26">
        <f t="shared" si="66"/>
        <v>0</v>
      </c>
      <c r="F127" s="26">
        <f t="shared" si="67"/>
        <v>0</v>
      </c>
      <c r="G127" s="26">
        <f t="shared" si="68"/>
        <v>0</v>
      </c>
      <c r="H127" s="26">
        <f t="shared" si="69"/>
        <v>0</v>
      </c>
      <c r="I127" s="27">
        <f t="shared" si="85"/>
        <v>0</v>
      </c>
      <c r="J127" s="27">
        <f t="shared" si="85"/>
        <v>0</v>
      </c>
      <c r="K127" s="27">
        <f t="shared" si="85"/>
        <v>0</v>
      </c>
      <c r="L127" s="27">
        <f t="shared" si="85"/>
        <v>0</v>
      </c>
      <c r="M127" s="28">
        <f t="shared" si="87"/>
        <v>0</v>
      </c>
      <c r="N127" s="29">
        <f t="shared" si="88"/>
        <v>11</v>
      </c>
      <c r="O127" s="28">
        <f t="shared" si="89"/>
        <v>0</v>
      </c>
      <c r="P127" s="28">
        <f t="shared" si="90"/>
        <v>0</v>
      </c>
      <c r="Q127" s="28">
        <f t="shared" si="70"/>
        <v>11</v>
      </c>
      <c r="R127" s="22">
        <f t="shared" si="71"/>
        <v>0</v>
      </c>
      <c r="S127" s="22">
        <f t="shared" si="72"/>
        <v>0</v>
      </c>
      <c r="T127" s="22">
        <f t="shared" si="73"/>
        <v>0</v>
      </c>
      <c r="U127" s="22">
        <f t="shared" si="74"/>
        <v>0</v>
      </c>
      <c r="V127" s="21">
        <f t="shared" si="86"/>
        <v>0</v>
      </c>
      <c r="W127" s="21">
        <f t="shared" si="91"/>
        <v>0</v>
      </c>
      <c r="X127" s="21">
        <f t="shared" si="81"/>
        <v>0</v>
      </c>
      <c r="Y127" s="21">
        <f t="shared" si="82"/>
        <v>0</v>
      </c>
      <c r="Z127" s="221">
        <f t="shared" si="75"/>
        <v>0</v>
      </c>
      <c r="AA127" s="30">
        <f t="shared" si="62"/>
        <v>0</v>
      </c>
      <c r="AB127" s="30">
        <f t="shared" si="63"/>
        <v>0</v>
      </c>
      <c r="AC127" s="30">
        <f t="shared" si="64"/>
        <v>0</v>
      </c>
      <c r="AD127" s="30">
        <f t="shared" si="65"/>
        <v>0</v>
      </c>
      <c r="AE127" s="32">
        <f t="shared" si="76"/>
        <v>0</v>
      </c>
      <c r="AF127" s="33">
        <f t="shared" si="84"/>
        <v>0</v>
      </c>
      <c r="AG127" s="40">
        <f t="shared" si="77"/>
        <v>0</v>
      </c>
      <c r="AH127" s="224">
        <f>AG127*$P$36</f>
        <v>0</v>
      </c>
      <c r="AI127" s="226">
        <f>SUM(Z127,IF(Z127&lt;&gt;0,$F$34,0),IF(Z127&lt;&gt;0,$N$36,0),IF(Z127&lt;&gt;0,$T$36,0),IF(Z127=0,AH132,IF(Z127=1,AH133,IF(Z127=2,AH134,IF(Z127=3,AH135,IF(Z127=4,AH136,IF(Z127=5,AH137,IF(Z127=6,AH138,IF(Z127=7,AH139,IF(Z127=8,AH140,IF(Z127=9,AH141,IF(Z127=10,AH142,IF(Z127=11,AH143,IF(Z127=12,AH144,IF(Z127=13,AH145,IF(Z127=14,AH146,IF(Z127=15,AH147,IF(Z127=16,AH148,IF(Z127=17,AH149,IF(Z127=18,AH150,IF(Z127=19,AH151,IF(Z127=20,AH152,IF(Z127=21,AH153,IF(Z127=22,AH154,IF(Z127=23,AH155,IF(Z127=24,AH156,IF(Z127=25,AH157,IF(Z127=26,AH158,IF(Z127=27,AH159,IF(Z127=28,AH160,IF(Z127=29,AH161,IF(Z127=30,AH162))))))))))))))))))))))))))))))))</f>
        <v>0</v>
      </c>
      <c r="AJ127" s="253">
        <f>IF(V127&lt;&gt;0,SUM($F$34,V127,$N$36,MAX($AH$42:$AH$342),$T$36),0)</f>
        <v>0</v>
      </c>
      <c r="AK127" s="253">
        <f>IF(W127&lt;&gt;0,SUM($F$34,W127,$N$36,MAX($AH$42:$AH$342),$T$36),0)</f>
        <v>0</v>
      </c>
      <c r="AL127" s="253">
        <f>IF(X127&lt;&gt;0,SUM($F$34,X127,$N$36,MAX($AH$42:$AH$342),$T$36),0)</f>
        <v>0</v>
      </c>
      <c r="AM127" s="260">
        <f>IF(Y127&lt;&gt;0,SUM($F$34,Y127,$N$36,MAX($AH$42:$AH$342),$T$36),0)</f>
        <v>0</v>
      </c>
    </row>
    <row r="128" spans="1:39" x14ac:dyDescent="0.35">
      <c r="A128" s="259">
        <v>1426</v>
      </c>
      <c r="B128" s="58">
        <f>SUMIF([2]!Table2_23[ETA],'FIS Optimal Model (2)'!A128,[2]!Table2_23[FIS PAX])</f>
        <v>0</v>
      </c>
      <c r="C128" s="44">
        <f t="shared" si="78"/>
        <v>0</v>
      </c>
      <c r="D128" s="52">
        <f t="shared" si="83"/>
        <v>0</v>
      </c>
      <c r="E128" s="26">
        <f t="shared" si="66"/>
        <v>0</v>
      </c>
      <c r="F128" s="26">
        <f t="shared" si="67"/>
        <v>0</v>
      </c>
      <c r="G128" s="26">
        <f t="shared" si="68"/>
        <v>0</v>
      </c>
      <c r="H128" s="26">
        <f t="shared" si="69"/>
        <v>0</v>
      </c>
      <c r="I128" s="27">
        <f t="shared" si="85"/>
        <v>0</v>
      </c>
      <c r="J128" s="27">
        <f t="shared" si="85"/>
        <v>0</v>
      </c>
      <c r="K128" s="27">
        <f t="shared" si="85"/>
        <v>0</v>
      </c>
      <c r="L128" s="27">
        <f t="shared" si="85"/>
        <v>0</v>
      </c>
      <c r="M128" s="28">
        <f t="shared" si="87"/>
        <v>0</v>
      </c>
      <c r="N128" s="29">
        <f t="shared" si="88"/>
        <v>11</v>
      </c>
      <c r="O128" s="28">
        <f t="shared" si="89"/>
        <v>0</v>
      </c>
      <c r="P128" s="28">
        <f t="shared" si="90"/>
        <v>0</v>
      </c>
      <c r="Q128" s="28">
        <f t="shared" si="70"/>
        <v>11</v>
      </c>
      <c r="R128" s="22">
        <f t="shared" si="71"/>
        <v>0</v>
      </c>
      <c r="S128" s="22">
        <f t="shared" si="72"/>
        <v>0</v>
      </c>
      <c r="T128" s="22">
        <f t="shared" si="73"/>
        <v>0</v>
      </c>
      <c r="U128" s="22">
        <f t="shared" si="74"/>
        <v>0</v>
      </c>
      <c r="V128" s="21">
        <f t="shared" si="86"/>
        <v>0</v>
      </c>
      <c r="W128" s="21">
        <f t="shared" si="91"/>
        <v>0</v>
      </c>
      <c r="X128" s="21">
        <f t="shared" si="81"/>
        <v>0</v>
      </c>
      <c r="Y128" s="21">
        <f t="shared" si="82"/>
        <v>0</v>
      </c>
      <c r="Z128" s="221">
        <f t="shared" si="75"/>
        <v>0</v>
      </c>
      <c r="AA128" s="30">
        <f t="shared" si="62"/>
        <v>0</v>
      </c>
      <c r="AB128" s="30">
        <f t="shared" si="63"/>
        <v>0</v>
      </c>
      <c r="AC128" s="30">
        <f t="shared" si="64"/>
        <v>0</v>
      </c>
      <c r="AD128" s="30">
        <f t="shared" si="65"/>
        <v>0</v>
      </c>
      <c r="AE128" s="32">
        <f t="shared" si="76"/>
        <v>0</v>
      </c>
      <c r="AF128" s="33">
        <f t="shared" si="84"/>
        <v>0</v>
      </c>
      <c r="AG128" s="40">
        <f t="shared" si="77"/>
        <v>0</v>
      </c>
      <c r="AH128" s="224">
        <f>AG128*$P$36</f>
        <v>0</v>
      </c>
      <c r="AI128" s="226">
        <f>SUM(Z128,IF(Z128&lt;&gt;0,$F$34,0),IF(Z128&lt;&gt;0,$N$36,0),IF(Z128&lt;&gt;0,$T$36,0),IF(Z128=0,AH133,IF(Z128=1,AH134,IF(Z128=2,AH135,IF(Z128=3,AH136,IF(Z128=4,AH137,IF(Z128=5,AH138,IF(Z128=6,AH139,IF(Z128=7,AH140,IF(Z128=8,AH141,IF(Z128=9,AH142,IF(Z128=10,AH143,IF(Z128=11,AH144,IF(Z128=12,AH145,IF(Z128=13,AH146,IF(Z128=14,AH147,IF(Z128=15,AH148,IF(Z128=16,AH149,IF(Z128=17,AH150,IF(Z128=18,AH151,IF(Z128=19,AH152,IF(Z128=20,AH153,IF(Z128=21,AH154,IF(Z128=22,AH155,IF(Z128=23,AH156,IF(Z128=24,AH157,IF(Z128=25,AH158,IF(Z128=26,AH159,IF(Z128=27,AH160,IF(Z128=28,AH161,IF(Z128=29,AH162,IF(Z128=30,AH163))))))))))))))))))))))))))))))))</f>
        <v>0</v>
      </c>
      <c r="AJ128" s="253">
        <f>IF(V128&lt;&gt;0,SUM($F$34,V128,$N$36,MAX($AH$42:$AH$342),$T$36),0)</f>
        <v>0</v>
      </c>
      <c r="AK128" s="253">
        <f>IF(W128&lt;&gt;0,SUM($F$34,W128,$N$36,MAX($AH$42:$AH$342),$T$36),0)</f>
        <v>0</v>
      </c>
      <c r="AL128" s="253">
        <f>IF(X128&lt;&gt;0,SUM($F$34,X128,$N$36,MAX($AH$42:$AH$342),$T$36),0)</f>
        <v>0</v>
      </c>
      <c r="AM128" s="260">
        <f>IF(Y128&lt;&gt;0,SUM($F$34,Y128,$N$36,MAX($AH$42:$AH$342),$T$36),0)</f>
        <v>0</v>
      </c>
    </row>
    <row r="129" spans="1:39" x14ac:dyDescent="0.35">
      <c r="A129" s="259">
        <v>1427</v>
      </c>
      <c r="B129" s="58">
        <f>SUMIF([2]!Table2_23[ETA],'FIS Optimal Model (2)'!A129,[2]!Table2_23[FIS PAX])</f>
        <v>0</v>
      </c>
      <c r="C129" s="44">
        <f t="shared" si="78"/>
        <v>0</v>
      </c>
      <c r="D129" s="52">
        <f t="shared" si="83"/>
        <v>0</v>
      </c>
      <c r="E129" s="26">
        <f t="shared" si="66"/>
        <v>0</v>
      </c>
      <c r="F129" s="26">
        <f t="shared" si="67"/>
        <v>0</v>
      </c>
      <c r="G129" s="26">
        <f t="shared" si="68"/>
        <v>0</v>
      </c>
      <c r="H129" s="26">
        <f t="shared" si="69"/>
        <v>0</v>
      </c>
      <c r="I129" s="27">
        <f t="shared" si="85"/>
        <v>0</v>
      </c>
      <c r="J129" s="27">
        <f t="shared" si="85"/>
        <v>0</v>
      </c>
      <c r="K129" s="27">
        <f t="shared" si="85"/>
        <v>0</v>
      </c>
      <c r="L129" s="27">
        <f t="shared" si="85"/>
        <v>0</v>
      </c>
      <c r="M129" s="28">
        <f t="shared" si="87"/>
        <v>0</v>
      </c>
      <c r="N129" s="29">
        <f t="shared" si="88"/>
        <v>11</v>
      </c>
      <c r="O129" s="28">
        <f t="shared" si="89"/>
        <v>0</v>
      </c>
      <c r="P129" s="28">
        <f t="shared" si="90"/>
        <v>0</v>
      </c>
      <c r="Q129" s="28">
        <f t="shared" si="70"/>
        <v>11</v>
      </c>
      <c r="R129" s="22">
        <f t="shared" si="71"/>
        <v>0</v>
      </c>
      <c r="S129" s="22">
        <f t="shared" si="72"/>
        <v>0</v>
      </c>
      <c r="T129" s="22">
        <f t="shared" si="73"/>
        <v>0</v>
      </c>
      <c r="U129" s="22">
        <f t="shared" si="74"/>
        <v>0</v>
      </c>
      <c r="V129" s="21">
        <f t="shared" si="86"/>
        <v>0</v>
      </c>
      <c r="W129" s="21">
        <f t="shared" si="91"/>
        <v>0</v>
      </c>
      <c r="X129" s="21">
        <f t="shared" si="81"/>
        <v>0</v>
      </c>
      <c r="Y129" s="21">
        <f t="shared" si="82"/>
        <v>0</v>
      </c>
      <c r="Z129" s="221">
        <f t="shared" si="75"/>
        <v>0</v>
      </c>
      <c r="AA129" s="30">
        <f t="shared" si="62"/>
        <v>0</v>
      </c>
      <c r="AB129" s="30">
        <f t="shared" si="63"/>
        <v>0</v>
      </c>
      <c r="AC129" s="30">
        <f t="shared" si="64"/>
        <v>0</v>
      </c>
      <c r="AD129" s="30">
        <f t="shared" si="65"/>
        <v>0</v>
      </c>
      <c r="AE129" s="32">
        <f t="shared" si="76"/>
        <v>0</v>
      </c>
      <c r="AF129" s="33">
        <f t="shared" si="84"/>
        <v>0</v>
      </c>
      <c r="AG129" s="40">
        <f t="shared" si="77"/>
        <v>0</v>
      </c>
      <c r="AH129" s="224">
        <f>AG129*$P$36</f>
        <v>0</v>
      </c>
      <c r="AI129" s="226">
        <f>SUM(Z129,IF(Z129&lt;&gt;0,$F$34,0),IF(Z129&lt;&gt;0,$N$36,0),IF(Z129&lt;&gt;0,$T$36,0),IF(Z129=0,AH134,IF(Z129=1,AH135,IF(Z129=2,AH136,IF(Z129=3,AH137,IF(Z129=4,AH138,IF(Z129=5,AH139,IF(Z129=6,AH140,IF(Z129=7,AH141,IF(Z129=8,AH142,IF(Z129=9,AH143,IF(Z129=10,AH144,IF(Z129=11,AH145,IF(Z129=12,AH146,IF(Z129=13,AH147,IF(Z129=14,AH148,IF(Z129=15,AH149,IF(Z129=16,AH150,IF(Z129=17,AH151,IF(Z129=18,AH152,IF(Z129=19,AH153,IF(Z129=20,AH154,IF(Z129=21,AH155,IF(Z129=22,AH156,IF(Z129=23,AH157,IF(Z129=24,AH158,IF(Z129=25,AH159,IF(Z129=26,AH160,IF(Z129=27,AH161,IF(Z129=28,AH162,IF(Z129=29,AH163,IF(Z129=30,AH164))))))))))))))))))))))))))))))))</f>
        <v>0</v>
      </c>
      <c r="AJ129" s="253">
        <f>IF(V129&lt;&gt;0,SUM($F$34,V129,$N$36,MAX($AH$42:$AH$342),$T$36),0)</f>
        <v>0</v>
      </c>
      <c r="AK129" s="253">
        <f>IF(W129&lt;&gt;0,SUM($F$34,W129,$N$36,MAX($AH$42:$AH$342),$T$36),0)</f>
        <v>0</v>
      </c>
      <c r="AL129" s="253">
        <f>IF(X129&lt;&gt;0,SUM($F$34,X129,$N$36,MAX($AH$42:$AH$342),$T$36),0)</f>
        <v>0</v>
      </c>
      <c r="AM129" s="260">
        <f>IF(Y129&lt;&gt;0,SUM($F$34,Y129,$N$36,MAX($AH$42:$AH$342),$T$36),0)</f>
        <v>0</v>
      </c>
    </row>
    <row r="130" spans="1:39" x14ac:dyDescent="0.35">
      <c r="A130" s="259">
        <v>1428</v>
      </c>
      <c r="B130" s="58">
        <f>SUMIF([2]!Table2_23[ETA],'FIS Optimal Model (2)'!A130,[2]!Table2_23[FIS PAX])</f>
        <v>0</v>
      </c>
      <c r="C130" s="44">
        <f t="shared" si="78"/>
        <v>0</v>
      </c>
      <c r="D130" s="52">
        <f t="shared" si="83"/>
        <v>0</v>
      </c>
      <c r="E130" s="26">
        <f t="shared" si="66"/>
        <v>0</v>
      </c>
      <c r="F130" s="26">
        <f t="shared" si="67"/>
        <v>0</v>
      </c>
      <c r="G130" s="26">
        <f t="shared" si="68"/>
        <v>0</v>
      </c>
      <c r="H130" s="26">
        <f t="shared" si="69"/>
        <v>0</v>
      </c>
      <c r="I130" s="27">
        <f t="shared" si="85"/>
        <v>0</v>
      </c>
      <c r="J130" s="27">
        <f t="shared" si="85"/>
        <v>0</v>
      </c>
      <c r="K130" s="27">
        <f t="shared" si="85"/>
        <v>0</v>
      </c>
      <c r="L130" s="27">
        <f t="shared" si="85"/>
        <v>0</v>
      </c>
      <c r="M130" s="28">
        <f t="shared" si="87"/>
        <v>0</v>
      </c>
      <c r="N130" s="29">
        <f t="shared" si="88"/>
        <v>11</v>
      </c>
      <c r="O130" s="28">
        <f t="shared" si="89"/>
        <v>0</v>
      </c>
      <c r="P130" s="28">
        <f t="shared" si="90"/>
        <v>0</v>
      </c>
      <c r="Q130" s="28">
        <f t="shared" si="70"/>
        <v>11</v>
      </c>
      <c r="R130" s="22">
        <f t="shared" si="71"/>
        <v>0</v>
      </c>
      <c r="S130" s="22">
        <f t="shared" si="72"/>
        <v>0</v>
      </c>
      <c r="T130" s="22">
        <f t="shared" si="73"/>
        <v>0</v>
      </c>
      <c r="U130" s="22">
        <f t="shared" si="74"/>
        <v>0</v>
      </c>
      <c r="V130" s="21">
        <f t="shared" si="86"/>
        <v>0</v>
      </c>
      <c r="W130" s="21">
        <f t="shared" si="91"/>
        <v>0</v>
      </c>
      <c r="X130" s="21">
        <f t="shared" si="81"/>
        <v>0</v>
      </c>
      <c r="Y130" s="21">
        <f t="shared" si="82"/>
        <v>0</v>
      </c>
      <c r="Z130" s="221">
        <f t="shared" si="75"/>
        <v>0</v>
      </c>
      <c r="AA130" s="30">
        <f t="shared" si="62"/>
        <v>0</v>
      </c>
      <c r="AB130" s="30">
        <f t="shared" si="63"/>
        <v>0</v>
      </c>
      <c r="AC130" s="30">
        <f t="shared" si="64"/>
        <v>0</v>
      </c>
      <c r="AD130" s="30">
        <f t="shared" si="65"/>
        <v>0</v>
      </c>
      <c r="AE130" s="32">
        <f t="shared" si="76"/>
        <v>0</v>
      </c>
      <c r="AF130" s="33">
        <f t="shared" si="84"/>
        <v>0</v>
      </c>
      <c r="AG130" s="40">
        <f t="shared" si="77"/>
        <v>0</v>
      </c>
      <c r="AH130" s="224">
        <f>AG130*$P$36</f>
        <v>0</v>
      </c>
      <c r="AI130" s="226">
        <f>SUM(Z130,IF(Z130&lt;&gt;0,$F$34,0),IF(Z130&lt;&gt;0,$N$36,0),IF(Z130&lt;&gt;0,$T$36,0),IF(Z130=0,AH135,IF(Z130=1,AH136,IF(Z130=2,AH137,IF(Z130=3,AH138,IF(Z130=4,AH139,IF(Z130=5,AH140,IF(Z130=6,AH141,IF(Z130=7,AH142,IF(Z130=8,AH143,IF(Z130=9,AH144,IF(Z130=10,AH145,IF(Z130=11,AH146,IF(Z130=12,AH147,IF(Z130=13,AH148,IF(Z130=14,AH149,IF(Z130=15,AH150,IF(Z130=16,AH151,IF(Z130=17,AH152,IF(Z130=18,AH153,IF(Z130=19,AH154,IF(Z130=20,AH155,IF(Z130=21,AH156,IF(Z130=22,AH157,IF(Z130=23,AH158,IF(Z130=24,AH159,IF(Z130=25,AH160,IF(Z130=26,AH161,IF(Z130=27,AH162,IF(Z130=28,AH163,IF(Z130=29,AH164,IF(Z130=30,AH165))))))))))))))))))))))))))))))))</f>
        <v>0</v>
      </c>
      <c r="AJ130" s="253">
        <f>IF(V130&lt;&gt;0,SUM($F$34,V130,$N$36,MAX($AH$42:$AH$342),$T$36),0)</f>
        <v>0</v>
      </c>
      <c r="AK130" s="253">
        <f>IF(W130&lt;&gt;0,SUM($F$34,W130,$N$36,MAX($AH$42:$AH$342),$T$36),0)</f>
        <v>0</v>
      </c>
      <c r="AL130" s="253">
        <f>IF(X130&lt;&gt;0,SUM($F$34,X130,$N$36,MAX($AH$42:$AH$342),$T$36),0)</f>
        <v>0</v>
      </c>
      <c r="AM130" s="260">
        <f>IF(Y130&lt;&gt;0,SUM($F$34,Y130,$N$36,MAX($AH$42:$AH$342),$T$36),0)</f>
        <v>0</v>
      </c>
    </row>
    <row r="131" spans="1:39" x14ac:dyDescent="0.35">
      <c r="A131" s="259">
        <v>1429</v>
      </c>
      <c r="B131" s="58">
        <f>SUMIF([2]!Table2_23[ETA],'FIS Optimal Model (2)'!A131,[2]!Table2_23[FIS PAX])</f>
        <v>0</v>
      </c>
      <c r="C131" s="44">
        <f t="shared" si="78"/>
        <v>0</v>
      </c>
      <c r="D131" s="52">
        <f t="shared" si="83"/>
        <v>0</v>
      </c>
      <c r="E131" s="26">
        <f t="shared" si="66"/>
        <v>0</v>
      </c>
      <c r="F131" s="26">
        <f t="shared" si="67"/>
        <v>0</v>
      </c>
      <c r="G131" s="26">
        <f t="shared" si="68"/>
        <v>0</v>
      </c>
      <c r="H131" s="26">
        <f t="shared" si="69"/>
        <v>0</v>
      </c>
      <c r="I131" s="27">
        <f t="shared" si="85"/>
        <v>0</v>
      </c>
      <c r="J131" s="27">
        <f t="shared" si="85"/>
        <v>0</v>
      </c>
      <c r="K131" s="27">
        <f t="shared" si="85"/>
        <v>0</v>
      </c>
      <c r="L131" s="27">
        <f t="shared" si="85"/>
        <v>0</v>
      </c>
      <c r="M131" s="28">
        <f t="shared" si="87"/>
        <v>0</v>
      </c>
      <c r="N131" s="29">
        <f t="shared" si="88"/>
        <v>11</v>
      </c>
      <c r="O131" s="28">
        <f t="shared" si="89"/>
        <v>0</v>
      </c>
      <c r="P131" s="28">
        <f t="shared" si="90"/>
        <v>0</v>
      </c>
      <c r="Q131" s="28">
        <f t="shared" si="70"/>
        <v>11</v>
      </c>
      <c r="R131" s="22">
        <f t="shared" si="71"/>
        <v>0</v>
      </c>
      <c r="S131" s="22">
        <f t="shared" si="72"/>
        <v>0</v>
      </c>
      <c r="T131" s="22">
        <f t="shared" si="73"/>
        <v>0</v>
      </c>
      <c r="U131" s="22">
        <f t="shared" si="74"/>
        <v>0</v>
      </c>
      <c r="V131" s="21">
        <f t="shared" si="86"/>
        <v>0</v>
      </c>
      <c r="W131" s="21">
        <f t="shared" si="91"/>
        <v>0</v>
      </c>
      <c r="X131" s="21">
        <f t="shared" si="81"/>
        <v>0</v>
      </c>
      <c r="Y131" s="21">
        <f t="shared" si="82"/>
        <v>0</v>
      </c>
      <c r="Z131" s="221">
        <f t="shared" si="75"/>
        <v>0</v>
      </c>
      <c r="AA131" s="30">
        <f t="shared" si="62"/>
        <v>0</v>
      </c>
      <c r="AB131" s="30">
        <f t="shared" si="63"/>
        <v>0</v>
      </c>
      <c r="AC131" s="30">
        <f t="shared" si="64"/>
        <v>0</v>
      </c>
      <c r="AD131" s="30">
        <f t="shared" si="65"/>
        <v>0</v>
      </c>
      <c r="AE131" s="32">
        <f t="shared" si="76"/>
        <v>0</v>
      </c>
      <c r="AF131" s="33">
        <f t="shared" si="84"/>
        <v>0</v>
      </c>
      <c r="AG131" s="40">
        <f t="shared" si="77"/>
        <v>0</v>
      </c>
      <c r="AH131" s="224">
        <f>AG131*$P$36</f>
        <v>0</v>
      </c>
      <c r="AI131" s="226">
        <f>SUM(Z131,IF(Z131&lt;&gt;0,$F$34,0),IF(Z131&lt;&gt;0,$N$36,0),IF(Z131&lt;&gt;0,$T$36,0),IF(Z131=0,AH136,IF(Z131=1,AH137,IF(Z131=2,AH138,IF(Z131=3,AH139,IF(Z131=4,AH140,IF(Z131=5,AH141,IF(Z131=6,AH142,IF(Z131=7,AH143,IF(Z131=8,AH144,IF(Z131=9,AH145,IF(Z131=10,AH146,IF(Z131=11,AH147,IF(Z131=12,AH148,IF(Z131=13,AH149,IF(Z131=14,AH150,IF(Z131=15,AH151,IF(Z131=16,AH152,IF(Z131=17,AH153,IF(Z131=18,AH154,IF(Z131=19,AH155,IF(Z131=20,AH156,IF(Z131=21,AH157,IF(Z131=22,AH158,IF(Z131=23,AH159,IF(Z131=24,AH160,IF(Z131=25,AH161,IF(Z131=26,AH162,IF(Z131=27,AH163,IF(Z131=28,AH164,IF(Z131=29,AH165,IF(Z131=30,AH166))))))))))))))))))))))))))))))))</f>
        <v>0</v>
      </c>
      <c r="AJ131" s="253">
        <f>IF(V131&lt;&gt;0,SUM($F$34,V131,$N$36,MAX($AH$42:$AH$342),$T$36),0)</f>
        <v>0</v>
      </c>
      <c r="AK131" s="253">
        <f>IF(W131&lt;&gt;0,SUM($F$34,W131,$N$36,MAX($AH$42:$AH$342),$T$36),0)</f>
        <v>0</v>
      </c>
      <c r="AL131" s="253">
        <f>IF(X131&lt;&gt;0,SUM($F$34,X131,$N$36,MAX($AH$42:$AH$342),$T$36),0)</f>
        <v>0</v>
      </c>
      <c r="AM131" s="260">
        <f>IF(Y131&lt;&gt;0,SUM($F$34,Y131,$N$36,MAX($AH$42:$AH$342),$T$36),0)</f>
        <v>0</v>
      </c>
    </row>
    <row r="132" spans="1:39" x14ac:dyDescent="0.35">
      <c r="A132" s="259">
        <v>1430</v>
      </c>
      <c r="B132" s="58">
        <f>SUMIF([2]!Table2_23[ETA],'FIS Optimal Model (2)'!A132,[2]!Table2_23[FIS PAX])</f>
        <v>11</v>
      </c>
      <c r="C132" s="44">
        <f t="shared" si="78"/>
        <v>0</v>
      </c>
      <c r="D132" s="52">
        <f t="shared" si="83"/>
        <v>0</v>
      </c>
      <c r="E132" s="26">
        <f t="shared" si="66"/>
        <v>0</v>
      </c>
      <c r="F132" s="26">
        <f t="shared" si="67"/>
        <v>0</v>
      </c>
      <c r="G132" s="26">
        <f t="shared" si="68"/>
        <v>0</v>
      </c>
      <c r="H132" s="26">
        <f t="shared" si="69"/>
        <v>0</v>
      </c>
      <c r="I132" s="27">
        <f t="shared" si="85"/>
        <v>0</v>
      </c>
      <c r="J132" s="27">
        <f t="shared" si="85"/>
        <v>0</v>
      </c>
      <c r="K132" s="27">
        <f t="shared" si="85"/>
        <v>0</v>
      </c>
      <c r="L132" s="27">
        <f t="shared" si="85"/>
        <v>0</v>
      </c>
      <c r="M132" s="28">
        <f t="shared" si="87"/>
        <v>0</v>
      </c>
      <c r="N132" s="29">
        <f t="shared" si="88"/>
        <v>11</v>
      </c>
      <c r="O132" s="28">
        <f t="shared" si="89"/>
        <v>0</v>
      </c>
      <c r="P132" s="28">
        <f t="shared" si="90"/>
        <v>0</v>
      </c>
      <c r="Q132" s="28">
        <f>SUM(M132:P132)</f>
        <v>11</v>
      </c>
      <c r="R132" s="22">
        <f t="shared" si="71"/>
        <v>0</v>
      </c>
      <c r="S132" s="22">
        <f t="shared" si="72"/>
        <v>0</v>
      </c>
      <c r="T132" s="22">
        <f t="shared" si="73"/>
        <v>0</v>
      </c>
      <c r="U132" s="22">
        <f t="shared" si="74"/>
        <v>0</v>
      </c>
      <c r="V132" s="21">
        <f>IFERROR(R132*($I$33/M132),0)</f>
        <v>0</v>
      </c>
      <c r="W132" s="21">
        <f>IFERROR(S132*($I$34/N132),0)</f>
        <v>0</v>
      </c>
      <c r="X132" s="21">
        <f>IFERROR(T132*($I$35/O132),0)</f>
        <v>0</v>
      </c>
      <c r="Y132" s="21">
        <f>IFERROR(U132*($I$36/P132),0)</f>
        <v>0</v>
      </c>
      <c r="Z132" s="221">
        <f t="shared" si="75"/>
        <v>0</v>
      </c>
      <c r="AA132" s="30">
        <f t="shared" si="62"/>
        <v>0</v>
      </c>
      <c r="AB132" s="30">
        <f t="shared" si="63"/>
        <v>0</v>
      </c>
      <c r="AC132" s="30">
        <f t="shared" si="64"/>
        <v>0</v>
      </c>
      <c r="AD132" s="30">
        <f t="shared" si="65"/>
        <v>0</v>
      </c>
      <c r="AE132" s="32">
        <f t="shared" si="76"/>
        <v>0</v>
      </c>
      <c r="AF132" s="33">
        <f t="shared" si="84"/>
        <v>0</v>
      </c>
      <c r="AG132" s="40">
        <f t="shared" si="77"/>
        <v>0</v>
      </c>
      <c r="AH132" s="224">
        <f>AG132*$P$36</f>
        <v>0</v>
      </c>
      <c r="AI132" s="226">
        <f>SUM(Z132,IF(Z132&lt;&gt;0,$F$34,0),IF(Z132&lt;&gt;0,$N$36,0),IF(Z132&lt;&gt;0,$T$36,0),IF(Z132=0,AH137,IF(Z132=1,AH138,IF(Z132=2,AH139,IF(Z132=3,AH140,IF(Z132=4,AH141,IF(Z132=5,AH142,IF(Z132=6,AH143,IF(Z132=7,AH144,IF(Z132=8,AH145,IF(Z132=9,AH146,IF(Z132=10,AH147,IF(Z132=11,AH148,IF(Z132=12,AH149,IF(Z132=13,AH150,IF(Z132=14,AH151,IF(Z132=15,AH152,IF(Z132=16,AH153,IF(Z132=17,AH154,IF(Z132=18,AH155,IF(Z132=19,AH156,IF(Z132=20,AH157,IF(Z132=21,AH158,IF(Z132=22,AH159,IF(Z132=23,AH160,IF(Z132=24,AH161,IF(Z132=25,AH162,IF(Z132=26,AH163,IF(Z132=27,AH164,IF(Z132=28,AH165,IF(Z132=29,AH166,IF(Z132=30,AH167))))))))))))))))))))))))))))))))</f>
        <v>0</v>
      </c>
      <c r="AJ132" s="253">
        <f>IF(V132&lt;&gt;0,SUM($F$34,V132,$N$36,MAX($AH$42:$AH$342),$T$36),0)</f>
        <v>0</v>
      </c>
      <c r="AK132" s="253">
        <f>IF(W132&lt;&gt;0,SUM($F$34,W132,$N$36,MAX($AH$42:$AH$342),$T$36),0)</f>
        <v>0</v>
      </c>
      <c r="AL132" s="253">
        <f>IF(X132&lt;&gt;0,SUM($F$34,X132,$N$36,MAX($AH$42:$AH$342),$T$36),0)</f>
        <v>0</v>
      </c>
      <c r="AM132" s="260">
        <f>IF(Y132&lt;&gt;0,SUM($F$34,Y132,$N$36,MAX($AH$42:$AH$342),$T$36),0)</f>
        <v>0</v>
      </c>
    </row>
    <row r="133" spans="1:39" x14ac:dyDescent="0.35">
      <c r="A133" s="259">
        <v>1431</v>
      </c>
      <c r="B133" s="58">
        <f>SUMIF([2]!Table2_23[ETA],'FIS Optimal Model (2)'!A133,[2]!Table2_23[FIS PAX])</f>
        <v>0</v>
      </c>
      <c r="C133" s="44">
        <f t="shared" si="78"/>
        <v>0</v>
      </c>
      <c r="D133" s="52">
        <f t="shared" si="83"/>
        <v>0</v>
      </c>
      <c r="E133" s="26">
        <f t="shared" si="66"/>
        <v>0</v>
      </c>
      <c r="F133" s="26">
        <f t="shared" si="67"/>
        <v>0</v>
      </c>
      <c r="G133" s="26">
        <f t="shared" si="68"/>
        <v>0</v>
      </c>
      <c r="H133" s="26">
        <f t="shared" si="69"/>
        <v>0</v>
      </c>
      <c r="I133" s="27">
        <f t="shared" si="85"/>
        <v>0</v>
      </c>
      <c r="J133" s="27">
        <f t="shared" si="85"/>
        <v>0</v>
      </c>
      <c r="K133" s="27">
        <f t="shared" si="85"/>
        <v>0</v>
      </c>
      <c r="L133" s="27">
        <f t="shared" si="85"/>
        <v>0</v>
      </c>
      <c r="M133" s="28">
        <f>IF(R132=0,0,$Q$12)</f>
        <v>0</v>
      </c>
      <c r="N133" s="29">
        <f>$U$12-M133-O133-P133</f>
        <v>11</v>
      </c>
      <c r="O133" s="28">
        <f>IF(T132=0,0,$S$12)</f>
        <v>0</v>
      </c>
      <c r="P133" s="28">
        <f>IF(U132=0,0,$T$12)</f>
        <v>0</v>
      </c>
      <c r="Q133" s="28">
        <f>SUM(M133:P133)</f>
        <v>11</v>
      </c>
      <c r="R133" s="22">
        <f t="shared" si="71"/>
        <v>0</v>
      </c>
      <c r="S133" s="22">
        <f t="shared" si="72"/>
        <v>0</v>
      </c>
      <c r="T133" s="22">
        <f t="shared" si="73"/>
        <v>0</v>
      </c>
      <c r="U133" s="22">
        <f t="shared" si="74"/>
        <v>0</v>
      </c>
      <c r="V133" s="21">
        <f>IFERROR(R133*($I$33/M133),0)</f>
        <v>0</v>
      </c>
      <c r="W133" s="21">
        <f>IFERROR(S133*($I$34/N133),0)</f>
        <v>0</v>
      </c>
      <c r="X133" s="21">
        <f>IFERROR(T133*($I$35/O133),0)</f>
        <v>0</v>
      </c>
      <c r="Y133" s="21">
        <f>IFERROR(U133*($I$36/P133),0)</f>
        <v>0</v>
      </c>
      <c r="Z133" s="221">
        <f t="shared" si="75"/>
        <v>0</v>
      </c>
      <c r="AA133" s="30">
        <f t="shared" si="62"/>
        <v>0</v>
      </c>
      <c r="AB133" s="30">
        <f t="shared" si="63"/>
        <v>0</v>
      </c>
      <c r="AC133" s="30">
        <f t="shared" si="64"/>
        <v>0</v>
      </c>
      <c r="AD133" s="30">
        <f t="shared" si="65"/>
        <v>0</v>
      </c>
      <c r="AE133" s="32">
        <f t="shared" si="76"/>
        <v>0</v>
      </c>
      <c r="AF133" s="33">
        <f t="shared" si="84"/>
        <v>0</v>
      </c>
      <c r="AG133" s="40">
        <f t="shared" si="77"/>
        <v>0</v>
      </c>
      <c r="AH133" s="224">
        <f>AG133*$P$36</f>
        <v>0</v>
      </c>
      <c r="AI133" s="226">
        <f>SUM(Z133,IF(Z133&lt;&gt;0,$F$34,0),IF(Z133&lt;&gt;0,$N$36,0),IF(Z133&lt;&gt;0,$T$36,0),IF(Z133=0,AH138,IF(Z133=1,AH139,IF(Z133=2,AH140,IF(Z133=3,AH141,IF(Z133=4,AH142,IF(Z133=5,AH143,IF(Z133=6,AH144,IF(Z133=7,AH145,IF(Z133=8,AH146,IF(Z133=9,AH147,IF(Z133=10,AH148,IF(Z133=11,AH149,IF(Z133=12,AH150,IF(Z133=13,AH151,IF(Z133=14,AH152,IF(Z133=15,AH153,IF(Z133=16,AH154,IF(Z133=17,AH155,IF(Z133=18,AH156,IF(Z133=19,AH157,IF(Z133=20,AH158,IF(Z133=21,AH159,IF(Z133=22,AH160,IF(Z133=23,AH161,IF(Z133=24,AH162,IF(Z133=25,AH163,IF(Z133=26,AH164,IF(Z133=27,AH165,IF(Z133=28,AH166,IF(Z133=29,AH167,IF(Z133=30,AH168))))))))))))))))))))))))))))))))</f>
        <v>0</v>
      </c>
      <c r="AJ133" s="253">
        <f>IF(V133&lt;&gt;0,SUM($F$34,V133,$N$36,MAX($AH$42:$AH$342),$T$36),0)</f>
        <v>0</v>
      </c>
      <c r="AK133" s="253">
        <f>IF(W133&lt;&gt;0,SUM($F$34,W133,$N$36,MAX($AH$42:$AH$342),$T$36),0)</f>
        <v>0</v>
      </c>
      <c r="AL133" s="253">
        <f>IF(X133&lt;&gt;0,SUM($F$34,X133,$N$36,MAX($AH$42:$AH$342),$T$36),0)</f>
        <v>0</v>
      </c>
      <c r="AM133" s="260">
        <f>IF(Y133&lt;&gt;0,SUM($F$34,Y133,$N$36,MAX($AH$42:$AH$342),$T$36),0)</f>
        <v>0</v>
      </c>
    </row>
    <row r="134" spans="1:39" x14ac:dyDescent="0.35">
      <c r="A134" s="259">
        <v>1432</v>
      </c>
      <c r="B134" s="58">
        <f>SUMIF([2]!Table2_23[ETA],'FIS Optimal Model (2)'!A134,[2]!Table2_23[FIS PAX])</f>
        <v>0</v>
      </c>
      <c r="C134" s="44">
        <f t="shared" si="78"/>
        <v>0</v>
      </c>
      <c r="D134" s="52">
        <f t="shared" si="83"/>
        <v>0</v>
      </c>
      <c r="E134" s="26">
        <f t="shared" si="66"/>
        <v>0</v>
      </c>
      <c r="F134" s="26">
        <f t="shared" si="67"/>
        <v>0</v>
      </c>
      <c r="G134" s="26">
        <f t="shared" si="68"/>
        <v>0</v>
      </c>
      <c r="H134" s="26">
        <f t="shared" si="69"/>
        <v>0</v>
      </c>
      <c r="I134" s="27">
        <f t="shared" si="85"/>
        <v>0</v>
      </c>
      <c r="J134" s="27">
        <f t="shared" si="85"/>
        <v>0</v>
      </c>
      <c r="K134" s="27">
        <f t="shared" si="85"/>
        <v>0</v>
      </c>
      <c r="L134" s="27">
        <f t="shared" si="85"/>
        <v>0</v>
      </c>
      <c r="M134" s="28">
        <f>$M$133</f>
        <v>0</v>
      </c>
      <c r="N134" s="29">
        <f>$N$133</f>
        <v>11</v>
      </c>
      <c r="O134" s="28">
        <f>$O$133</f>
        <v>0</v>
      </c>
      <c r="P134" s="28">
        <f>$P$133</f>
        <v>0</v>
      </c>
      <c r="Q134" s="28">
        <f t="shared" si="70"/>
        <v>11</v>
      </c>
      <c r="R134" s="22">
        <f t="shared" si="71"/>
        <v>0</v>
      </c>
      <c r="S134" s="22">
        <f t="shared" si="72"/>
        <v>0</v>
      </c>
      <c r="T134" s="22">
        <f t="shared" si="73"/>
        <v>0</v>
      </c>
      <c r="U134" s="22">
        <f t="shared" si="74"/>
        <v>0</v>
      </c>
      <c r="V134" s="21">
        <f t="shared" si="86"/>
        <v>0</v>
      </c>
      <c r="W134" s="21">
        <f t="shared" si="91"/>
        <v>0</v>
      </c>
      <c r="X134" s="21">
        <f t="shared" si="81"/>
        <v>0</v>
      </c>
      <c r="Y134" s="21">
        <f t="shared" si="82"/>
        <v>0</v>
      </c>
      <c r="Z134" s="221">
        <f t="shared" si="75"/>
        <v>0</v>
      </c>
      <c r="AA134" s="30">
        <f t="shared" si="62"/>
        <v>0</v>
      </c>
      <c r="AB134" s="30">
        <f t="shared" si="63"/>
        <v>0</v>
      </c>
      <c r="AC134" s="30">
        <f t="shared" si="64"/>
        <v>0</v>
      </c>
      <c r="AD134" s="30">
        <f t="shared" si="65"/>
        <v>0</v>
      </c>
      <c r="AE134" s="32">
        <f t="shared" si="76"/>
        <v>0</v>
      </c>
      <c r="AF134" s="33">
        <f t="shared" si="84"/>
        <v>0</v>
      </c>
      <c r="AG134" s="40">
        <f t="shared" si="77"/>
        <v>0</v>
      </c>
      <c r="AH134" s="224">
        <f>AG134*$P$36</f>
        <v>0</v>
      </c>
      <c r="AI134" s="226">
        <f>SUM(Z134,IF(Z134&lt;&gt;0,$F$34,0),IF(Z134&lt;&gt;0,$N$36,0),IF(Z134&lt;&gt;0,$T$36,0),IF(Z134=0,AH139,IF(Z134=1,AH140,IF(Z134=2,AH141,IF(Z134=3,AH142,IF(Z134=4,AH143,IF(Z134=5,AH144,IF(Z134=6,AH145,IF(Z134=7,AH146,IF(Z134=8,AH147,IF(Z134=9,AH148,IF(Z134=10,AH149,IF(Z134=11,AH150,IF(Z134=12,AH151,IF(Z134=13,AH152,IF(Z134=14,AH153,IF(Z134=15,AH154,IF(Z134=16,AH155,IF(Z134=17,AH156,IF(Z134=18,AH157,IF(Z134=19,AH158,IF(Z134=20,AH159,IF(Z134=21,AH160,IF(Z134=22,AH161,IF(Z134=23,AH162,IF(Z134=24,AH163,IF(Z134=25,AH164,IF(Z134=26,AH165,IF(Z134=27,AH166,IF(Z134=28,AH167,IF(Z134=29,AH168,IF(Z134=30,AH169))))))))))))))))))))))))))))))))</f>
        <v>0</v>
      </c>
      <c r="AJ134" s="253">
        <f>IF(V134&lt;&gt;0,SUM($F$34,V134,$N$36,MAX($AH$42:$AH$342),$T$36),0)</f>
        <v>0</v>
      </c>
      <c r="AK134" s="253">
        <f>IF(W134&lt;&gt;0,SUM($F$34,W134,$N$36,MAX($AH$42:$AH$342),$T$36),0)</f>
        <v>0</v>
      </c>
      <c r="AL134" s="253">
        <f>IF(X134&lt;&gt;0,SUM($F$34,X134,$N$36,MAX($AH$42:$AH$342),$T$36),0)</f>
        <v>0</v>
      </c>
      <c r="AM134" s="260">
        <f>IF(Y134&lt;&gt;0,SUM($F$34,Y134,$N$36,MAX($AH$42:$AH$342),$T$36),0)</f>
        <v>0</v>
      </c>
    </row>
    <row r="135" spans="1:39" x14ac:dyDescent="0.35">
      <c r="A135" s="259">
        <v>1433</v>
      </c>
      <c r="B135" s="58">
        <f>SUMIF([2]!Table2_23[ETA],'FIS Optimal Model (2)'!A135,[2]!Table2_23[FIS PAX])</f>
        <v>0</v>
      </c>
      <c r="C135" s="44">
        <f t="shared" si="78"/>
        <v>0</v>
      </c>
      <c r="D135" s="52">
        <f t="shared" si="83"/>
        <v>0</v>
      </c>
      <c r="E135" s="26">
        <f t="shared" si="66"/>
        <v>0</v>
      </c>
      <c r="F135" s="26">
        <f t="shared" si="67"/>
        <v>0</v>
      </c>
      <c r="G135" s="26">
        <f t="shared" si="68"/>
        <v>0</v>
      </c>
      <c r="H135" s="26">
        <f t="shared" si="69"/>
        <v>0</v>
      </c>
      <c r="I135" s="27">
        <f t="shared" si="85"/>
        <v>0</v>
      </c>
      <c r="J135" s="27">
        <f t="shared" si="85"/>
        <v>0</v>
      </c>
      <c r="K135" s="27">
        <f t="shared" si="85"/>
        <v>0</v>
      </c>
      <c r="L135" s="27">
        <f t="shared" si="85"/>
        <v>0</v>
      </c>
      <c r="M135" s="28">
        <f t="shared" ref="M135:M147" si="92">$M$133</f>
        <v>0</v>
      </c>
      <c r="N135" s="29">
        <f t="shared" ref="N135:N147" si="93">$N$133</f>
        <v>11</v>
      </c>
      <c r="O135" s="28">
        <f t="shared" ref="O135:O147" si="94">$O$133</f>
        <v>0</v>
      </c>
      <c r="P135" s="28">
        <f t="shared" ref="P135:P147" si="95">$P$133</f>
        <v>0</v>
      </c>
      <c r="Q135" s="28">
        <f t="shared" si="70"/>
        <v>11</v>
      </c>
      <c r="R135" s="22">
        <f t="shared" si="71"/>
        <v>0</v>
      </c>
      <c r="S135" s="22">
        <f t="shared" si="72"/>
        <v>0</v>
      </c>
      <c r="T135" s="22">
        <f t="shared" si="73"/>
        <v>0</v>
      </c>
      <c r="U135" s="22">
        <f t="shared" si="74"/>
        <v>0</v>
      </c>
      <c r="V135" s="21">
        <f t="shared" si="86"/>
        <v>0</v>
      </c>
      <c r="W135" s="21">
        <f t="shared" si="91"/>
        <v>0</v>
      </c>
      <c r="X135" s="21">
        <f t="shared" si="81"/>
        <v>0</v>
      </c>
      <c r="Y135" s="21">
        <f t="shared" si="82"/>
        <v>0</v>
      </c>
      <c r="Z135" s="221">
        <f t="shared" si="75"/>
        <v>0</v>
      </c>
      <c r="AA135" s="30">
        <f t="shared" si="62"/>
        <v>0</v>
      </c>
      <c r="AB135" s="30">
        <f t="shared" si="63"/>
        <v>0</v>
      </c>
      <c r="AC135" s="30">
        <f t="shared" si="64"/>
        <v>0</v>
      </c>
      <c r="AD135" s="30">
        <f t="shared" si="65"/>
        <v>0</v>
      </c>
      <c r="AE135" s="32">
        <f t="shared" si="76"/>
        <v>0</v>
      </c>
      <c r="AF135" s="33">
        <f t="shared" si="84"/>
        <v>0</v>
      </c>
      <c r="AG135" s="40">
        <f t="shared" si="77"/>
        <v>0</v>
      </c>
      <c r="AH135" s="224">
        <f>AG135*$P$36</f>
        <v>0</v>
      </c>
      <c r="AI135" s="226">
        <f>SUM(Z135,IF(Z135&lt;&gt;0,$F$34,0),IF(Z135&lt;&gt;0,$N$36,0),IF(Z135&lt;&gt;0,$T$36,0),IF(Z135=0,AH140,IF(Z135=1,AH141,IF(Z135=2,AH142,IF(Z135=3,AH143,IF(Z135=4,AH144,IF(Z135=5,AH145,IF(Z135=6,AH146,IF(Z135=7,AH147,IF(Z135=8,AH148,IF(Z135=9,AH149,IF(Z135=10,AH150,IF(Z135=11,AH151,IF(Z135=12,AH152,IF(Z135=13,AH153,IF(Z135=14,AH154,IF(Z135=15,AH155,IF(Z135=16,AH156,IF(Z135=17,AH157,IF(Z135=18,AH158,IF(Z135=19,AH159,IF(Z135=20,AH160,IF(Z135=21,AH161,IF(Z135=22,AH162,IF(Z135=23,AH163,IF(Z135=24,AH164,IF(Z135=25,AH165,IF(Z135=26,AH166,IF(Z135=27,AH167,IF(Z135=28,AH168,IF(Z135=29,AH169,IF(Z135=30,AH170))))))))))))))))))))))))))))))))</f>
        <v>0</v>
      </c>
      <c r="AJ135" s="253">
        <f>IF(V135&lt;&gt;0,SUM($F$34,V135,$N$36,MAX($AH$42:$AH$342),$T$36),0)</f>
        <v>0</v>
      </c>
      <c r="AK135" s="253">
        <f>IF(W135&lt;&gt;0,SUM($F$34,W135,$N$36,MAX($AH$42:$AH$342),$T$36),0)</f>
        <v>0</v>
      </c>
      <c r="AL135" s="253">
        <f>IF(X135&lt;&gt;0,SUM($F$34,X135,$N$36,MAX($AH$42:$AH$342),$T$36),0)</f>
        <v>0</v>
      </c>
      <c r="AM135" s="260">
        <f>IF(Y135&lt;&gt;0,SUM($F$34,Y135,$N$36,MAX($AH$42:$AH$342),$T$36),0)</f>
        <v>0</v>
      </c>
    </row>
    <row r="136" spans="1:39" x14ac:dyDescent="0.35">
      <c r="A136" s="259">
        <v>1434</v>
      </c>
      <c r="B136" s="58">
        <f>SUMIF([2]!Table2_23[ETA],'FIS Optimal Model (2)'!A136,[2]!Table2_23[FIS PAX])</f>
        <v>0</v>
      </c>
      <c r="C136" s="44">
        <f t="shared" si="78"/>
        <v>0</v>
      </c>
      <c r="D136" s="52">
        <f t="shared" si="83"/>
        <v>0</v>
      </c>
      <c r="E136" s="26">
        <f t="shared" si="66"/>
        <v>0</v>
      </c>
      <c r="F136" s="26">
        <f t="shared" si="67"/>
        <v>0</v>
      </c>
      <c r="G136" s="26">
        <f t="shared" si="68"/>
        <v>0</v>
      </c>
      <c r="H136" s="26">
        <f t="shared" si="69"/>
        <v>0</v>
      </c>
      <c r="I136" s="27">
        <f t="shared" si="85"/>
        <v>0</v>
      </c>
      <c r="J136" s="27">
        <f t="shared" si="85"/>
        <v>0</v>
      </c>
      <c r="K136" s="27">
        <f t="shared" si="85"/>
        <v>0</v>
      </c>
      <c r="L136" s="27">
        <f t="shared" si="85"/>
        <v>0</v>
      </c>
      <c r="M136" s="28">
        <f t="shared" si="92"/>
        <v>0</v>
      </c>
      <c r="N136" s="29">
        <f t="shared" si="93"/>
        <v>11</v>
      </c>
      <c r="O136" s="28">
        <f t="shared" si="94"/>
        <v>0</v>
      </c>
      <c r="P136" s="28">
        <f t="shared" si="95"/>
        <v>0</v>
      </c>
      <c r="Q136" s="28">
        <f t="shared" si="70"/>
        <v>11</v>
      </c>
      <c r="R136" s="22">
        <f t="shared" si="71"/>
        <v>0</v>
      </c>
      <c r="S136" s="22">
        <f t="shared" si="72"/>
        <v>0</v>
      </c>
      <c r="T136" s="22">
        <f t="shared" si="73"/>
        <v>0</v>
      </c>
      <c r="U136" s="22">
        <f t="shared" si="74"/>
        <v>0</v>
      </c>
      <c r="V136" s="21">
        <f t="shared" si="86"/>
        <v>0</v>
      </c>
      <c r="W136" s="21">
        <f t="shared" si="91"/>
        <v>0</v>
      </c>
      <c r="X136" s="21">
        <f t="shared" si="81"/>
        <v>0</v>
      </c>
      <c r="Y136" s="21">
        <f t="shared" si="82"/>
        <v>0</v>
      </c>
      <c r="Z136" s="221">
        <f t="shared" si="75"/>
        <v>0</v>
      </c>
      <c r="AA136" s="30">
        <f t="shared" si="62"/>
        <v>0</v>
      </c>
      <c r="AB136" s="30">
        <f t="shared" si="63"/>
        <v>0</v>
      </c>
      <c r="AC136" s="30">
        <f t="shared" si="64"/>
        <v>0</v>
      </c>
      <c r="AD136" s="30">
        <f t="shared" si="65"/>
        <v>0</v>
      </c>
      <c r="AE136" s="32">
        <f t="shared" si="76"/>
        <v>0</v>
      </c>
      <c r="AF136" s="33">
        <f t="shared" si="84"/>
        <v>0</v>
      </c>
      <c r="AG136" s="40">
        <f t="shared" si="77"/>
        <v>0</v>
      </c>
      <c r="AH136" s="224">
        <f>AG136*$P$36</f>
        <v>0</v>
      </c>
      <c r="AI136" s="226">
        <f>SUM(Z136,IF(Z136&lt;&gt;0,$F$34,0),IF(Z136&lt;&gt;0,$N$36,0),IF(Z136&lt;&gt;0,$T$36,0),IF(Z136=0,AH141,IF(Z136=1,AH142,IF(Z136=2,AH143,IF(Z136=3,AH144,IF(Z136=4,AH145,IF(Z136=5,AH146,IF(Z136=6,AH147,IF(Z136=7,AH148,IF(Z136=8,AH149,IF(Z136=9,AH150,IF(Z136=10,AH151,IF(Z136=11,AH152,IF(Z136=12,AH153,IF(Z136=13,AH154,IF(Z136=14,AH155,IF(Z136=15,AH156,IF(Z136=16,AH157,IF(Z136=17,AH158,IF(Z136=18,AH159,IF(Z136=19,AH160,IF(Z136=20,AH161,IF(Z136=21,AH162,IF(Z136=22,AH163,IF(Z136=23,AH164,IF(Z136=24,AH165,IF(Z136=25,AH166,IF(Z136=26,AH167,IF(Z136=27,AH168,IF(Z136=28,AH169,IF(Z136=29,AH170,IF(Z136=30,AH171))))))))))))))))))))))))))))))))</f>
        <v>0</v>
      </c>
      <c r="AJ136" s="253">
        <f>IF(V136&lt;&gt;0,SUM($F$34,V136,$N$36,MAX($AH$42:$AH$342),$T$36),0)</f>
        <v>0</v>
      </c>
      <c r="AK136" s="253">
        <f>IF(W136&lt;&gt;0,SUM($F$34,W136,$N$36,MAX($AH$42:$AH$342),$T$36),0)</f>
        <v>0</v>
      </c>
      <c r="AL136" s="253">
        <f>IF(X136&lt;&gt;0,SUM($F$34,X136,$N$36,MAX($AH$42:$AH$342),$T$36),0)</f>
        <v>0</v>
      </c>
      <c r="AM136" s="260">
        <f>IF(Y136&lt;&gt;0,SUM($F$34,Y136,$N$36,MAX($AH$42:$AH$342),$T$36),0)</f>
        <v>0</v>
      </c>
    </row>
    <row r="137" spans="1:39" x14ac:dyDescent="0.35">
      <c r="A137" s="259">
        <v>1435</v>
      </c>
      <c r="B137" s="58">
        <f>SUMIF([2]!Table2_23[ETA],'FIS Optimal Model (2)'!A137,[2]!Table2_23[FIS PAX])</f>
        <v>0</v>
      </c>
      <c r="C137" s="44">
        <f t="shared" si="78"/>
        <v>0</v>
      </c>
      <c r="D137" s="52">
        <f t="shared" si="83"/>
        <v>0</v>
      </c>
      <c r="E137" s="26">
        <f t="shared" si="66"/>
        <v>0</v>
      </c>
      <c r="F137" s="26">
        <f t="shared" si="67"/>
        <v>0</v>
      </c>
      <c r="G137" s="26">
        <f t="shared" si="68"/>
        <v>0</v>
      </c>
      <c r="H137" s="26">
        <f t="shared" si="69"/>
        <v>0</v>
      </c>
      <c r="I137" s="27">
        <f t="shared" si="85"/>
        <v>0</v>
      </c>
      <c r="J137" s="27">
        <f t="shared" si="85"/>
        <v>0</v>
      </c>
      <c r="K137" s="27">
        <f t="shared" si="85"/>
        <v>0</v>
      </c>
      <c r="L137" s="27">
        <f t="shared" si="85"/>
        <v>0</v>
      </c>
      <c r="M137" s="28">
        <f t="shared" si="92"/>
        <v>0</v>
      </c>
      <c r="N137" s="29">
        <f t="shared" si="93"/>
        <v>11</v>
      </c>
      <c r="O137" s="28">
        <f t="shared" si="94"/>
        <v>0</v>
      </c>
      <c r="P137" s="28">
        <f t="shared" si="95"/>
        <v>0</v>
      </c>
      <c r="Q137" s="28">
        <f t="shared" si="70"/>
        <v>11</v>
      </c>
      <c r="R137" s="22">
        <f t="shared" si="71"/>
        <v>0</v>
      </c>
      <c r="S137" s="22">
        <f t="shared" si="72"/>
        <v>0</v>
      </c>
      <c r="T137" s="22">
        <f t="shared" si="73"/>
        <v>0</v>
      </c>
      <c r="U137" s="22">
        <f t="shared" si="74"/>
        <v>0</v>
      </c>
      <c r="V137" s="21">
        <f t="shared" si="86"/>
        <v>0</v>
      </c>
      <c r="W137" s="21">
        <f t="shared" si="91"/>
        <v>0</v>
      </c>
      <c r="X137" s="21">
        <f t="shared" si="81"/>
        <v>0</v>
      </c>
      <c r="Y137" s="21">
        <f t="shared" si="82"/>
        <v>0</v>
      </c>
      <c r="Z137" s="221">
        <f t="shared" si="75"/>
        <v>0</v>
      </c>
      <c r="AA137" s="30">
        <f t="shared" si="62"/>
        <v>0</v>
      </c>
      <c r="AB137" s="30">
        <f t="shared" si="63"/>
        <v>0</v>
      </c>
      <c r="AC137" s="30">
        <f t="shared" si="64"/>
        <v>0</v>
      </c>
      <c r="AD137" s="30">
        <f t="shared" si="65"/>
        <v>0</v>
      </c>
      <c r="AE137" s="32">
        <f t="shared" si="76"/>
        <v>0</v>
      </c>
      <c r="AF137" s="33">
        <f t="shared" si="84"/>
        <v>0</v>
      </c>
      <c r="AG137" s="40">
        <f t="shared" si="77"/>
        <v>0</v>
      </c>
      <c r="AH137" s="224">
        <f>AG137*$P$36</f>
        <v>0</v>
      </c>
      <c r="AI137" s="226">
        <f>SUM(Z137,IF(Z137&lt;&gt;0,$F$34,0),IF(Z137&lt;&gt;0,$N$36,0),IF(Z137&lt;&gt;0,$T$36,0),IF(Z137=0,AH142,IF(Z137=1,AH143,IF(Z137=2,AH144,IF(Z137=3,AH145,IF(Z137=4,AH146,IF(Z137=5,AH147,IF(Z137=6,AH148,IF(Z137=7,AH149,IF(Z137=8,AH150,IF(Z137=9,AH151,IF(Z137=10,AH152,IF(Z137=11,AH153,IF(Z137=12,AH154,IF(Z137=13,AH155,IF(Z137=14,AH156,IF(Z137=15,AH157,IF(Z137=16,AH158,IF(Z137=17,AH159,IF(Z137=18,AH160,IF(Z137=19,AH161,IF(Z137=20,AH162,IF(Z137=21,AH163,IF(Z137=22,AH164,IF(Z137=23,AH165,IF(Z137=24,AH166,IF(Z137=25,AH167,IF(Z137=26,AH168,IF(Z137=27,AH169,IF(Z137=28,AH170,IF(Z137=29,AH171,IF(Z137=30,AH172))))))))))))))))))))))))))))))))</f>
        <v>0</v>
      </c>
      <c r="AJ137" s="253">
        <f>IF(V137&lt;&gt;0,SUM($F$34,V137,$N$36,MAX($AH$42:$AH$342),$T$36),0)</f>
        <v>0</v>
      </c>
      <c r="AK137" s="253">
        <f>IF(W137&lt;&gt;0,SUM($F$34,W137,$N$36,MAX($AH$42:$AH$342),$T$36),0)</f>
        <v>0</v>
      </c>
      <c r="AL137" s="253">
        <f>IF(X137&lt;&gt;0,SUM($F$34,X137,$N$36,MAX($AH$42:$AH$342),$T$36),0)</f>
        <v>0</v>
      </c>
      <c r="AM137" s="260">
        <f>IF(Y137&lt;&gt;0,SUM($F$34,Y137,$N$36,MAX($AH$42:$AH$342),$T$36),0)</f>
        <v>0</v>
      </c>
    </row>
    <row r="138" spans="1:39" x14ac:dyDescent="0.35">
      <c r="A138" s="259">
        <v>1436</v>
      </c>
      <c r="B138" s="58">
        <f>SUMIF([2]!Table2_23[ETA],'FIS Optimal Model (2)'!A138,[2]!Table2_23[FIS PAX])</f>
        <v>0</v>
      </c>
      <c r="C138" s="44">
        <f t="shared" si="78"/>
        <v>0</v>
      </c>
      <c r="D138" s="52">
        <f t="shared" si="83"/>
        <v>0</v>
      </c>
      <c r="E138" s="26">
        <f t="shared" si="66"/>
        <v>0</v>
      </c>
      <c r="F138" s="26">
        <f t="shared" si="67"/>
        <v>0</v>
      </c>
      <c r="G138" s="26">
        <f t="shared" si="68"/>
        <v>0</v>
      </c>
      <c r="H138" s="26">
        <f t="shared" si="69"/>
        <v>0</v>
      </c>
      <c r="I138" s="27">
        <f t="shared" si="85"/>
        <v>0</v>
      </c>
      <c r="J138" s="27">
        <f t="shared" si="85"/>
        <v>0</v>
      </c>
      <c r="K138" s="27">
        <f t="shared" si="85"/>
        <v>0</v>
      </c>
      <c r="L138" s="27">
        <f t="shared" si="85"/>
        <v>0</v>
      </c>
      <c r="M138" s="28">
        <f t="shared" si="92"/>
        <v>0</v>
      </c>
      <c r="N138" s="29">
        <f t="shared" si="93"/>
        <v>11</v>
      </c>
      <c r="O138" s="28">
        <f t="shared" si="94"/>
        <v>0</v>
      </c>
      <c r="P138" s="28">
        <f t="shared" si="95"/>
        <v>0</v>
      </c>
      <c r="Q138" s="28">
        <f t="shared" si="70"/>
        <v>11</v>
      </c>
      <c r="R138" s="22">
        <f t="shared" si="71"/>
        <v>0</v>
      </c>
      <c r="S138" s="22">
        <f t="shared" si="72"/>
        <v>0</v>
      </c>
      <c r="T138" s="22">
        <f t="shared" si="73"/>
        <v>0</v>
      </c>
      <c r="U138" s="22">
        <f t="shared" si="74"/>
        <v>0</v>
      </c>
      <c r="V138" s="21">
        <f t="shared" si="86"/>
        <v>0</v>
      </c>
      <c r="W138" s="21">
        <f t="shared" si="91"/>
        <v>0</v>
      </c>
      <c r="X138" s="21">
        <f t="shared" si="81"/>
        <v>0</v>
      </c>
      <c r="Y138" s="21">
        <f t="shared" si="82"/>
        <v>0</v>
      </c>
      <c r="Z138" s="221">
        <f t="shared" si="75"/>
        <v>0</v>
      </c>
      <c r="AA138" s="30">
        <f t="shared" si="62"/>
        <v>0</v>
      </c>
      <c r="AB138" s="30">
        <f t="shared" si="63"/>
        <v>0</v>
      </c>
      <c r="AC138" s="30">
        <f t="shared" si="64"/>
        <v>0</v>
      </c>
      <c r="AD138" s="30">
        <f t="shared" si="65"/>
        <v>0</v>
      </c>
      <c r="AE138" s="32">
        <f t="shared" si="76"/>
        <v>0</v>
      </c>
      <c r="AF138" s="33">
        <f t="shared" si="84"/>
        <v>0</v>
      </c>
      <c r="AG138" s="40">
        <f t="shared" si="77"/>
        <v>0</v>
      </c>
      <c r="AH138" s="224">
        <f>AG138*$P$36</f>
        <v>0</v>
      </c>
      <c r="AI138" s="226">
        <f>SUM(Z138,IF(Z138&lt;&gt;0,$F$34,0),IF(Z138&lt;&gt;0,$N$36,0),IF(Z138&lt;&gt;0,$T$36,0),IF(Z138=0,AH143,IF(Z138=1,AH144,IF(Z138=2,AH145,IF(Z138=3,AH146,IF(Z138=4,AH147,IF(Z138=5,AH148,IF(Z138=6,AH149,IF(Z138=7,AH150,IF(Z138=8,AH151,IF(Z138=9,AH152,IF(Z138=10,AH153,IF(Z138=11,AH154,IF(Z138=12,AH155,IF(Z138=13,AH156,IF(Z138=14,AH157,IF(Z138=15,AH158,IF(Z138=16,AH159,IF(Z138=17,AH160,IF(Z138=18,AH161,IF(Z138=19,AH162,IF(Z138=20,AH163,IF(Z138=21,AH164,IF(Z138=22,AH165,IF(Z138=23,AH166,IF(Z138=24,AH167,IF(Z138=25,AH168,IF(Z138=26,AH169,IF(Z138=27,AH170,IF(Z138=28,AH171,IF(Z138=29,AH172,IF(Z138=30,AH173))))))))))))))))))))))))))))))))</f>
        <v>0</v>
      </c>
      <c r="AJ138" s="253">
        <f>IF(V138&lt;&gt;0,SUM($F$34,V138,$N$36,MAX($AH$42:$AH$342),$T$36),0)</f>
        <v>0</v>
      </c>
      <c r="AK138" s="253">
        <f>IF(W138&lt;&gt;0,SUM($F$34,W138,$N$36,MAX($AH$42:$AH$342),$T$36),0)</f>
        <v>0</v>
      </c>
      <c r="AL138" s="253">
        <f>IF(X138&lt;&gt;0,SUM($F$34,X138,$N$36,MAX($AH$42:$AH$342),$T$36),0)</f>
        <v>0</v>
      </c>
      <c r="AM138" s="260">
        <f>IF(Y138&lt;&gt;0,SUM($F$34,Y138,$N$36,MAX($AH$42:$AH$342),$T$36),0)</f>
        <v>0</v>
      </c>
    </row>
    <row r="139" spans="1:39" x14ac:dyDescent="0.35">
      <c r="A139" s="259">
        <v>1437</v>
      </c>
      <c r="B139" s="58">
        <f>SUMIF([2]!Table2_23[ETA],'FIS Optimal Model (2)'!A139,[2]!Table2_23[FIS PAX])</f>
        <v>106</v>
      </c>
      <c r="C139" s="44">
        <f t="shared" si="78"/>
        <v>0</v>
      </c>
      <c r="D139" s="52">
        <f t="shared" si="83"/>
        <v>0</v>
      </c>
      <c r="E139" s="26">
        <f t="shared" si="66"/>
        <v>0</v>
      </c>
      <c r="F139" s="26">
        <f t="shared" si="67"/>
        <v>0</v>
      </c>
      <c r="G139" s="26">
        <f t="shared" si="68"/>
        <v>0</v>
      </c>
      <c r="H139" s="26">
        <f t="shared" si="69"/>
        <v>0</v>
      </c>
      <c r="I139" s="27">
        <f t="shared" si="85"/>
        <v>0</v>
      </c>
      <c r="J139" s="27">
        <f t="shared" si="85"/>
        <v>0</v>
      </c>
      <c r="K139" s="27">
        <f t="shared" si="85"/>
        <v>0</v>
      </c>
      <c r="L139" s="27">
        <f t="shared" si="85"/>
        <v>0</v>
      </c>
      <c r="M139" s="28">
        <f t="shared" si="92"/>
        <v>0</v>
      </c>
      <c r="N139" s="29">
        <f t="shared" si="93"/>
        <v>11</v>
      </c>
      <c r="O139" s="28">
        <f t="shared" si="94"/>
        <v>0</v>
      </c>
      <c r="P139" s="28">
        <f t="shared" si="95"/>
        <v>0</v>
      </c>
      <c r="Q139" s="28">
        <f t="shared" si="70"/>
        <v>11</v>
      </c>
      <c r="R139" s="22">
        <f t="shared" si="71"/>
        <v>0</v>
      </c>
      <c r="S139" s="22">
        <f t="shared" si="72"/>
        <v>0</v>
      </c>
      <c r="T139" s="22">
        <f t="shared" si="73"/>
        <v>0</v>
      </c>
      <c r="U139" s="22">
        <f t="shared" si="74"/>
        <v>0</v>
      </c>
      <c r="V139" s="21">
        <f t="shared" si="86"/>
        <v>0</v>
      </c>
      <c r="W139" s="21">
        <f t="shared" si="91"/>
        <v>0</v>
      </c>
      <c r="X139" s="21">
        <f t="shared" si="81"/>
        <v>0</v>
      </c>
      <c r="Y139" s="21">
        <f t="shared" si="82"/>
        <v>0</v>
      </c>
      <c r="Z139" s="221">
        <f t="shared" si="75"/>
        <v>0</v>
      </c>
      <c r="AA139" s="30">
        <f t="shared" si="62"/>
        <v>0</v>
      </c>
      <c r="AB139" s="30">
        <f t="shared" si="63"/>
        <v>0</v>
      </c>
      <c r="AC139" s="30">
        <f t="shared" si="64"/>
        <v>0</v>
      </c>
      <c r="AD139" s="30">
        <f t="shared" si="65"/>
        <v>0</v>
      </c>
      <c r="AE139" s="32">
        <f t="shared" si="76"/>
        <v>0</v>
      </c>
      <c r="AF139" s="33">
        <f t="shared" si="84"/>
        <v>0</v>
      </c>
      <c r="AG139" s="40">
        <f t="shared" si="77"/>
        <v>0</v>
      </c>
      <c r="AH139" s="224">
        <f>AG139*$P$36</f>
        <v>0</v>
      </c>
      <c r="AI139" s="226">
        <f>SUM(Z139,IF(Z139&lt;&gt;0,$F$34,0),IF(Z139&lt;&gt;0,$N$36,0),IF(Z139&lt;&gt;0,$T$36,0),IF(Z139=0,AH144,IF(Z139=1,AH145,IF(Z139=2,AH146,IF(Z139=3,AH147,IF(Z139=4,AH148,IF(Z139=5,AH149,IF(Z139=6,AH150,IF(Z139=7,AH151,IF(Z139=8,AH152,IF(Z139=9,AH153,IF(Z139=10,AH154,IF(Z139=11,AH155,IF(Z139=12,AH156,IF(Z139=13,AH157,IF(Z139=14,AH158,IF(Z139=15,AH159,IF(Z139=16,AH160,IF(Z139=17,AH161,IF(Z139=18,AH162,IF(Z139=19,AH163,IF(Z139=20,AH164,IF(Z139=21,AH165,IF(Z139=22,AH166,IF(Z139=23,AH167,IF(Z139=24,AH168,IF(Z139=25,AH169,IF(Z139=26,AH170,IF(Z139=27,AH171,IF(Z139=28,AH172,IF(Z139=29,AH173,IF(Z139=30,AH174))))))))))))))))))))))))))))))))</f>
        <v>0</v>
      </c>
      <c r="AJ139" s="253">
        <f>IF(V139&lt;&gt;0,SUM($F$34,V139,$N$36,MAX($AH$42:$AH$342),$T$36),0)</f>
        <v>0</v>
      </c>
      <c r="AK139" s="253">
        <f>IF(W139&lt;&gt;0,SUM($F$34,W139,$N$36,MAX($AH$42:$AH$342),$T$36),0)</f>
        <v>0</v>
      </c>
      <c r="AL139" s="253">
        <f>IF(X139&lt;&gt;0,SUM($F$34,X139,$N$36,MAX($AH$42:$AH$342),$T$36),0)</f>
        <v>0</v>
      </c>
      <c r="AM139" s="260">
        <f>IF(Y139&lt;&gt;0,SUM($F$34,Y139,$N$36,MAX($AH$42:$AH$342),$T$36),0)</f>
        <v>0</v>
      </c>
    </row>
    <row r="140" spans="1:39" x14ac:dyDescent="0.35">
      <c r="A140" s="259">
        <v>1438</v>
      </c>
      <c r="B140" s="58">
        <f>SUMIF([2]!Table2_23[ETA],'FIS Optimal Model (2)'!A140,[2]!Table2_23[FIS PAX])</f>
        <v>207</v>
      </c>
      <c r="C140" s="44">
        <f t="shared" si="78"/>
        <v>18</v>
      </c>
      <c r="D140" s="52">
        <f t="shared" si="83"/>
        <v>88</v>
      </c>
      <c r="E140" s="26">
        <f t="shared" si="66"/>
        <v>10</v>
      </c>
      <c r="F140" s="26">
        <f t="shared" si="67"/>
        <v>5</v>
      </c>
      <c r="G140" s="26">
        <f t="shared" si="68"/>
        <v>3</v>
      </c>
      <c r="H140" s="26">
        <f t="shared" si="69"/>
        <v>1</v>
      </c>
      <c r="I140" s="27">
        <f t="shared" si="85"/>
        <v>0</v>
      </c>
      <c r="J140" s="27">
        <f t="shared" si="85"/>
        <v>0</v>
      </c>
      <c r="K140" s="27">
        <f t="shared" si="85"/>
        <v>0</v>
      </c>
      <c r="L140" s="27">
        <f t="shared" si="85"/>
        <v>0</v>
      </c>
      <c r="M140" s="28">
        <f t="shared" si="92"/>
        <v>0</v>
      </c>
      <c r="N140" s="29">
        <f t="shared" si="93"/>
        <v>11</v>
      </c>
      <c r="O140" s="28">
        <f t="shared" si="94"/>
        <v>0</v>
      </c>
      <c r="P140" s="28">
        <f t="shared" si="95"/>
        <v>0</v>
      </c>
      <c r="Q140" s="28">
        <f t="shared" si="70"/>
        <v>11</v>
      </c>
      <c r="R140" s="22">
        <f t="shared" si="71"/>
        <v>0</v>
      </c>
      <c r="S140" s="22">
        <f t="shared" si="72"/>
        <v>0</v>
      </c>
      <c r="T140" s="22">
        <f t="shared" si="73"/>
        <v>0</v>
      </c>
      <c r="U140" s="22">
        <f t="shared" si="74"/>
        <v>0</v>
      </c>
      <c r="V140" s="21">
        <f t="shared" si="86"/>
        <v>0</v>
      </c>
      <c r="W140" s="21">
        <f t="shared" si="91"/>
        <v>0</v>
      </c>
      <c r="X140" s="21">
        <f t="shared" si="81"/>
        <v>0</v>
      </c>
      <c r="Y140" s="21">
        <f t="shared" si="82"/>
        <v>0</v>
      </c>
      <c r="Z140" s="221">
        <f t="shared" si="75"/>
        <v>0</v>
      </c>
      <c r="AA140" s="30">
        <f t="shared" si="62"/>
        <v>0</v>
      </c>
      <c r="AB140" s="30">
        <f t="shared" si="63"/>
        <v>0</v>
      </c>
      <c r="AC140" s="30">
        <f t="shared" si="64"/>
        <v>0</v>
      </c>
      <c r="AD140" s="30">
        <f t="shared" si="65"/>
        <v>0</v>
      </c>
      <c r="AE140" s="32">
        <f t="shared" si="76"/>
        <v>0</v>
      </c>
      <c r="AF140" s="33">
        <f t="shared" si="84"/>
        <v>0</v>
      </c>
      <c r="AG140" s="40">
        <f t="shared" si="77"/>
        <v>0</v>
      </c>
      <c r="AH140" s="224">
        <f>AG140*$P$36</f>
        <v>0</v>
      </c>
      <c r="AI140" s="226">
        <f>SUM(Z140,IF(Z140&lt;&gt;0,$F$34,0),IF(Z140&lt;&gt;0,$N$36,0),IF(Z140&lt;&gt;0,$T$36,0),IF(Z140=0,AH145,IF(Z140=1,AH146,IF(Z140=2,AH147,IF(Z140=3,AH148,IF(Z140=4,AH149,IF(Z140=5,AH150,IF(Z140=6,AH151,IF(Z140=7,AH152,IF(Z140=8,AH153,IF(Z140=9,AH154,IF(Z140=10,AH155,IF(Z140=11,AH156,IF(Z140=12,AH157,IF(Z140=13,AH158,IF(Z140=14,AH159,IF(Z140=15,AH160,IF(Z140=16,AH161,IF(Z140=17,AH162,IF(Z140=18,AH163,IF(Z140=19,AH164,IF(Z140=20,AH165,IF(Z140=21,AH166,IF(Z140=22,AH167,IF(Z140=23,AH168,IF(Z140=24,AH169,IF(Z140=25,AH170,IF(Z140=26,AH171,IF(Z140=27,AH172,IF(Z140=28,AH173,IF(Z140=29,AH174,IF(Z140=30,AH175))))))))))))))))))))))))))))))))</f>
        <v>0</v>
      </c>
      <c r="AJ140" s="253">
        <f>IF(V140&lt;&gt;0,SUM($F$34,V140,$N$36,MAX($AH$42:$AH$342),$T$36),0)</f>
        <v>0</v>
      </c>
      <c r="AK140" s="253">
        <f>IF(W140&lt;&gt;0,SUM($F$34,W140,$N$36,MAX($AH$42:$AH$342),$T$36),0)</f>
        <v>0</v>
      </c>
      <c r="AL140" s="253">
        <f>IF(X140&lt;&gt;0,SUM($F$34,X140,$N$36,MAX($AH$42:$AH$342),$T$36),0)</f>
        <v>0</v>
      </c>
      <c r="AM140" s="260">
        <f>IF(Y140&lt;&gt;0,SUM($F$34,Y140,$N$36,MAX($AH$42:$AH$342),$T$36),0)</f>
        <v>0</v>
      </c>
    </row>
    <row r="141" spans="1:39" x14ac:dyDescent="0.35">
      <c r="A141" s="259">
        <v>1439</v>
      </c>
      <c r="B141" s="58">
        <f>SUMIF([2]!Table2_23[ETA],'FIS Optimal Model (2)'!A141,[2]!Table2_23[FIS PAX])</f>
        <v>0</v>
      </c>
      <c r="C141" s="44">
        <f t="shared" si="78"/>
        <v>18</v>
      </c>
      <c r="D141" s="52">
        <f t="shared" si="83"/>
        <v>277</v>
      </c>
      <c r="E141" s="26">
        <f t="shared" si="66"/>
        <v>10</v>
      </c>
      <c r="F141" s="26">
        <f t="shared" si="67"/>
        <v>5</v>
      </c>
      <c r="G141" s="26">
        <f t="shared" si="68"/>
        <v>3</v>
      </c>
      <c r="H141" s="26">
        <f t="shared" si="69"/>
        <v>1</v>
      </c>
      <c r="I141" s="27">
        <f t="shared" si="85"/>
        <v>0</v>
      </c>
      <c r="J141" s="27">
        <f t="shared" si="85"/>
        <v>0</v>
      </c>
      <c r="K141" s="27">
        <f t="shared" si="85"/>
        <v>0</v>
      </c>
      <c r="L141" s="27">
        <f t="shared" si="85"/>
        <v>0</v>
      </c>
      <c r="M141" s="28">
        <f t="shared" si="92"/>
        <v>0</v>
      </c>
      <c r="N141" s="29">
        <f t="shared" si="93"/>
        <v>11</v>
      </c>
      <c r="O141" s="28">
        <f t="shared" si="94"/>
        <v>0</v>
      </c>
      <c r="P141" s="28">
        <f t="shared" si="95"/>
        <v>0</v>
      </c>
      <c r="Q141" s="28">
        <f t="shared" si="70"/>
        <v>11</v>
      </c>
      <c r="R141" s="22">
        <f t="shared" si="71"/>
        <v>0</v>
      </c>
      <c r="S141" s="22">
        <f t="shared" si="72"/>
        <v>0</v>
      </c>
      <c r="T141" s="22">
        <f t="shared" si="73"/>
        <v>0</v>
      </c>
      <c r="U141" s="22">
        <f t="shared" si="74"/>
        <v>0</v>
      </c>
      <c r="V141" s="21">
        <f t="shared" si="86"/>
        <v>0</v>
      </c>
      <c r="W141" s="21">
        <f t="shared" si="91"/>
        <v>0</v>
      </c>
      <c r="X141" s="21">
        <f t="shared" si="81"/>
        <v>0</v>
      </c>
      <c r="Y141" s="21">
        <f t="shared" si="82"/>
        <v>0</v>
      </c>
      <c r="Z141" s="221">
        <f t="shared" si="75"/>
        <v>0</v>
      </c>
      <c r="AA141" s="30">
        <f t="shared" si="62"/>
        <v>0</v>
      </c>
      <c r="AB141" s="30">
        <f t="shared" si="63"/>
        <v>0</v>
      </c>
      <c r="AC141" s="30">
        <f t="shared" si="64"/>
        <v>0</v>
      </c>
      <c r="AD141" s="30">
        <f t="shared" si="65"/>
        <v>0</v>
      </c>
      <c r="AE141" s="32">
        <f t="shared" si="76"/>
        <v>0</v>
      </c>
      <c r="AF141" s="33">
        <f t="shared" si="84"/>
        <v>0</v>
      </c>
      <c r="AG141" s="40">
        <f t="shared" si="77"/>
        <v>0</v>
      </c>
      <c r="AH141" s="224">
        <f>AG141*$P$36</f>
        <v>0</v>
      </c>
      <c r="AI141" s="226">
        <f>SUM(Z141,IF(Z141&lt;&gt;0,$F$34,0),IF(Z141&lt;&gt;0,$N$36,0),IF(Z141&lt;&gt;0,$T$36,0),IF(Z141=0,AH146,IF(Z141=1,AH147,IF(Z141=2,AH148,IF(Z141=3,AH149,IF(Z141=4,AH150,IF(Z141=5,AH151,IF(Z141=6,AH152,IF(Z141=7,AH153,IF(Z141=8,AH154,IF(Z141=9,AH155,IF(Z141=10,AH156,IF(Z141=11,AH157,IF(Z141=12,AH158,IF(Z141=13,AH159,IF(Z141=14,AH160,IF(Z141=15,AH161,IF(Z141=16,AH162,IF(Z141=17,AH163,IF(Z141=18,AH164,IF(Z141=19,AH165,IF(Z141=20,AH166,IF(Z141=21,AH167,IF(Z141=22,AH168,IF(Z141=23,AH169,IF(Z141=24,AH170,IF(Z141=25,AH171,IF(Z141=26,AH172,IF(Z141=27,AH173,IF(Z141=28,AH174,IF(Z141=29,AH175,IF(Z141=30,AH176))))))))))))))))))))))))))))))))</f>
        <v>0</v>
      </c>
      <c r="AJ141" s="253">
        <f>IF(V141&lt;&gt;0,SUM($F$34,V141,$N$36,MAX($AH$42:$AH$342),$T$36),0)</f>
        <v>0</v>
      </c>
      <c r="AK141" s="253">
        <f>IF(W141&lt;&gt;0,SUM($F$34,W141,$N$36,MAX($AH$42:$AH$342),$T$36),0)</f>
        <v>0</v>
      </c>
      <c r="AL141" s="253">
        <f>IF(X141&lt;&gt;0,SUM($F$34,X141,$N$36,MAX($AH$42:$AH$342),$T$36),0)</f>
        <v>0</v>
      </c>
      <c r="AM141" s="260">
        <f>IF(Y141&lt;&gt;0,SUM($F$34,Y141,$N$36,MAX($AH$42:$AH$342),$T$36),0)</f>
        <v>0</v>
      </c>
    </row>
    <row r="142" spans="1:39" x14ac:dyDescent="0.35">
      <c r="A142" s="259">
        <v>1440</v>
      </c>
      <c r="B142" s="58">
        <f>SUMIF([2]!Table2_23[ETA],'FIS Optimal Model (2)'!A142,[2]!Table2_23[FIS PAX])</f>
        <v>0</v>
      </c>
      <c r="C142" s="44">
        <f t="shared" si="78"/>
        <v>18</v>
      </c>
      <c r="D142" s="52">
        <f t="shared" si="83"/>
        <v>259</v>
      </c>
      <c r="E142" s="26">
        <f t="shared" si="66"/>
        <v>10</v>
      </c>
      <c r="F142" s="26">
        <f t="shared" si="67"/>
        <v>5</v>
      </c>
      <c r="G142" s="26">
        <f t="shared" si="68"/>
        <v>3</v>
      </c>
      <c r="H142" s="26">
        <f t="shared" si="69"/>
        <v>1</v>
      </c>
      <c r="I142" s="27">
        <f t="shared" si="85"/>
        <v>0</v>
      </c>
      <c r="J142" s="27">
        <f t="shared" si="85"/>
        <v>0</v>
      </c>
      <c r="K142" s="27">
        <f t="shared" si="85"/>
        <v>0</v>
      </c>
      <c r="L142" s="27">
        <f t="shared" si="85"/>
        <v>0</v>
      </c>
      <c r="M142" s="28">
        <f t="shared" si="92"/>
        <v>0</v>
      </c>
      <c r="N142" s="29">
        <f t="shared" si="93"/>
        <v>11</v>
      </c>
      <c r="O142" s="28">
        <f t="shared" si="94"/>
        <v>0</v>
      </c>
      <c r="P142" s="28">
        <f t="shared" si="95"/>
        <v>0</v>
      </c>
      <c r="Q142" s="28">
        <f t="shared" si="70"/>
        <v>11</v>
      </c>
      <c r="R142" s="22">
        <f t="shared" si="71"/>
        <v>0</v>
      </c>
      <c r="S142" s="22">
        <f t="shared" si="72"/>
        <v>0</v>
      </c>
      <c r="T142" s="22">
        <f t="shared" si="73"/>
        <v>0</v>
      </c>
      <c r="U142" s="22">
        <f t="shared" si="74"/>
        <v>0</v>
      </c>
      <c r="V142" s="21">
        <f t="shared" si="86"/>
        <v>0</v>
      </c>
      <c r="W142" s="21">
        <f t="shared" si="91"/>
        <v>0</v>
      </c>
      <c r="X142" s="21">
        <f t="shared" si="81"/>
        <v>0</v>
      </c>
      <c r="Y142" s="21">
        <f t="shared" si="82"/>
        <v>0</v>
      </c>
      <c r="Z142" s="221">
        <f t="shared" si="75"/>
        <v>0</v>
      </c>
      <c r="AA142" s="30">
        <f t="shared" si="62"/>
        <v>0</v>
      </c>
      <c r="AB142" s="30">
        <f t="shared" si="63"/>
        <v>0</v>
      </c>
      <c r="AC142" s="30">
        <f t="shared" si="64"/>
        <v>0</v>
      </c>
      <c r="AD142" s="30">
        <f t="shared" si="65"/>
        <v>0</v>
      </c>
      <c r="AE142" s="32">
        <f t="shared" si="76"/>
        <v>0</v>
      </c>
      <c r="AF142" s="33">
        <f t="shared" si="84"/>
        <v>0</v>
      </c>
      <c r="AG142" s="40">
        <f t="shared" si="77"/>
        <v>0</v>
      </c>
      <c r="AH142" s="224">
        <f>AG142*$P$36</f>
        <v>0</v>
      </c>
      <c r="AI142" s="226">
        <f>SUM(Z142,IF(Z142&lt;&gt;0,$F$34,0),IF(Z142&lt;&gt;0,$N$36,0),IF(Z142&lt;&gt;0,$T$36,0),IF(Z142=0,AH147,IF(Z142=1,AH148,IF(Z142=2,AH149,IF(Z142=3,AH150,IF(Z142=4,AH151,IF(Z142=5,AH152,IF(Z142=6,AH153,IF(Z142=7,AH154,IF(Z142=8,AH155,IF(Z142=9,AH156,IF(Z142=10,AH157,IF(Z142=11,AH158,IF(Z142=12,AH159,IF(Z142=13,AH160,IF(Z142=14,AH161,IF(Z142=15,AH162,IF(Z142=16,AH163,IF(Z142=17,AH164,IF(Z142=18,AH165,IF(Z142=19,AH166,IF(Z142=20,AH167,IF(Z142=21,AH168,IF(Z142=22,AH169,IF(Z142=23,AH170,IF(Z142=24,AH171,IF(Z142=25,AH172,IF(Z142=26,AH173,IF(Z142=27,AH174,IF(Z142=28,AH175,IF(Z142=29,AH176,IF(Z142=30,AH177))))))))))))))))))))))))))))))))</f>
        <v>0</v>
      </c>
      <c r="AJ142" s="253">
        <f>IF(V142&lt;&gt;0,SUM($F$34,V142,$N$36,MAX($AH$42:$AH$342),$T$36),0)</f>
        <v>0</v>
      </c>
      <c r="AK142" s="253">
        <f>IF(W142&lt;&gt;0,SUM($F$34,W142,$N$36,MAX($AH$42:$AH$342),$T$36),0)</f>
        <v>0</v>
      </c>
      <c r="AL142" s="253">
        <f>IF(X142&lt;&gt;0,SUM($F$34,X142,$N$36,MAX($AH$42:$AH$342),$T$36),0)</f>
        <v>0</v>
      </c>
      <c r="AM142" s="260">
        <f>IF(Y142&lt;&gt;0,SUM($F$34,Y142,$N$36,MAX($AH$42:$AH$342),$T$36),0)</f>
        <v>0</v>
      </c>
    </row>
    <row r="143" spans="1:39" x14ac:dyDescent="0.35">
      <c r="A143" s="259">
        <v>1441</v>
      </c>
      <c r="B143" s="58">
        <f>SUMIF([2]!Table2_23[ETA],'FIS Optimal Model (2)'!A143,[2]!Table2_23[FIS PAX])</f>
        <v>0</v>
      </c>
      <c r="C143" s="44">
        <f t="shared" si="78"/>
        <v>18</v>
      </c>
      <c r="D143" s="52">
        <f t="shared" si="83"/>
        <v>241</v>
      </c>
      <c r="E143" s="26">
        <f t="shared" si="66"/>
        <v>10</v>
      </c>
      <c r="F143" s="26">
        <f t="shared" si="67"/>
        <v>5</v>
      </c>
      <c r="G143" s="26">
        <f t="shared" si="68"/>
        <v>3</v>
      </c>
      <c r="H143" s="26">
        <f t="shared" si="69"/>
        <v>1</v>
      </c>
      <c r="I143" s="27">
        <f t="shared" si="85"/>
        <v>0</v>
      </c>
      <c r="J143" s="27">
        <f t="shared" si="85"/>
        <v>0</v>
      </c>
      <c r="K143" s="27">
        <f t="shared" si="85"/>
        <v>0</v>
      </c>
      <c r="L143" s="27">
        <f t="shared" si="85"/>
        <v>0</v>
      </c>
      <c r="M143" s="28">
        <f t="shared" si="92"/>
        <v>0</v>
      </c>
      <c r="N143" s="29">
        <f t="shared" si="93"/>
        <v>11</v>
      </c>
      <c r="O143" s="28">
        <f t="shared" si="94"/>
        <v>0</v>
      </c>
      <c r="P143" s="28">
        <f t="shared" si="95"/>
        <v>0</v>
      </c>
      <c r="Q143" s="28">
        <f t="shared" si="70"/>
        <v>11</v>
      </c>
      <c r="R143" s="22">
        <f t="shared" si="71"/>
        <v>0</v>
      </c>
      <c r="S143" s="22">
        <f t="shared" si="72"/>
        <v>0</v>
      </c>
      <c r="T143" s="22">
        <f t="shared" si="73"/>
        <v>0</v>
      </c>
      <c r="U143" s="22">
        <f t="shared" si="74"/>
        <v>0</v>
      </c>
      <c r="V143" s="21">
        <f t="shared" si="86"/>
        <v>0</v>
      </c>
      <c r="W143" s="21">
        <f t="shared" si="91"/>
        <v>0</v>
      </c>
      <c r="X143" s="21">
        <f t="shared" si="81"/>
        <v>0</v>
      </c>
      <c r="Y143" s="21">
        <f t="shared" si="82"/>
        <v>0</v>
      </c>
      <c r="Z143" s="221">
        <f t="shared" si="75"/>
        <v>0</v>
      </c>
      <c r="AA143" s="30">
        <f t="shared" si="62"/>
        <v>0</v>
      </c>
      <c r="AB143" s="30">
        <f t="shared" si="63"/>
        <v>0</v>
      </c>
      <c r="AC143" s="30">
        <f t="shared" si="64"/>
        <v>0</v>
      </c>
      <c r="AD143" s="30">
        <f t="shared" si="65"/>
        <v>0</v>
      </c>
      <c r="AE143" s="32">
        <f t="shared" si="76"/>
        <v>0</v>
      </c>
      <c r="AF143" s="33">
        <f t="shared" si="84"/>
        <v>0</v>
      </c>
      <c r="AG143" s="40">
        <f t="shared" si="77"/>
        <v>0</v>
      </c>
      <c r="AH143" s="224">
        <f>AG143*$P$36</f>
        <v>0</v>
      </c>
      <c r="AI143" s="226">
        <f>SUM(Z143,IF(Z143&lt;&gt;0,$F$34,0),IF(Z143&lt;&gt;0,$N$36,0),IF(Z143&lt;&gt;0,$T$36,0),IF(Z143=0,AH148,IF(Z143=1,AH149,IF(Z143=2,AH150,IF(Z143=3,AH151,IF(Z143=4,AH152,IF(Z143=5,AH153,IF(Z143=6,AH154,IF(Z143=7,AH155,IF(Z143=8,AH156,IF(Z143=9,AH157,IF(Z143=10,AH158,IF(Z143=11,AH159,IF(Z143=12,AH160,IF(Z143=13,AH161,IF(Z143=14,AH162,IF(Z143=15,AH163,IF(Z143=16,AH164,IF(Z143=17,AH165,IF(Z143=18,AH166,IF(Z143=19,AH167,IF(Z143=20,AH168,IF(Z143=21,AH169,IF(Z143=22,AH170,IF(Z143=23,AH171,IF(Z143=24,AH172,IF(Z143=25,AH173,IF(Z143=26,AH174,IF(Z143=27,AH175,IF(Z143=28,AH176,IF(Z143=29,AH177,IF(Z143=30,AH178))))))))))))))))))))))))))))))))</f>
        <v>0</v>
      </c>
      <c r="AJ143" s="253">
        <f>IF(V143&lt;&gt;0,SUM($F$34,V143,$N$36,MAX($AH$42:$AH$342),$T$36),0)</f>
        <v>0</v>
      </c>
      <c r="AK143" s="253">
        <f>IF(W143&lt;&gt;0,SUM($F$34,W143,$N$36,MAX($AH$42:$AH$342),$T$36),0)</f>
        <v>0</v>
      </c>
      <c r="AL143" s="253">
        <f>IF(X143&lt;&gt;0,SUM($F$34,X143,$N$36,MAX($AH$42:$AH$342),$T$36),0)</f>
        <v>0</v>
      </c>
      <c r="AM143" s="260">
        <f>IF(Y143&lt;&gt;0,SUM($F$34,Y143,$N$36,MAX($AH$42:$AH$342),$T$36),0)</f>
        <v>0</v>
      </c>
    </row>
    <row r="144" spans="1:39" x14ac:dyDescent="0.35">
      <c r="A144" s="259">
        <v>1442</v>
      </c>
      <c r="B144" s="58">
        <f>SUMIF([2]!Table2_23[ETA],'FIS Optimal Model (2)'!A144,[2]!Table2_23[FIS PAX])</f>
        <v>0</v>
      </c>
      <c r="C144" s="44">
        <f t="shared" si="78"/>
        <v>18</v>
      </c>
      <c r="D144" s="52">
        <f t="shared" si="83"/>
        <v>223</v>
      </c>
      <c r="E144" s="26">
        <f t="shared" si="66"/>
        <v>10</v>
      </c>
      <c r="F144" s="26">
        <f t="shared" si="67"/>
        <v>5</v>
      </c>
      <c r="G144" s="26">
        <f t="shared" si="68"/>
        <v>3</v>
      </c>
      <c r="H144" s="26">
        <f t="shared" si="69"/>
        <v>1</v>
      </c>
      <c r="I144" s="27">
        <f t="shared" si="85"/>
        <v>0</v>
      </c>
      <c r="J144" s="27">
        <f t="shared" si="85"/>
        <v>0</v>
      </c>
      <c r="K144" s="27">
        <f t="shared" si="85"/>
        <v>0</v>
      </c>
      <c r="L144" s="27">
        <f t="shared" si="85"/>
        <v>0</v>
      </c>
      <c r="M144" s="28">
        <f t="shared" si="92"/>
        <v>0</v>
      </c>
      <c r="N144" s="29">
        <f t="shared" si="93"/>
        <v>11</v>
      </c>
      <c r="O144" s="28">
        <f t="shared" si="94"/>
        <v>0</v>
      </c>
      <c r="P144" s="28">
        <f t="shared" si="95"/>
        <v>0</v>
      </c>
      <c r="Q144" s="28">
        <f t="shared" si="70"/>
        <v>11</v>
      </c>
      <c r="R144" s="22">
        <f t="shared" si="71"/>
        <v>0</v>
      </c>
      <c r="S144" s="22">
        <f t="shared" si="72"/>
        <v>0</v>
      </c>
      <c r="T144" s="22">
        <f t="shared" si="73"/>
        <v>0</v>
      </c>
      <c r="U144" s="22">
        <f t="shared" si="74"/>
        <v>0</v>
      </c>
      <c r="V144" s="21">
        <f t="shared" si="86"/>
        <v>0</v>
      </c>
      <c r="W144" s="21">
        <f t="shared" si="91"/>
        <v>0</v>
      </c>
      <c r="X144" s="21">
        <f t="shared" si="81"/>
        <v>0</v>
      </c>
      <c r="Y144" s="21">
        <f t="shared" si="82"/>
        <v>0</v>
      </c>
      <c r="Z144" s="221">
        <f t="shared" si="75"/>
        <v>0</v>
      </c>
      <c r="AA144" s="30">
        <f t="shared" si="62"/>
        <v>0</v>
      </c>
      <c r="AB144" s="30">
        <f t="shared" si="63"/>
        <v>0</v>
      </c>
      <c r="AC144" s="30">
        <f t="shared" si="64"/>
        <v>0</v>
      </c>
      <c r="AD144" s="30">
        <f t="shared" si="65"/>
        <v>0</v>
      </c>
      <c r="AE144" s="32">
        <f t="shared" si="76"/>
        <v>0</v>
      </c>
      <c r="AF144" s="33">
        <f t="shared" si="84"/>
        <v>0</v>
      </c>
      <c r="AG144" s="40">
        <f t="shared" si="77"/>
        <v>0</v>
      </c>
      <c r="AH144" s="224">
        <f>AG144*$P$36</f>
        <v>0</v>
      </c>
      <c r="AI144" s="226">
        <f>SUM(Z144,IF(Z144&lt;&gt;0,$F$34,0),IF(Z144&lt;&gt;0,$N$36,0),IF(Z144&lt;&gt;0,$T$36,0),IF(Z144=0,AH149,IF(Z144=1,AH150,IF(Z144=2,AH151,IF(Z144=3,AH152,IF(Z144=4,AH153,IF(Z144=5,AH154,IF(Z144=6,AH155,IF(Z144=7,AH156,IF(Z144=8,AH157,IF(Z144=9,AH158,IF(Z144=10,AH159,IF(Z144=11,AH160,IF(Z144=12,AH161,IF(Z144=13,AH162,IF(Z144=14,AH163,IF(Z144=15,AH164,IF(Z144=16,AH165,IF(Z144=17,AH166,IF(Z144=18,AH167,IF(Z144=19,AH168,IF(Z144=20,AH169,IF(Z144=21,AH170,IF(Z144=22,AH171,IF(Z144=23,AH172,IF(Z144=24,AH173,IF(Z144=25,AH174,IF(Z144=26,AH175,IF(Z144=27,AH176,IF(Z144=28,AH177,IF(Z144=29,AH178,IF(Z144=30,AH179))))))))))))))))))))))))))))))))</f>
        <v>0</v>
      </c>
      <c r="AJ144" s="253">
        <f>IF(V144&lt;&gt;0,SUM($F$34,V144,$N$36,MAX($AH$42:$AH$342),$T$36),0)</f>
        <v>0</v>
      </c>
      <c r="AK144" s="253">
        <f>IF(W144&lt;&gt;0,SUM($F$34,W144,$N$36,MAX($AH$42:$AH$342),$T$36),0)</f>
        <v>0</v>
      </c>
      <c r="AL144" s="253">
        <f>IF(X144&lt;&gt;0,SUM($F$34,X144,$N$36,MAX($AH$42:$AH$342),$T$36),0)</f>
        <v>0</v>
      </c>
      <c r="AM144" s="260">
        <f>IF(Y144&lt;&gt;0,SUM($F$34,Y144,$N$36,MAX($AH$42:$AH$342),$T$36),0)</f>
        <v>0</v>
      </c>
    </row>
    <row r="145" spans="1:39" x14ac:dyDescent="0.35">
      <c r="A145" s="259">
        <v>1443</v>
      </c>
      <c r="B145" s="58">
        <f>SUMIF([2]!Table2_23[ETA],'FIS Optimal Model (2)'!A145,[2]!Table2_23[FIS PAX])</f>
        <v>0</v>
      </c>
      <c r="C145" s="44">
        <f t="shared" si="78"/>
        <v>18</v>
      </c>
      <c r="D145" s="52">
        <f t="shared" si="83"/>
        <v>205</v>
      </c>
      <c r="E145" s="26">
        <f t="shared" si="66"/>
        <v>10</v>
      </c>
      <c r="F145" s="26">
        <f t="shared" si="67"/>
        <v>5</v>
      </c>
      <c r="G145" s="26">
        <f t="shared" si="68"/>
        <v>3</v>
      </c>
      <c r="H145" s="26">
        <f t="shared" si="69"/>
        <v>1</v>
      </c>
      <c r="I145" s="27">
        <f t="shared" si="85"/>
        <v>10</v>
      </c>
      <c r="J145" s="27">
        <f t="shared" si="85"/>
        <v>5</v>
      </c>
      <c r="K145" s="27">
        <f t="shared" si="85"/>
        <v>3</v>
      </c>
      <c r="L145" s="27">
        <f t="shared" si="85"/>
        <v>1</v>
      </c>
      <c r="M145" s="28">
        <f t="shared" si="92"/>
        <v>0</v>
      </c>
      <c r="N145" s="29">
        <f t="shared" si="93"/>
        <v>11</v>
      </c>
      <c r="O145" s="28">
        <f t="shared" si="94"/>
        <v>0</v>
      </c>
      <c r="P145" s="28">
        <f t="shared" si="95"/>
        <v>0</v>
      </c>
      <c r="Q145" s="28">
        <f t="shared" si="70"/>
        <v>11</v>
      </c>
      <c r="R145" s="22">
        <f t="shared" si="71"/>
        <v>10</v>
      </c>
      <c r="S145" s="22">
        <f t="shared" si="72"/>
        <v>0</v>
      </c>
      <c r="T145" s="22">
        <f t="shared" si="73"/>
        <v>3</v>
      </c>
      <c r="U145" s="22">
        <f t="shared" si="74"/>
        <v>1</v>
      </c>
      <c r="V145" s="21">
        <f t="shared" si="86"/>
        <v>0</v>
      </c>
      <c r="W145" s="21">
        <f t="shared" si="91"/>
        <v>0</v>
      </c>
      <c r="X145" s="21">
        <f t="shared" si="81"/>
        <v>0</v>
      </c>
      <c r="Y145" s="21">
        <f t="shared" si="82"/>
        <v>0</v>
      </c>
      <c r="Z145" s="221">
        <f t="shared" si="75"/>
        <v>0</v>
      </c>
      <c r="AA145" s="30">
        <f t="shared" si="62"/>
        <v>0</v>
      </c>
      <c r="AB145" s="30">
        <f t="shared" si="63"/>
        <v>0</v>
      </c>
      <c r="AC145" s="30">
        <f t="shared" si="64"/>
        <v>0</v>
      </c>
      <c r="AD145" s="30">
        <f t="shared" si="65"/>
        <v>0</v>
      </c>
      <c r="AE145" s="32">
        <f t="shared" si="76"/>
        <v>0</v>
      </c>
      <c r="AF145" s="33">
        <f t="shared" si="84"/>
        <v>0</v>
      </c>
      <c r="AG145" s="40">
        <f t="shared" si="77"/>
        <v>0</v>
      </c>
      <c r="AH145" s="224">
        <f>AG145*$P$36</f>
        <v>0</v>
      </c>
      <c r="AI145" s="226">
        <f>SUM(Z145,IF(Z145&lt;&gt;0,$F$34,0),IF(Z145&lt;&gt;0,$N$36,0),IF(Z145&lt;&gt;0,$T$36,0),IF(Z145=0,AH150,IF(Z145=1,AH151,IF(Z145=2,AH152,IF(Z145=3,AH153,IF(Z145=4,AH154,IF(Z145=5,AH155,IF(Z145=6,AH156,IF(Z145=7,AH157,IF(Z145=8,AH158,IF(Z145=9,AH159,IF(Z145=10,AH160,IF(Z145=11,AH161,IF(Z145=12,AH162,IF(Z145=13,AH163,IF(Z145=14,AH164,IF(Z145=15,AH165,IF(Z145=16,AH166,IF(Z145=17,AH167,IF(Z145=18,AH168,IF(Z145=19,AH169,IF(Z145=20,AH170,IF(Z145=21,AH171,IF(Z145=22,AH172,IF(Z145=23,AH173,IF(Z145=24,AH174,IF(Z145=25,AH175,IF(Z145=26,AH176,IF(Z145=27,AH177,IF(Z145=28,AH178,IF(Z145=29,AH179,IF(Z145=30,AH180))))))))))))))))))))))))))))))))</f>
        <v>0</v>
      </c>
      <c r="AJ145" s="253">
        <f>IF(V145&lt;&gt;0,SUM($F$34,V145,$N$36,MAX($AH$42:$AH$342),$T$36),0)</f>
        <v>0</v>
      </c>
      <c r="AK145" s="253">
        <f>IF(W145&lt;&gt;0,SUM($F$34,W145,$N$36,MAX($AH$42:$AH$342),$T$36),0)</f>
        <v>0</v>
      </c>
      <c r="AL145" s="253">
        <f>IF(X145&lt;&gt;0,SUM($F$34,X145,$N$36,MAX($AH$42:$AH$342),$T$36),0)</f>
        <v>0</v>
      </c>
      <c r="AM145" s="260">
        <f>IF(Y145&lt;&gt;0,SUM($F$34,Y145,$N$36,MAX($AH$42:$AH$342),$T$36),0)</f>
        <v>0</v>
      </c>
    </row>
    <row r="146" spans="1:39" x14ac:dyDescent="0.35">
      <c r="A146" s="259">
        <v>1444</v>
      </c>
      <c r="B146" s="58">
        <f>SUMIF([2]!Table2_23[ETA],'FIS Optimal Model (2)'!A146,[2]!Table2_23[FIS PAX])</f>
        <v>140</v>
      </c>
      <c r="C146" s="44">
        <f t="shared" si="78"/>
        <v>18</v>
      </c>
      <c r="D146" s="52">
        <f t="shared" si="83"/>
        <v>187</v>
      </c>
      <c r="E146" s="26">
        <f t="shared" si="66"/>
        <v>10</v>
      </c>
      <c r="F146" s="26">
        <f t="shared" si="67"/>
        <v>5</v>
      </c>
      <c r="G146" s="26">
        <f t="shared" si="68"/>
        <v>3</v>
      </c>
      <c r="H146" s="26">
        <f t="shared" si="69"/>
        <v>1</v>
      </c>
      <c r="I146" s="27">
        <f t="shared" si="85"/>
        <v>10</v>
      </c>
      <c r="J146" s="27">
        <f t="shared" si="85"/>
        <v>5</v>
      </c>
      <c r="K146" s="27">
        <f t="shared" si="85"/>
        <v>3</v>
      </c>
      <c r="L146" s="27">
        <f t="shared" si="85"/>
        <v>1</v>
      </c>
      <c r="M146" s="28">
        <f t="shared" si="92"/>
        <v>0</v>
      </c>
      <c r="N146" s="29">
        <f t="shared" si="93"/>
        <v>11</v>
      </c>
      <c r="O146" s="28">
        <f t="shared" si="94"/>
        <v>0</v>
      </c>
      <c r="P146" s="28">
        <f t="shared" si="95"/>
        <v>0</v>
      </c>
      <c r="Q146" s="28">
        <f t="shared" si="70"/>
        <v>11</v>
      </c>
      <c r="R146" s="22">
        <f t="shared" si="71"/>
        <v>20</v>
      </c>
      <c r="S146" s="22">
        <f t="shared" si="72"/>
        <v>0</v>
      </c>
      <c r="T146" s="22">
        <f t="shared" si="73"/>
        <v>6</v>
      </c>
      <c r="U146" s="22">
        <f t="shared" si="74"/>
        <v>2</v>
      </c>
      <c r="V146" s="21">
        <f t="shared" si="86"/>
        <v>0</v>
      </c>
      <c r="W146" s="21">
        <f t="shared" si="91"/>
        <v>0</v>
      </c>
      <c r="X146" s="21">
        <f t="shared" si="81"/>
        <v>0</v>
      </c>
      <c r="Y146" s="21">
        <f t="shared" si="82"/>
        <v>0</v>
      </c>
      <c r="Z146" s="221">
        <f t="shared" si="75"/>
        <v>0</v>
      </c>
      <c r="AA146" s="30">
        <f t="shared" si="62"/>
        <v>0</v>
      </c>
      <c r="AB146" s="30">
        <f t="shared" si="63"/>
        <v>0</v>
      </c>
      <c r="AC146" s="30">
        <f t="shared" si="64"/>
        <v>0</v>
      </c>
      <c r="AD146" s="30">
        <f t="shared" si="65"/>
        <v>0</v>
      </c>
      <c r="AE146" s="32">
        <f t="shared" si="76"/>
        <v>0</v>
      </c>
      <c r="AF146" s="33">
        <f t="shared" si="84"/>
        <v>0</v>
      </c>
      <c r="AG146" s="40">
        <f t="shared" si="77"/>
        <v>0</v>
      </c>
      <c r="AH146" s="224">
        <f>AG146*$P$36</f>
        <v>0</v>
      </c>
      <c r="AI146" s="226">
        <f>SUM(Z146,IF(Z146&lt;&gt;0,$F$34,0),IF(Z146&lt;&gt;0,$N$36,0),IF(Z146&lt;&gt;0,$T$36,0),IF(Z146=0,AH151,IF(Z146=1,AH152,IF(Z146=2,AH153,IF(Z146=3,AH154,IF(Z146=4,AH155,IF(Z146=5,AH156,IF(Z146=6,AH157,IF(Z146=7,AH158,IF(Z146=8,AH159,IF(Z146=9,AH160,IF(Z146=10,AH161,IF(Z146=11,AH162,IF(Z146=12,AH163,IF(Z146=13,AH164,IF(Z146=14,AH165,IF(Z146=15,AH166,IF(Z146=16,AH167,IF(Z146=17,AH168,IF(Z146=18,AH169,IF(Z146=19,AH170,IF(Z146=20,AH171,IF(Z146=21,AH172,IF(Z146=22,AH173,IF(Z146=23,AH174,IF(Z146=24,AH175,IF(Z146=25,AH176,IF(Z146=26,AH177,IF(Z146=27,AH178,IF(Z146=28,AH179,IF(Z146=29,AH180,IF(Z146=30,AH181))))))))))))))))))))))))))))))))</f>
        <v>0</v>
      </c>
      <c r="AJ146" s="253">
        <f>IF(V146&lt;&gt;0,SUM($F$34,V146,$N$36,MAX($AH$42:$AH$342),$T$36),0)</f>
        <v>0</v>
      </c>
      <c r="AK146" s="253">
        <f>IF(W146&lt;&gt;0,SUM($F$34,W146,$N$36,MAX($AH$42:$AH$342),$T$36),0)</f>
        <v>0</v>
      </c>
      <c r="AL146" s="253">
        <f>IF(X146&lt;&gt;0,SUM($F$34,X146,$N$36,MAX($AH$42:$AH$342),$T$36),0)</f>
        <v>0</v>
      </c>
      <c r="AM146" s="260">
        <f>IF(Y146&lt;&gt;0,SUM($F$34,Y146,$N$36,MAX($AH$42:$AH$342),$T$36),0)</f>
        <v>0</v>
      </c>
    </row>
    <row r="147" spans="1:39" x14ac:dyDescent="0.35">
      <c r="A147" s="259">
        <v>1445</v>
      </c>
      <c r="B147" s="58">
        <f>SUMIF([2]!Table2_23[ETA],'FIS Optimal Model (2)'!A147,[2]!Table2_23[FIS PAX])</f>
        <v>0</v>
      </c>
      <c r="C147" s="44">
        <f t="shared" si="78"/>
        <v>18</v>
      </c>
      <c r="D147" s="52">
        <f t="shared" si="83"/>
        <v>309</v>
      </c>
      <c r="E147" s="26">
        <f t="shared" si="66"/>
        <v>10</v>
      </c>
      <c r="F147" s="26">
        <f t="shared" si="67"/>
        <v>5</v>
      </c>
      <c r="G147" s="26">
        <f t="shared" si="68"/>
        <v>3</v>
      </c>
      <c r="H147" s="26">
        <f t="shared" si="69"/>
        <v>1</v>
      </c>
      <c r="I147" s="27">
        <f t="shared" si="85"/>
        <v>10</v>
      </c>
      <c r="J147" s="27">
        <f t="shared" si="85"/>
        <v>5</v>
      </c>
      <c r="K147" s="27">
        <f t="shared" si="85"/>
        <v>3</v>
      </c>
      <c r="L147" s="27">
        <f t="shared" si="85"/>
        <v>1</v>
      </c>
      <c r="M147" s="28">
        <f t="shared" si="92"/>
        <v>0</v>
      </c>
      <c r="N147" s="29">
        <f t="shared" si="93"/>
        <v>11</v>
      </c>
      <c r="O147" s="28">
        <f t="shared" si="94"/>
        <v>0</v>
      </c>
      <c r="P147" s="28">
        <f t="shared" si="95"/>
        <v>0</v>
      </c>
      <c r="Q147" s="28">
        <f t="shared" si="70"/>
        <v>11</v>
      </c>
      <c r="R147" s="22">
        <f t="shared" si="71"/>
        <v>30</v>
      </c>
      <c r="S147" s="22">
        <f t="shared" si="72"/>
        <v>0</v>
      </c>
      <c r="T147" s="22">
        <f t="shared" si="73"/>
        <v>9</v>
      </c>
      <c r="U147" s="22">
        <f t="shared" si="74"/>
        <v>3</v>
      </c>
      <c r="V147" s="21">
        <f t="shared" si="86"/>
        <v>0</v>
      </c>
      <c r="W147" s="21">
        <f t="shared" si="91"/>
        <v>0</v>
      </c>
      <c r="X147" s="21">
        <f t="shared" si="81"/>
        <v>0</v>
      </c>
      <c r="Y147" s="21">
        <f t="shared" si="82"/>
        <v>0</v>
      </c>
      <c r="Z147" s="221">
        <f t="shared" si="75"/>
        <v>0</v>
      </c>
      <c r="AA147" s="30">
        <f t="shared" si="62"/>
        <v>0</v>
      </c>
      <c r="AB147" s="30">
        <f t="shared" si="63"/>
        <v>0</v>
      </c>
      <c r="AC147" s="30">
        <f t="shared" si="64"/>
        <v>0</v>
      </c>
      <c r="AD147" s="30">
        <f t="shared" si="65"/>
        <v>0</v>
      </c>
      <c r="AE147" s="32">
        <f t="shared" si="76"/>
        <v>0</v>
      </c>
      <c r="AF147" s="33">
        <f t="shared" si="84"/>
        <v>0</v>
      </c>
      <c r="AG147" s="40">
        <f t="shared" si="77"/>
        <v>0</v>
      </c>
      <c r="AH147" s="224">
        <f>AG147*$P$36</f>
        <v>0</v>
      </c>
      <c r="AI147" s="226">
        <f>SUM(Z147,IF(Z147&lt;&gt;0,$F$34,0),IF(Z147&lt;&gt;0,$N$36,0),IF(Z147&lt;&gt;0,$T$36,0),IF(Z147=0,AH152,IF(Z147=1,AH153,IF(Z147=2,AH154,IF(Z147=3,AH155,IF(Z147=4,AH156,IF(Z147=5,AH157,IF(Z147=6,AH158,IF(Z147=7,AH159,IF(Z147=8,AH160,IF(Z147=9,AH161,IF(Z147=10,AH162,IF(Z147=11,AH163,IF(Z147=12,AH164,IF(Z147=13,AH165,IF(Z147=14,AH166,IF(Z147=15,AH167,IF(Z147=16,AH168,IF(Z147=17,AH169,IF(Z147=18,AH170,IF(Z147=19,AH171,IF(Z147=20,AH172,IF(Z147=21,AH173,IF(Z147=22,AH174,IF(Z147=23,AH175,IF(Z147=24,AH176,IF(Z147=25,AH177,IF(Z147=26,AH178,IF(Z147=27,AH179,IF(Z147=28,AH180,IF(Z147=29,AH181,IF(Z147=30,AH182))))))))))))))))))))))))))))))))</f>
        <v>0.20812589221390454</v>
      </c>
      <c r="AJ147" s="253">
        <f>IF(V147&lt;&gt;0,SUM($F$34,V147,$N$36,MAX($AH$42:$AH$342),$T$36),0)</f>
        <v>0</v>
      </c>
      <c r="AK147" s="253">
        <f>IF(W147&lt;&gt;0,SUM($F$34,W147,$N$36,MAX($AH$42:$AH$342),$T$36),0)</f>
        <v>0</v>
      </c>
      <c r="AL147" s="253">
        <f>IF(X147&lt;&gt;0,SUM($F$34,X147,$N$36,MAX($AH$42:$AH$342),$T$36),0)</f>
        <v>0</v>
      </c>
      <c r="AM147" s="260">
        <f>IF(Y147&lt;&gt;0,SUM($F$34,Y147,$N$36,MAX($AH$42:$AH$342),$T$36),0)</f>
        <v>0</v>
      </c>
    </row>
    <row r="148" spans="1:39" x14ac:dyDescent="0.35">
      <c r="A148" s="259">
        <v>1446</v>
      </c>
      <c r="B148" s="58">
        <f>SUMIF([2]!Table2_23[ETA],'FIS Optimal Model (2)'!A148,[2]!Table2_23[FIS PAX])</f>
        <v>0</v>
      </c>
      <c r="C148" s="44">
        <f t="shared" si="78"/>
        <v>18</v>
      </c>
      <c r="D148" s="52">
        <f t="shared" si="83"/>
        <v>291</v>
      </c>
      <c r="E148" s="26">
        <f t="shared" si="66"/>
        <v>10</v>
      </c>
      <c r="F148" s="26">
        <f t="shared" si="67"/>
        <v>5</v>
      </c>
      <c r="G148" s="26">
        <f t="shared" si="68"/>
        <v>3</v>
      </c>
      <c r="H148" s="26">
        <f t="shared" si="69"/>
        <v>1</v>
      </c>
      <c r="I148" s="27">
        <f t="shared" si="85"/>
        <v>10</v>
      </c>
      <c r="J148" s="27">
        <f t="shared" si="85"/>
        <v>5</v>
      </c>
      <c r="K148" s="27">
        <f t="shared" si="85"/>
        <v>3</v>
      </c>
      <c r="L148" s="27">
        <f t="shared" si="85"/>
        <v>1</v>
      </c>
      <c r="M148" s="28">
        <f>IF(R147=0,0,$Q$13)</f>
        <v>3</v>
      </c>
      <c r="N148" s="29">
        <f>$U$13-M148-O148-P148</f>
        <v>6</v>
      </c>
      <c r="O148" s="28">
        <f>IF(T147=0,0,$S$13)</f>
        <v>1</v>
      </c>
      <c r="P148" s="28">
        <f>IF(U147=0,0,$T$13)</f>
        <v>1</v>
      </c>
      <c r="Q148" s="28">
        <f t="shared" si="70"/>
        <v>11</v>
      </c>
      <c r="R148" s="22">
        <f t="shared" si="71"/>
        <v>33.314514930916658</v>
      </c>
      <c r="S148" s="22">
        <f t="shared" si="72"/>
        <v>1.8517782206017301</v>
      </c>
      <c r="T148" s="22">
        <f t="shared" si="73"/>
        <v>9.3730834454637524</v>
      </c>
      <c r="U148" s="22">
        <f t="shared" si="74"/>
        <v>2.0556473722074236</v>
      </c>
      <c r="V148" s="21">
        <f t="shared" si="86"/>
        <v>4.4847999999999999</v>
      </c>
      <c r="W148" s="21">
        <f t="shared" si="91"/>
        <v>0.5293783333333334</v>
      </c>
      <c r="X148" s="21">
        <f t="shared" si="81"/>
        <v>3.2112839999999996</v>
      </c>
      <c r="Y148" s="21">
        <f t="shared" si="82"/>
        <v>0.95151600000000003</v>
      </c>
      <c r="Z148" s="221">
        <f t="shared" si="75"/>
        <v>4</v>
      </c>
      <c r="AA148" s="30">
        <f t="shared" si="62"/>
        <v>6.6854850690833461</v>
      </c>
      <c r="AB148" s="30">
        <f t="shared" si="63"/>
        <v>3.1482217793982699</v>
      </c>
      <c r="AC148" s="30">
        <f t="shared" si="64"/>
        <v>2.6269165545362472</v>
      </c>
      <c r="AD148" s="30">
        <f t="shared" si="65"/>
        <v>1.9443526277925764</v>
      </c>
      <c r="AE148" s="32">
        <f t="shared" si="76"/>
        <v>14.404976030810438</v>
      </c>
      <c r="AF148" s="33">
        <f t="shared" si="84"/>
        <v>0</v>
      </c>
      <c r="AG148" s="40">
        <f t="shared" si="77"/>
        <v>0</v>
      </c>
      <c r="AH148" s="224">
        <f>AG148*$P$36</f>
        <v>0</v>
      </c>
      <c r="AI148" s="226">
        <f>SUM(Z148,IF(Z148&lt;&gt;0,$F$34,0),IF(Z148&lt;&gt;0,$N$36,0),IF(Z148&lt;&gt;0,$T$36,0),IF(Z148=0,AH153,IF(Z148=1,AH154,IF(Z148=2,AH155,IF(Z148=3,AH156,IF(Z148=4,AH157,IF(Z148=5,AH158,IF(Z148=6,AH159,IF(Z148=7,AH160,IF(Z148=8,AH161,IF(Z148=9,AH162,IF(Z148=10,AH163,IF(Z148=11,AH164,IF(Z148=12,AH165,IF(Z148=13,AH166,IF(Z148=14,AH167,IF(Z148=15,AH168,IF(Z148=16,AH169,IF(Z148=17,AH170,IF(Z148=18,AH171,IF(Z148=19,AH172,IF(Z148=20,AH173,IF(Z148=21,AH174,IF(Z148=22,AH175,IF(Z148=23,AH176,IF(Z148=24,AH177,IF(Z148=25,AH178,IF(Z148=26,AH179,IF(Z148=27,AH180,IF(Z148=28,AH181,IF(Z148=29,AH182,IF(Z148=30,AH183))))))))))))))))))))))))))))))))</f>
        <v>25.759544663545501</v>
      </c>
      <c r="AJ148" s="253">
        <f>IF(V148&lt;&gt;0,SUM($F$34,V148,$N$36,MAX($AH$42:$AH$342),$T$36),0)</f>
        <v>34.076288610374448</v>
      </c>
      <c r="AK148" s="253">
        <f>IF(W148&lt;&gt;0,SUM($F$34,W148,$N$36,MAX($AH$42:$AH$342),$T$36),0)</f>
        <v>30.120866943707782</v>
      </c>
      <c r="AL148" s="253">
        <f>IF(X148&lt;&gt;0,SUM($F$34,X148,$N$36,MAX($AH$42:$AH$342),$T$36),0)</f>
        <v>32.802772610374447</v>
      </c>
      <c r="AM148" s="260">
        <f>IF(Y148&lt;&gt;0,SUM($F$34,Y148,$N$36,MAX($AH$42:$AH$342),$T$36),0)</f>
        <v>30.543004610374446</v>
      </c>
    </row>
    <row r="149" spans="1:39" x14ac:dyDescent="0.35">
      <c r="A149" s="259">
        <v>1447</v>
      </c>
      <c r="B149" s="58">
        <f>SUMIF([2]!Table2_23[ETA],'FIS Optimal Model (2)'!A149,[2]!Table2_23[FIS PAX])</f>
        <v>0</v>
      </c>
      <c r="C149" s="44">
        <f t="shared" si="78"/>
        <v>18</v>
      </c>
      <c r="D149" s="52">
        <f t="shared" si="83"/>
        <v>273</v>
      </c>
      <c r="E149" s="26">
        <f t="shared" si="66"/>
        <v>10</v>
      </c>
      <c r="F149" s="26">
        <f t="shared" si="67"/>
        <v>5</v>
      </c>
      <c r="G149" s="26">
        <f t="shared" si="68"/>
        <v>3</v>
      </c>
      <c r="H149" s="26">
        <f t="shared" si="69"/>
        <v>1</v>
      </c>
      <c r="I149" s="27">
        <f t="shared" si="85"/>
        <v>10</v>
      </c>
      <c r="J149" s="27">
        <f t="shared" si="85"/>
        <v>5</v>
      </c>
      <c r="K149" s="27">
        <f t="shared" si="85"/>
        <v>3</v>
      </c>
      <c r="L149" s="27">
        <f t="shared" si="85"/>
        <v>1</v>
      </c>
      <c r="M149" s="28">
        <f>$M$148</f>
        <v>3</v>
      </c>
      <c r="N149" s="29">
        <f>$N$148</f>
        <v>6</v>
      </c>
      <c r="O149" s="28">
        <f>$O$148</f>
        <v>1</v>
      </c>
      <c r="P149" s="28">
        <f>$P$148</f>
        <v>1</v>
      </c>
      <c r="Q149" s="28">
        <f t="shared" si="70"/>
        <v>11</v>
      </c>
      <c r="R149" s="22">
        <f t="shared" si="71"/>
        <v>36.629029861833317</v>
      </c>
      <c r="S149" s="22">
        <f t="shared" si="72"/>
        <v>3.7035564412034603</v>
      </c>
      <c r="T149" s="22">
        <f t="shared" si="73"/>
        <v>9.7461668909275048</v>
      </c>
      <c r="U149" s="22">
        <f t="shared" si="74"/>
        <v>1.1112947444148471</v>
      </c>
      <c r="V149" s="21">
        <f t="shared" si="86"/>
        <v>4.9310000000000009</v>
      </c>
      <c r="W149" s="21">
        <f t="shared" si="91"/>
        <v>1.0587566666666668</v>
      </c>
      <c r="X149" s="21">
        <f t="shared" si="81"/>
        <v>3.3391049999999995</v>
      </c>
      <c r="Y149" s="21">
        <f t="shared" si="82"/>
        <v>0.51439500000000005</v>
      </c>
      <c r="Z149" s="221">
        <f t="shared" si="75"/>
        <v>4</v>
      </c>
      <c r="AA149" s="30">
        <f t="shared" si="62"/>
        <v>6.6854850690833461</v>
      </c>
      <c r="AB149" s="30">
        <f t="shared" si="63"/>
        <v>3.1482217793982699</v>
      </c>
      <c r="AC149" s="30">
        <f t="shared" si="64"/>
        <v>2.6269165545362472</v>
      </c>
      <c r="AD149" s="30">
        <f t="shared" si="65"/>
        <v>1.9443526277925764</v>
      </c>
      <c r="AE149" s="32">
        <f t="shared" si="76"/>
        <v>14.404976030810438</v>
      </c>
      <c r="AF149" s="33">
        <f t="shared" si="84"/>
        <v>0</v>
      </c>
      <c r="AG149" s="40">
        <f t="shared" si="77"/>
        <v>0</v>
      </c>
      <c r="AH149" s="224">
        <f>AG149*$P$36</f>
        <v>0</v>
      </c>
      <c r="AI149" s="226">
        <f>SUM(Z149,IF(Z149&lt;&gt;0,$F$34,0),IF(Z149&lt;&gt;0,$N$36,0),IF(Z149&lt;&gt;0,$T$36,0),IF(Z149=0,AH154,IF(Z149=1,AH155,IF(Z149=2,AH156,IF(Z149=3,AH157,IF(Z149=4,AH158,IF(Z149=5,AH159,IF(Z149=6,AH160,IF(Z149=7,AH161,IF(Z149=8,AH162,IF(Z149=9,AH163,IF(Z149=10,AH164,IF(Z149=11,AH165,IF(Z149=12,AH166,IF(Z149=13,AH167,IF(Z149=14,AH168,IF(Z149=15,AH169,IF(Z149=16,AH170,IF(Z149=17,AH171,IF(Z149=18,AH172,IF(Z149=19,AH173,IF(Z149=20,AH174,IF(Z149=21,AH175,IF(Z149=22,AH176,IF(Z149=23,AH177,IF(Z149=24,AH178,IF(Z149=25,AH179,IF(Z149=26,AH180,IF(Z149=27,AH181,IF(Z149=28,AH182,IF(Z149=29,AH183,IF(Z149=30,AH184))))))))))))))))))))))))))))))))</f>
        <v>25.804600325846764</v>
      </c>
      <c r="AJ149" s="253">
        <f>IF(V149&lt;&gt;0,SUM($F$34,V149,$N$36,MAX($AH$42:$AH$342),$T$36),0)</f>
        <v>34.522488610374452</v>
      </c>
      <c r="AK149" s="253">
        <f>IF(W149&lt;&gt;0,SUM($F$34,W149,$N$36,MAX($AH$42:$AH$342),$T$36),0)</f>
        <v>30.650245277041115</v>
      </c>
      <c r="AL149" s="253">
        <f>IF(X149&lt;&gt;0,SUM($F$34,X149,$N$36,MAX($AH$42:$AH$342),$T$36),0)</f>
        <v>32.930593610374444</v>
      </c>
      <c r="AM149" s="260">
        <f>IF(Y149&lt;&gt;0,SUM($F$34,Y149,$N$36,MAX($AH$42:$AH$342),$T$36),0)</f>
        <v>30.105883610374448</v>
      </c>
    </row>
    <row r="150" spans="1:39" x14ac:dyDescent="0.35">
      <c r="A150" s="259">
        <v>1448</v>
      </c>
      <c r="B150" s="58">
        <f>SUMIF([2]!Table2_23[ETA],'FIS Optimal Model (2)'!A150,[2]!Table2_23[FIS PAX])</f>
        <v>0</v>
      </c>
      <c r="C150" s="44">
        <f t="shared" si="78"/>
        <v>18</v>
      </c>
      <c r="D150" s="52">
        <f t="shared" si="83"/>
        <v>255</v>
      </c>
      <c r="E150" s="26">
        <f t="shared" si="66"/>
        <v>10</v>
      </c>
      <c r="F150" s="26">
        <f t="shared" si="67"/>
        <v>5</v>
      </c>
      <c r="G150" s="26">
        <f t="shared" si="68"/>
        <v>3</v>
      </c>
      <c r="H150" s="26">
        <f t="shared" si="69"/>
        <v>1</v>
      </c>
      <c r="I150" s="27">
        <f t="shared" si="85"/>
        <v>10</v>
      </c>
      <c r="J150" s="27">
        <f t="shared" si="85"/>
        <v>5</v>
      </c>
      <c r="K150" s="27">
        <f t="shared" si="85"/>
        <v>3</v>
      </c>
      <c r="L150" s="27">
        <f t="shared" si="85"/>
        <v>1</v>
      </c>
      <c r="M150" s="28">
        <f t="shared" ref="M150:M162" si="96">$M$148</f>
        <v>3</v>
      </c>
      <c r="N150" s="29">
        <f t="shared" ref="N150:N162" si="97">$N$148</f>
        <v>6</v>
      </c>
      <c r="O150" s="28">
        <f t="shared" ref="O150:O162" si="98">$O$148</f>
        <v>1</v>
      </c>
      <c r="P150" s="28">
        <f t="shared" ref="P150:P162" si="99">$P$148</f>
        <v>1</v>
      </c>
      <c r="Q150" s="28">
        <f t="shared" si="70"/>
        <v>11</v>
      </c>
      <c r="R150" s="22">
        <f t="shared" si="71"/>
        <v>39.943544792749975</v>
      </c>
      <c r="S150" s="22">
        <f t="shared" si="72"/>
        <v>5.5553346618051904</v>
      </c>
      <c r="T150" s="22">
        <f t="shared" si="73"/>
        <v>10.119250336391257</v>
      </c>
      <c r="U150" s="22">
        <f t="shared" si="74"/>
        <v>0.16694211662227065</v>
      </c>
      <c r="V150" s="21">
        <f t="shared" si="86"/>
        <v>5.3772000000000011</v>
      </c>
      <c r="W150" s="21">
        <f t="shared" si="91"/>
        <v>1.5881350000000001</v>
      </c>
      <c r="X150" s="21">
        <f t="shared" si="81"/>
        <v>3.4669259999999995</v>
      </c>
      <c r="Y150" s="21">
        <f t="shared" si="82"/>
        <v>7.7274000000000009E-2</v>
      </c>
      <c r="Z150" s="221">
        <f t="shared" si="75"/>
        <v>4</v>
      </c>
      <c r="AA150" s="30">
        <f t="shared" si="62"/>
        <v>6.6854850690833461</v>
      </c>
      <c r="AB150" s="30">
        <f t="shared" si="63"/>
        <v>3.1482217793982699</v>
      </c>
      <c r="AC150" s="30">
        <f t="shared" si="64"/>
        <v>2.6269165545362472</v>
      </c>
      <c r="AD150" s="30">
        <f t="shared" si="65"/>
        <v>1.9443526277925764</v>
      </c>
      <c r="AE150" s="32">
        <f t="shared" si="76"/>
        <v>14.404976030810438</v>
      </c>
      <c r="AF150" s="33">
        <f t="shared" si="84"/>
        <v>0</v>
      </c>
      <c r="AG150" s="40">
        <f t="shared" si="77"/>
        <v>0</v>
      </c>
      <c r="AH150" s="224">
        <f>AG150*$P$36</f>
        <v>0</v>
      </c>
      <c r="AI150" s="226">
        <f>SUM(Z150,IF(Z150&lt;&gt;0,$F$34,0),IF(Z150&lt;&gt;0,$N$36,0),IF(Z150&lt;&gt;0,$T$36,0),IF(Z150=0,AH155,IF(Z150=1,AH156,IF(Z150=2,AH157,IF(Z150=3,AH158,IF(Z150=4,AH159,IF(Z150=5,AH160,IF(Z150=6,AH161,IF(Z150=7,AH162,IF(Z150=8,AH163,IF(Z150=9,AH164,IF(Z150=10,AH165,IF(Z150=11,AH166,IF(Z150=12,AH167,IF(Z150=13,AH168,IF(Z150=14,AH169,IF(Z150=15,AH170,IF(Z150=16,AH171,IF(Z150=17,AH172,IF(Z150=18,AH173,IF(Z150=19,AH174,IF(Z150=20,AH175,IF(Z150=21,AH176,IF(Z150=22,AH177,IF(Z150=23,AH178,IF(Z150=24,AH179,IF(Z150=25,AH180,IF(Z150=26,AH181,IF(Z150=27,AH182,IF(Z150=28,AH183,IF(Z150=29,AH184,IF(Z150=30,AH185))))))))))))))))))))))))))))))))</f>
        <v>25.849655988148026</v>
      </c>
      <c r="AJ150" s="253">
        <f>IF(V150&lt;&gt;0,SUM($F$34,V150,$N$36,MAX($AH$42:$AH$342),$T$36),0)</f>
        <v>34.96868861037445</v>
      </c>
      <c r="AK150" s="253">
        <f>IF(W150&lt;&gt;0,SUM($F$34,W150,$N$36,MAX($AH$42:$AH$342),$T$36),0)</f>
        <v>31.179623610374449</v>
      </c>
      <c r="AL150" s="253">
        <f>IF(X150&lt;&gt;0,SUM($F$34,X150,$N$36,MAX($AH$42:$AH$342),$T$36),0)</f>
        <v>33.058414610374449</v>
      </c>
      <c r="AM150" s="260">
        <f>IF(Y150&lt;&gt;0,SUM($F$34,Y150,$N$36,MAX($AH$42:$AH$342),$T$36),0)</f>
        <v>29.668762610374447</v>
      </c>
    </row>
    <row r="151" spans="1:39" x14ac:dyDescent="0.35">
      <c r="A151" s="259">
        <v>1449</v>
      </c>
      <c r="B151" s="58">
        <f>SUMIF([2]!Table2_23[ETA],'FIS Optimal Model (2)'!A151,[2]!Table2_23[FIS PAX])</f>
        <v>0</v>
      </c>
      <c r="C151" s="44">
        <f t="shared" si="78"/>
        <v>18</v>
      </c>
      <c r="D151" s="52">
        <f t="shared" si="83"/>
        <v>237</v>
      </c>
      <c r="E151" s="26">
        <f t="shared" si="66"/>
        <v>10</v>
      </c>
      <c r="F151" s="26">
        <f t="shared" si="67"/>
        <v>5</v>
      </c>
      <c r="G151" s="26">
        <f t="shared" si="68"/>
        <v>3</v>
      </c>
      <c r="H151" s="26">
        <f t="shared" si="69"/>
        <v>1</v>
      </c>
      <c r="I151" s="27">
        <f t="shared" si="85"/>
        <v>10</v>
      </c>
      <c r="J151" s="27">
        <f t="shared" si="85"/>
        <v>5</v>
      </c>
      <c r="K151" s="27">
        <f t="shared" si="85"/>
        <v>3</v>
      </c>
      <c r="L151" s="27">
        <f t="shared" si="85"/>
        <v>1</v>
      </c>
      <c r="M151" s="28">
        <f t="shared" si="96"/>
        <v>3</v>
      </c>
      <c r="N151" s="29">
        <f t="shared" si="97"/>
        <v>6</v>
      </c>
      <c r="O151" s="28">
        <f t="shared" si="98"/>
        <v>1</v>
      </c>
      <c r="P151" s="28">
        <f t="shared" si="99"/>
        <v>1</v>
      </c>
      <c r="Q151" s="28">
        <f t="shared" si="70"/>
        <v>11</v>
      </c>
      <c r="R151" s="22">
        <f t="shared" si="71"/>
        <v>43.258059723666626</v>
      </c>
      <c r="S151" s="22">
        <f t="shared" si="72"/>
        <v>6.8824092525072089</v>
      </c>
      <c r="T151" s="22">
        <f t="shared" si="73"/>
        <v>10.49233378185501</v>
      </c>
      <c r="U151" s="22">
        <f t="shared" si="74"/>
        <v>0</v>
      </c>
      <c r="V151" s="21">
        <f t="shared" si="86"/>
        <v>5.8234000000000012</v>
      </c>
      <c r="W151" s="21">
        <f t="shared" si="91"/>
        <v>1.9675133333333334</v>
      </c>
      <c r="X151" s="21">
        <f t="shared" si="81"/>
        <v>3.594746999999999</v>
      </c>
      <c r="Y151" s="21">
        <f t="shared" si="82"/>
        <v>0</v>
      </c>
      <c r="Z151" s="221">
        <f t="shared" si="75"/>
        <v>5</v>
      </c>
      <c r="AA151" s="30">
        <f t="shared" si="62"/>
        <v>6.6854850690833461</v>
      </c>
      <c r="AB151" s="30">
        <f t="shared" si="63"/>
        <v>3.1482217793982699</v>
      </c>
      <c r="AC151" s="30">
        <f t="shared" si="64"/>
        <v>2.6269165545362472</v>
      </c>
      <c r="AD151" s="30">
        <f t="shared" si="65"/>
        <v>0</v>
      </c>
      <c r="AE151" s="32">
        <f t="shared" si="76"/>
        <v>12.460623403017863</v>
      </c>
      <c r="AF151" s="33">
        <f t="shared" si="84"/>
        <v>0</v>
      </c>
      <c r="AG151" s="40">
        <f t="shared" si="77"/>
        <v>0</v>
      </c>
      <c r="AH151" s="224">
        <f>AG151*$P$36</f>
        <v>0</v>
      </c>
      <c r="AI151" s="226">
        <f>SUM(Z151,IF(Z151&lt;&gt;0,$F$34,0),IF(Z151&lt;&gt;0,$N$36,0),IF(Z151&lt;&gt;0,$T$36,0),IF(Z151=0,AH156,IF(Z151=1,AH157,IF(Z151=2,AH158,IF(Z151=3,AH159,IF(Z151=4,AH160,IF(Z151=5,AH161,IF(Z151=6,AH162,IF(Z151=7,AH163,IF(Z151=8,AH164,IF(Z151=9,AH165,IF(Z151=10,AH166,IF(Z151=11,AH167,IF(Z151=12,AH168,IF(Z151=13,AH169,IF(Z151=14,AH170,IF(Z151=15,AH171,IF(Z151=16,AH172,IF(Z151=17,AH173,IF(Z151=18,AH174,IF(Z151=19,AH175,IF(Z151=20,AH176,IF(Z151=21,AH177,IF(Z151=22,AH178,IF(Z151=23,AH179,IF(Z151=24,AH180,IF(Z151=25,AH181,IF(Z151=26,AH182,IF(Z151=27,AH183,IF(Z151=28,AH184,IF(Z151=29,AH185,IF(Z151=30,AH186))))))))))))))))))))))))))))))))</f>
        <v>26.939767312750551</v>
      </c>
      <c r="AJ151" s="253">
        <f>IF(V151&lt;&gt;0,SUM($F$34,V151,$N$36,MAX($AH$42:$AH$342),$T$36),0)</f>
        <v>35.414888610374447</v>
      </c>
      <c r="AK151" s="253">
        <f>IF(W151&lt;&gt;0,SUM($F$34,W151,$N$36,MAX($AH$42:$AH$342),$T$36),0)</f>
        <v>31.559001943707781</v>
      </c>
      <c r="AL151" s="253">
        <f>IF(X151&lt;&gt;0,SUM($F$34,X151,$N$36,MAX($AH$42:$AH$342),$T$36),0)</f>
        <v>33.186235610374446</v>
      </c>
      <c r="AM151" s="260">
        <f>IF(Y151&lt;&gt;0,SUM($F$34,Y151,$N$36,MAX($AH$42:$AH$342),$T$36),0)</f>
        <v>0</v>
      </c>
    </row>
    <row r="152" spans="1:39" x14ac:dyDescent="0.35">
      <c r="A152" s="259">
        <v>1450</v>
      </c>
      <c r="B152" s="58">
        <f>SUMIF([2]!Table2_23[ETA],'FIS Optimal Model (2)'!A152,[2]!Table2_23[FIS PAX])</f>
        <v>0</v>
      </c>
      <c r="C152" s="44">
        <f t="shared" si="78"/>
        <v>18</v>
      </c>
      <c r="D152" s="52">
        <f t="shared" si="83"/>
        <v>219</v>
      </c>
      <c r="E152" s="26">
        <f t="shared" si="66"/>
        <v>10</v>
      </c>
      <c r="F152" s="26">
        <f t="shared" si="67"/>
        <v>5</v>
      </c>
      <c r="G152" s="26">
        <f t="shared" si="68"/>
        <v>3</v>
      </c>
      <c r="H152" s="26">
        <f t="shared" si="69"/>
        <v>1</v>
      </c>
      <c r="I152" s="27">
        <f t="shared" si="85"/>
        <v>10</v>
      </c>
      <c r="J152" s="27">
        <f t="shared" si="85"/>
        <v>5</v>
      </c>
      <c r="K152" s="27">
        <f t="shared" si="85"/>
        <v>3</v>
      </c>
      <c r="L152" s="27">
        <f t="shared" si="85"/>
        <v>1</v>
      </c>
      <c r="M152" s="28">
        <f t="shared" si="96"/>
        <v>3</v>
      </c>
      <c r="N152" s="29">
        <f t="shared" si="97"/>
        <v>6</v>
      </c>
      <c r="O152" s="28">
        <f t="shared" si="98"/>
        <v>1</v>
      </c>
      <c r="P152" s="28">
        <f t="shared" si="99"/>
        <v>1</v>
      </c>
      <c r="Q152" s="28">
        <f t="shared" si="70"/>
        <v>11</v>
      </c>
      <c r="R152" s="22">
        <f t="shared" si="71"/>
        <v>46.572574654583278</v>
      </c>
      <c r="S152" s="22">
        <f t="shared" si="72"/>
        <v>8.2094838432092274</v>
      </c>
      <c r="T152" s="22">
        <f t="shared" si="73"/>
        <v>10.865417227318762</v>
      </c>
      <c r="U152" s="22">
        <f t="shared" si="74"/>
        <v>0</v>
      </c>
      <c r="V152" s="21">
        <f t="shared" si="86"/>
        <v>6.2696000000000005</v>
      </c>
      <c r="W152" s="21">
        <f t="shared" si="91"/>
        <v>2.346891666666667</v>
      </c>
      <c r="X152" s="21">
        <f t="shared" si="81"/>
        <v>3.722567999999999</v>
      </c>
      <c r="Y152" s="21">
        <f t="shared" si="82"/>
        <v>0</v>
      </c>
      <c r="Z152" s="221">
        <f t="shared" si="75"/>
        <v>5</v>
      </c>
      <c r="AA152" s="30">
        <f t="shared" si="62"/>
        <v>6.6854850690833461</v>
      </c>
      <c r="AB152" s="30">
        <f t="shared" si="63"/>
        <v>3.1482217793982699</v>
      </c>
      <c r="AC152" s="30">
        <f t="shared" si="64"/>
        <v>2.6269165545362472</v>
      </c>
      <c r="AD152" s="30">
        <f t="shared" si="65"/>
        <v>0</v>
      </c>
      <c r="AE152" s="32">
        <f t="shared" si="76"/>
        <v>12.460623403017863</v>
      </c>
      <c r="AF152" s="33">
        <f t="shared" si="84"/>
        <v>14.404976030810438</v>
      </c>
      <c r="AG152" s="40">
        <f t="shared" si="77"/>
        <v>2.4815696013586575</v>
      </c>
      <c r="AH152" s="224">
        <f>AG152*$P$36</f>
        <v>0.20812589221390454</v>
      </c>
      <c r="AI152" s="226">
        <f>SUM(Z152,IF(Z152&lt;&gt;0,$F$34,0),IF(Z152&lt;&gt;0,$N$36,0),IF(Z152&lt;&gt;0,$T$36,0),IF(Z152=0,AH157,IF(Z152=1,AH158,IF(Z152=2,AH159,IF(Z152=3,AH160,IF(Z152=4,AH161,IF(Z152=5,AH162,IF(Z152=6,AH163,IF(Z152=7,AH164,IF(Z152=8,AH165,IF(Z152=9,AH166,IF(Z152=10,AH167,IF(Z152=11,AH168,IF(Z152=12,AH169,IF(Z152=13,AH170,IF(Z152=14,AH171,IF(Z152=15,AH172,IF(Z152=16,AH173,IF(Z152=17,AH174,IF(Z152=18,AH175,IF(Z152=19,AH176,IF(Z152=20,AH177,IF(Z152=21,AH178,IF(Z152=22,AH179,IF(Z152=23,AH180,IF(Z152=24,AH181,IF(Z152=25,AH182,IF(Z152=26,AH183,IF(Z152=27,AH184,IF(Z152=28,AH185,IF(Z152=29,AH186,IF(Z152=30,AH187))))))))))))))))))))))))))))))))</f>
        <v>26.984822975051813</v>
      </c>
      <c r="AJ152" s="253">
        <f>IF(V152&lt;&gt;0,SUM($F$34,V152,$N$36,MAX($AH$42:$AH$342),$T$36),0)</f>
        <v>35.861088610374452</v>
      </c>
      <c r="AK152" s="253">
        <f>IF(W152&lt;&gt;0,SUM($F$34,W152,$N$36,MAX($AH$42:$AH$342),$T$36),0)</f>
        <v>31.938380277041116</v>
      </c>
      <c r="AL152" s="253">
        <f>IF(X152&lt;&gt;0,SUM($F$34,X152,$N$36,MAX($AH$42:$AH$342),$T$36),0)</f>
        <v>33.31405661037445</v>
      </c>
      <c r="AM152" s="260">
        <f>IF(Y152&lt;&gt;0,SUM($F$34,Y152,$N$36,MAX($AH$42:$AH$342),$T$36),0)</f>
        <v>0</v>
      </c>
    </row>
    <row r="153" spans="1:39" x14ac:dyDescent="0.35">
      <c r="A153" s="259">
        <v>1451</v>
      </c>
      <c r="B153" s="58">
        <f>SUMIF([2]!Table2_23[ETA],'FIS Optimal Model (2)'!A153,[2]!Table2_23[FIS PAX])</f>
        <v>0</v>
      </c>
      <c r="C153" s="44">
        <f t="shared" si="78"/>
        <v>18</v>
      </c>
      <c r="D153" s="52">
        <f t="shared" si="83"/>
        <v>201</v>
      </c>
      <c r="E153" s="26">
        <f t="shared" si="66"/>
        <v>10</v>
      </c>
      <c r="F153" s="26">
        <f t="shared" si="67"/>
        <v>5</v>
      </c>
      <c r="G153" s="26">
        <f t="shared" si="68"/>
        <v>3</v>
      </c>
      <c r="H153" s="26">
        <f t="shared" si="69"/>
        <v>1</v>
      </c>
      <c r="I153" s="27">
        <f t="shared" si="85"/>
        <v>10</v>
      </c>
      <c r="J153" s="27">
        <f t="shared" si="85"/>
        <v>5</v>
      </c>
      <c r="K153" s="27">
        <f t="shared" si="85"/>
        <v>3</v>
      </c>
      <c r="L153" s="27">
        <f t="shared" si="85"/>
        <v>1</v>
      </c>
      <c r="M153" s="28">
        <f t="shared" si="96"/>
        <v>3</v>
      </c>
      <c r="N153" s="29">
        <f t="shared" si="97"/>
        <v>6</v>
      </c>
      <c r="O153" s="28">
        <f t="shared" si="98"/>
        <v>1</v>
      </c>
      <c r="P153" s="28">
        <f t="shared" si="99"/>
        <v>1</v>
      </c>
      <c r="Q153" s="28">
        <f t="shared" si="70"/>
        <v>11</v>
      </c>
      <c r="R153" s="22">
        <f t="shared" si="71"/>
        <v>49.887089585499929</v>
      </c>
      <c r="S153" s="22">
        <f t="shared" si="72"/>
        <v>9.5365584339112459</v>
      </c>
      <c r="T153" s="22">
        <f t="shared" si="73"/>
        <v>11.238500672782514</v>
      </c>
      <c r="U153" s="22">
        <f t="shared" si="74"/>
        <v>0</v>
      </c>
      <c r="V153" s="21">
        <f t="shared" si="86"/>
        <v>6.7157999999999998</v>
      </c>
      <c r="W153" s="21">
        <f t="shared" si="91"/>
        <v>2.7262700000000004</v>
      </c>
      <c r="X153" s="21">
        <f t="shared" si="81"/>
        <v>3.850388999999999</v>
      </c>
      <c r="Y153" s="21">
        <f t="shared" si="82"/>
        <v>0</v>
      </c>
      <c r="Z153" s="221">
        <f t="shared" si="75"/>
        <v>5</v>
      </c>
      <c r="AA153" s="30">
        <f t="shared" si="62"/>
        <v>6.6854850690833461</v>
      </c>
      <c r="AB153" s="30">
        <f t="shared" si="63"/>
        <v>3.1482217793982699</v>
      </c>
      <c r="AC153" s="30">
        <f t="shared" si="64"/>
        <v>2.6269165545362472</v>
      </c>
      <c r="AD153" s="30">
        <f t="shared" si="65"/>
        <v>0</v>
      </c>
      <c r="AE153" s="32">
        <f t="shared" si="76"/>
        <v>12.460623403017863</v>
      </c>
      <c r="AF153" s="33">
        <f t="shared" si="84"/>
        <v>14.404976030810438</v>
      </c>
      <c r="AG153" s="40">
        <f t="shared" si="77"/>
        <v>4.9631392027173149</v>
      </c>
      <c r="AH153" s="224">
        <f>AG153*$P$36</f>
        <v>0.41625178442780908</v>
      </c>
      <c r="AI153" s="226">
        <f>SUM(Z153,IF(Z153&lt;&gt;0,$F$34,0),IF(Z153&lt;&gt;0,$N$36,0),IF(Z153&lt;&gt;0,$T$36,0),IF(Z153=0,AH158,IF(Z153=1,AH159,IF(Z153=2,AH160,IF(Z153=3,AH161,IF(Z153=4,AH162,IF(Z153=5,AH163,IF(Z153=6,AH164,IF(Z153=7,AH165,IF(Z153=8,AH166,IF(Z153=9,AH167,IF(Z153=10,AH168,IF(Z153=11,AH169,IF(Z153=12,AH170,IF(Z153=13,AH171,IF(Z153=14,AH172,IF(Z153=15,AH173,IF(Z153=16,AH174,IF(Z153=17,AH175,IF(Z153=18,AH176,IF(Z153=19,AH177,IF(Z153=20,AH178,IF(Z153=21,AH179,IF(Z153=22,AH180,IF(Z153=23,AH181,IF(Z153=24,AH182,IF(Z153=25,AH183,IF(Z153=26,AH184,IF(Z153=27,AH185,IF(Z153=28,AH186,IF(Z153=29,AH187,IF(Z153=30,AH188))))))))))))))))))))))))))))))))</f>
        <v>27.029878637353075</v>
      </c>
      <c r="AJ153" s="253">
        <f>IF(V153&lt;&gt;0,SUM($F$34,V153,$N$36,MAX($AH$42:$AH$342),$T$36),0)</f>
        <v>36.307288610374449</v>
      </c>
      <c r="AK153" s="253">
        <f>IF(W153&lt;&gt;0,SUM($F$34,W153,$N$36,MAX($AH$42:$AH$342),$T$36),0)</f>
        <v>32.317758610374447</v>
      </c>
      <c r="AL153" s="253">
        <f>IF(X153&lt;&gt;0,SUM($F$34,X153,$N$36,MAX($AH$42:$AH$342),$T$36),0)</f>
        <v>33.441877610374448</v>
      </c>
      <c r="AM153" s="260">
        <f>IF(Y153&lt;&gt;0,SUM($F$34,Y153,$N$36,MAX($AH$42:$AH$342),$T$36),0)</f>
        <v>0</v>
      </c>
    </row>
    <row r="154" spans="1:39" x14ac:dyDescent="0.35">
      <c r="A154" s="259">
        <v>1452</v>
      </c>
      <c r="B154" s="58">
        <f>SUMIF([2]!Table2_23[ETA],'FIS Optimal Model (2)'!A154,[2]!Table2_23[FIS PAX])</f>
        <v>0</v>
      </c>
      <c r="C154" s="44">
        <f t="shared" si="78"/>
        <v>18</v>
      </c>
      <c r="D154" s="52">
        <f t="shared" si="83"/>
        <v>183</v>
      </c>
      <c r="E154" s="26">
        <f t="shared" si="66"/>
        <v>10</v>
      </c>
      <c r="F154" s="26">
        <f t="shared" si="67"/>
        <v>5</v>
      </c>
      <c r="G154" s="26">
        <f t="shared" si="68"/>
        <v>3</v>
      </c>
      <c r="H154" s="26">
        <f t="shared" si="69"/>
        <v>1</v>
      </c>
      <c r="I154" s="27">
        <f t="shared" si="85"/>
        <v>10</v>
      </c>
      <c r="J154" s="27">
        <f t="shared" si="85"/>
        <v>5</v>
      </c>
      <c r="K154" s="27">
        <f t="shared" si="85"/>
        <v>3</v>
      </c>
      <c r="L154" s="27">
        <f t="shared" si="85"/>
        <v>1</v>
      </c>
      <c r="M154" s="28">
        <f t="shared" si="96"/>
        <v>3</v>
      </c>
      <c r="N154" s="29">
        <f t="shared" si="97"/>
        <v>6</v>
      </c>
      <c r="O154" s="28">
        <f t="shared" si="98"/>
        <v>1</v>
      </c>
      <c r="P154" s="28">
        <f t="shared" si="99"/>
        <v>1</v>
      </c>
      <c r="Q154" s="28">
        <f t="shared" si="70"/>
        <v>11</v>
      </c>
      <c r="R154" s="22">
        <f t="shared" si="71"/>
        <v>53.20160451641658</v>
      </c>
      <c r="S154" s="22">
        <f t="shared" si="72"/>
        <v>10.863633024613264</v>
      </c>
      <c r="T154" s="22">
        <f t="shared" si="73"/>
        <v>11.611584118246267</v>
      </c>
      <c r="U154" s="22">
        <f t="shared" si="74"/>
        <v>0</v>
      </c>
      <c r="V154" s="21">
        <f t="shared" si="86"/>
        <v>7.1619999999999999</v>
      </c>
      <c r="W154" s="21">
        <f t="shared" si="91"/>
        <v>3.1056483333333338</v>
      </c>
      <c r="X154" s="21">
        <f t="shared" si="81"/>
        <v>3.9782099999999985</v>
      </c>
      <c r="Y154" s="21">
        <f t="shared" si="82"/>
        <v>0</v>
      </c>
      <c r="Z154" s="221">
        <f t="shared" si="75"/>
        <v>6</v>
      </c>
      <c r="AA154" s="30">
        <f t="shared" si="62"/>
        <v>6.6854850690833461</v>
      </c>
      <c r="AB154" s="30">
        <f t="shared" si="63"/>
        <v>3.1482217793982699</v>
      </c>
      <c r="AC154" s="30">
        <f t="shared" si="64"/>
        <v>2.6269165545362472</v>
      </c>
      <c r="AD154" s="30">
        <f t="shared" si="65"/>
        <v>0</v>
      </c>
      <c r="AE154" s="32">
        <f t="shared" si="76"/>
        <v>12.460623403017863</v>
      </c>
      <c r="AF154" s="33">
        <f t="shared" si="84"/>
        <v>14.404976030810438</v>
      </c>
      <c r="AG154" s="40">
        <f t="shared" si="77"/>
        <v>7.4447088040759724</v>
      </c>
      <c r="AH154" s="224">
        <f>AG154*$P$36</f>
        <v>0.62437767664171362</v>
      </c>
      <c r="AI154" s="226">
        <f>SUM(Z154,IF(Z154&lt;&gt;0,$F$34,0),IF(Z154&lt;&gt;0,$N$36,0),IF(Z154&lt;&gt;0,$T$36,0),IF(Z154=0,AH159,IF(Z154=1,AH160,IF(Z154=2,AH161,IF(Z154=3,AH162,IF(Z154=4,AH163,IF(Z154=5,AH164,IF(Z154=6,AH165,IF(Z154=7,AH166,IF(Z154=8,AH167,IF(Z154=9,AH168,IF(Z154=10,AH169,IF(Z154=11,AH170,IF(Z154=12,AH171,IF(Z154=13,AH172,IF(Z154=14,AH173,IF(Z154=15,AH174,IF(Z154=16,AH175,IF(Z154=17,AH176,IF(Z154=18,AH177,IF(Z154=19,AH178,IF(Z154=20,AH179,IF(Z154=21,AH180,IF(Z154=22,AH181,IF(Z154=23,AH182,IF(Z154=24,AH183,IF(Z154=25,AH184,IF(Z154=26,AH185,IF(Z154=27,AH186,IF(Z154=28,AH187,IF(Z154=29,AH188,IF(Z154=30,AH189))))))))))))))))))))))))))))))))</f>
        <v>28.1199899619556</v>
      </c>
      <c r="AJ154" s="253">
        <f>IF(V154&lt;&gt;0,SUM($F$34,V154,$N$36,MAX($AH$42:$AH$342),$T$36),0)</f>
        <v>36.753488610374447</v>
      </c>
      <c r="AK154" s="253">
        <f>IF(W154&lt;&gt;0,SUM($F$34,W154,$N$36,MAX($AH$42:$AH$342),$T$36),0)</f>
        <v>32.697136943707783</v>
      </c>
      <c r="AL154" s="253">
        <f>IF(X154&lt;&gt;0,SUM($F$34,X154,$N$36,MAX($AH$42:$AH$342),$T$36),0)</f>
        <v>33.569698610374445</v>
      </c>
      <c r="AM154" s="260">
        <f>IF(Y154&lt;&gt;0,SUM($F$34,Y154,$N$36,MAX($AH$42:$AH$342),$T$36),0)</f>
        <v>0</v>
      </c>
    </row>
    <row r="155" spans="1:39" x14ac:dyDescent="0.35">
      <c r="A155" s="259">
        <v>1453</v>
      </c>
      <c r="B155" s="58">
        <f>SUMIF([2]!Table2_23[ETA],'FIS Optimal Model (2)'!A155,[2]!Table2_23[FIS PAX])</f>
        <v>0</v>
      </c>
      <c r="C155" s="44">
        <f t="shared" si="78"/>
        <v>18</v>
      </c>
      <c r="D155" s="52">
        <f t="shared" si="83"/>
        <v>165</v>
      </c>
      <c r="E155" s="26">
        <f t="shared" si="66"/>
        <v>10</v>
      </c>
      <c r="F155" s="26">
        <f t="shared" si="67"/>
        <v>5</v>
      </c>
      <c r="G155" s="26">
        <f t="shared" si="68"/>
        <v>3</v>
      </c>
      <c r="H155" s="26">
        <f t="shared" si="69"/>
        <v>1</v>
      </c>
      <c r="I155" s="27">
        <f t="shared" si="85"/>
        <v>10</v>
      </c>
      <c r="J155" s="27">
        <f t="shared" si="85"/>
        <v>5</v>
      </c>
      <c r="K155" s="27">
        <f t="shared" si="85"/>
        <v>3</v>
      </c>
      <c r="L155" s="27">
        <f t="shared" si="85"/>
        <v>1</v>
      </c>
      <c r="M155" s="28">
        <f t="shared" si="96"/>
        <v>3</v>
      </c>
      <c r="N155" s="29">
        <f t="shared" si="97"/>
        <v>6</v>
      </c>
      <c r="O155" s="28">
        <f t="shared" si="98"/>
        <v>1</v>
      </c>
      <c r="P155" s="28">
        <f t="shared" si="99"/>
        <v>1</v>
      </c>
      <c r="Q155" s="28">
        <f t="shared" si="70"/>
        <v>11</v>
      </c>
      <c r="R155" s="22">
        <f t="shared" si="71"/>
        <v>56.516119447333232</v>
      </c>
      <c r="S155" s="22">
        <f t="shared" si="72"/>
        <v>12.190707615315283</v>
      </c>
      <c r="T155" s="22">
        <f t="shared" si="73"/>
        <v>11.984667563710019</v>
      </c>
      <c r="U155" s="22">
        <f t="shared" si="74"/>
        <v>0</v>
      </c>
      <c r="V155" s="21">
        <f t="shared" si="86"/>
        <v>7.6081999999999992</v>
      </c>
      <c r="W155" s="21">
        <f t="shared" si="91"/>
        <v>3.4850266666666672</v>
      </c>
      <c r="X155" s="21">
        <f t="shared" si="81"/>
        <v>4.1060309999999989</v>
      </c>
      <c r="Y155" s="21">
        <f t="shared" si="82"/>
        <v>0</v>
      </c>
      <c r="Z155" s="221">
        <f t="shared" si="75"/>
        <v>6</v>
      </c>
      <c r="AA155" s="30">
        <f t="shared" si="62"/>
        <v>6.6854850690833461</v>
      </c>
      <c r="AB155" s="30">
        <f t="shared" si="63"/>
        <v>3.1482217793982699</v>
      </c>
      <c r="AC155" s="30">
        <f t="shared" si="64"/>
        <v>2.6269165545362472</v>
      </c>
      <c r="AD155" s="30">
        <f t="shared" si="65"/>
        <v>0</v>
      </c>
      <c r="AE155" s="32">
        <f t="shared" si="76"/>
        <v>12.460623403017863</v>
      </c>
      <c r="AF155" s="33">
        <f t="shared" si="84"/>
        <v>12.460623403017863</v>
      </c>
      <c r="AG155" s="40">
        <f t="shared" si="77"/>
        <v>7.9819257776420542</v>
      </c>
      <c r="AH155" s="224">
        <f>AG155*$P$36</f>
        <v>0.66943333894297608</v>
      </c>
      <c r="AI155" s="226">
        <f>SUM(Z155,IF(Z155&lt;&gt;0,$F$34,0),IF(Z155&lt;&gt;0,$N$36,0),IF(Z155&lt;&gt;0,$T$36,0),IF(Z155=0,AH160,IF(Z155=1,AH161,IF(Z155=2,AH162,IF(Z155=3,AH163,IF(Z155=4,AH164,IF(Z155=5,AH165,IF(Z155=6,AH166,IF(Z155=7,AH167,IF(Z155=8,AH168,IF(Z155=9,AH169,IF(Z155=10,AH170,IF(Z155=11,AH171,IF(Z155=12,AH172,IF(Z155=13,AH173,IF(Z155=14,AH174,IF(Z155=15,AH175,IF(Z155=16,AH176,IF(Z155=17,AH177,IF(Z155=18,AH178,IF(Z155=19,AH179,IF(Z155=20,AH180,IF(Z155=21,AH181,IF(Z155=22,AH182,IF(Z155=23,AH183,IF(Z155=24,AH184,IF(Z155=25,AH185,IF(Z155=26,AH186,IF(Z155=27,AH187,IF(Z155=28,AH188,IF(Z155=29,AH189,IF(Z155=30,AH190))))))))))))))))))))))))))))))))</f>
        <v>28.165045624256862</v>
      </c>
      <c r="AJ155" s="253">
        <f>IF(V155&lt;&gt;0,SUM($F$34,V155,$N$36,MAX($AH$42:$AH$342),$T$36),0)</f>
        <v>37.199688610374452</v>
      </c>
      <c r="AK155" s="253">
        <f>IF(W155&lt;&gt;0,SUM($F$34,W155,$N$36,MAX($AH$42:$AH$342),$T$36),0)</f>
        <v>33.076515277041111</v>
      </c>
      <c r="AL155" s="253">
        <f>IF(X155&lt;&gt;0,SUM($F$34,X155,$N$36,MAX($AH$42:$AH$342),$T$36),0)</f>
        <v>33.697519610374442</v>
      </c>
      <c r="AM155" s="260">
        <f>IF(Y155&lt;&gt;0,SUM($F$34,Y155,$N$36,MAX($AH$42:$AH$342),$T$36),0)</f>
        <v>0</v>
      </c>
    </row>
    <row r="156" spans="1:39" x14ac:dyDescent="0.35">
      <c r="A156" s="259">
        <v>1454</v>
      </c>
      <c r="B156" s="58">
        <f>SUMIF([2]!Table2_23[ETA],'FIS Optimal Model (2)'!A156,[2]!Table2_23[FIS PAX])</f>
        <v>0</v>
      </c>
      <c r="C156" s="44">
        <f t="shared" si="78"/>
        <v>18</v>
      </c>
      <c r="D156" s="52">
        <f t="shared" si="83"/>
        <v>147</v>
      </c>
      <c r="E156" s="26">
        <f t="shared" si="66"/>
        <v>10</v>
      </c>
      <c r="F156" s="26">
        <f t="shared" si="67"/>
        <v>5</v>
      </c>
      <c r="G156" s="26">
        <f t="shared" si="68"/>
        <v>3</v>
      </c>
      <c r="H156" s="26">
        <f t="shared" si="69"/>
        <v>1</v>
      </c>
      <c r="I156" s="27">
        <f t="shared" si="85"/>
        <v>10</v>
      </c>
      <c r="J156" s="27">
        <f t="shared" si="85"/>
        <v>5</v>
      </c>
      <c r="K156" s="27">
        <f t="shared" si="85"/>
        <v>3</v>
      </c>
      <c r="L156" s="27">
        <f t="shared" si="85"/>
        <v>1</v>
      </c>
      <c r="M156" s="28">
        <f t="shared" si="96"/>
        <v>3</v>
      </c>
      <c r="N156" s="29">
        <f t="shared" si="97"/>
        <v>6</v>
      </c>
      <c r="O156" s="28">
        <f t="shared" si="98"/>
        <v>1</v>
      </c>
      <c r="P156" s="28">
        <f t="shared" si="99"/>
        <v>1</v>
      </c>
      <c r="Q156" s="28">
        <f t="shared" si="70"/>
        <v>11</v>
      </c>
      <c r="R156" s="22">
        <f t="shared" si="71"/>
        <v>59.830634378249883</v>
      </c>
      <c r="S156" s="22">
        <f t="shared" si="72"/>
        <v>13.517782206017301</v>
      </c>
      <c r="T156" s="22">
        <f t="shared" si="73"/>
        <v>12.357751009173771</v>
      </c>
      <c r="U156" s="22">
        <f t="shared" si="74"/>
        <v>0</v>
      </c>
      <c r="V156" s="21">
        <f t="shared" si="86"/>
        <v>8.0543999999999993</v>
      </c>
      <c r="W156" s="21">
        <f t="shared" si="91"/>
        <v>3.8644050000000005</v>
      </c>
      <c r="X156" s="21">
        <f t="shared" si="81"/>
        <v>4.233851999999998</v>
      </c>
      <c r="Y156" s="21">
        <f t="shared" si="82"/>
        <v>0</v>
      </c>
      <c r="Z156" s="221">
        <f t="shared" si="75"/>
        <v>7</v>
      </c>
      <c r="AA156" s="30">
        <f t="shared" si="62"/>
        <v>6.6854850690833461</v>
      </c>
      <c r="AB156" s="30">
        <f t="shared" si="63"/>
        <v>3.1482217793982699</v>
      </c>
      <c r="AC156" s="30">
        <f t="shared" si="64"/>
        <v>2.6269165545362472</v>
      </c>
      <c r="AD156" s="30">
        <f t="shared" si="65"/>
        <v>0</v>
      </c>
      <c r="AE156" s="32">
        <f t="shared" si="76"/>
        <v>12.460623403017863</v>
      </c>
      <c r="AF156" s="33">
        <f t="shared" si="84"/>
        <v>12.460623403017863</v>
      </c>
      <c r="AG156" s="40">
        <f t="shared" si="77"/>
        <v>8.5191427512081361</v>
      </c>
      <c r="AH156" s="224">
        <f>AG156*$P$36</f>
        <v>0.71448900124423864</v>
      </c>
      <c r="AI156" s="226">
        <f>SUM(Z156,IF(Z156&lt;&gt;0,$F$34,0),IF(Z156&lt;&gt;0,$N$36,0),IF(Z156&lt;&gt;0,$T$36,0),IF(Z156=0,AH161,IF(Z156=1,AH162,IF(Z156=2,AH163,IF(Z156=3,AH164,IF(Z156=4,AH165,IF(Z156=5,AH166,IF(Z156=6,AH167,IF(Z156=7,AH168,IF(Z156=8,AH169,IF(Z156=9,AH170,IF(Z156=10,AH171,IF(Z156=11,AH172,IF(Z156=12,AH173,IF(Z156=13,AH174,IF(Z156=14,AH175,IF(Z156=15,AH176,IF(Z156=16,AH177,IF(Z156=17,AH178,IF(Z156=18,AH179,IF(Z156=19,AH180,IF(Z156=20,AH181,IF(Z156=21,AH182,IF(Z156=22,AH183,IF(Z156=23,AH184,IF(Z156=24,AH185,IF(Z156=25,AH186,IF(Z156=26,AH187,IF(Z156=27,AH188,IF(Z156=28,AH189,IF(Z156=29,AH190,IF(Z156=30,AH191))))))))))))))))))))))))))))))))</f>
        <v>29.343169318982689</v>
      </c>
      <c r="AJ156" s="253">
        <f>IF(V156&lt;&gt;0,SUM($F$34,V156,$N$36,MAX($AH$42:$AH$342),$T$36),0)</f>
        <v>37.645888610374449</v>
      </c>
      <c r="AK156" s="253">
        <f>IF(W156&lt;&gt;0,SUM($F$34,W156,$N$36,MAX($AH$42:$AH$342),$T$36),0)</f>
        <v>33.455893610374446</v>
      </c>
      <c r="AL156" s="253">
        <f>IF(X156&lt;&gt;0,SUM($F$34,X156,$N$36,MAX($AH$42:$AH$342),$T$36),0)</f>
        <v>33.825340610374447</v>
      </c>
      <c r="AM156" s="260">
        <f>IF(Y156&lt;&gt;0,SUM($F$34,Y156,$N$36,MAX($AH$42:$AH$342),$T$36),0)</f>
        <v>0</v>
      </c>
    </row>
    <row r="157" spans="1:39" x14ac:dyDescent="0.35">
      <c r="A157" s="259">
        <v>1455</v>
      </c>
      <c r="B157" s="58">
        <f>SUMIF([2]!Table2_23[ETA],'FIS Optimal Model (2)'!A157,[2]!Table2_23[FIS PAX])</f>
        <v>186</v>
      </c>
      <c r="C157" s="44">
        <f t="shared" si="78"/>
        <v>18</v>
      </c>
      <c r="D157" s="52">
        <f t="shared" si="83"/>
        <v>129</v>
      </c>
      <c r="E157" s="26">
        <f t="shared" si="66"/>
        <v>10</v>
      </c>
      <c r="F157" s="26">
        <f t="shared" si="67"/>
        <v>5</v>
      </c>
      <c r="G157" s="26">
        <f t="shared" si="68"/>
        <v>3</v>
      </c>
      <c r="H157" s="26">
        <f t="shared" si="69"/>
        <v>1</v>
      </c>
      <c r="I157" s="27">
        <f t="shared" si="85"/>
        <v>10</v>
      </c>
      <c r="J157" s="27">
        <f t="shared" si="85"/>
        <v>5</v>
      </c>
      <c r="K157" s="27">
        <f t="shared" si="85"/>
        <v>3</v>
      </c>
      <c r="L157" s="27">
        <f t="shared" si="85"/>
        <v>1</v>
      </c>
      <c r="M157" s="28">
        <f t="shared" si="96"/>
        <v>3</v>
      </c>
      <c r="N157" s="29">
        <f t="shared" si="97"/>
        <v>6</v>
      </c>
      <c r="O157" s="28">
        <f t="shared" si="98"/>
        <v>1</v>
      </c>
      <c r="P157" s="28">
        <f t="shared" si="99"/>
        <v>1</v>
      </c>
      <c r="Q157" s="28">
        <f t="shared" si="70"/>
        <v>11</v>
      </c>
      <c r="R157" s="22">
        <f t="shared" si="71"/>
        <v>63.145149309166534</v>
      </c>
      <c r="S157" s="22">
        <f t="shared" si="72"/>
        <v>14.84485679671932</v>
      </c>
      <c r="T157" s="22">
        <f t="shared" si="73"/>
        <v>12.730834454637524</v>
      </c>
      <c r="U157" s="22">
        <f t="shared" si="74"/>
        <v>0</v>
      </c>
      <c r="V157" s="21">
        <f t="shared" si="86"/>
        <v>8.5005999999999986</v>
      </c>
      <c r="W157" s="21">
        <f t="shared" si="91"/>
        <v>4.2437833333333339</v>
      </c>
      <c r="X157" s="21">
        <f t="shared" si="81"/>
        <v>4.3616729999999979</v>
      </c>
      <c r="Y157" s="21">
        <f t="shared" si="82"/>
        <v>0</v>
      </c>
      <c r="Z157" s="221">
        <f t="shared" si="75"/>
        <v>7</v>
      </c>
      <c r="AA157" s="30">
        <f t="shared" si="62"/>
        <v>6.6854850690833461</v>
      </c>
      <c r="AB157" s="30">
        <f t="shared" si="63"/>
        <v>3.1482217793982699</v>
      </c>
      <c r="AC157" s="30">
        <f t="shared" si="64"/>
        <v>2.6269165545362472</v>
      </c>
      <c r="AD157" s="30">
        <f t="shared" si="65"/>
        <v>0</v>
      </c>
      <c r="AE157" s="32">
        <f t="shared" si="76"/>
        <v>12.460623403017863</v>
      </c>
      <c r="AF157" s="33">
        <f t="shared" si="84"/>
        <v>12.460623403017863</v>
      </c>
      <c r="AG157" s="40">
        <f t="shared" si="77"/>
        <v>9.056359724774218</v>
      </c>
      <c r="AH157" s="224">
        <f>AG157*$P$36</f>
        <v>0.75954466354550121</v>
      </c>
      <c r="AI157" s="226">
        <f>SUM(Z157,IF(Z157&lt;&gt;0,$F$34,0),IF(Z157&lt;&gt;0,$N$36,0),IF(Z157&lt;&gt;0,$T$36,0),IF(Z157=0,AH162,IF(Z157=1,AH163,IF(Z157=2,AH164,IF(Z157=3,AH165,IF(Z157=4,AH166,IF(Z157=5,AH167,IF(Z157=6,AH168,IF(Z157=7,AH169,IF(Z157=8,AH170,IF(Z157=9,AH171,IF(Z157=10,AH172,IF(Z157=11,AH173,IF(Z157=12,AH174,IF(Z157=13,AH175,IF(Z157=14,AH176,IF(Z157=15,AH177,IF(Z157=16,AH178,IF(Z157=17,AH179,IF(Z157=18,AH180,IF(Z157=19,AH181,IF(Z157=20,AH182,IF(Z157=21,AH183,IF(Z157=22,AH184,IF(Z157=23,AH185,IF(Z157=24,AH186,IF(Z157=25,AH187,IF(Z157=26,AH188,IF(Z157=27,AH189,IF(Z157=28,AH190,IF(Z157=29,AH191,IF(Z157=30,AH192))))))))))))))))))))))))))))))))</f>
        <v>29.432231166345598</v>
      </c>
      <c r="AJ157" s="253">
        <f>IF(V157&lt;&gt;0,SUM($F$34,V157,$N$36,MAX($AH$42:$AH$342),$T$36),0)</f>
        <v>38.092088610374446</v>
      </c>
      <c r="AK157" s="253">
        <f>IF(W157&lt;&gt;0,SUM($F$34,W157,$N$36,MAX($AH$42:$AH$342),$T$36),0)</f>
        <v>33.835271943707781</v>
      </c>
      <c r="AL157" s="253">
        <f>IF(X157&lt;&gt;0,SUM($F$34,X157,$N$36,MAX($AH$42:$AH$342),$T$36),0)</f>
        <v>33.953161610374444</v>
      </c>
      <c r="AM157" s="260">
        <f>IF(Y157&lt;&gt;0,SUM($F$34,Y157,$N$36,MAX($AH$42:$AH$342),$T$36),0)</f>
        <v>0</v>
      </c>
    </row>
    <row r="158" spans="1:39" x14ac:dyDescent="0.35">
      <c r="A158" s="259">
        <v>1456</v>
      </c>
      <c r="B158" s="58">
        <f>SUMIF([2]!Table2_23[ETA],'FIS Optimal Model (2)'!A158,[2]!Table2_23[FIS PAX])</f>
        <v>0</v>
      </c>
      <c r="C158" s="44">
        <f t="shared" si="78"/>
        <v>18</v>
      </c>
      <c r="D158" s="52">
        <f t="shared" si="83"/>
        <v>297</v>
      </c>
      <c r="E158" s="26">
        <f t="shared" si="66"/>
        <v>10</v>
      </c>
      <c r="F158" s="26">
        <f t="shared" si="67"/>
        <v>5</v>
      </c>
      <c r="G158" s="26">
        <f t="shared" si="68"/>
        <v>3</v>
      </c>
      <c r="H158" s="26">
        <f t="shared" si="69"/>
        <v>1</v>
      </c>
      <c r="I158" s="27">
        <f t="shared" si="85"/>
        <v>10</v>
      </c>
      <c r="J158" s="27">
        <f t="shared" si="85"/>
        <v>5</v>
      </c>
      <c r="K158" s="27">
        <f t="shared" si="85"/>
        <v>3</v>
      </c>
      <c r="L158" s="27">
        <f t="shared" si="85"/>
        <v>1</v>
      </c>
      <c r="M158" s="28">
        <f t="shared" si="96"/>
        <v>3</v>
      </c>
      <c r="N158" s="29">
        <f t="shared" si="97"/>
        <v>6</v>
      </c>
      <c r="O158" s="28">
        <f t="shared" si="98"/>
        <v>1</v>
      </c>
      <c r="P158" s="28">
        <f t="shared" si="99"/>
        <v>1</v>
      </c>
      <c r="Q158" s="28">
        <f t="shared" si="70"/>
        <v>11</v>
      </c>
      <c r="R158" s="22">
        <f t="shared" si="71"/>
        <v>66.459664240083185</v>
      </c>
      <c r="S158" s="22">
        <f t="shared" si="72"/>
        <v>16.171931387421338</v>
      </c>
      <c r="T158" s="22">
        <f t="shared" si="73"/>
        <v>13.103917900101276</v>
      </c>
      <c r="U158" s="22">
        <f t="shared" si="74"/>
        <v>0</v>
      </c>
      <c r="V158" s="21">
        <f t="shared" si="86"/>
        <v>8.9467999999999979</v>
      </c>
      <c r="W158" s="21">
        <f t="shared" si="91"/>
        <v>4.6231616666666673</v>
      </c>
      <c r="X158" s="21">
        <f t="shared" si="81"/>
        <v>4.4894939999999979</v>
      </c>
      <c r="Y158" s="21">
        <f t="shared" si="82"/>
        <v>0</v>
      </c>
      <c r="Z158" s="221">
        <f t="shared" si="75"/>
        <v>7</v>
      </c>
      <c r="AA158" s="30">
        <f t="shared" si="62"/>
        <v>6.6854850690833461</v>
      </c>
      <c r="AB158" s="30">
        <f t="shared" si="63"/>
        <v>3.1482217793982699</v>
      </c>
      <c r="AC158" s="30">
        <f t="shared" si="64"/>
        <v>2.6269165545362472</v>
      </c>
      <c r="AD158" s="30">
        <f t="shared" si="65"/>
        <v>0</v>
      </c>
      <c r="AE158" s="32">
        <f t="shared" si="76"/>
        <v>12.460623403017863</v>
      </c>
      <c r="AF158" s="33">
        <f t="shared" si="84"/>
        <v>12.460623403017863</v>
      </c>
      <c r="AG158" s="40">
        <f t="shared" si="77"/>
        <v>9.5935766983402999</v>
      </c>
      <c r="AH158" s="224">
        <f>AG158*$P$36</f>
        <v>0.80460032584676378</v>
      </c>
      <c r="AI158" s="226">
        <f>SUM(Z158,IF(Z158&lt;&gt;0,$F$34,0),IF(Z158&lt;&gt;0,$N$36,0),IF(Z158&lt;&gt;0,$T$36,0),IF(Z158=0,AH163,IF(Z158=1,AH164,IF(Z158=2,AH165,IF(Z158=3,AH166,IF(Z158=4,AH167,IF(Z158=5,AH168,IF(Z158=6,AH169,IF(Z158=7,AH170,IF(Z158=8,AH171,IF(Z158=9,AH172,IF(Z158=10,AH173,IF(Z158=11,AH174,IF(Z158=12,AH175,IF(Z158=13,AH176,IF(Z158=14,AH177,IF(Z158=15,AH178,IF(Z158=16,AH179,IF(Z158=17,AH180,IF(Z158=18,AH181,IF(Z158=19,AH182,IF(Z158=20,AH183,IF(Z158=21,AH184,IF(Z158=22,AH185,IF(Z158=23,AH186,IF(Z158=24,AH187,IF(Z158=25,AH188,IF(Z158=26,AH189,IF(Z158=27,AH190,IF(Z158=28,AH191,IF(Z158=29,AH192,IF(Z158=30,AH193))))))))))))))))))))))))))))))))</f>
        <v>29.521293013708512</v>
      </c>
      <c r="AJ158" s="253">
        <f>IF(V158&lt;&gt;0,SUM($F$34,V158,$N$36,MAX($AH$42:$AH$342),$T$36),0)</f>
        <v>38.538288610374444</v>
      </c>
      <c r="AK158" s="253">
        <f>IF(W158&lt;&gt;0,SUM($F$34,W158,$N$36,MAX($AH$42:$AH$342),$T$36),0)</f>
        <v>34.214650277041116</v>
      </c>
      <c r="AL158" s="253">
        <f>IF(X158&lt;&gt;0,SUM($F$34,X158,$N$36,MAX($AH$42:$AH$342),$T$36),0)</f>
        <v>34.080982610374448</v>
      </c>
      <c r="AM158" s="260">
        <f>IF(Y158&lt;&gt;0,SUM($F$34,Y158,$N$36,MAX($AH$42:$AH$342),$T$36),0)</f>
        <v>0</v>
      </c>
    </row>
    <row r="159" spans="1:39" x14ac:dyDescent="0.35">
      <c r="A159" s="259">
        <v>1457</v>
      </c>
      <c r="B159" s="58">
        <f>SUMIF([2]!Table2_23[ETA],'FIS Optimal Model (2)'!A159,[2]!Table2_23[FIS PAX])</f>
        <v>0</v>
      </c>
      <c r="C159" s="44">
        <f t="shared" si="78"/>
        <v>18</v>
      </c>
      <c r="D159" s="52">
        <f t="shared" si="83"/>
        <v>279</v>
      </c>
      <c r="E159" s="26">
        <f t="shared" si="66"/>
        <v>10</v>
      </c>
      <c r="F159" s="26">
        <f t="shared" si="67"/>
        <v>5</v>
      </c>
      <c r="G159" s="26">
        <f t="shared" si="68"/>
        <v>3</v>
      </c>
      <c r="H159" s="26">
        <f t="shared" si="69"/>
        <v>1</v>
      </c>
      <c r="I159" s="27">
        <f t="shared" si="85"/>
        <v>10</v>
      </c>
      <c r="J159" s="27">
        <f t="shared" si="85"/>
        <v>5</v>
      </c>
      <c r="K159" s="27">
        <f t="shared" si="85"/>
        <v>3</v>
      </c>
      <c r="L159" s="27">
        <f t="shared" si="85"/>
        <v>1</v>
      </c>
      <c r="M159" s="28">
        <f t="shared" si="96"/>
        <v>3</v>
      </c>
      <c r="N159" s="29">
        <f t="shared" si="97"/>
        <v>6</v>
      </c>
      <c r="O159" s="28">
        <f t="shared" si="98"/>
        <v>1</v>
      </c>
      <c r="P159" s="28">
        <f t="shared" si="99"/>
        <v>1</v>
      </c>
      <c r="Q159" s="28">
        <f t="shared" si="70"/>
        <v>11</v>
      </c>
      <c r="R159" s="22">
        <f t="shared" si="71"/>
        <v>69.774179170999844</v>
      </c>
      <c r="S159" s="22">
        <f t="shared" si="72"/>
        <v>17.499005978123357</v>
      </c>
      <c r="T159" s="22">
        <f t="shared" si="73"/>
        <v>13.477001345565029</v>
      </c>
      <c r="U159" s="22">
        <f t="shared" si="74"/>
        <v>0</v>
      </c>
      <c r="V159" s="21">
        <f t="shared" si="86"/>
        <v>9.3929999999999989</v>
      </c>
      <c r="W159" s="21">
        <f t="shared" si="91"/>
        <v>5.0025400000000007</v>
      </c>
      <c r="X159" s="21">
        <f t="shared" si="81"/>
        <v>4.6173149999999978</v>
      </c>
      <c r="Y159" s="21">
        <f t="shared" si="82"/>
        <v>0</v>
      </c>
      <c r="Z159" s="221">
        <f t="shared" si="75"/>
        <v>8</v>
      </c>
      <c r="AA159" s="30">
        <f t="shared" si="62"/>
        <v>6.6854850690833461</v>
      </c>
      <c r="AB159" s="30">
        <f t="shared" si="63"/>
        <v>3.1482217793982699</v>
      </c>
      <c r="AC159" s="30">
        <f t="shared" si="64"/>
        <v>2.6269165545362472</v>
      </c>
      <c r="AD159" s="30">
        <f t="shared" si="65"/>
        <v>0</v>
      </c>
      <c r="AE159" s="32">
        <f t="shared" si="76"/>
        <v>12.460623403017863</v>
      </c>
      <c r="AF159" s="33">
        <f t="shared" si="84"/>
        <v>12.460623403017863</v>
      </c>
      <c r="AG159" s="40">
        <f t="shared" si="77"/>
        <v>10.130793671906382</v>
      </c>
      <c r="AH159" s="224">
        <f>AG159*$P$36</f>
        <v>0.84965598814802623</v>
      </c>
      <c r="AI159" s="226">
        <f>SUM(Z159,IF(Z159&lt;&gt;0,$F$34,0),IF(Z159&lt;&gt;0,$N$36,0),IF(Z159&lt;&gt;0,$T$36,0),IF(Z159=0,AH164,IF(Z159=1,AH165,IF(Z159=2,AH166,IF(Z159=3,AH167,IF(Z159=4,AH168,IF(Z159=5,AH169,IF(Z159=6,AH170,IF(Z159=7,AH171,IF(Z159=8,AH172,IF(Z159=9,AH173,IF(Z159=10,AH174,IF(Z159=11,AH175,IF(Z159=12,AH176,IF(Z159=13,AH177,IF(Z159=14,AH178,IF(Z159=15,AH179,IF(Z159=16,AH180,IF(Z159=17,AH181,IF(Z159=18,AH182,IF(Z159=19,AH183,IF(Z159=20,AH184,IF(Z159=21,AH185,IF(Z159=22,AH186,IF(Z159=23,AH187,IF(Z159=24,AH188,IF(Z159=25,AH189,IF(Z159=26,AH190,IF(Z159=27,AH191,IF(Z159=28,AH192,IF(Z159=29,AH193,IF(Z159=30,AH194))))))))))))))))))))))))))))))))</f>
        <v>30.699416708434335</v>
      </c>
      <c r="AJ159" s="253">
        <f>IF(V159&lt;&gt;0,SUM($F$34,V159,$N$36,MAX($AH$42:$AH$342),$T$36),0)</f>
        <v>38.984488610374449</v>
      </c>
      <c r="AK159" s="253">
        <f>IF(W159&lt;&gt;0,SUM($F$34,W159,$N$36,MAX($AH$42:$AH$342),$T$36),0)</f>
        <v>34.594028610374451</v>
      </c>
      <c r="AL159" s="253">
        <f>IF(X159&lt;&gt;0,SUM($F$34,X159,$N$36,MAX($AH$42:$AH$342),$T$36),0)</f>
        <v>34.208803610374446</v>
      </c>
      <c r="AM159" s="260">
        <f>IF(Y159&lt;&gt;0,SUM($F$34,Y159,$N$36,MAX($AH$42:$AH$342),$T$36),0)</f>
        <v>0</v>
      </c>
    </row>
    <row r="160" spans="1:39" x14ac:dyDescent="0.35">
      <c r="A160" s="259">
        <v>1458</v>
      </c>
      <c r="B160" s="58">
        <f>SUMIF([2]!Table2_23[ETA],'FIS Optimal Model (2)'!A160,[2]!Table2_23[FIS PAX])</f>
        <v>0</v>
      </c>
      <c r="C160" s="44">
        <f t="shared" si="78"/>
        <v>18</v>
      </c>
      <c r="D160" s="52">
        <f t="shared" si="83"/>
        <v>261</v>
      </c>
      <c r="E160" s="26">
        <f t="shared" si="66"/>
        <v>10</v>
      </c>
      <c r="F160" s="26">
        <f t="shared" si="67"/>
        <v>5</v>
      </c>
      <c r="G160" s="26">
        <f t="shared" si="68"/>
        <v>3</v>
      </c>
      <c r="H160" s="26">
        <f t="shared" si="69"/>
        <v>1</v>
      </c>
      <c r="I160" s="27">
        <f t="shared" si="85"/>
        <v>10</v>
      </c>
      <c r="J160" s="27">
        <f t="shared" si="85"/>
        <v>5</v>
      </c>
      <c r="K160" s="27">
        <f t="shared" si="85"/>
        <v>3</v>
      </c>
      <c r="L160" s="27">
        <f t="shared" si="85"/>
        <v>1</v>
      </c>
      <c r="M160" s="28">
        <f t="shared" si="96"/>
        <v>3</v>
      </c>
      <c r="N160" s="29">
        <f t="shared" si="97"/>
        <v>6</v>
      </c>
      <c r="O160" s="28">
        <f t="shared" si="98"/>
        <v>1</v>
      </c>
      <c r="P160" s="28">
        <f t="shared" si="99"/>
        <v>1</v>
      </c>
      <c r="Q160" s="28">
        <f t="shared" si="70"/>
        <v>11</v>
      </c>
      <c r="R160" s="22">
        <f t="shared" si="71"/>
        <v>73.088694101916502</v>
      </c>
      <c r="S160" s="22">
        <f t="shared" si="72"/>
        <v>18.826080568825375</v>
      </c>
      <c r="T160" s="22">
        <f t="shared" si="73"/>
        <v>13.850084791028781</v>
      </c>
      <c r="U160" s="22">
        <f t="shared" si="74"/>
        <v>0</v>
      </c>
      <c r="V160" s="21">
        <f t="shared" si="86"/>
        <v>9.8391999999999982</v>
      </c>
      <c r="W160" s="21">
        <f t="shared" si="91"/>
        <v>5.381918333333334</v>
      </c>
      <c r="X160" s="21">
        <f t="shared" si="81"/>
        <v>4.7451359999999978</v>
      </c>
      <c r="Y160" s="21">
        <f t="shared" si="82"/>
        <v>0</v>
      </c>
      <c r="Z160" s="221">
        <f t="shared" si="75"/>
        <v>8</v>
      </c>
      <c r="AA160" s="30">
        <f t="shared" si="62"/>
        <v>6.6854850690833461</v>
      </c>
      <c r="AB160" s="30">
        <f t="shared" si="63"/>
        <v>3.1482217793982699</v>
      </c>
      <c r="AC160" s="30">
        <f t="shared" si="64"/>
        <v>2.6269165545362472</v>
      </c>
      <c r="AD160" s="30">
        <f t="shared" si="65"/>
        <v>0</v>
      </c>
      <c r="AE160" s="32">
        <f t="shared" si="76"/>
        <v>12.460623403017863</v>
      </c>
      <c r="AF160" s="33">
        <f t="shared" si="84"/>
        <v>12.460623403017863</v>
      </c>
      <c r="AG160" s="40">
        <f t="shared" si="77"/>
        <v>10.668010645472464</v>
      </c>
      <c r="AH160" s="224">
        <f>AG160*$P$36</f>
        <v>0.8947116504492888</v>
      </c>
      <c r="AI160" s="226">
        <f>SUM(Z160,IF(Z160&lt;&gt;0,$F$34,0),IF(Z160&lt;&gt;0,$N$36,0),IF(Z160&lt;&gt;0,$T$36,0),IF(Z160=0,AH165,IF(Z160=1,AH166,IF(Z160=2,AH167,IF(Z160=3,AH168,IF(Z160=4,AH169,IF(Z160=5,AH170,IF(Z160=6,AH171,IF(Z160=7,AH172,IF(Z160=8,AH173,IF(Z160=9,AH174,IF(Z160=10,AH175,IF(Z160=11,AH176,IF(Z160=12,AH177,IF(Z160=13,AH178,IF(Z160=14,AH179,IF(Z160=15,AH180,IF(Z160=16,AH181,IF(Z160=17,AH182,IF(Z160=18,AH183,IF(Z160=19,AH184,IF(Z160=20,AH185,IF(Z160=21,AH186,IF(Z160=22,AH187,IF(Z160=23,AH188,IF(Z160=24,AH189,IF(Z160=25,AH190,IF(Z160=26,AH191,IF(Z160=27,AH192,IF(Z160=28,AH193,IF(Z160=29,AH194,IF(Z160=30,AH195))))))))))))))))))))))))))))))))</f>
        <v>30.788478555797248</v>
      </c>
      <c r="AJ160" s="253">
        <f>IF(V160&lt;&gt;0,SUM($F$34,V160,$N$36,MAX($AH$42:$AH$342),$T$36),0)</f>
        <v>39.430688610374446</v>
      </c>
      <c r="AK160" s="253">
        <f>IF(W160&lt;&gt;0,SUM($F$34,W160,$N$36,MAX($AH$42:$AH$342),$T$36),0)</f>
        <v>34.973406943707786</v>
      </c>
      <c r="AL160" s="253">
        <f>IF(X160&lt;&gt;0,SUM($F$34,X160,$N$36,MAX($AH$42:$AH$342),$T$36),0)</f>
        <v>34.336624610374443</v>
      </c>
      <c r="AM160" s="260">
        <f>IF(Y160&lt;&gt;0,SUM($F$34,Y160,$N$36,MAX($AH$42:$AH$342),$T$36),0)</f>
        <v>0</v>
      </c>
    </row>
    <row r="161" spans="1:39" x14ac:dyDescent="0.35">
      <c r="A161" s="259">
        <v>1459</v>
      </c>
      <c r="B161" s="58">
        <f>SUMIF([2]!Table2_23[ETA],'FIS Optimal Model (2)'!A161,[2]!Table2_23[FIS PAX])</f>
        <v>0</v>
      </c>
      <c r="C161" s="44">
        <f t="shared" si="78"/>
        <v>18</v>
      </c>
      <c r="D161" s="52">
        <f t="shared" si="83"/>
        <v>243</v>
      </c>
      <c r="E161" s="26">
        <f t="shared" si="66"/>
        <v>10</v>
      </c>
      <c r="F161" s="26">
        <f t="shared" si="67"/>
        <v>5</v>
      </c>
      <c r="G161" s="26">
        <f t="shared" si="68"/>
        <v>3</v>
      </c>
      <c r="H161" s="26">
        <f t="shared" si="69"/>
        <v>1</v>
      </c>
      <c r="I161" s="27">
        <f t="shared" si="85"/>
        <v>10</v>
      </c>
      <c r="J161" s="27">
        <f t="shared" si="85"/>
        <v>5</v>
      </c>
      <c r="K161" s="27">
        <f t="shared" si="85"/>
        <v>3</v>
      </c>
      <c r="L161" s="27">
        <f t="shared" si="85"/>
        <v>1</v>
      </c>
      <c r="M161" s="28">
        <f t="shared" si="96"/>
        <v>3</v>
      </c>
      <c r="N161" s="29">
        <f t="shared" si="97"/>
        <v>6</v>
      </c>
      <c r="O161" s="28">
        <f t="shared" si="98"/>
        <v>1</v>
      </c>
      <c r="P161" s="28">
        <f t="shared" si="99"/>
        <v>1</v>
      </c>
      <c r="Q161" s="28">
        <f t="shared" si="70"/>
        <v>11</v>
      </c>
      <c r="R161" s="22">
        <f t="shared" si="71"/>
        <v>76.403209032833161</v>
      </c>
      <c r="S161" s="22">
        <f t="shared" si="72"/>
        <v>20.153155159527394</v>
      </c>
      <c r="T161" s="22">
        <f t="shared" si="73"/>
        <v>14.223168236492533</v>
      </c>
      <c r="U161" s="22">
        <f t="shared" si="74"/>
        <v>0</v>
      </c>
      <c r="V161" s="21">
        <f t="shared" si="86"/>
        <v>10.285399999999999</v>
      </c>
      <c r="W161" s="21">
        <f t="shared" si="91"/>
        <v>5.7612966666666674</v>
      </c>
      <c r="X161" s="21">
        <f t="shared" si="81"/>
        <v>4.8729569999999969</v>
      </c>
      <c r="Y161" s="21">
        <f t="shared" si="82"/>
        <v>0</v>
      </c>
      <c r="Z161" s="221">
        <f t="shared" si="75"/>
        <v>8</v>
      </c>
      <c r="AA161" s="30">
        <f t="shared" si="62"/>
        <v>6.6854850690833461</v>
      </c>
      <c r="AB161" s="30">
        <f t="shared" si="63"/>
        <v>3.1482217793982699</v>
      </c>
      <c r="AC161" s="30">
        <f t="shared" si="64"/>
        <v>2.6269165545362472</v>
      </c>
      <c r="AD161" s="30">
        <f t="shared" si="65"/>
        <v>0</v>
      </c>
      <c r="AE161" s="32">
        <f t="shared" si="76"/>
        <v>12.460623403017863</v>
      </c>
      <c r="AF161" s="33">
        <f t="shared" si="84"/>
        <v>12.460623403017863</v>
      </c>
      <c r="AG161" s="40">
        <f t="shared" si="77"/>
        <v>11.205227619038546</v>
      </c>
      <c r="AH161" s="224">
        <f>AG161*$P$36</f>
        <v>0.93976731275055136</v>
      </c>
      <c r="AI161" s="226">
        <f>SUM(Z161,IF(Z161&lt;&gt;0,$F$34,0),IF(Z161&lt;&gt;0,$N$36,0),IF(Z161&lt;&gt;0,$T$36,0),IF(Z161=0,AH166,IF(Z161=1,AH167,IF(Z161=2,AH168,IF(Z161=3,AH169,IF(Z161=4,AH170,IF(Z161=5,AH171,IF(Z161=6,AH172,IF(Z161=7,AH173,IF(Z161=8,AH174,IF(Z161=9,AH175,IF(Z161=10,AH176,IF(Z161=11,AH177,IF(Z161=12,AH178,IF(Z161=13,AH179,IF(Z161=14,AH180,IF(Z161=15,AH181,IF(Z161=16,AH182,IF(Z161=17,AH183,IF(Z161=18,AH184,IF(Z161=19,AH185,IF(Z161=20,AH186,IF(Z161=21,AH187,IF(Z161=22,AH188,IF(Z161=23,AH189,IF(Z161=24,AH190,IF(Z161=25,AH191,IF(Z161=26,AH192,IF(Z161=27,AH193,IF(Z161=28,AH194,IF(Z161=29,AH195,IF(Z161=30,AH196))))))))))))))))))))))))))))))))</f>
        <v>30.877540403160157</v>
      </c>
      <c r="AJ161" s="253">
        <f>IF(V161&lt;&gt;0,SUM($F$34,V161,$N$36,MAX($AH$42:$AH$342),$T$36),0)</f>
        <v>39.876888610374451</v>
      </c>
      <c r="AK161" s="253">
        <f>IF(W161&lt;&gt;0,SUM($F$34,W161,$N$36,MAX($AH$42:$AH$342),$T$36),0)</f>
        <v>35.352785277041114</v>
      </c>
      <c r="AL161" s="253">
        <f>IF(X161&lt;&gt;0,SUM($F$34,X161,$N$36,MAX($AH$42:$AH$342),$T$36),0)</f>
        <v>34.46444561037444</v>
      </c>
      <c r="AM161" s="260">
        <f>IF(Y161&lt;&gt;0,SUM($F$34,Y161,$N$36,MAX($AH$42:$AH$342),$T$36),0)</f>
        <v>0</v>
      </c>
    </row>
    <row r="162" spans="1:39" x14ac:dyDescent="0.35">
      <c r="A162" s="259">
        <v>1500</v>
      </c>
      <c r="B162" s="58">
        <f>SUMIF([2]!Table2_23[ETA],'FIS Optimal Model (2)'!A162,[2]!Table2_23[FIS PAX])</f>
        <v>0</v>
      </c>
      <c r="C162" s="44">
        <f t="shared" si="78"/>
        <v>18</v>
      </c>
      <c r="D162" s="52">
        <f t="shared" si="83"/>
        <v>225</v>
      </c>
      <c r="E162" s="26">
        <f t="shared" si="66"/>
        <v>10</v>
      </c>
      <c r="F162" s="26">
        <f t="shared" si="67"/>
        <v>5</v>
      </c>
      <c r="G162" s="26">
        <f t="shared" si="68"/>
        <v>3</v>
      </c>
      <c r="H162" s="26">
        <f t="shared" si="69"/>
        <v>1</v>
      </c>
      <c r="I162" s="27">
        <f t="shared" si="85"/>
        <v>10</v>
      </c>
      <c r="J162" s="27">
        <f t="shared" si="85"/>
        <v>5</v>
      </c>
      <c r="K162" s="27">
        <f t="shared" si="85"/>
        <v>3</v>
      </c>
      <c r="L162" s="27">
        <f t="shared" si="85"/>
        <v>1</v>
      </c>
      <c r="M162" s="28">
        <f t="shared" si="96"/>
        <v>3</v>
      </c>
      <c r="N162" s="29">
        <f t="shared" si="97"/>
        <v>6</v>
      </c>
      <c r="O162" s="28">
        <f t="shared" si="98"/>
        <v>1</v>
      </c>
      <c r="P162" s="28">
        <f t="shared" si="99"/>
        <v>1</v>
      </c>
      <c r="Q162" s="28">
        <f t="shared" si="70"/>
        <v>11</v>
      </c>
      <c r="R162" s="22">
        <f t="shared" si="71"/>
        <v>79.717723963749819</v>
      </c>
      <c r="S162" s="22">
        <f t="shared" si="72"/>
        <v>21.480229750229412</v>
      </c>
      <c r="T162" s="22">
        <f t="shared" si="73"/>
        <v>14.596251681956286</v>
      </c>
      <c r="U162" s="22">
        <f t="shared" si="74"/>
        <v>0</v>
      </c>
      <c r="V162" s="21">
        <f t="shared" si="86"/>
        <v>10.7316</v>
      </c>
      <c r="W162" s="21">
        <f t="shared" si="91"/>
        <v>6.1406750000000008</v>
      </c>
      <c r="X162" s="21">
        <f t="shared" si="81"/>
        <v>5.0007779999999968</v>
      </c>
      <c r="Y162" s="21">
        <f t="shared" si="82"/>
        <v>0</v>
      </c>
      <c r="Z162" s="221">
        <f t="shared" si="75"/>
        <v>9</v>
      </c>
      <c r="AA162" s="30">
        <f t="shared" si="62"/>
        <v>6.6854850690833461</v>
      </c>
      <c r="AB162" s="30">
        <f t="shared" si="63"/>
        <v>3.1482217793982699</v>
      </c>
      <c r="AC162" s="30">
        <f t="shared" si="64"/>
        <v>2.6269165545362472</v>
      </c>
      <c r="AD162" s="30">
        <f t="shared" si="65"/>
        <v>0</v>
      </c>
      <c r="AE162" s="32">
        <f t="shared" si="76"/>
        <v>12.460623403017863</v>
      </c>
      <c r="AF162" s="33">
        <f t="shared" si="84"/>
        <v>12.460623403017863</v>
      </c>
      <c r="AG162" s="40">
        <f t="shared" si="77"/>
        <v>11.742444592604627</v>
      </c>
      <c r="AH162" s="224">
        <f>AG162*$P$36</f>
        <v>0.98482297505181382</v>
      </c>
      <c r="AI162" s="226">
        <f>SUM(Z162,IF(Z162&lt;&gt;0,$F$34,0),IF(Z162&lt;&gt;0,$N$36,0),IF(Z162&lt;&gt;0,$T$36,0),IF(Z162=0,AH167,IF(Z162=1,AH168,IF(Z162=2,AH169,IF(Z162=3,AH170,IF(Z162=4,AH171,IF(Z162=5,AH172,IF(Z162=6,AH173,IF(Z162=7,AH174,IF(Z162=8,AH175,IF(Z162=9,AH176,IF(Z162=10,AH177,IF(Z162=11,AH178,IF(Z162=12,AH179,IF(Z162=13,AH180,IF(Z162=14,AH181,IF(Z162=15,AH182,IF(Z162=16,AH183,IF(Z162=17,AH184,IF(Z162=18,AH185,IF(Z162=19,AH186,IF(Z162=20,AH187,IF(Z162=21,AH188,IF(Z162=22,AH189,IF(Z162=23,AH190,IF(Z162=24,AH191,IF(Z162=25,AH192,IF(Z162=26,AH193,IF(Z162=27,AH194,IF(Z162=28,AH195,IF(Z162=29,AH196,IF(Z162=30,AH197))))))))))))))))))))))))))))))))</f>
        <v>32.05566409788598</v>
      </c>
      <c r="AJ162" s="253">
        <f>IF(V162&lt;&gt;0,SUM($F$34,V162,$N$36,MAX($AH$42:$AH$342),$T$36),0)</f>
        <v>40.323088610374448</v>
      </c>
      <c r="AK162" s="253">
        <f>IF(W162&lt;&gt;0,SUM($F$34,W162,$N$36,MAX($AH$42:$AH$342),$T$36),0)</f>
        <v>35.73216361037445</v>
      </c>
      <c r="AL162" s="253">
        <f>IF(X162&lt;&gt;0,SUM($F$34,X162,$N$36,MAX($AH$42:$AH$342),$T$36),0)</f>
        <v>34.592266610374445</v>
      </c>
      <c r="AM162" s="260">
        <f>IF(Y162&lt;&gt;0,SUM($F$34,Y162,$N$36,MAX($AH$42:$AH$342),$T$36),0)</f>
        <v>0</v>
      </c>
    </row>
    <row r="163" spans="1:39" x14ac:dyDescent="0.35">
      <c r="A163" s="259">
        <v>1501</v>
      </c>
      <c r="B163" s="58">
        <f>SUMIF([2]!Table2_23[ETA],'FIS Optimal Model (2)'!A163,[2]!Table2_23[FIS PAX])</f>
        <v>0</v>
      </c>
      <c r="C163" s="44">
        <f t="shared" si="78"/>
        <v>18</v>
      </c>
      <c r="D163" s="52">
        <f t="shared" si="83"/>
        <v>207</v>
      </c>
      <c r="E163" s="26">
        <f t="shared" si="66"/>
        <v>10</v>
      </c>
      <c r="F163" s="26">
        <f t="shared" si="67"/>
        <v>5</v>
      </c>
      <c r="G163" s="26">
        <f t="shared" si="68"/>
        <v>3</v>
      </c>
      <c r="H163" s="26">
        <f t="shared" si="69"/>
        <v>1</v>
      </c>
      <c r="I163" s="27">
        <f t="shared" si="85"/>
        <v>10</v>
      </c>
      <c r="J163" s="27">
        <f t="shared" si="85"/>
        <v>5</v>
      </c>
      <c r="K163" s="27">
        <f t="shared" si="85"/>
        <v>3</v>
      </c>
      <c r="L163" s="27">
        <f t="shared" si="85"/>
        <v>1</v>
      </c>
      <c r="M163" s="28">
        <f>IF(R162=0,0,$Q$14)</f>
        <v>3</v>
      </c>
      <c r="N163" s="29">
        <f>$U$14-M163-O163-P163</f>
        <v>7</v>
      </c>
      <c r="O163" s="28">
        <f>IF(T162=0,0,$S$14)</f>
        <v>1</v>
      </c>
      <c r="P163" s="28">
        <f>IF(U162=0,0,$T$14)</f>
        <v>0</v>
      </c>
      <c r="Q163" s="28">
        <f t="shared" si="70"/>
        <v>11</v>
      </c>
      <c r="R163" s="22">
        <f t="shared" si="71"/>
        <v>83.032238894666477</v>
      </c>
      <c r="S163" s="22">
        <f t="shared" si="72"/>
        <v>22.807304340931431</v>
      </c>
      <c r="T163" s="22">
        <f t="shared" si="73"/>
        <v>14.969335127420038</v>
      </c>
      <c r="U163" s="22">
        <f t="shared" si="74"/>
        <v>1</v>
      </c>
      <c r="V163" s="21">
        <f t="shared" si="86"/>
        <v>11.1778</v>
      </c>
      <c r="W163" s="21">
        <f t="shared" si="91"/>
        <v>5.5886171428571432</v>
      </c>
      <c r="X163" s="21">
        <f t="shared" si="81"/>
        <v>5.1285989999999968</v>
      </c>
      <c r="Y163" s="21">
        <f t="shared" si="82"/>
        <v>0</v>
      </c>
      <c r="Z163" s="221">
        <f t="shared" si="75"/>
        <v>9</v>
      </c>
      <c r="AA163" s="30">
        <f t="shared" si="62"/>
        <v>6.6854850690833461</v>
      </c>
      <c r="AB163" s="30">
        <f t="shared" si="63"/>
        <v>3.6729254092979819</v>
      </c>
      <c r="AC163" s="30">
        <f t="shared" si="64"/>
        <v>2.6269165545362472</v>
      </c>
      <c r="AD163" s="30">
        <f t="shared" si="65"/>
        <v>0</v>
      </c>
      <c r="AE163" s="32">
        <f t="shared" si="76"/>
        <v>12.985327032917576</v>
      </c>
      <c r="AF163" s="33">
        <f t="shared" si="84"/>
        <v>12.460623403017863</v>
      </c>
      <c r="AG163" s="40">
        <f t="shared" si="77"/>
        <v>12.279661566170709</v>
      </c>
      <c r="AH163" s="224">
        <f>AG163*$P$36</f>
        <v>1.0298786373530764</v>
      </c>
      <c r="AI163" s="226">
        <f>SUM(Z163,IF(Z163&lt;&gt;0,$F$34,0),IF(Z163&lt;&gt;0,$N$36,0),IF(Z163&lt;&gt;0,$T$36,0),IF(Z163=0,AH168,IF(Z163=1,AH169,IF(Z163=2,AH170,IF(Z163=3,AH171,IF(Z163=4,AH172,IF(Z163=5,AH173,IF(Z163=6,AH174,IF(Z163=7,AH175,IF(Z163=8,AH176,IF(Z163=9,AH177,IF(Z163=10,AH178,IF(Z163=11,AH179,IF(Z163=12,AH180,IF(Z163=13,AH181,IF(Z163=14,AH182,IF(Z163=15,AH183,IF(Z163=16,AH184,IF(Z163=17,AH185,IF(Z163=18,AH186,IF(Z163=19,AH187,IF(Z163=20,AH188,IF(Z163=21,AH189,IF(Z163=22,AH190,IF(Z163=23,AH191,IF(Z163=24,AH192,IF(Z163=25,AH193,IF(Z163=26,AH194,IF(Z163=27,AH195,IF(Z163=28,AH196,IF(Z163=29,AH197,IF(Z163=30,AH198))))))))))))))))))))))))))))))))</f>
        <v>32.144725945248894</v>
      </c>
      <c r="AJ163" s="253">
        <f>IF(V163&lt;&gt;0,SUM($F$34,V163,$N$36,MAX($AH$42:$AH$342),$T$36),0)</f>
        <v>40.769288610374446</v>
      </c>
      <c r="AK163" s="253">
        <f>IF(W163&lt;&gt;0,SUM($F$34,W163,$N$36,MAX($AH$42:$AH$342),$T$36),0)</f>
        <v>35.180105753231587</v>
      </c>
      <c r="AL163" s="253">
        <f>IF(X163&lt;&gt;0,SUM($F$34,X163,$N$36,MAX($AH$42:$AH$342),$T$36),0)</f>
        <v>34.720087610374449</v>
      </c>
      <c r="AM163" s="260">
        <f>IF(Y163&lt;&gt;0,SUM($F$34,Y163,$N$36,MAX($AH$42:$AH$342),$T$36),0)</f>
        <v>0</v>
      </c>
    </row>
    <row r="164" spans="1:39" x14ac:dyDescent="0.35">
      <c r="A164" s="259">
        <v>1502</v>
      </c>
      <c r="B164" s="58">
        <f>SUMIF([2]!Table2_23[ETA],'FIS Optimal Model (2)'!A164,[2]!Table2_23[FIS PAX])</f>
        <v>0</v>
      </c>
      <c r="C164" s="44">
        <f t="shared" si="78"/>
        <v>18</v>
      </c>
      <c r="D164" s="52">
        <f t="shared" si="83"/>
        <v>189</v>
      </c>
      <c r="E164" s="26">
        <f t="shared" si="66"/>
        <v>10</v>
      </c>
      <c r="F164" s="26">
        <f t="shared" si="67"/>
        <v>5</v>
      </c>
      <c r="G164" s="26">
        <f t="shared" si="68"/>
        <v>3</v>
      </c>
      <c r="H164" s="26">
        <f t="shared" si="69"/>
        <v>1</v>
      </c>
      <c r="I164" s="27">
        <f t="shared" si="85"/>
        <v>10</v>
      </c>
      <c r="J164" s="27">
        <f t="shared" si="85"/>
        <v>5</v>
      </c>
      <c r="K164" s="27">
        <f t="shared" si="85"/>
        <v>3</v>
      </c>
      <c r="L164" s="27">
        <f t="shared" si="85"/>
        <v>1</v>
      </c>
      <c r="M164" s="28">
        <f>$M$163</f>
        <v>3</v>
      </c>
      <c r="N164" s="29">
        <f>$N$163</f>
        <v>7</v>
      </c>
      <c r="O164" s="28">
        <f>$O$163</f>
        <v>1</v>
      </c>
      <c r="P164" s="28">
        <f>$P$163</f>
        <v>0</v>
      </c>
      <c r="Q164" s="28">
        <f t="shared" si="70"/>
        <v>11</v>
      </c>
      <c r="R164" s="22">
        <f t="shared" si="71"/>
        <v>86.346753825583136</v>
      </c>
      <c r="S164" s="22">
        <f t="shared" si="72"/>
        <v>24.134378931633449</v>
      </c>
      <c r="T164" s="22">
        <f t="shared" si="73"/>
        <v>15.342418572883791</v>
      </c>
      <c r="U164" s="22">
        <f t="shared" si="74"/>
        <v>2</v>
      </c>
      <c r="V164" s="21">
        <f t="shared" si="86"/>
        <v>11.624000000000001</v>
      </c>
      <c r="W164" s="21">
        <f t="shared" si="91"/>
        <v>5.9137985714285719</v>
      </c>
      <c r="X164" s="21">
        <f t="shared" si="81"/>
        <v>5.2564199999999968</v>
      </c>
      <c r="Y164" s="21">
        <f t="shared" si="82"/>
        <v>0</v>
      </c>
      <c r="Z164" s="221">
        <f t="shared" si="75"/>
        <v>9</v>
      </c>
      <c r="AA164" s="30">
        <f t="shared" si="62"/>
        <v>6.6854850690833461</v>
      </c>
      <c r="AB164" s="30">
        <f t="shared" si="63"/>
        <v>3.6729254092979819</v>
      </c>
      <c r="AC164" s="30">
        <f t="shared" si="64"/>
        <v>2.6269165545362472</v>
      </c>
      <c r="AD164" s="30">
        <f t="shared" si="65"/>
        <v>0</v>
      </c>
      <c r="AE164" s="32">
        <f t="shared" si="76"/>
        <v>12.985327032917576</v>
      </c>
      <c r="AF164" s="33">
        <f t="shared" si="84"/>
        <v>12.460623403017863</v>
      </c>
      <c r="AG164" s="40">
        <f t="shared" si="77"/>
        <v>12.816878539736791</v>
      </c>
      <c r="AH164" s="224">
        <f>AG164*$P$36</f>
        <v>1.074934299654339</v>
      </c>
      <c r="AI164" s="226">
        <f>SUM(Z164,IF(Z164&lt;&gt;0,$F$34,0),IF(Z164&lt;&gt;0,$N$36,0),IF(Z164&lt;&gt;0,$T$36,0),IF(Z164=0,AH169,IF(Z164=1,AH170,IF(Z164=2,AH171,IF(Z164=3,AH172,IF(Z164=4,AH173,IF(Z164=5,AH174,IF(Z164=6,AH175,IF(Z164=7,AH176,IF(Z164=8,AH177,IF(Z164=9,AH178,IF(Z164=10,AH179,IF(Z164=11,AH180,IF(Z164=12,AH181,IF(Z164=13,AH182,IF(Z164=14,AH183,IF(Z164=15,AH184,IF(Z164=16,AH185,IF(Z164=17,AH186,IF(Z164=18,AH187,IF(Z164=19,AH188,IF(Z164=20,AH189,IF(Z164=21,AH190,IF(Z164=22,AH191,IF(Z164=23,AH192,IF(Z164=24,AH193,IF(Z164=25,AH194,IF(Z164=26,AH195,IF(Z164=27,AH196,IF(Z164=28,AH197,IF(Z164=29,AH198,IF(Z164=30,AH199))))))))))))))))))))))))))))))))</f>
        <v>32.233787792611807</v>
      </c>
      <c r="AJ164" s="253">
        <f>IF(V164&lt;&gt;0,SUM($F$34,V164,$N$36,MAX($AH$42:$AH$342),$T$36),0)</f>
        <v>41.21548861037445</v>
      </c>
      <c r="AK164" s="253">
        <f>IF(W164&lt;&gt;0,SUM($F$34,W164,$N$36,MAX($AH$42:$AH$342),$T$36),0)</f>
        <v>35.50528718180302</v>
      </c>
      <c r="AL164" s="253">
        <f>IF(X164&lt;&gt;0,SUM($F$34,X164,$N$36,MAX($AH$42:$AH$342),$T$36),0)</f>
        <v>34.847908610374446</v>
      </c>
      <c r="AM164" s="260">
        <f>IF(Y164&lt;&gt;0,SUM($F$34,Y164,$N$36,MAX($AH$42:$AH$342),$T$36),0)</f>
        <v>0</v>
      </c>
    </row>
    <row r="165" spans="1:39" x14ac:dyDescent="0.35">
      <c r="A165" s="259">
        <v>1503</v>
      </c>
      <c r="B165" s="58">
        <f>SUMIF([2]!Table2_23[ETA],'FIS Optimal Model (2)'!A165,[2]!Table2_23[FIS PAX])</f>
        <v>0</v>
      </c>
      <c r="C165" s="44">
        <f t="shared" si="78"/>
        <v>18</v>
      </c>
      <c r="D165" s="52">
        <f t="shared" si="83"/>
        <v>171</v>
      </c>
      <c r="E165" s="26">
        <f t="shared" si="66"/>
        <v>10</v>
      </c>
      <c r="F165" s="26">
        <f t="shared" si="67"/>
        <v>5</v>
      </c>
      <c r="G165" s="26">
        <f t="shared" si="68"/>
        <v>3</v>
      </c>
      <c r="H165" s="26">
        <f t="shared" si="69"/>
        <v>1</v>
      </c>
      <c r="I165" s="27">
        <f t="shared" si="85"/>
        <v>10</v>
      </c>
      <c r="J165" s="27">
        <f t="shared" si="85"/>
        <v>5</v>
      </c>
      <c r="K165" s="27">
        <f t="shared" si="85"/>
        <v>3</v>
      </c>
      <c r="L165" s="27">
        <f t="shared" si="85"/>
        <v>1</v>
      </c>
      <c r="M165" s="28">
        <f t="shared" ref="M165:M177" si="100">$M$163</f>
        <v>3</v>
      </c>
      <c r="N165" s="29">
        <f t="shared" ref="N165:N177" si="101">$N$163</f>
        <v>7</v>
      </c>
      <c r="O165" s="28">
        <f t="shared" ref="O165:O177" si="102">$O$163</f>
        <v>1</v>
      </c>
      <c r="P165" s="28">
        <f t="shared" ref="P165:P177" si="103">$P$163</f>
        <v>0</v>
      </c>
      <c r="Q165" s="28">
        <f t="shared" si="70"/>
        <v>11</v>
      </c>
      <c r="R165" s="22">
        <f t="shared" si="71"/>
        <v>89.661268756499794</v>
      </c>
      <c r="S165" s="22">
        <f t="shared" si="72"/>
        <v>25.461453522335468</v>
      </c>
      <c r="T165" s="22">
        <f t="shared" si="73"/>
        <v>15.715502018347543</v>
      </c>
      <c r="U165" s="22">
        <f t="shared" si="74"/>
        <v>3</v>
      </c>
      <c r="V165" s="21">
        <f t="shared" si="86"/>
        <v>12.070200000000002</v>
      </c>
      <c r="W165" s="21">
        <f t="shared" si="91"/>
        <v>6.2389800000000006</v>
      </c>
      <c r="X165" s="21">
        <f t="shared" si="81"/>
        <v>5.3842409999999967</v>
      </c>
      <c r="Y165" s="21">
        <f t="shared" si="82"/>
        <v>0</v>
      </c>
      <c r="Z165" s="221">
        <f t="shared" si="75"/>
        <v>10</v>
      </c>
      <c r="AA165" s="30">
        <f t="shared" si="62"/>
        <v>6.6854850690833461</v>
      </c>
      <c r="AB165" s="30">
        <f t="shared" si="63"/>
        <v>3.6729254092979819</v>
      </c>
      <c r="AC165" s="30">
        <f t="shared" si="64"/>
        <v>2.6269165545362472</v>
      </c>
      <c r="AD165" s="30">
        <f t="shared" si="65"/>
        <v>0</v>
      </c>
      <c r="AE165" s="32">
        <f t="shared" si="76"/>
        <v>12.985327032917576</v>
      </c>
      <c r="AF165" s="33">
        <f t="shared" si="84"/>
        <v>12.460623403017863</v>
      </c>
      <c r="AG165" s="40">
        <f t="shared" si="77"/>
        <v>13.354095513302873</v>
      </c>
      <c r="AH165" s="224">
        <f>AG165*$P$36</f>
        <v>1.1199899619556015</v>
      </c>
      <c r="AI165" s="226">
        <f>SUM(Z165,IF(Z165&lt;&gt;0,$F$34,0),IF(Z165&lt;&gt;0,$N$36,0),IF(Z165&lt;&gt;0,$T$36,0),IF(Z165=0,AH170,IF(Z165=1,AH171,IF(Z165=2,AH172,IF(Z165=3,AH173,IF(Z165=4,AH174,IF(Z165=5,AH175,IF(Z165=6,AH176,IF(Z165=7,AH177,IF(Z165=8,AH178,IF(Z165=9,AH179,IF(Z165=10,AH180,IF(Z165=11,AH181,IF(Z165=12,AH182,IF(Z165=13,AH183,IF(Z165=14,AH184,IF(Z165=15,AH185,IF(Z165=16,AH186,IF(Z165=17,AH187,IF(Z165=18,AH188,IF(Z165=19,AH189,IF(Z165=20,AH190,IF(Z165=21,AH191,IF(Z165=22,AH192,IF(Z165=23,AH193,IF(Z165=24,AH194,IF(Z165=25,AH195,IF(Z165=26,AH196,IF(Z165=27,AH197,IF(Z165=28,AH198,IF(Z165=29,AH199,IF(Z165=30,AH200))))))))))))))))))))))))))))))))</f>
        <v>33.411911487337626</v>
      </c>
      <c r="AJ165" s="253">
        <f>IF(V165&lt;&gt;0,SUM($F$34,V165,$N$36,MAX($AH$42:$AH$342),$T$36),0)</f>
        <v>41.661688610374448</v>
      </c>
      <c r="AK165" s="253">
        <f>IF(W165&lt;&gt;0,SUM($F$34,W165,$N$36,MAX($AH$42:$AH$342),$T$36),0)</f>
        <v>35.830468610374453</v>
      </c>
      <c r="AL165" s="253">
        <f>IF(X165&lt;&gt;0,SUM($F$34,X165,$N$36,MAX($AH$42:$AH$342),$T$36),0)</f>
        <v>34.975729610374444</v>
      </c>
      <c r="AM165" s="260">
        <f>IF(Y165&lt;&gt;0,SUM($F$34,Y165,$N$36,MAX($AH$42:$AH$342),$T$36),0)</f>
        <v>0</v>
      </c>
    </row>
    <row r="166" spans="1:39" x14ac:dyDescent="0.35">
      <c r="A166" s="259">
        <v>1504</v>
      </c>
      <c r="B166" s="58">
        <f>SUMIF([2]!Table2_23[ETA],'FIS Optimal Model (2)'!A166,[2]!Table2_23[FIS PAX])</f>
        <v>0</v>
      </c>
      <c r="C166" s="44">
        <f t="shared" si="78"/>
        <v>18</v>
      </c>
      <c r="D166" s="52">
        <f t="shared" si="83"/>
        <v>153</v>
      </c>
      <c r="E166" s="26">
        <f t="shared" si="66"/>
        <v>10</v>
      </c>
      <c r="F166" s="26">
        <f t="shared" si="67"/>
        <v>5</v>
      </c>
      <c r="G166" s="26">
        <f t="shared" si="68"/>
        <v>3</v>
      </c>
      <c r="H166" s="26">
        <f t="shared" si="69"/>
        <v>1</v>
      </c>
      <c r="I166" s="27">
        <f t="shared" si="85"/>
        <v>10</v>
      </c>
      <c r="J166" s="27">
        <f t="shared" si="85"/>
        <v>5</v>
      </c>
      <c r="K166" s="27">
        <f t="shared" si="85"/>
        <v>3</v>
      </c>
      <c r="L166" s="27">
        <f t="shared" si="85"/>
        <v>1</v>
      </c>
      <c r="M166" s="28">
        <f t="shared" si="100"/>
        <v>3</v>
      </c>
      <c r="N166" s="29">
        <f t="shared" si="101"/>
        <v>7</v>
      </c>
      <c r="O166" s="28">
        <f t="shared" si="102"/>
        <v>1</v>
      </c>
      <c r="P166" s="28">
        <f t="shared" si="103"/>
        <v>0</v>
      </c>
      <c r="Q166" s="28">
        <f t="shared" si="70"/>
        <v>11</v>
      </c>
      <c r="R166" s="22">
        <f t="shared" si="71"/>
        <v>92.975783687416452</v>
      </c>
      <c r="S166" s="22">
        <f t="shared" si="72"/>
        <v>26.788528113037486</v>
      </c>
      <c r="T166" s="22">
        <f t="shared" si="73"/>
        <v>16.088585463811295</v>
      </c>
      <c r="U166" s="22">
        <f t="shared" si="74"/>
        <v>4</v>
      </c>
      <c r="V166" s="21">
        <f t="shared" si="86"/>
        <v>12.516400000000003</v>
      </c>
      <c r="W166" s="21">
        <f t="shared" si="91"/>
        <v>6.5641614285714294</v>
      </c>
      <c r="X166" s="21">
        <f t="shared" si="81"/>
        <v>5.5120619999999967</v>
      </c>
      <c r="Y166" s="21">
        <f t="shared" si="82"/>
        <v>0</v>
      </c>
      <c r="Z166" s="221">
        <f t="shared" si="75"/>
        <v>10</v>
      </c>
      <c r="AA166" s="30">
        <f t="shared" si="62"/>
        <v>6.6854850690833461</v>
      </c>
      <c r="AB166" s="30">
        <f t="shared" si="63"/>
        <v>3.6729254092979819</v>
      </c>
      <c r="AC166" s="30">
        <f t="shared" si="64"/>
        <v>2.6269165545362472</v>
      </c>
      <c r="AD166" s="30">
        <f t="shared" si="65"/>
        <v>0</v>
      </c>
      <c r="AE166" s="32">
        <f t="shared" si="76"/>
        <v>12.985327032917576</v>
      </c>
      <c r="AF166" s="33">
        <f t="shared" si="84"/>
        <v>12.460623403017863</v>
      </c>
      <c r="AG166" s="40">
        <f t="shared" si="77"/>
        <v>13.891312486868955</v>
      </c>
      <c r="AH166" s="224">
        <f>AG166*$P$36</f>
        <v>1.1650456242568641</v>
      </c>
      <c r="AI166" s="226">
        <f>SUM(Z166,IF(Z166&lt;&gt;0,$F$34,0),IF(Z166&lt;&gt;0,$N$36,0),IF(Z166&lt;&gt;0,$T$36,0),IF(Z166=0,AH171,IF(Z166=1,AH172,IF(Z166=2,AH173,IF(Z166=3,AH174,IF(Z166=4,AH175,IF(Z166=5,AH176,IF(Z166=6,AH177,IF(Z166=7,AH178,IF(Z166=8,AH179,IF(Z166=9,AH180,IF(Z166=10,AH181,IF(Z166=11,AH182,IF(Z166=12,AH183,IF(Z166=13,AH184,IF(Z166=14,AH185,IF(Z166=15,AH186,IF(Z166=16,AH187,IF(Z166=17,AH188,IF(Z166=18,AH189,IF(Z166=19,AH190,IF(Z166=20,AH191,IF(Z166=21,AH192,IF(Z166=22,AH193,IF(Z166=23,AH194,IF(Z166=24,AH195,IF(Z166=25,AH196,IF(Z166=26,AH197,IF(Z166=27,AH198,IF(Z166=28,AH199,IF(Z166=29,AH200,IF(Z166=30,AH201))))))))))))))))))))))))))))))))</f>
        <v>33.500973334700539</v>
      </c>
      <c r="AJ166" s="253">
        <f>IF(V166&lt;&gt;0,SUM($F$34,V166,$N$36,MAX($AH$42:$AH$342),$T$36),0)</f>
        <v>42.107888610374452</v>
      </c>
      <c r="AK166" s="253">
        <f>IF(W166&lt;&gt;0,SUM($F$34,W166,$N$36,MAX($AH$42:$AH$342),$T$36),0)</f>
        <v>36.155650038945879</v>
      </c>
      <c r="AL166" s="253">
        <f>IF(X166&lt;&gt;0,SUM($F$34,X166,$N$36,MAX($AH$42:$AH$342),$T$36),0)</f>
        <v>35.103550610374441</v>
      </c>
      <c r="AM166" s="260">
        <f>IF(Y166&lt;&gt;0,SUM($F$34,Y166,$N$36,MAX($AH$42:$AH$342),$T$36),0)</f>
        <v>0</v>
      </c>
    </row>
    <row r="167" spans="1:39" x14ac:dyDescent="0.35">
      <c r="A167" s="259">
        <v>1505</v>
      </c>
      <c r="B167" s="58">
        <f>SUMIF([2]!Table2_23[ETA],'FIS Optimal Model (2)'!A167,[2]!Table2_23[FIS PAX])</f>
        <v>0</v>
      </c>
      <c r="C167" s="44">
        <f t="shared" si="78"/>
        <v>18</v>
      </c>
      <c r="D167" s="52">
        <f t="shared" si="83"/>
        <v>135</v>
      </c>
      <c r="E167" s="26">
        <f t="shared" si="66"/>
        <v>10</v>
      </c>
      <c r="F167" s="26">
        <f t="shared" si="67"/>
        <v>5</v>
      </c>
      <c r="G167" s="26">
        <f t="shared" si="68"/>
        <v>3</v>
      </c>
      <c r="H167" s="26">
        <f t="shared" si="69"/>
        <v>1</v>
      </c>
      <c r="I167" s="27">
        <f t="shared" si="85"/>
        <v>10</v>
      </c>
      <c r="J167" s="27">
        <f t="shared" si="85"/>
        <v>5</v>
      </c>
      <c r="K167" s="27">
        <f t="shared" si="85"/>
        <v>3</v>
      </c>
      <c r="L167" s="27">
        <f t="shared" si="85"/>
        <v>1</v>
      </c>
      <c r="M167" s="28">
        <f t="shared" si="100"/>
        <v>3</v>
      </c>
      <c r="N167" s="29">
        <f t="shared" si="101"/>
        <v>7</v>
      </c>
      <c r="O167" s="28">
        <f t="shared" si="102"/>
        <v>1</v>
      </c>
      <c r="P167" s="28">
        <f t="shared" si="103"/>
        <v>0</v>
      </c>
      <c r="Q167" s="28">
        <f t="shared" si="70"/>
        <v>11</v>
      </c>
      <c r="R167" s="22">
        <f t="shared" si="71"/>
        <v>96.290298618333111</v>
      </c>
      <c r="S167" s="22">
        <f t="shared" si="72"/>
        <v>28.115602703739505</v>
      </c>
      <c r="T167" s="22">
        <f t="shared" si="73"/>
        <v>16.461668909275048</v>
      </c>
      <c r="U167" s="22">
        <f t="shared" si="74"/>
        <v>5</v>
      </c>
      <c r="V167" s="21">
        <f t="shared" si="86"/>
        <v>12.962600000000002</v>
      </c>
      <c r="W167" s="21">
        <f t="shared" si="91"/>
        <v>6.8893428571428581</v>
      </c>
      <c r="X167" s="21">
        <f t="shared" si="81"/>
        <v>5.6398829999999958</v>
      </c>
      <c r="Y167" s="21">
        <f t="shared" si="82"/>
        <v>0</v>
      </c>
      <c r="Z167" s="221">
        <f t="shared" si="75"/>
        <v>10</v>
      </c>
      <c r="AA167" s="30">
        <f t="shared" si="62"/>
        <v>6.6854850690833461</v>
      </c>
      <c r="AB167" s="30">
        <f t="shared" si="63"/>
        <v>3.6729254092979819</v>
      </c>
      <c r="AC167" s="30">
        <f t="shared" si="64"/>
        <v>2.6269165545362472</v>
      </c>
      <c r="AD167" s="30">
        <f t="shared" si="65"/>
        <v>0</v>
      </c>
      <c r="AE167" s="32">
        <f t="shared" si="76"/>
        <v>12.985327032917576</v>
      </c>
      <c r="AF167" s="33">
        <f t="shared" si="84"/>
        <v>12.985327032917576</v>
      </c>
      <c r="AG167" s="40">
        <f t="shared" si="77"/>
        <v>14.95323309033475</v>
      </c>
      <c r="AH167" s="224">
        <f>AG167*$P$36</f>
        <v>1.2541074716197758</v>
      </c>
      <c r="AI167" s="226">
        <f>SUM(Z167,IF(Z167&lt;&gt;0,$F$34,0),IF(Z167&lt;&gt;0,$N$36,0),IF(Z167&lt;&gt;0,$T$36,0),IF(Z167=0,AH172,IF(Z167=1,AH173,IF(Z167=2,AH174,IF(Z167=3,AH175,IF(Z167=4,AH176,IF(Z167=5,AH177,IF(Z167=6,AH178,IF(Z167=7,AH179,IF(Z167=8,AH180,IF(Z167=9,AH181,IF(Z167=10,AH182,IF(Z167=11,AH183,IF(Z167=12,AH184,IF(Z167=13,AH185,IF(Z167=14,AH186,IF(Z167=15,AH187,IF(Z167=16,AH188,IF(Z167=17,AH189,IF(Z167=18,AH190,IF(Z167=19,AH191,IF(Z167=20,AH192,IF(Z167=21,AH193,IF(Z167=22,AH194,IF(Z167=23,AH195,IF(Z167=24,AH196,IF(Z167=25,AH197,IF(Z167=26,AH198,IF(Z167=27,AH199,IF(Z167=28,AH200,IF(Z167=29,AH201,IF(Z167=30,AH202))))))))))))))))))))))))))))))))</f>
        <v>33.709099226914446</v>
      </c>
      <c r="AJ167" s="253">
        <f>IF(V167&lt;&gt;0,SUM($F$34,V167,$N$36,MAX($AH$42:$AH$342),$T$36),0)</f>
        <v>42.55408861037445</v>
      </c>
      <c r="AK167" s="253">
        <f>IF(W167&lt;&gt;0,SUM($F$34,W167,$N$36,MAX($AH$42:$AH$342),$T$36),0)</f>
        <v>36.480831467517305</v>
      </c>
      <c r="AL167" s="253">
        <f>IF(X167&lt;&gt;0,SUM($F$34,X167,$N$36,MAX($AH$42:$AH$342),$T$36),0)</f>
        <v>35.231371610374445</v>
      </c>
      <c r="AM167" s="260">
        <f>IF(Y167&lt;&gt;0,SUM($F$34,Y167,$N$36,MAX($AH$42:$AH$342),$T$36),0)</f>
        <v>0</v>
      </c>
    </row>
    <row r="168" spans="1:39" x14ac:dyDescent="0.35">
      <c r="A168" s="259">
        <v>1506</v>
      </c>
      <c r="B168" s="58">
        <f>SUMIF([2]!Table2_23[ETA],'FIS Optimal Model (2)'!A168,[2]!Table2_23[FIS PAX])</f>
        <v>86</v>
      </c>
      <c r="C168" s="44">
        <f t="shared" si="78"/>
        <v>18</v>
      </c>
      <c r="D168" s="52">
        <f t="shared" si="83"/>
        <v>117</v>
      </c>
      <c r="E168" s="26">
        <f t="shared" si="66"/>
        <v>10</v>
      </c>
      <c r="F168" s="26">
        <f t="shared" si="67"/>
        <v>5</v>
      </c>
      <c r="G168" s="26">
        <f t="shared" si="68"/>
        <v>3</v>
      </c>
      <c r="H168" s="26">
        <f t="shared" si="69"/>
        <v>1</v>
      </c>
      <c r="I168" s="27">
        <f t="shared" si="85"/>
        <v>10</v>
      </c>
      <c r="J168" s="27">
        <f t="shared" si="85"/>
        <v>5</v>
      </c>
      <c r="K168" s="27">
        <f t="shared" si="85"/>
        <v>3</v>
      </c>
      <c r="L168" s="27">
        <f t="shared" si="85"/>
        <v>1</v>
      </c>
      <c r="M168" s="28">
        <f t="shared" si="100"/>
        <v>3</v>
      </c>
      <c r="N168" s="29">
        <f t="shared" si="101"/>
        <v>7</v>
      </c>
      <c r="O168" s="28">
        <f t="shared" si="102"/>
        <v>1</v>
      </c>
      <c r="P168" s="28">
        <f t="shared" si="103"/>
        <v>0</v>
      </c>
      <c r="Q168" s="28">
        <f t="shared" si="70"/>
        <v>11</v>
      </c>
      <c r="R168" s="22">
        <f t="shared" si="71"/>
        <v>99.604813549249769</v>
      </c>
      <c r="S168" s="22">
        <f t="shared" si="72"/>
        <v>29.442677294441523</v>
      </c>
      <c r="T168" s="22">
        <f t="shared" si="73"/>
        <v>16.8347523547388</v>
      </c>
      <c r="U168" s="22">
        <f t="shared" si="74"/>
        <v>6</v>
      </c>
      <c r="V168" s="21">
        <f t="shared" si="86"/>
        <v>13.408800000000003</v>
      </c>
      <c r="W168" s="21">
        <f t="shared" si="91"/>
        <v>7.2145242857142868</v>
      </c>
      <c r="X168" s="21">
        <f t="shared" si="81"/>
        <v>5.7677039999999957</v>
      </c>
      <c r="Y168" s="21">
        <f t="shared" si="82"/>
        <v>0</v>
      </c>
      <c r="Z168" s="221">
        <f t="shared" si="75"/>
        <v>11</v>
      </c>
      <c r="AA168" s="30">
        <f t="shared" si="62"/>
        <v>6.6854850690833461</v>
      </c>
      <c r="AB168" s="30">
        <f t="shared" si="63"/>
        <v>3.6729254092979819</v>
      </c>
      <c r="AC168" s="30">
        <f t="shared" si="64"/>
        <v>2.6269165545362472</v>
      </c>
      <c r="AD168" s="30">
        <f t="shared" si="65"/>
        <v>0</v>
      </c>
      <c r="AE168" s="32">
        <f t="shared" si="76"/>
        <v>12.985327032917576</v>
      </c>
      <c r="AF168" s="33">
        <f t="shared" si="84"/>
        <v>12.985327032917576</v>
      </c>
      <c r="AG168" s="40">
        <f t="shared" si="77"/>
        <v>16.015153693800546</v>
      </c>
      <c r="AH168" s="224">
        <f>AG168*$P$36</f>
        <v>1.3431693189826877</v>
      </c>
      <c r="AI168" s="226">
        <f>SUM(Z168,IF(Z168&lt;&gt;0,$F$34,0),IF(Z168&lt;&gt;0,$N$36,0),IF(Z168&lt;&gt;0,$T$36,0),IF(Z168=0,AH173,IF(Z168=1,AH174,IF(Z168=2,AH175,IF(Z168=3,AH176,IF(Z168=4,AH177,IF(Z168=5,AH178,IF(Z168=6,AH179,IF(Z168=7,AH180,IF(Z168=8,AH181,IF(Z168=9,AH182,IF(Z168=10,AH183,IF(Z168=11,AH184,IF(Z168=12,AH185,IF(Z168=13,AH186,IF(Z168=14,AH187,IF(Z168=15,AH188,IF(Z168=16,AH189,IF(Z168=17,AH190,IF(Z168=18,AH191,IF(Z168=19,AH192,IF(Z168=20,AH193,IF(Z168=21,AH194,IF(Z168=22,AH195,IF(Z168=23,AH196,IF(Z168=24,AH197,IF(Z168=25,AH198,IF(Z168=26,AH199,IF(Z168=27,AH200,IF(Z168=28,AH201,IF(Z168=29,AH202,IF(Z168=30,AH203))))))))))))))))))))))))))))))))</f>
        <v>35.125351011342254</v>
      </c>
      <c r="AJ168" s="253">
        <f>IF(V168&lt;&gt;0,SUM($F$34,V168,$N$36,MAX($AH$42:$AH$342),$T$36),0)</f>
        <v>43.000288610374454</v>
      </c>
      <c r="AK168" s="253">
        <f>IF(W168&lt;&gt;0,SUM($F$34,W168,$N$36,MAX($AH$42:$AH$342),$T$36),0)</f>
        <v>36.806012896088731</v>
      </c>
      <c r="AL168" s="253">
        <f>IF(X168&lt;&gt;0,SUM($F$34,X168,$N$36,MAX($AH$42:$AH$342),$T$36),0)</f>
        <v>35.359192610374443</v>
      </c>
      <c r="AM168" s="260">
        <f>IF(Y168&lt;&gt;0,SUM($F$34,Y168,$N$36,MAX($AH$42:$AH$342),$T$36),0)</f>
        <v>0</v>
      </c>
    </row>
    <row r="169" spans="1:39" x14ac:dyDescent="0.35">
      <c r="A169" s="259">
        <v>1507</v>
      </c>
      <c r="B169" s="58">
        <f>SUMIF([2]!Table2_23[ETA],'FIS Optimal Model (2)'!A169,[2]!Table2_23[FIS PAX])</f>
        <v>0</v>
      </c>
      <c r="C169" s="44">
        <f t="shared" si="78"/>
        <v>18</v>
      </c>
      <c r="D169" s="52">
        <f t="shared" si="83"/>
        <v>185</v>
      </c>
      <c r="E169" s="26">
        <f t="shared" si="66"/>
        <v>10</v>
      </c>
      <c r="F169" s="26">
        <f t="shared" si="67"/>
        <v>5</v>
      </c>
      <c r="G169" s="26">
        <f t="shared" si="68"/>
        <v>3</v>
      </c>
      <c r="H169" s="26">
        <f t="shared" si="69"/>
        <v>1</v>
      </c>
      <c r="I169" s="27">
        <f t="shared" si="85"/>
        <v>10</v>
      </c>
      <c r="J169" s="27">
        <f t="shared" si="85"/>
        <v>5</v>
      </c>
      <c r="K169" s="27">
        <f t="shared" si="85"/>
        <v>3</v>
      </c>
      <c r="L169" s="27">
        <f t="shared" si="85"/>
        <v>1</v>
      </c>
      <c r="M169" s="28">
        <f t="shared" si="100"/>
        <v>3</v>
      </c>
      <c r="N169" s="29">
        <f t="shared" si="101"/>
        <v>7</v>
      </c>
      <c r="O169" s="28">
        <f t="shared" si="102"/>
        <v>1</v>
      </c>
      <c r="P169" s="28">
        <f t="shared" si="103"/>
        <v>0</v>
      </c>
      <c r="Q169" s="28">
        <f t="shared" si="70"/>
        <v>11</v>
      </c>
      <c r="R169" s="22">
        <f t="shared" si="71"/>
        <v>102.91932848016643</v>
      </c>
      <c r="S169" s="22">
        <f t="shared" si="72"/>
        <v>30.769751885143542</v>
      </c>
      <c r="T169" s="22">
        <f t="shared" si="73"/>
        <v>17.207835800202552</v>
      </c>
      <c r="U169" s="22">
        <f t="shared" si="74"/>
        <v>7</v>
      </c>
      <c r="V169" s="21">
        <f t="shared" si="86"/>
        <v>13.855000000000004</v>
      </c>
      <c r="W169" s="21">
        <f t="shared" si="91"/>
        <v>7.5397057142857147</v>
      </c>
      <c r="X169" s="21">
        <f t="shared" si="81"/>
        <v>5.8955249999999957</v>
      </c>
      <c r="Y169" s="21">
        <f t="shared" si="82"/>
        <v>0</v>
      </c>
      <c r="Z169" s="221">
        <f t="shared" si="75"/>
        <v>11</v>
      </c>
      <c r="AA169" s="30">
        <f t="shared" si="62"/>
        <v>6.6854850690833461</v>
      </c>
      <c r="AB169" s="30">
        <f t="shared" si="63"/>
        <v>3.6729254092979819</v>
      </c>
      <c r="AC169" s="30">
        <f t="shared" si="64"/>
        <v>2.6269165545362472</v>
      </c>
      <c r="AD169" s="30">
        <f t="shared" si="65"/>
        <v>0</v>
      </c>
      <c r="AE169" s="32">
        <f t="shared" si="76"/>
        <v>12.985327032917576</v>
      </c>
      <c r="AF169" s="33">
        <f t="shared" si="84"/>
        <v>12.985327032917576</v>
      </c>
      <c r="AG169" s="40">
        <f t="shared" si="77"/>
        <v>17.077074297266343</v>
      </c>
      <c r="AH169" s="224">
        <f>AG169*$P$36</f>
        <v>1.4322311663455995</v>
      </c>
      <c r="AI169" s="226">
        <f>SUM(Z169,IF(Z169&lt;&gt;0,$F$34,0),IF(Z169&lt;&gt;0,$N$36,0),IF(Z169&lt;&gt;0,$T$36,0),IF(Z169=0,AH174,IF(Z169=1,AH175,IF(Z169=2,AH176,IF(Z169=3,AH177,IF(Z169=4,AH178,IF(Z169=5,AH179,IF(Z169=6,AH180,IF(Z169=7,AH181,IF(Z169=8,AH182,IF(Z169=9,AH183,IF(Z169=10,AH184,IF(Z169=11,AH185,IF(Z169=12,AH186,IF(Z169=13,AH187,IF(Z169=14,AH188,IF(Z169=15,AH189,IF(Z169=16,AH190,IF(Z169=17,AH191,IF(Z169=18,AH192,IF(Z169=19,AH193,IF(Z169=20,AH194,IF(Z169=21,AH195,IF(Z169=22,AH196,IF(Z169=23,AH197,IF(Z169=24,AH198,IF(Z169=25,AH199,IF(Z169=26,AH200,IF(Z169=27,AH201,IF(Z169=28,AH202,IF(Z169=29,AH203,IF(Z169=30,AH204))))))))))))))))))))))))))))))))</f>
        <v>35.333476903556161</v>
      </c>
      <c r="AJ169" s="253">
        <f>IF(V169&lt;&gt;0,SUM($F$34,V169,$N$36,MAX($AH$42:$AH$342),$T$36),0)</f>
        <v>43.446488610374452</v>
      </c>
      <c r="AK169" s="253">
        <f>IF(W169&lt;&gt;0,SUM($F$34,W169,$N$36,MAX($AH$42:$AH$342),$T$36),0)</f>
        <v>37.131194324660164</v>
      </c>
      <c r="AL169" s="253">
        <f>IF(X169&lt;&gt;0,SUM($F$34,X169,$N$36,MAX($AH$42:$AH$342),$T$36),0)</f>
        <v>35.487013610374447</v>
      </c>
      <c r="AM169" s="260">
        <f>IF(Y169&lt;&gt;0,SUM($F$34,Y169,$N$36,MAX($AH$42:$AH$342),$T$36),0)</f>
        <v>0</v>
      </c>
    </row>
    <row r="170" spans="1:39" x14ac:dyDescent="0.35">
      <c r="A170" s="259">
        <v>1508</v>
      </c>
      <c r="B170" s="58">
        <f>SUMIF([2]!Table2_23[ETA],'FIS Optimal Model (2)'!A170,[2]!Table2_23[FIS PAX])</f>
        <v>0</v>
      </c>
      <c r="C170" s="44">
        <f t="shared" si="78"/>
        <v>18</v>
      </c>
      <c r="D170" s="52">
        <f t="shared" si="83"/>
        <v>167</v>
      </c>
      <c r="E170" s="26">
        <f t="shared" si="66"/>
        <v>10</v>
      </c>
      <c r="F170" s="26">
        <f t="shared" si="67"/>
        <v>5</v>
      </c>
      <c r="G170" s="26">
        <f t="shared" si="68"/>
        <v>3</v>
      </c>
      <c r="H170" s="26">
        <f t="shared" si="69"/>
        <v>1</v>
      </c>
      <c r="I170" s="27">
        <f t="shared" si="85"/>
        <v>10</v>
      </c>
      <c r="J170" s="27">
        <f t="shared" si="85"/>
        <v>5</v>
      </c>
      <c r="K170" s="27">
        <f t="shared" si="85"/>
        <v>3</v>
      </c>
      <c r="L170" s="27">
        <f t="shared" si="85"/>
        <v>1</v>
      </c>
      <c r="M170" s="28">
        <f t="shared" si="100"/>
        <v>3</v>
      </c>
      <c r="N170" s="29">
        <f t="shared" si="101"/>
        <v>7</v>
      </c>
      <c r="O170" s="28">
        <f t="shared" si="102"/>
        <v>1</v>
      </c>
      <c r="P170" s="28">
        <f t="shared" si="103"/>
        <v>0</v>
      </c>
      <c r="Q170" s="28">
        <f t="shared" si="70"/>
        <v>11</v>
      </c>
      <c r="R170" s="22">
        <f t="shared" si="71"/>
        <v>106.23384341108309</v>
      </c>
      <c r="S170" s="22">
        <f t="shared" si="72"/>
        <v>32.09682647584556</v>
      </c>
      <c r="T170" s="22">
        <f t="shared" si="73"/>
        <v>17.580919245666305</v>
      </c>
      <c r="U170" s="22">
        <f t="shared" si="74"/>
        <v>8</v>
      </c>
      <c r="V170" s="21">
        <f t="shared" si="86"/>
        <v>14.301200000000003</v>
      </c>
      <c r="W170" s="21">
        <f t="shared" si="91"/>
        <v>7.8648871428571434</v>
      </c>
      <c r="X170" s="21">
        <f t="shared" si="81"/>
        <v>6.0233459999999956</v>
      </c>
      <c r="Y170" s="21">
        <f t="shared" si="82"/>
        <v>0</v>
      </c>
      <c r="Z170" s="221">
        <f t="shared" si="75"/>
        <v>11</v>
      </c>
      <c r="AA170" s="30">
        <f t="shared" ref="AA170:AA233" si="104">IF(R170&lt;&gt;0,($J$33*M170*$L$36),0)</f>
        <v>6.6854850690833461</v>
      </c>
      <c r="AB170" s="30">
        <f t="shared" ref="AB170:AB233" si="105">IF(W170&lt;&gt;0,($J$34*N170*$L$36),0)</f>
        <v>3.6729254092979819</v>
      </c>
      <c r="AC170" s="30">
        <f t="shared" ref="AC170:AC233" si="106">IF(X170&lt;&gt;0,($J$35*O170*$L$36),0)</f>
        <v>2.6269165545362472</v>
      </c>
      <c r="AD170" s="30">
        <f t="shared" ref="AD170:AD233" si="107">IF(Y170&lt;&gt;0,($J$36*P170*$L$36),0)</f>
        <v>0</v>
      </c>
      <c r="AE170" s="32">
        <f t="shared" si="76"/>
        <v>12.985327032917576</v>
      </c>
      <c r="AF170" s="33">
        <f t="shared" si="84"/>
        <v>12.985327032917576</v>
      </c>
      <c r="AG170" s="40">
        <f t="shared" si="77"/>
        <v>18.138994900732136</v>
      </c>
      <c r="AH170" s="224">
        <f>AG170*$P$36</f>
        <v>1.521293013708511</v>
      </c>
      <c r="AI170" s="226">
        <f>SUM(Z170,IF(Z170&lt;&gt;0,$F$34,0),IF(Z170&lt;&gt;0,$N$36,0),IF(Z170&lt;&gt;0,$T$36,0),IF(Z170=0,AH175,IF(Z170=1,AH176,IF(Z170=2,AH177,IF(Z170=3,AH178,IF(Z170=4,AH179,IF(Z170=5,AH180,IF(Z170=6,AH181,IF(Z170=7,AH182,IF(Z170=8,AH183,IF(Z170=9,AH184,IF(Z170=10,AH185,IF(Z170=11,AH186,IF(Z170=12,AH187,IF(Z170=13,AH188,IF(Z170=14,AH189,IF(Z170=15,AH190,IF(Z170=16,AH191,IF(Z170=17,AH192,IF(Z170=18,AH193,IF(Z170=19,AH194,IF(Z170=20,AH195,IF(Z170=21,AH196,IF(Z170=22,AH197,IF(Z170=23,AH198,IF(Z170=24,AH199,IF(Z170=25,AH200,IF(Z170=26,AH201,IF(Z170=27,AH202,IF(Z170=28,AH203,IF(Z170=29,AH204,IF(Z170=30,AH205))))))))))))))))))))))))))))))))</f>
        <v>35.541602795770061</v>
      </c>
      <c r="AJ170" s="253">
        <f>IF(V170&lt;&gt;0,SUM($F$34,V170,$N$36,MAX($AH$42:$AH$342),$T$36),0)</f>
        <v>43.892688610374449</v>
      </c>
      <c r="AK170" s="253">
        <f>IF(W170&lt;&gt;0,SUM($F$34,W170,$N$36,MAX($AH$42:$AH$342),$T$36),0)</f>
        <v>37.45637575323159</v>
      </c>
      <c r="AL170" s="253">
        <f>IF(X170&lt;&gt;0,SUM($F$34,X170,$N$36,MAX($AH$42:$AH$342),$T$36),0)</f>
        <v>35.614834610374444</v>
      </c>
      <c r="AM170" s="260">
        <f>IF(Y170&lt;&gt;0,SUM($F$34,Y170,$N$36,MAX($AH$42:$AH$342),$T$36),0)</f>
        <v>0</v>
      </c>
    </row>
    <row r="171" spans="1:39" x14ac:dyDescent="0.35">
      <c r="A171" s="259">
        <v>1509</v>
      </c>
      <c r="B171" s="58">
        <f>SUMIF([2]!Table2_23[ETA],'FIS Optimal Model (2)'!A171,[2]!Table2_23[FIS PAX])</f>
        <v>0</v>
      </c>
      <c r="C171" s="44">
        <f t="shared" si="78"/>
        <v>18</v>
      </c>
      <c r="D171" s="52">
        <f t="shared" si="83"/>
        <v>149</v>
      </c>
      <c r="E171" s="26">
        <f t="shared" ref="E171:E234" si="108">ROUNDUP($C$33*C171,0)</f>
        <v>10</v>
      </c>
      <c r="F171" s="26">
        <f t="shared" ref="F171:F234" si="109">ROUNDUP($C$34*C171,0)</f>
        <v>5</v>
      </c>
      <c r="G171" s="26">
        <f t="shared" ref="G171:G234" si="110">ROUNDUP($C$35*C171,0)</f>
        <v>3</v>
      </c>
      <c r="H171" s="26">
        <f t="shared" ref="H171:H234" si="111">ROUNDUP($C$36*C171,0)</f>
        <v>1</v>
      </c>
      <c r="I171" s="27">
        <f t="shared" si="85"/>
        <v>10</v>
      </c>
      <c r="J171" s="27">
        <f t="shared" si="85"/>
        <v>5</v>
      </c>
      <c r="K171" s="27">
        <f t="shared" si="85"/>
        <v>3</v>
      </c>
      <c r="L171" s="27">
        <f t="shared" si="85"/>
        <v>1</v>
      </c>
      <c r="M171" s="28">
        <f t="shared" si="100"/>
        <v>3</v>
      </c>
      <c r="N171" s="29">
        <f t="shared" si="101"/>
        <v>7</v>
      </c>
      <c r="O171" s="28">
        <f t="shared" si="102"/>
        <v>1</v>
      </c>
      <c r="P171" s="28">
        <f t="shared" si="103"/>
        <v>0</v>
      </c>
      <c r="Q171" s="28">
        <f t="shared" ref="Q171:Q234" si="112">SUM(M171:P171)</f>
        <v>11</v>
      </c>
      <c r="R171" s="22">
        <f t="shared" ref="R171:R234" si="113">MAX(R170-($J$33*M171*$L$36)+I171,0)</f>
        <v>109.54835834199974</v>
      </c>
      <c r="S171" s="22">
        <f t="shared" ref="S171:S234" si="114">IF(U171&lt;&gt;0,(MAX(S170-($J$34*N171*$L$36)+J171,0)),(MAX(S170-($J$34*(N171+P171)*$L$36)+J171,0)))</f>
        <v>33.423901066547579</v>
      </c>
      <c r="T171" s="22">
        <f t="shared" ref="T171:T234" si="115">MAX(T170-($J$35*O171*$L$36)+K171,0)</f>
        <v>17.954002691130057</v>
      </c>
      <c r="U171" s="22">
        <f t="shared" ref="U171:U234" si="116">MAX(U170-($J$36*P171*$L$36)+L171,0)</f>
        <v>9</v>
      </c>
      <c r="V171" s="21">
        <f t="shared" si="86"/>
        <v>14.747400000000004</v>
      </c>
      <c r="W171" s="21">
        <f t="shared" si="91"/>
        <v>8.1900685714285721</v>
      </c>
      <c r="X171" s="21">
        <f t="shared" si="81"/>
        <v>6.1511669999999956</v>
      </c>
      <c r="Y171" s="21">
        <f t="shared" si="82"/>
        <v>0</v>
      </c>
      <c r="Z171" s="221">
        <f t="shared" ref="Z171:Z234" si="117">ROUNDUP(SUM(V171*$C$33,W171*$C$34,X171*$C$35,Y171*$C$36),0)</f>
        <v>12</v>
      </c>
      <c r="AA171" s="30">
        <f t="shared" si="104"/>
        <v>6.6854850690833461</v>
      </c>
      <c r="AB171" s="30">
        <f t="shared" si="105"/>
        <v>3.6729254092979819</v>
      </c>
      <c r="AC171" s="30">
        <f t="shared" si="106"/>
        <v>2.6269165545362472</v>
      </c>
      <c r="AD171" s="30">
        <f t="shared" si="107"/>
        <v>0</v>
      </c>
      <c r="AE171" s="32">
        <f t="shared" ref="AE171:AE234" si="118">SUM(AA171:AD171)</f>
        <v>12.985327032917576</v>
      </c>
      <c r="AF171" s="33">
        <f t="shared" si="84"/>
        <v>12.985327032917576</v>
      </c>
      <c r="AG171" s="40">
        <f t="shared" ref="AG171:AG234" si="119">MAX(AG170-$Q$36+AF171,0)</f>
        <v>19.20091550419793</v>
      </c>
      <c r="AH171" s="224">
        <f>AG171*$P$36</f>
        <v>1.6103548610714227</v>
      </c>
      <c r="AI171" s="226">
        <f>SUM(Z171,IF(Z171&lt;&gt;0,$F$34,0),IF(Z171&lt;&gt;0,$N$36,0),IF(Z171&lt;&gt;0,$T$36,0),IF(Z171=0,AH176,IF(Z171=1,AH177,IF(Z171=2,AH178,IF(Z171=3,AH179,IF(Z171=4,AH180,IF(Z171=5,AH181,IF(Z171=6,AH182,IF(Z171=7,AH183,IF(Z171=8,AH184,IF(Z171=9,AH185,IF(Z171=10,AH186,IF(Z171=11,AH187,IF(Z171=12,AH188,IF(Z171=13,AH189,IF(Z171=14,AH190,IF(Z171=15,AH191,IF(Z171=16,AH192,IF(Z171=17,AH193,IF(Z171=18,AH194,IF(Z171=19,AH195,IF(Z171=20,AH196,IF(Z171=21,AH197,IF(Z171=22,AH198,IF(Z171=23,AH199,IF(Z171=24,AH200,IF(Z171=25,AH201,IF(Z171=26,AH202,IF(Z171=27,AH203,IF(Z171=28,AH204,IF(Z171=29,AH205,IF(Z171=30,AH206))))))))))))))))))))))))))))))))</f>
        <v>36.957854580197868</v>
      </c>
      <c r="AJ171" s="253">
        <f>IF(V171&lt;&gt;0,SUM($F$34,V171,$N$36,MAX($AH$42:$AH$342),$T$36),0)</f>
        <v>44.338888610374454</v>
      </c>
      <c r="AK171" s="253">
        <f>IF(W171&lt;&gt;0,SUM($F$34,W171,$N$36,MAX($AH$42:$AH$342),$T$36),0)</f>
        <v>37.781557181803024</v>
      </c>
      <c r="AL171" s="253">
        <f>IF(X171&lt;&gt;0,SUM($F$34,X171,$N$36,MAX($AH$42:$AH$342),$T$36),0)</f>
        <v>35.742655610374442</v>
      </c>
      <c r="AM171" s="260">
        <f>IF(Y171&lt;&gt;0,SUM($F$34,Y171,$N$36,MAX($AH$42:$AH$342),$T$36),0)</f>
        <v>0</v>
      </c>
    </row>
    <row r="172" spans="1:39" x14ac:dyDescent="0.35">
      <c r="A172" s="259">
        <v>1510</v>
      </c>
      <c r="B172" s="58">
        <f>SUMIF([2]!Table2_23[ETA],'FIS Optimal Model (2)'!A172,[2]!Table2_23[FIS PAX])</f>
        <v>0</v>
      </c>
      <c r="C172" s="44">
        <f t="shared" ref="C172:C235" si="120">IF((D171-D172)&gt;-1,(D171-D172),18)</f>
        <v>18</v>
      </c>
      <c r="D172" s="52">
        <f t="shared" si="83"/>
        <v>131</v>
      </c>
      <c r="E172" s="26">
        <f t="shared" si="108"/>
        <v>10</v>
      </c>
      <c r="F172" s="26">
        <f t="shared" si="109"/>
        <v>5</v>
      </c>
      <c r="G172" s="26">
        <f t="shared" si="110"/>
        <v>3</v>
      </c>
      <c r="H172" s="26">
        <f t="shared" si="111"/>
        <v>1</v>
      </c>
      <c r="I172" s="27">
        <f t="shared" si="85"/>
        <v>10</v>
      </c>
      <c r="J172" s="27">
        <f t="shared" si="85"/>
        <v>5</v>
      </c>
      <c r="K172" s="27">
        <f t="shared" si="85"/>
        <v>3</v>
      </c>
      <c r="L172" s="27">
        <f t="shared" si="85"/>
        <v>1</v>
      </c>
      <c r="M172" s="28">
        <f t="shared" si="100"/>
        <v>3</v>
      </c>
      <c r="N172" s="29">
        <f t="shared" si="101"/>
        <v>7</v>
      </c>
      <c r="O172" s="28">
        <f t="shared" si="102"/>
        <v>1</v>
      </c>
      <c r="P172" s="28">
        <f t="shared" si="103"/>
        <v>0</v>
      </c>
      <c r="Q172" s="28">
        <f t="shared" si="112"/>
        <v>11</v>
      </c>
      <c r="R172" s="22">
        <f t="shared" si="113"/>
        <v>112.8628732729164</v>
      </c>
      <c r="S172" s="22">
        <f t="shared" si="114"/>
        <v>34.750975657249597</v>
      </c>
      <c r="T172" s="22">
        <f t="shared" si="115"/>
        <v>18.32708613659381</v>
      </c>
      <c r="U172" s="22">
        <f t="shared" si="116"/>
        <v>10</v>
      </c>
      <c r="V172" s="21">
        <f t="shared" si="86"/>
        <v>15.193600000000005</v>
      </c>
      <c r="W172" s="21">
        <f t="shared" si="91"/>
        <v>8.51525</v>
      </c>
      <c r="X172" s="21">
        <f t="shared" ref="X172:X235" si="121">IFERROR(T172*($I$35/O172),0)</f>
        <v>6.2789879999999956</v>
      </c>
      <c r="Y172" s="21">
        <f t="shared" ref="Y172:Y235" si="122">IFERROR(U172*($I$36/P172),0)</f>
        <v>0</v>
      </c>
      <c r="Z172" s="221">
        <f t="shared" si="117"/>
        <v>12</v>
      </c>
      <c r="AA172" s="30">
        <f t="shared" si="104"/>
        <v>6.6854850690833461</v>
      </c>
      <c r="AB172" s="30">
        <f t="shared" si="105"/>
        <v>3.6729254092979819</v>
      </c>
      <c r="AC172" s="30">
        <f t="shared" si="106"/>
        <v>2.6269165545362472</v>
      </c>
      <c r="AD172" s="30">
        <f t="shared" si="107"/>
        <v>0</v>
      </c>
      <c r="AE172" s="32">
        <f t="shared" si="118"/>
        <v>12.985327032917576</v>
      </c>
      <c r="AF172" s="33">
        <f t="shared" si="84"/>
        <v>12.985327032917576</v>
      </c>
      <c r="AG172" s="40">
        <f t="shared" si="119"/>
        <v>20.262836107663723</v>
      </c>
      <c r="AH172" s="224">
        <f>AG172*$P$36</f>
        <v>1.6994167084343343</v>
      </c>
      <c r="AI172" s="226">
        <f>SUM(Z172,IF(Z172&lt;&gt;0,$F$34,0),IF(Z172&lt;&gt;0,$N$36,0),IF(Z172&lt;&gt;0,$T$36,0),IF(Z172=0,AH177,IF(Z172=1,AH178,IF(Z172=2,AH179,IF(Z172=3,AH180,IF(Z172=4,AH181,IF(Z172=5,AH182,IF(Z172=6,AH183,IF(Z172=7,AH184,IF(Z172=8,AH185,IF(Z172=9,AH186,IF(Z172=10,AH187,IF(Z172=11,AH188,IF(Z172=12,AH189,IF(Z172=13,AH190,IF(Z172=14,AH191,IF(Z172=15,AH192,IF(Z172=16,AH193,IF(Z172=17,AH194,IF(Z172=18,AH195,IF(Z172=19,AH196,IF(Z172=20,AH197,IF(Z172=21,AH198,IF(Z172=22,AH199,IF(Z172=23,AH200,IF(Z172=24,AH201,IF(Z172=25,AH202,IF(Z172=26,AH203,IF(Z172=27,AH204,IF(Z172=28,AH205,IF(Z172=29,AH206,IF(Z172=30,AH207))))))))))))))))))))))))))))))))</f>
        <v>37.165980472411775</v>
      </c>
      <c r="AJ172" s="253">
        <f>IF(V172&lt;&gt;0,SUM($F$34,V172,$N$36,MAX($AH$42:$AH$342),$T$36),0)</f>
        <v>44.785088610374451</v>
      </c>
      <c r="AK172" s="253">
        <f>IF(W172&lt;&gt;0,SUM($F$34,W172,$N$36,MAX($AH$42:$AH$342),$T$36),0)</f>
        <v>38.10673861037445</v>
      </c>
      <c r="AL172" s="253">
        <f>IF(X172&lt;&gt;0,SUM($F$34,X172,$N$36,MAX($AH$42:$AH$342),$T$36),0)</f>
        <v>35.870476610374439</v>
      </c>
      <c r="AM172" s="260">
        <f>IF(Y172&lt;&gt;0,SUM($F$34,Y172,$N$36,MAX($AH$42:$AH$342),$T$36),0)</f>
        <v>0</v>
      </c>
    </row>
    <row r="173" spans="1:39" x14ac:dyDescent="0.35">
      <c r="A173" s="259">
        <v>1511</v>
      </c>
      <c r="B173" s="58">
        <f>SUMIF([2]!Table2_23[ETA],'FIS Optimal Model (2)'!A173,[2]!Table2_23[FIS PAX])</f>
        <v>0</v>
      </c>
      <c r="C173" s="44">
        <f t="shared" si="120"/>
        <v>18</v>
      </c>
      <c r="D173" s="52">
        <f t="shared" ref="D173:D236" si="123">MAX(D172-$E$34+B172,0)</f>
        <v>113</v>
      </c>
      <c r="E173" s="26">
        <f t="shared" si="108"/>
        <v>10</v>
      </c>
      <c r="F173" s="26">
        <f t="shared" si="109"/>
        <v>5</v>
      </c>
      <c r="G173" s="26">
        <f t="shared" si="110"/>
        <v>3</v>
      </c>
      <c r="H173" s="26">
        <f t="shared" si="111"/>
        <v>1</v>
      </c>
      <c r="I173" s="27">
        <f t="shared" si="85"/>
        <v>10</v>
      </c>
      <c r="J173" s="27">
        <f t="shared" si="85"/>
        <v>5</v>
      </c>
      <c r="K173" s="27">
        <f t="shared" si="85"/>
        <v>3</v>
      </c>
      <c r="L173" s="27">
        <f t="shared" si="85"/>
        <v>1</v>
      </c>
      <c r="M173" s="28">
        <f t="shared" si="100"/>
        <v>3</v>
      </c>
      <c r="N173" s="29">
        <f t="shared" si="101"/>
        <v>7</v>
      </c>
      <c r="O173" s="28">
        <f t="shared" si="102"/>
        <v>1</v>
      </c>
      <c r="P173" s="28">
        <f t="shared" si="103"/>
        <v>0</v>
      </c>
      <c r="Q173" s="28">
        <f t="shared" si="112"/>
        <v>11</v>
      </c>
      <c r="R173" s="22">
        <f t="shared" si="113"/>
        <v>116.17738820383306</v>
      </c>
      <c r="S173" s="22">
        <f t="shared" si="114"/>
        <v>36.078050247951616</v>
      </c>
      <c r="T173" s="22">
        <f t="shared" si="115"/>
        <v>18.700169582057562</v>
      </c>
      <c r="U173" s="22">
        <f t="shared" si="116"/>
        <v>11</v>
      </c>
      <c r="V173" s="21">
        <f t="shared" si="86"/>
        <v>15.639800000000006</v>
      </c>
      <c r="W173" s="21">
        <f t="shared" si="91"/>
        <v>8.8404314285714296</v>
      </c>
      <c r="X173" s="21">
        <f t="shared" si="121"/>
        <v>6.4068089999999946</v>
      </c>
      <c r="Y173" s="21">
        <f t="shared" si="122"/>
        <v>0</v>
      </c>
      <c r="Z173" s="221">
        <f t="shared" si="117"/>
        <v>12</v>
      </c>
      <c r="AA173" s="30">
        <f t="shared" si="104"/>
        <v>6.6854850690833461</v>
      </c>
      <c r="AB173" s="30">
        <f t="shared" si="105"/>
        <v>3.6729254092979819</v>
      </c>
      <c r="AC173" s="30">
        <f t="shared" si="106"/>
        <v>2.6269165545362472</v>
      </c>
      <c r="AD173" s="30">
        <f t="shared" si="107"/>
        <v>0</v>
      </c>
      <c r="AE173" s="32">
        <f t="shared" si="118"/>
        <v>12.985327032917576</v>
      </c>
      <c r="AF173" s="33">
        <f t="shared" si="84"/>
        <v>12.985327032917576</v>
      </c>
      <c r="AG173" s="40">
        <f t="shared" si="119"/>
        <v>21.324756711129517</v>
      </c>
      <c r="AH173" s="224">
        <f>AG173*$P$36</f>
        <v>1.788478555797246</v>
      </c>
      <c r="AI173" s="226">
        <f>SUM(Z173,IF(Z173&lt;&gt;0,$F$34,0),IF(Z173&lt;&gt;0,$N$36,0),IF(Z173&lt;&gt;0,$T$36,0),IF(Z173=0,AH178,IF(Z173=1,AH179,IF(Z173=2,AH180,IF(Z173=3,AH181,IF(Z173=4,AH182,IF(Z173=5,AH183,IF(Z173=6,AH184,IF(Z173=7,AH185,IF(Z173=8,AH186,IF(Z173=9,AH187,IF(Z173=10,AH188,IF(Z173=11,AH189,IF(Z173=12,AH190,IF(Z173=13,AH191,IF(Z173=14,AH192,IF(Z173=15,AH193,IF(Z173=16,AH194,IF(Z173=17,AH195,IF(Z173=18,AH196,IF(Z173=19,AH197,IF(Z173=20,AH198,IF(Z173=21,AH199,IF(Z173=22,AH200,IF(Z173=23,AH201,IF(Z173=24,AH202,IF(Z173=25,AH203,IF(Z173=26,AH204,IF(Z173=27,AH205,IF(Z173=28,AH206,IF(Z173=29,AH207,IF(Z173=30,AH208))))))))))))))))))))))))))))))))</f>
        <v>37.374106364625682</v>
      </c>
      <c r="AJ173" s="253">
        <f>IF(V173&lt;&gt;0,SUM($F$34,V173,$N$36,MAX($AH$42:$AH$342),$T$36),0)</f>
        <v>45.231288610374456</v>
      </c>
      <c r="AK173" s="253">
        <f>IF(W173&lt;&gt;0,SUM($F$34,W173,$N$36,MAX($AH$42:$AH$342),$T$36),0)</f>
        <v>38.431920038945876</v>
      </c>
      <c r="AL173" s="253">
        <f>IF(X173&lt;&gt;0,SUM($F$34,X173,$N$36,MAX($AH$42:$AH$342),$T$36),0)</f>
        <v>35.998297610374443</v>
      </c>
      <c r="AM173" s="260">
        <f>IF(Y173&lt;&gt;0,SUM($F$34,Y173,$N$36,MAX($AH$42:$AH$342),$T$36),0)</f>
        <v>0</v>
      </c>
    </row>
    <row r="174" spans="1:39" x14ac:dyDescent="0.35">
      <c r="A174" s="259">
        <v>1512</v>
      </c>
      <c r="B174" s="58">
        <f>SUMIF([2]!Table2_23[ETA],'FIS Optimal Model (2)'!A174,[2]!Table2_23[FIS PAX])</f>
        <v>0</v>
      </c>
      <c r="C174" s="44">
        <f t="shared" si="120"/>
        <v>18</v>
      </c>
      <c r="D174" s="52">
        <f t="shared" si="123"/>
        <v>95</v>
      </c>
      <c r="E174" s="26">
        <f t="shared" si="108"/>
        <v>10</v>
      </c>
      <c r="F174" s="26">
        <f t="shared" si="109"/>
        <v>5</v>
      </c>
      <c r="G174" s="26">
        <f t="shared" si="110"/>
        <v>3</v>
      </c>
      <c r="H174" s="26">
        <f t="shared" si="111"/>
        <v>1</v>
      </c>
      <c r="I174" s="27">
        <f t="shared" si="85"/>
        <v>10</v>
      </c>
      <c r="J174" s="27">
        <f t="shared" si="85"/>
        <v>5</v>
      </c>
      <c r="K174" s="27">
        <f t="shared" si="85"/>
        <v>3</v>
      </c>
      <c r="L174" s="27">
        <f t="shared" si="85"/>
        <v>1</v>
      </c>
      <c r="M174" s="28">
        <f t="shared" si="100"/>
        <v>3</v>
      </c>
      <c r="N174" s="29">
        <f t="shared" si="101"/>
        <v>7</v>
      </c>
      <c r="O174" s="28">
        <f t="shared" si="102"/>
        <v>1</v>
      </c>
      <c r="P174" s="28">
        <f t="shared" si="103"/>
        <v>0</v>
      </c>
      <c r="Q174" s="28">
        <f t="shared" si="112"/>
        <v>11</v>
      </c>
      <c r="R174" s="22">
        <f t="shared" si="113"/>
        <v>119.49190313474972</v>
      </c>
      <c r="S174" s="22">
        <f t="shared" si="114"/>
        <v>37.405124838653634</v>
      </c>
      <c r="T174" s="22">
        <f t="shared" si="115"/>
        <v>19.073253027521314</v>
      </c>
      <c r="U174" s="22">
        <f t="shared" si="116"/>
        <v>12</v>
      </c>
      <c r="V174" s="21">
        <f t="shared" si="86"/>
        <v>16.086000000000006</v>
      </c>
      <c r="W174" s="21">
        <f t="shared" si="91"/>
        <v>9.1656128571428575</v>
      </c>
      <c r="X174" s="21">
        <f t="shared" si="121"/>
        <v>6.5346299999999946</v>
      </c>
      <c r="Y174" s="21">
        <f t="shared" si="122"/>
        <v>0</v>
      </c>
      <c r="Z174" s="221">
        <f t="shared" si="117"/>
        <v>13</v>
      </c>
      <c r="AA174" s="30">
        <f t="shared" si="104"/>
        <v>6.6854850690833461</v>
      </c>
      <c r="AB174" s="30">
        <f t="shared" si="105"/>
        <v>3.6729254092979819</v>
      </c>
      <c r="AC174" s="30">
        <f t="shared" si="106"/>
        <v>2.6269165545362472</v>
      </c>
      <c r="AD174" s="30">
        <f t="shared" si="107"/>
        <v>0</v>
      </c>
      <c r="AE174" s="32">
        <f t="shared" si="118"/>
        <v>12.985327032917576</v>
      </c>
      <c r="AF174" s="33">
        <f t="shared" si="84"/>
        <v>12.985327032917576</v>
      </c>
      <c r="AG174" s="40">
        <f t="shared" si="119"/>
        <v>22.38667731459531</v>
      </c>
      <c r="AH174" s="224">
        <f>AG174*$P$36</f>
        <v>1.8775404031601577</v>
      </c>
      <c r="AI174" s="226">
        <f>SUM(Z174,IF(Z174&lt;&gt;0,$F$34,0),IF(Z174&lt;&gt;0,$N$36,0),IF(Z174&lt;&gt;0,$T$36,0),IF(Z174=0,AH179,IF(Z174=1,AH180,IF(Z174=2,AH181,IF(Z174=3,AH182,IF(Z174=4,AH183,IF(Z174=5,AH184,IF(Z174=6,AH185,IF(Z174=7,AH186,IF(Z174=8,AH187,IF(Z174=9,AH188,IF(Z174=10,AH189,IF(Z174=11,AH190,IF(Z174=12,AH191,IF(Z174=13,AH192,IF(Z174=14,AH193,IF(Z174=15,AH194,IF(Z174=16,AH195,IF(Z174=17,AH196,IF(Z174=18,AH197,IF(Z174=19,AH198,IF(Z174=20,AH199,IF(Z174=21,AH200,IF(Z174=22,AH201,IF(Z174=23,AH202,IF(Z174=24,AH203,IF(Z174=25,AH204,IF(Z174=26,AH205,IF(Z174=27,AH206,IF(Z174=28,AH207,IF(Z174=29,AH208,IF(Z174=30,AH209))))))))))))))))))))))))))))))))</f>
        <v>38.790358149053489</v>
      </c>
      <c r="AJ174" s="253">
        <f>IF(V174&lt;&gt;0,SUM($F$34,V174,$N$36,MAX($AH$42:$AH$342),$T$36),0)</f>
        <v>45.677488610374454</v>
      </c>
      <c r="AK174" s="253">
        <f>IF(W174&lt;&gt;0,SUM($F$34,W174,$N$36,MAX($AH$42:$AH$342),$T$36),0)</f>
        <v>38.757101467517302</v>
      </c>
      <c r="AL174" s="253">
        <f>IF(X174&lt;&gt;0,SUM($F$34,X174,$N$36,MAX($AH$42:$AH$342),$T$36),0)</f>
        <v>36.126118610374441</v>
      </c>
      <c r="AM174" s="260">
        <f>IF(Y174&lt;&gt;0,SUM($F$34,Y174,$N$36,MAX($AH$42:$AH$342),$T$36),0)</f>
        <v>0</v>
      </c>
    </row>
    <row r="175" spans="1:39" x14ac:dyDescent="0.35">
      <c r="A175" s="259">
        <v>1513</v>
      </c>
      <c r="B175" s="58">
        <f>SUMIF([2]!Table2_23[ETA],'FIS Optimal Model (2)'!A175,[2]!Table2_23[FIS PAX])</f>
        <v>0</v>
      </c>
      <c r="C175" s="44">
        <f t="shared" si="120"/>
        <v>18</v>
      </c>
      <c r="D175" s="52">
        <f t="shared" si="123"/>
        <v>77</v>
      </c>
      <c r="E175" s="26">
        <f t="shared" si="108"/>
        <v>10</v>
      </c>
      <c r="F175" s="26">
        <f t="shared" si="109"/>
        <v>5</v>
      </c>
      <c r="G175" s="26">
        <f t="shared" si="110"/>
        <v>3</v>
      </c>
      <c r="H175" s="26">
        <f t="shared" si="111"/>
        <v>1</v>
      </c>
      <c r="I175" s="27">
        <f t="shared" si="85"/>
        <v>10</v>
      </c>
      <c r="J175" s="27">
        <f t="shared" si="85"/>
        <v>5</v>
      </c>
      <c r="K175" s="27">
        <f t="shared" si="85"/>
        <v>3</v>
      </c>
      <c r="L175" s="27">
        <f t="shared" ref="L175:L238" si="124">H170</f>
        <v>1</v>
      </c>
      <c r="M175" s="28">
        <f t="shared" si="100"/>
        <v>3</v>
      </c>
      <c r="N175" s="29">
        <f t="shared" si="101"/>
        <v>7</v>
      </c>
      <c r="O175" s="28">
        <f t="shared" si="102"/>
        <v>1</v>
      </c>
      <c r="P175" s="28">
        <f t="shared" si="103"/>
        <v>0</v>
      </c>
      <c r="Q175" s="28">
        <f t="shared" si="112"/>
        <v>11</v>
      </c>
      <c r="R175" s="22">
        <f t="shared" si="113"/>
        <v>122.80641806566638</v>
      </c>
      <c r="S175" s="22">
        <f t="shared" si="114"/>
        <v>38.732199429355653</v>
      </c>
      <c r="T175" s="22">
        <f t="shared" si="115"/>
        <v>19.446336472985067</v>
      </c>
      <c r="U175" s="22">
        <f t="shared" si="116"/>
        <v>13</v>
      </c>
      <c r="V175" s="21">
        <f t="shared" si="86"/>
        <v>16.532200000000007</v>
      </c>
      <c r="W175" s="21">
        <f t="shared" si="91"/>
        <v>9.4907942857142871</v>
      </c>
      <c r="X175" s="21">
        <f t="shared" si="121"/>
        <v>6.6624509999999946</v>
      </c>
      <c r="Y175" s="21">
        <f t="shared" si="122"/>
        <v>0</v>
      </c>
      <c r="Z175" s="221">
        <f t="shared" si="117"/>
        <v>13</v>
      </c>
      <c r="AA175" s="30">
        <f t="shared" si="104"/>
        <v>6.6854850690833461</v>
      </c>
      <c r="AB175" s="30">
        <f t="shared" si="105"/>
        <v>3.6729254092979819</v>
      </c>
      <c r="AC175" s="30">
        <f t="shared" si="106"/>
        <v>2.6269165545362472</v>
      </c>
      <c r="AD175" s="30">
        <f t="shared" si="107"/>
        <v>0</v>
      </c>
      <c r="AE175" s="32">
        <f t="shared" si="118"/>
        <v>12.985327032917576</v>
      </c>
      <c r="AF175" s="33">
        <f t="shared" ref="AF175:AF238" si="125">AE171</f>
        <v>12.985327032917576</v>
      </c>
      <c r="AG175" s="40">
        <f t="shared" si="119"/>
        <v>23.448597918061104</v>
      </c>
      <c r="AH175" s="224">
        <f>AG175*$P$36</f>
        <v>1.9666022505230691</v>
      </c>
      <c r="AI175" s="226">
        <f>SUM(Z175,IF(Z175&lt;&gt;0,$F$34,0),IF(Z175&lt;&gt;0,$N$36,0),IF(Z175&lt;&gt;0,$T$36,0),IF(Z175=0,AH180,IF(Z175=1,AH181,IF(Z175=2,AH182,IF(Z175=3,AH183,IF(Z175=4,AH184,IF(Z175=5,AH185,IF(Z175=6,AH186,IF(Z175=7,AH187,IF(Z175=8,AH188,IF(Z175=9,AH189,IF(Z175=10,AH190,IF(Z175=11,AH191,IF(Z175=12,AH192,IF(Z175=13,AH193,IF(Z175=14,AH194,IF(Z175=15,AH195,IF(Z175=16,AH196,IF(Z175=17,AH197,IF(Z175=18,AH198,IF(Z175=19,AH199,IF(Z175=20,AH200,IF(Z175=21,AH201,IF(Z175=22,AH202,IF(Z175=23,AH203,IF(Z175=24,AH204,IF(Z175=25,AH205,IF(Z175=26,AH206,IF(Z175=27,AH207,IF(Z175=28,AH208,IF(Z175=29,AH209,IF(Z175=30,AH210))))))))))))))))))))))))))))))))</f>
        <v>38.835413811354755</v>
      </c>
      <c r="AJ175" s="253">
        <f>IF(V175&lt;&gt;0,SUM($F$34,V175,$N$36,MAX($AH$42:$AH$342),$T$36),0)</f>
        <v>46.123688610374458</v>
      </c>
      <c r="AK175" s="253">
        <f>IF(W175&lt;&gt;0,SUM($F$34,W175,$N$36,MAX($AH$42:$AH$342),$T$36),0)</f>
        <v>39.082282896088735</v>
      </c>
      <c r="AL175" s="253">
        <f>IF(X175&lt;&gt;0,SUM($F$34,X175,$N$36,MAX($AH$42:$AH$342),$T$36),0)</f>
        <v>36.253939610374445</v>
      </c>
      <c r="AM175" s="260">
        <f>IF(Y175&lt;&gt;0,SUM($F$34,Y175,$N$36,MAX($AH$42:$AH$342),$T$36),0)</f>
        <v>0</v>
      </c>
    </row>
    <row r="176" spans="1:39" x14ac:dyDescent="0.35">
      <c r="A176" s="259">
        <v>1514</v>
      </c>
      <c r="B176" s="58">
        <f>SUMIF([2]!Table2_23[ETA],'FIS Optimal Model (2)'!A176,[2]!Table2_23[FIS PAX])</f>
        <v>0</v>
      </c>
      <c r="C176" s="44">
        <f t="shared" si="120"/>
        <v>18</v>
      </c>
      <c r="D176" s="52">
        <f t="shared" si="123"/>
        <v>59</v>
      </c>
      <c r="E176" s="26">
        <f t="shared" si="108"/>
        <v>10</v>
      </c>
      <c r="F176" s="26">
        <f t="shared" si="109"/>
        <v>5</v>
      </c>
      <c r="G176" s="26">
        <f t="shared" si="110"/>
        <v>3</v>
      </c>
      <c r="H176" s="26">
        <f t="shared" si="111"/>
        <v>1</v>
      </c>
      <c r="I176" s="27">
        <f t="shared" ref="I176:L239" si="126">E171</f>
        <v>10</v>
      </c>
      <c r="J176" s="27">
        <f t="shared" si="126"/>
        <v>5</v>
      </c>
      <c r="K176" s="27">
        <f t="shared" si="126"/>
        <v>3</v>
      </c>
      <c r="L176" s="27">
        <f t="shared" si="124"/>
        <v>1</v>
      </c>
      <c r="M176" s="28">
        <f t="shared" si="100"/>
        <v>3</v>
      </c>
      <c r="N176" s="29">
        <f t="shared" si="101"/>
        <v>7</v>
      </c>
      <c r="O176" s="28">
        <f t="shared" si="102"/>
        <v>1</v>
      </c>
      <c r="P176" s="28">
        <f t="shared" si="103"/>
        <v>0</v>
      </c>
      <c r="Q176" s="28">
        <f t="shared" si="112"/>
        <v>11</v>
      </c>
      <c r="R176" s="22">
        <f t="shared" si="113"/>
        <v>126.12093299658304</v>
      </c>
      <c r="S176" s="22">
        <f t="shared" si="114"/>
        <v>40.059274020057671</v>
      </c>
      <c r="T176" s="22">
        <f t="shared" si="115"/>
        <v>19.819419918448819</v>
      </c>
      <c r="U176" s="22">
        <f t="shared" si="116"/>
        <v>14</v>
      </c>
      <c r="V176" s="21">
        <f t="shared" si="86"/>
        <v>16.978400000000008</v>
      </c>
      <c r="W176" s="21">
        <f t="shared" si="91"/>
        <v>9.8159757142857149</v>
      </c>
      <c r="X176" s="21">
        <f t="shared" si="121"/>
        <v>6.7902719999999945</v>
      </c>
      <c r="Y176" s="21">
        <f t="shared" si="122"/>
        <v>0</v>
      </c>
      <c r="Z176" s="221">
        <f t="shared" si="117"/>
        <v>13</v>
      </c>
      <c r="AA176" s="30">
        <f t="shared" si="104"/>
        <v>6.6854850690833461</v>
      </c>
      <c r="AB176" s="30">
        <f t="shared" si="105"/>
        <v>3.6729254092979819</v>
      </c>
      <c r="AC176" s="30">
        <f t="shared" si="106"/>
        <v>2.6269165545362472</v>
      </c>
      <c r="AD176" s="30">
        <f t="shared" si="107"/>
        <v>0</v>
      </c>
      <c r="AE176" s="32">
        <f t="shared" si="118"/>
        <v>12.985327032917576</v>
      </c>
      <c r="AF176" s="33">
        <f t="shared" si="125"/>
        <v>12.985327032917576</v>
      </c>
      <c r="AG176" s="40">
        <f t="shared" si="119"/>
        <v>24.510518521526897</v>
      </c>
      <c r="AH176" s="224">
        <f>AG176*$P$36</f>
        <v>2.0556640978859808</v>
      </c>
      <c r="AI176" s="226">
        <f>SUM(Z176,IF(Z176&lt;&gt;0,$F$34,0),IF(Z176&lt;&gt;0,$N$36,0),IF(Z176&lt;&gt;0,$T$36,0),IF(Z176=0,AH181,IF(Z176=1,AH182,IF(Z176=2,AH183,IF(Z176=3,AH184,IF(Z176=4,AH185,IF(Z176=5,AH186,IF(Z176=6,AH187,IF(Z176=7,AH188,IF(Z176=8,AH189,IF(Z176=9,AH190,IF(Z176=10,AH191,IF(Z176=11,AH192,IF(Z176=12,AH193,IF(Z176=13,AH194,IF(Z176=14,AH195,IF(Z176=15,AH196,IF(Z176=16,AH197,IF(Z176=17,AH198,IF(Z176=18,AH199,IF(Z176=19,AH200,IF(Z176=20,AH201,IF(Z176=21,AH202,IF(Z176=22,AH203,IF(Z176=23,AH204,IF(Z176=24,AH205,IF(Z176=25,AH206,IF(Z176=26,AH207,IF(Z176=27,AH208,IF(Z176=28,AH209,IF(Z176=29,AH210,IF(Z176=30,AH211))))))))))))))))))))))))))))))))</f>
        <v>38.880469473656014</v>
      </c>
      <c r="AJ176" s="253">
        <f>IF(V176&lt;&gt;0,SUM($F$34,V176,$N$36,MAX($AH$42:$AH$342),$T$36),0)</f>
        <v>46.569888610374456</v>
      </c>
      <c r="AK176" s="253">
        <f>IF(W176&lt;&gt;0,SUM($F$34,W176,$N$36,MAX($AH$42:$AH$342),$T$36),0)</f>
        <v>39.407464324660161</v>
      </c>
      <c r="AL176" s="253">
        <f>IF(X176&lt;&gt;0,SUM($F$34,X176,$N$36,MAX($AH$42:$AH$342),$T$36),0)</f>
        <v>36.381760610374442</v>
      </c>
      <c r="AM176" s="260">
        <f>IF(Y176&lt;&gt;0,SUM($F$34,Y176,$N$36,MAX($AH$42:$AH$342),$T$36),0)</f>
        <v>0</v>
      </c>
    </row>
    <row r="177" spans="1:39" x14ac:dyDescent="0.35">
      <c r="A177" s="259">
        <v>1515</v>
      </c>
      <c r="B177" s="58">
        <f>SUMIF([2]!Table2_23[ETA],'FIS Optimal Model (2)'!A177,[2]!Table2_23[FIS PAX])</f>
        <v>0</v>
      </c>
      <c r="C177" s="44">
        <f t="shared" si="120"/>
        <v>18</v>
      </c>
      <c r="D177" s="52">
        <f t="shared" si="123"/>
        <v>41</v>
      </c>
      <c r="E177" s="26">
        <f t="shared" si="108"/>
        <v>10</v>
      </c>
      <c r="F177" s="26">
        <f t="shared" si="109"/>
        <v>5</v>
      </c>
      <c r="G177" s="26">
        <f t="shared" si="110"/>
        <v>3</v>
      </c>
      <c r="H177" s="26">
        <f t="shared" si="111"/>
        <v>1</v>
      </c>
      <c r="I177" s="27">
        <f t="shared" si="126"/>
        <v>10</v>
      </c>
      <c r="J177" s="27">
        <f t="shared" si="126"/>
        <v>5</v>
      </c>
      <c r="K177" s="27">
        <f t="shared" si="126"/>
        <v>3</v>
      </c>
      <c r="L177" s="27">
        <f t="shared" si="124"/>
        <v>1</v>
      </c>
      <c r="M177" s="28">
        <f t="shared" si="100"/>
        <v>3</v>
      </c>
      <c r="N177" s="29">
        <f t="shared" si="101"/>
        <v>7</v>
      </c>
      <c r="O177" s="28">
        <f t="shared" si="102"/>
        <v>1</v>
      </c>
      <c r="P177" s="28">
        <f t="shared" si="103"/>
        <v>0</v>
      </c>
      <c r="Q177" s="28">
        <f t="shared" si="112"/>
        <v>11</v>
      </c>
      <c r="R177" s="22">
        <f t="shared" si="113"/>
        <v>129.43544792749969</v>
      </c>
      <c r="S177" s="22">
        <f t="shared" si="114"/>
        <v>41.38634861075969</v>
      </c>
      <c r="T177" s="22">
        <f t="shared" si="115"/>
        <v>20.192503363912572</v>
      </c>
      <c r="U177" s="22">
        <f t="shared" si="116"/>
        <v>15</v>
      </c>
      <c r="V177" s="21">
        <f t="shared" si="86"/>
        <v>17.424600000000009</v>
      </c>
      <c r="W177" s="21">
        <f t="shared" si="91"/>
        <v>10.141157142857145</v>
      </c>
      <c r="X177" s="21">
        <f t="shared" si="121"/>
        <v>6.9180929999999945</v>
      </c>
      <c r="Y177" s="21">
        <f t="shared" si="122"/>
        <v>0</v>
      </c>
      <c r="Z177" s="221">
        <f t="shared" si="117"/>
        <v>14</v>
      </c>
      <c r="AA177" s="30">
        <f t="shared" si="104"/>
        <v>6.6854850690833461</v>
      </c>
      <c r="AB177" s="30">
        <f t="shared" si="105"/>
        <v>3.6729254092979819</v>
      </c>
      <c r="AC177" s="30">
        <f t="shared" si="106"/>
        <v>2.6269165545362472</v>
      </c>
      <c r="AD177" s="30">
        <f t="shared" si="107"/>
        <v>0</v>
      </c>
      <c r="AE177" s="32">
        <f t="shared" si="118"/>
        <v>12.985327032917576</v>
      </c>
      <c r="AF177" s="33">
        <f t="shared" si="125"/>
        <v>12.985327032917576</v>
      </c>
      <c r="AG177" s="40">
        <f t="shared" si="119"/>
        <v>25.572439124992691</v>
      </c>
      <c r="AH177" s="224">
        <f>AG177*$P$36</f>
        <v>2.1447259452488923</v>
      </c>
      <c r="AI177" s="226">
        <f>SUM(Z177,IF(Z177&lt;&gt;0,$F$34,0),IF(Z177&lt;&gt;0,$N$36,0),IF(Z177&lt;&gt;0,$T$36,0),IF(Z177=0,AH182,IF(Z177=1,AH183,IF(Z177=2,AH184,IF(Z177=3,AH185,IF(Z177=4,AH186,IF(Z177=5,AH187,IF(Z177=6,AH188,IF(Z177=7,AH189,IF(Z177=8,AH190,IF(Z177=9,AH191,IF(Z177=10,AH192,IF(Z177=11,AH193,IF(Z177=12,AH194,IF(Z177=13,AH195,IF(Z177=14,AH196,IF(Z177=15,AH197,IF(Z177=16,AH198,IF(Z177=17,AH199,IF(Z177=18,AH200,IF(Z177=19,AH201,IF(Z177=20,AH202,IF(Z177=21,AH203,IF(Z177=22,AH204,IF(Z177=23,AH205,IF(Z177=24,AH206,IF(Z177=25,AH207,IF(Z177=26,AH208,IF(Z177=27,AH209,IF(Z177=28,AH210,IF(Z177=29,AH211,IF(Z177=30,AH212))))))))))))))))))))))))))))))))</f>
        <v>39.970580798258538</v>
      </c>
      <c r="AJ177" s="253">
        <f>IF(V177&lt;&gt;0,SUM($F$34,V177,$N$36,MAX($AH$42:$AH$342),$T$36),0)</f>
        <v>47.016088610374453</v>
      </c>
      <c r="AK177" s="253">
        <f>IF(W177&lt;&gt;0,SUM($F$34,W177,$N$36,MAX($AH$42:$AH$342),$T$36),0)</f>
        <v>39.732645753231594</v>
      </c>
      <c r="AL177" s="253">
        <f>IF(X177&lt;&gt;0,SUM($F$34,X177,$N$36,MAX($AH$42:$AH$342),$T$36),0)</f>
        <v>36.50958161037444</v>
      </c>
      <c r="AM177" s="260">
        <f>IF(Y177&lt;&gt;0,SUM($F$34,Y177,$N$36,MAX($AH$42:$AH$342),$T$36),0)</f>
        <v>0</v>
      </c>
    </row>
    <row r="178" spans="1:39" x14ac:dyDescent="0.35">
      <c r="A178" s="259">
        <v>1516</v>
      </c>
      <c r="B178" s="58">
        <f>SUMIF([2]!Table2_23[ETA],'FIS Optimal Model (2)'!A178,[2]!Table2_23[FIS PAX])</f>
        <v>0</v>
      </c>
      <c r="C178" s="44">
        <f t="shared" si="120"/>
        <v>18</v>
      </c>
      <c r="D178" s="52">
        <f t="shared" si="123"/>
        <v>23</v>
      </c>
      <c r="E178" s="26">
        <f t="shared" si="108"/>
        <v>10</v>
      </c>
      <c r="F178" s="26">
        <f t="shared" si="109"/>
        <v>5</v>
      </c>
      <c r="G178" s="26">
        <f t="shared" si="110"/>
        <v>3</v>
      </c>
      <c r="H178" s="26">
        <f t="shared" si="111"/>
        <v>1</v>
      </c>
      <c r="I178" s="27">
        <f t="shared" si="126"/>
        <v>10</v>
      </c>
      <c r="J178" s="27">
        <f t="shared" si="126"/>
        <v>5</v>
      </c>
      <c r="K178" s="27">
        <f t="shared" si="126"/>
        <v>3</v>
      </c>
      <c r="L178" s="27">
        <f t="shared" si="124"/>
        <v>1</v>
      </c>
      <c r="M178" s="28">
        <f>IF(R177=0,0,$Q$15)</f>
        <v>3</v>
      </c>
      <c r="N178" s="29">
        <f>$U$15-M178-O178-P178</f>
        <v>6</v>
      </c>
      <c r="O178" s="28">
        <f>IF(T177=0,0,$S$15)</f>
        <v>1</v>
      </c>
      <c r="P178" s="28">
        <f>IF(U177=0,0,$T$15)</f>
        <v>1</v>
      </c>
      <c r="Q178" s="28">
        <f t="shared" si="112"/>
        <v>11</v>
      </c>
      <c r="R178" s="22">
        <f t="shared" si="113"/>
        <v>132.74996285841635</v>
      </c>
      <c r="S178" s="22">
        <f t="shared" si="114"/>
        <v>43.23812683136142</v>
      </c>
      <c r="T178" s="22">
        <f t="shared" si="115"/>
        <v>20.565586809376324</v>
      </c>
      <c r="U178" s="22">
        <f t="shared" si="116"/>
        <v>14.055647372207424</v>
      </c>
      <c r="V178" s="21">
        <f t="shared" si="86"/>
        <v>17.87080000000001</v>
      </c>
      <c r="W178" s="21">
        <f t="shared" si="91"/>
        <v>12.360728333333334</v>
      </c>
      <c r="X178" s="21">
        <f t="shared" si="121"/>
        <v>7.0459139999999945</v>
      </c>
      <c r="Y178" s="21">
        <f t="shared" si="122"/>
        <v>6.5060640000000003</v>
      </c>
      <c r="Z178" s="221">
        <f t="shared" si="117"/>
        <v>15</v>
      </c>
      <c r="AA178" s="30">
        <f t="shared" si="104"/>
        <v>6.6854850690833461</v>
      </c>
      <c r="AB178" s="30">
        <f t="shared" si="105"/>
        <v>3.1482217793982699</v>
      </c>
      <c r="AC178" s="30">
        <f t="shared" si="106"/>
        <v>2.6269165545362472</v>
      </c>
      <c r="AD178" s="30">
        <f t="shared" si="107"/>
        <v>1.9443526277925764</v>
      </c>
      <c r="AE178" s="32">
        <f t="shared" si="118"/>
        <v>14.404976030810438</v>
      </c>
      <c r="AF178" s="33">
        <f t="shared" si="125"/>
        <v>12.985327032917576</v>
      </c>
      <c r="AG178" s="40">
        <f t="shared" si="119"/>
        <v>26.634359728458485</v>
      </c>
      <c r="AH178" s="224">
        <f>AG178*$P$36</f>
        <v>2.2337877926118042</v>
      </c>
      <c r="AI178" s="226">
        <f>SUM(Z178,IF(Z178&lt;&gt;0,$F$34,0),IF(Z178&lt;&gt;0,$N$36,0),IF(Z178&lt;&gt;0,$T$36,0),IF(Z178=0,AH183,IF(Z178=1,AH184,IF(Z178=2,AH185,IF(Z178=3,AH186,IF(Z178=4,AH187,IF(Z178=5,AH188,IF(Z178=6,AH189,IF(Z178=7,AH190,IF(Z178=8,AH191,IF(Z178=9,AH192,IF(Z178=10,AH193,IF(Z178=11,AH194,IF(Z178=12,AH195,IF(Z178=13,AH196,IF(Z178=14,AH197,IF(Z178=15,AH198,IF(Z178=16,AH199,IF(Z178=17,AH200,IF(Z178=18,AH201,IF(Z178=19,AH202,IF(Z178=20,AH203,IF(Z178=21,AH204,IF(Z178=22,AH205,IF(Z178=23,AH206,IF(Z178=24,AH207,IF(Z178=25,AH208,IF(Z178=26,AH209,IF(Z178=27,AH210,IF(Z178=28,AH211,IF(Z178=29,AH212,IF(Z178=30,AH213))))))))))))))))))))))))))))))))</f>
        <v>40.928388548033638</v>
      </c>
      <c r="AJ178" s="253">
        <f>IF(V178&lt;&gt;0,SUM($F$34,V178,$N$36,MAX($AH$42:$AH$342),$T$36),0)</f>
        <v>47.462288610374458</v>
      </c>
      <c r="AK178" s="253">
        <f>IF(W178&lt;&gt;0,SUM($F$34,W178,$N$36,MAX($AH$42:$AH$342),$T$36),0)</f>
        <v>41.952216943707782</v>
      </c>
      <c r="AL178" s="253">
        <f>IF(X178&lt;&gt;0,SUM($F$34,X178,$N$36,MAX($AH$42:$AH$342),$T$36),0)</f>
        <v>36.637402610374444</v>
      </c>
      <c r="AM178" s="260">
        <f>IF(Y178&lt;&gt;0,SUM($F$34,Y178,$N$36,MAX($AH$42:$AH$342),$T$36),0)</f>
        <v>36.09755261037445</v>
      </c>
    </row>
    <row r="179" spans="1:39" x14ac:dyDescent="0.35">
      <c r="A179" s="259">
        <v>1517</v>
      </c>
      <c r="B179" s="58">
        <f>SUMIF([2]!Table2_23[ETA],'FIS Optimal Model (2)'!A179,[2]!Table2_23[FIS PAX])</f>
        <v>0</v>
      </c>
      <c r="C179" s="44">
        <f t="shared" si="120"/>
        <v>18</v>
      </c>
      <c r="D179" s="52">
        <f t="shared" si="123"/>
        <v>5</v>
      </c>
      <c r="E179" s="26">
        <f t="shared" si="108"/>
        <v>10</v>
      </c>
      <c r="F179" s="26">
        <f t="shared" si="109"/>
        <v>5</v>
      </c>
      <c r="G179" s="26">
        <f t="shared" si="110"/>
        <v>3</v>
      </c>
      <c r="H179" s="26">
        <f t="shared" si="111"/>
        <v>1</v>
      </c>
      <c r="I179" s="27">
        <f t="shared" si="126"/>
        <v>10</v>
      </c>
      <c r="J179" s="27">
        <f t="shared" si="126"/>
        <v>5</v>
      </c>
      <c r="K179" s="27">
        <f t="shared" si="126"/>
        <v>3</v>
      </c>
      <c r="L179" s="27">
        <f t="shared" si="124"/>
        <v>1</v>
      </c>
      <c r="M179" s="28">
        <f>$M$178</f>
        <v>3</v>
      </c>
      <c r="N179" s="29">
        <f>$N$178</f>
        <v>6</v>
      </c>
      <c r="O179" s="28">
        <f>$O$178</f>
        <v>1</v>
      </c>
      <c r="P179" s="28">
        <f>$P$178</f>
        <v>1</v>
      </c>
      <c r="Q179" s="28">
        <f t="shared" si="112"/>
        <v>11</v>
      </c>
      <c r="R179" s="22">
        <f t="shared" si="113"/>
        <v>136.06447778933301</v>
      </c>
      <c r="S179" s="22">
        <f t="shared" si="114"/>
        <v>45.08990505196315</v>
      </c>
      <c r="T179" s="22">
        <f t="shared" si="115"/>
        <v>20.938670254840076</v>
      </c>
      <c r="U179" s="22">
        <f t="shared" si="116"/>
        <v>13.111294744414849</v>
      </c>
      <c r="V179" s="21">
        <f t="shared" si="86"/>
        <v>18.317000000000007</v>
      </c>
      <c r="W179" s="21">
        <f t="shared" si="91"/>
        <v>12.890106666666668</v>
      </c>
      <c r="X179" s="21">
        <f t="shared" si="121"/>
        <v>7.1737349999999935</v>
      </c>
      <c r="Y179" s="21">
        <f t="shared" si="122"/>
        <v>6.0689430000000009</v>
      </c>
      <c r="Z179" s="221">
        <f t="shared" si="117"/>
        <v>15</v>
      </c>
      <c r="AA179" s="30">
        <f t="shared" si="104"/>
        <v>6.6854850690833461</v>
      </c>
      <c r="AB179" s="30">
        <f t="shared" si="105"/>
        <v>3.1482217793982699</v>
      </c>
      <c r="AC179" s="30">
        <f t="shared" si="106"/>
        <v>2.6269165545362472</v>
      </c>
      <c r="AD179" s="30">
        <f t="shared" si="107"/>
        <v>1.9443526277925764</v>
      </c>
      <c r="AE179" s="32">
        <f t="shared" si="118"/>
        <v>14.404976030810438</v>
      </c>
      <c r="AF179" s="33">
        <f t="shared" si="125"/>
        <v>12.985327032917576</v>
      </c>
      <c r="AG179" s="40">
        <f t="shared" si="119"/>
        <v>27.696280331924278</v>
      </c>
      <c r="AH179" s="224">
        <f>AG179*$P$36</f>
        <v>2.3228496399747156</v>
      </c>
      <c r="AI179" s="226">
        <f>SUM(Z179,IF(Z179&lt;&gt;0,$F$34,0),IF(Z179&lt;&gt;0,$N$36,0),IF(Z179&lt;&gt;0,$T$36,0),IF(Z179=0,AH184,IF(Z179=1,AH185,IF(Z179=2,AH186,IF(Z179=3,AH187,IF(Z179=4,AH188,IF(Z179=5,AH189,IF(Z179=6,AH190,IF(Z179=7,AH191,IF(Z179=8,AH192,IF(Z179=9,AH193,IF(Z179=10,AH194,IF(Z179=11,AH195,IF(Z179=12,AH196,IF(Z179=13,AH197,IF(Z179=14,AH198,IF(Z179=15,AH199,IF(Z179=16,AH200,IF(Z179=17,AH201,IF(Z179=18,AH202,IF(Z179=19,AH203,IF(Z179=20,AH204,IF(Z179=21,AH205,IF(Z179=22,AH206,IF(Z179=23,AH207,IF(Z179=24,AH208,IF(Z179=25,AH209,IF(Z179=26,AH210,IF(Z179=27,AH211,IF(Z179=28,AH212,IF(Z179=29,AH213,IF(Z179=30,AH214))))))))))))))))))))))))))))))))</f>
        <v>40.797134450445817</v>
      </c>
      <c r="AJ179" s="253">
        <f>IF(V179&lt;&gt;0,SUM($F$34,V179,$N$36,MAX($AH$42:$AH$342),$T$36),0)</f>
        <v>47.908488610374455</v>
      </c>
      <c r="AK179" s="253">
        <f>IF(W179&lt;&gt;0,SUM($F$34,W179,$N$36,MAX($AH$42:$AH$342),$T$36),0)</f>
        <v>42.481595277041116</v>
      </c>
      <c r="AL179" s="253">
        <f>IF(X179&lt;&gt;0,SUM($F$34,X179,$N$36,MAX($AH$42:$AH$342),$T$36),0)</f>
        <v>36.765223610374441</v>
      </c>
      <c r="AM179" s="260">
        <f>IF(Y179&lt;&gt;0,SUM($F$34,Y179,$N$36,MAX($AH$42:$AH$342),$T$36),0)</f>
        <v>35.660431610374445</v>
      </c>
    </row>
    <row r="180" spans="1:39" x14ac:dyDescent="0.35">
      <c r="A180" s="259">
        <v>1518</v>
      </c>
      <c r="B180" s="58">
        <f>SUMIF([2]!Table2_23[ETA],'FIS Optimal Model (2)'!A180,[2]!Table2_23[FIS PAX])</f>
        <v>0</v>
      </c>
      <c r="C180" s="44">
        <f t="shared" si="120"/>
        <v>5</v>
      </c>
      <c r="D180" s="52">
        <f t="shared" si="123"/>
        <v>0</v>
      </c>
      <c r="E180" s="26">
        <f t="shared" si="108"/>
        <v>3</v>
      </c>
      <c r="F180" s="26">
        <f t="shared" si="109"/>
        <v>2</v>
      </c>
      <c r="G180" s="26">
        <f t="shared" si="110"/>
        <v>1</v>
      </c>
      <c r="H180" s="26">
        <f t="shared" si="111"/>
        <v>1</v>
      </c>
      <c r="I180" s="27">
        <f t="shared" si="126"/>
        <v>10</v>
      </c>
      <c r="J180" s="27">
        <f t="shared" si="126"/>
        <v>5</v>
      </c>
      <c r="K180" s="27">
        <f t="shared" si="126"/>
        <v>3</v>
      </c>
      <c r="L180" s="27">
        <f t="shared" si="124"/>
        <v>1</v>
      </c>
      <c r="M180" s="28">
        <f t="shared" ref="M180:M192" si="127">$M$178</f>
        <v>3</v>
      </c>
      <c r="N180" s="29">
        <f t="shared" ref="N180:N192" si="128">$N$178</f>
        <v>6</v>
      </c>
      <c r="O180" s="28">
        <f t="shared" ref="O180:O192" si="129">$O$178</f>
        <v>1</v>
      </c>
      <c r="P180" s="28">
        <f t="shared" ref="P180:P192" si="130">$P$178</f>
        <v>1</v>
      </c>
      <c r="Q180" s="28">
        <f t="shared" si="112"/>
        <v>11</v>
      </c>
      <c r="R180" s="22">
        <f t="shared" si="113"/>
        <v>139.37899272024967</v>
      </c>
      <c r="S180" s="22">
        <f t="shared" si="114"/>
        <v>46.94168327256488</v>
      </c>
      <c r="T180" s="22">
        <f t="shared" si="115"/>
        <v>21.311753700303829</v>
      </c>
      <c r="U180" s="22">
        <f t="shared" si="116"/>
        <v>12.166942116622273</v>
      </c>
      <c r="V180" s="21">
        <f t="shared" si="86"/>
        <v>18.763200000000008</v>
      </c>
      <c r="W180" s="21">
        <f t="shared" si="91"/>
        <v>13.419485000000002</v>
      </c>
      <c r="X180" s="21">
        <f t="shared" si="121"/>
        <v>7.3015559999999935</v>
      </c>
      <c r="Y180" s="21">
        <f t="shared" si="122"/>
        <v>5.6318220000000014</v>
      </c>
      <c r="Z180" s="221">
        <f t="shared" si="117"/>
        <v>16</v>
      </c>
      <c r="AA180" s="30">
        <f t="shared" si="104"/>
        <v>6.6854850690833461</v>
      </c>
      <c r="AB180" s="30">
        <f t="shared" si="105"/>
        <v>3.1482217793982699</v>
      </c>
      <c r="AC180" s="30">
        <f t="shared" si="106"/>
        <v>2.6269165545362472</v>
      </c>
      <c r="AD180" s="30">
        <f t="shared" si="107"/>
        <v>1.9443526277925764</v>
      </c>
      <c r="AE180" s="32">
        <f t="shared" si="118"/>
        <v>14.404976030810438</v>
      </c>
      <c r="AF180" s="33">
        <f t="shared" si="125"/>
        <v>12.985327032917576</v>
      </c>
      <c r="AG180" s="40">
        <f t="shared" si="119"/>
        <v>28.758200935390072</v>
      </c>
      <c r="AH180" s="224">
        <f>AG180*$P$36</f>
        <v>2.4119114873376275</v>
      </c>
      <c r="AI180" s="226">
        <f>SUM(Z180,IF(Z180&lt;&gt;0,$F$34,0),IF(Z180&lt;&gt;0,$N$36,0),IF(Z180&lt;&gt;0,$T$36,0),IF(Z180=0,AH185,IF(Z180=1,AH186,IF(Z180=2,AH187,IF(Z180=3,AH188,IF(Z180=4,AH189,IF(Z180=5,AH190,IF(Z180=6,AH191,IF(Z180=7,AH192,IF(Z180=8,AH193,IF(Z180=9,AH194,IF(Z180=10,AH195,IF(Z180=11,AH196,IF(Z180=12,AH197,IF(Z180=13,AH198,IF(Z180=14,AH199,IF(Z180=15,AH200,IF(Z180=16,AH201,IF(Z180=17,AH202,IF(Z180=18,AH203,IF(Z180=19,AH204,IF(Z180=20,AH205,IF(Z180=21,AH206,IF(Z180=22,AH207,IF(Z180=23,AH208,IF(Z180=24,AH209,IF(Z180=25,AH210,IF(Z180=26,AH211,IF(Z180=27,AH212,IF(Z180=28,AH213,IF(Z180=29,AH214,IF(Z180=30,AH215))))))))))))))))))))))))))))))))</f>
        <v>41.53462625527019</v>
      </c>
      <c r="AJ180" s="253">
        <f>IF(V180&lt;&gt;0,SUM($F$34,V180,$N$36,MAX($AH$42:$AH$342),$T$36),0)</f>
        <v>48.354688610374453</v>
      </c>
      <c r="AK180" s="253">
        <f>IF(W180&lt;&gt;0,SUM($F$34,W180,$N$36,MAX($AH$42:$AH$342),$T$36),0)</f>
        <v>43.01097361037445</v>
      </c>
      <c r="AL180" s="253">
        <f>IF(X180&lt;&gt;0,SUM($F$34,X180,$N$36,MAX($AH$42:$AH$342),$T$36),0)</f>
        <v>36.893044610374446</v>
      </c>
      <c r="AM180" s="260">
        <f>IF(Y180&lt;&gt;0,SUM($F$34,Y180,$N$36,MAX($AH$42:$AH$342),$T$36),0)</f>
        <v>35.223310610374448</v>
      </c>
    </row>
    <row r="181" spans="1:39" x14ac:dyDescent="0.35">
      <c r="A181" s="259">
        <v>1519</v>
      </c>
      <c r="B181" s="58">
        <f>SUMIF([2]!Table2_23[ETA],'FIS Optimal Model (2)'!A181,[2]!Table2_23[FIS PAX])</f>
        <v>0</v>
      </c>
      <c r="C181" s="44">
        <f t="shared" si="120"/>
        <v>0</v>
      </c>
      <c r="D181" s="52">
        <f t="shared" si="123"/>
        <v>0</v>
      </c>
      <c r="E181" s="26">
        <f t="shared" si="108"/>
        <v>0</v>
      </c>
      <c r="F181" s="26">
        <f t="shared" si="109"/>
        <v>0</v>
      </c>
      <c r="G181" s="26">
        <f t="shared" si="110"/>
        <v>0</v>
      </c>
      <c r="H181" s="26">
        <f t="shared" si="111"/>
        <v>0</v>
      </c>
      <c r="I181" s="27">
        <f t="shared" si="126"/>
        <v>10</v>
      </c>
      <c r="J181" s="27">
        <f t="shared" si="126"/>
        <v>5</v>
      </c>
      <c r="K181" s="27">
        <f t="shared" si="126"/>
        <v>3</v>
      </c>
      <c r="L181" s="27">
        <f t="shared" si="124"/>
        <v>1</v>
      </c>
      <c r="M181" s="28">
        <f t="shared" si="127"/>
        <v>3</v>
      </c>
      <c r="N181" s="29">
        <f t="shared" si="128"/>
        <v>6</v>
      </c>
      <c r="O181" s="28">
        <f t="shared" si="129"/>
        <v>1</v>
      </c>
      <c r="P181" s="28">
        <f t="shared" si="130"/>
        <v>1</v>
      </c>
      <c r="Q181" s="28">
        <f t="shared" si="112"/>
        <v>11</v>
      </c>
      <c r="R181" s="22">
        <f t="shared" si="113"/>
        <v>142.69350765116633</v>
      </c>
      <c r="S181" s="22">
        <f t="shared" si="114"/>
        <v>48.79346149316661</v>
      </c>
      <c r="T181" s="22">
        <f t="shared" si="115"/>
        <v>21.684837145767581</v>
      </c>
      <c r="U181" s="22">
        <f t="shared" si="116"/>
        <v>11.222589488829698</v>
      </c>
      <c r="V181" s="21">
        <f t="shared" si="86"/>
        <v>19.209400000000009</v>
      </c>
      <c r="W181" s="21">
        <f t="shared" si="91"/>
        <v>13.948863333333335</v>
      </c>
      <c r="X181" s="21">
        <f t="shared" si="121"/>
        <v>7.4293769999999935</v>
      </c>
      <c r="Y181" s="21">
        <f t="shared" si="122"/>
        <v>5.1947010000000011</v>
      </c>
      <c r="Z181" s="221">
        <f t="shared" si="117"/>
        <v>16</v>
      </c>
      <c r="AA181" s="30">
        <f t="shared" si="104"/>
        <v>6.6854850690833461</v>
      </c>
      <c r="AB181" s="30">
        <f t="shared" si="105"/>
        <v>3.1482217793982699</v>
      </c>
      <c r="AC181" s="30">
        <f t="shared" si="106"/>
        <v>2.6269165545362472</v>
      </c>
      <c r="AD181" s="30">
        <f t="shared" si="107"/>
        <v>1.9443526277925764</v>
      </c>
      <c r="AE181" s="32">
        <f t="shared" si="118"/>
        <v>14.404976030810438</v>
      </c>
      <c r="AF181" s="33">
        <f t="shared" si="125"/>
        <v>12.985327032917576</v>
      </c>
      <c r="AG181" s="40">
        <f t="shared" si="119"/>
        <v>29.820121538855865</v>
      </c>
      <c r="AH181" s="224">
        <f>AG181*$P$36</f>
        <v>2.500973334700539</v>
      </c>
      <c r="AI181" s="226">
        <f>SUM(Z181,IF(Z181&lt;&gt;0,$F$34,0),IF(Z181&lt;&gt;0,$N$36,0),IF(Z181&lt;&gt;0,$T$36,0),IF(Z181=0,AH186,IF(Z181=1,AH187,IF(Z181=2,AH188,IF(Z181=3,AH189,IF(Z181=4,AH190,IF(Z181=5,AH191,IF(Z181=6,AH192,IF(Z181=7,AH193,IF(Z181=8,AH194,IF(Z181=9,AH195,IF(Z181=10,AH196,IF(Z181=11,AH197,IF(Z181=12,AH198,IF(Z181=13,AH199,IF(Z181=14,AH200,IF(Z181=15,AH201,IF(Z181=16,AH202,IF(Z181=17,AH203,IF(Z181=18,AH204,IF(Z181=19,AH205,IF(Z181=20,AH206,IF(Z181=21,AH207,IF(Z181=22,AH208,IF(Z181=23,AH209,IF(Z181=24,AH210,IF(Z181=25,AH211,IF(Z181=26,AH212,IF(Z181=27,AH213,IF(Z181=28,AH214,IF(Z181=29,AH215,IF(Z181=30,AH216))))))))))))))))))))))))))))))))</f>
        <v>41.403372157682369</v>
      </c>
      <c r="AJ181" s="253">
        <f>IF(V181&lt;&gt;0,SUM($F$34,V181,$N$36,MAX($AH$42:$AH$342),$T$36),0)</f>
        <v>48.800888610374457</v>
      </c>
      <c r="AK181" s="253">
        <f>IF(W181&lt;&gt;0,SUM($F$34,W181,$N$36,MAX($AH$42:$AH$342),$T$36),0)</f>
        <v>43.540351943707783</v>
      </c>
      <c r="AL181" s="253">
        <f>IF(X181&lt;&gt;0,SUM($F$34,X181,$N$36,MAX($AH$42:$AH$342),$T$36),0)</f>
        <v>37.020865610374443</v>
      </c>
      <c r="AM181" s="260">
        <f>IF(Y181&lt;&gt;0,SUM($F$34,Y181,$N$36,MAX($AH$42:$AH$342),$T$36),0)</f>
        <v>34.78618961037445</v>
      </c>
    </row>
    <row r="182" spans="1:39" x14ac:dyDescent="0.35">
      <c r="A182" s="259">
        <v>1520</v>
      </c>
      <c r="B182" s="58">
        <f>SUMIF([2]!Table2_23[ETA],'FIS Optimal Model (2)'!A182,[2]!Table2_23[FIS PAX])</f>
        <v>0</v>
      </c>
      <c r="C182" s="44">
        <f t="shared" si="120"/>
        <v>0</v>
      </c>
      <c r="D182" s="52">
        <f t="shared" si="123"/>
        <v>0</v>
      </c>
      <c r="E182" s="26">
        <f t="shared" si="108"/>
        <v>0</v>
      </c>
      <c r="F182" s="26">
        <f t="shared" si="109"/>
        <v>0</v>
      </c>
      <c r="G182" s="26">
        <f t="shared" si="110"/>
        <v>0</v>
      </c>
      <c r="H182" s="26">
        <f t="shared" si="111"/>
        <v>0</v>
      </c>
      <c r="I182" s="27">
        <f t="shared" si="126"/>
        <v>10</v>
      </c>
      <c r="J182" s="27">
        <f t="shared" si="126"/>
        <v>5</v>
      </c>
      <c r="K182" s="27">
        <f t="shared" si="126"/>
        <v>3</v>
      </c>
      <c r="L182" s="27">
        <f t="shared" si="124"/>
        <v>1</v>
      </c>
      <c r="M182" s="28">
        <f t="shared" si="127"/>
        <v>3</v>
      </c>
      <c r="N182" s="29">
        <f t="shared" si="128"/>
        <v>6</v>
      </c>
      <c r="O182" s="28">
        <f t="shared" si="129"/>
        <v>1</v>
      </c>
      <c r="P182" s="28">
        <f t="shared" si="130"/>
        <v>1</v>
      </c>
      <c r="Q182" s="28">
        <f t="shared" si="112"/>
        <v>11</v>
      </c>
      <c r="R182" s="22">
        <f t="shared" si="113"/>
        <v>146.00802258208299</v>
      </c>
      <c r="S182" s="22">
        <f t="shared" si="114"/>
        <v>50.645239713768341</v>
      </c>
      <c r="T182" s="22">
        <f t="shared" si="115"/>
        <v>22.057920591231333</v>
      </c>
      <c r="U182" s="22">
        <f t="shared" si="116"/>
        <v>10.278236861037122</v>
      </c>
      <c r="V182" s="21">
        <f t="shared" si="86"/>
        <v>19.65560000000001</v>
      </c>
      <c r="W182" s="21">
        <f t="shared" si="91"/>
        <v>14.478241666666669</v>
      </c>
      <c r="X182" s="21">
        <f t="shared" si="121"/>
        <v>7.5571979999999934</v>
      </c>
      <c r="Y182" s="21">
        <f t="shared" si="122"/>
        <v>4.7575800000000017</v>
      </c>
      <c r="Z182" s="221">
        <f t="shared" si="117"/>
        <v>16</v>
      </c>
      <c r="AA182" s="30">
        <f t="shared" si="104"/>
        <v>6.6854850690833461</v>
      </c>
      <c r="AB182" s="30">
        <f t="shared" si="105"/>
        <v>3.1482217793982699</v>
      </c>
      <c r="AC182" s="30">
        <f t="shared" si="106"/>
        <v>2.6269165545362472</v>
      </c>
      <c r="AD182" s="30">
        <f t="shared" si="107"/>
        <v>1.9443526277925764</v>
      </c>
      <c r="AE182" s="32">
        <f t="shared" si="118"/>
        <v>14.404976030810438</v>
      </c>
      <c r="AF182" s="33">
        <f t="shared" si="125"/>
        <v>14.404976030810438</v>
      </c>
      <c r="AG182" s="40">
        <f t="shared" si="119"/>
        <v>32.301691140214523</v>
      </c>
      <c r="AH182" s="224">
        <f>AG182*$P$36</f>
        <v>2.7090992269144434</v>
      </c>
      <c r="AI182" s="226">
        <f>SUM(Z182,IF(Z182&lt;&gt;0,$F$34,0),IF(Z182&lt;&gt;0,$N$36,0),IF(Z182&lt;&gt;0,$T$36,0),IF(Z182=0,AH187,IF(Z182=1,AH188,IF(Z182=2,AH189,IF(Z182=3,AH190,IF(Z182=4,AH191,IF(Z182=5,AH192,IF(Z182=6,AH193,IF(Z182=7,AH194,IF(Z182=8,AH195,IF(Z182=9,AH196,IF(Z182=10,AH197,IF(Z182=11,AH198,IF(Z182=12,AH199,IF(Z182=13,AH200,IF(Z182=14,AH201,IF(Z182=15,AH202,IF(Z182=16,AH203,IF(Z182=17,AH204,IF(Z182=18,AH205,IF(Z182=19,AH206,IF(Z182=20,AH207,IF(Z182=21,AH208,IF(Z182=22,AH209,IF(Z182=23,AH210,IF(Z182=24,AH211,IF(Z182=25,AH212,IF(Z182=26,AH213,IF(Z182=27,AH214,IF(Z182=28,AH215,IF(Z182=29,AH216,IF(Z182=30,AH217))))))))))))))))))))))))))))))))</f>
        <v>41.272118060094556</v>
      </c>
      <c r="AJ182" s="253">
        <f>IF(V182&lt;&gt;0,SUM($F$34,V182,$N$36,MAX($AH$42:$AH$342),$T$36),0)</f>
        <v>49.247088610374462</v>
      </c>
      <c r="AK182" s="253">
        <f>IF(W182&lt;&gt;0,SUM($F$34,W182,$N$36,MAX($AH$42:$AH$342),$T$36),0)</f>
        <v>44.069730277041117</v>
      </c>
      <c r="AL182" s="253">
        <f>IF(X182&lt;&gt;0,SUM($F$34,X182,$N$36,MAX($AH$42:$AH$342),$T$36),0)</f>
        <v>37.14868661037444</v>
      </c>
      <c r="AM182" s="260">
        <f>IF(Y182&lt;&gt;0,SUM($F$34,Y182,$N$36,MAX($AH$42:$AH$342),$T$36),0)</f>
        <v>34.349068610374445</v>
      </c>
    </row>
    <row r="183" spans="1:39" x14ac:dyDescent="0.35">
      <c r="A183" s="259">
        <v>1521</v>
      </c>
      <c r="B183" s="58">
        <f>SUMIF([2]!Table2_23[ETA],'FIS Optimal Model (2)'!A183,[2]!Table2_23[FIS PAX])</f>
        <v>0</v>
      </c>
      <c r="C183" s="44">
        <f t="shared" si="120"/>
        <v>0</v>
      </c>
      <c r="D183" s="52">
        <f t="shared" si="123"/>
        <v>0</v>
      </c>
      <c r="E183" s="26">
        <f t="shared" si="108"/>
        <v>0</v>
      </c>
      <c r="F183" s="26">
        <f t="shared" si="109"/>
        <v>0</v>
      </c>
      <c r="G183" s="26">
        <f t="shared" si="110"/>
        <v>0</v>
      </c>
      <c r="H183" s="26">
        <f t="shared" si="111"/>
        <v>0</v>
      </c>
      <c r="I183" s="27">
        <f t="shared" si="126"/>
        <v>10</v>
      </c>
      <c r="J183" s="27">
        <f t="shared" si="126"/>
        <v>5</v>
      </c>
      <c r="K183" s="27">
        <f t="shared" si="126"/>
        <v>3</v>
      </c>
      <c r="L183" s="27">
        <f t="shared" si="124"/>
        <v>1</v>
      </c>
      <c r="M183" s="28">
        <f t="shared" si="127"/>
        <v>3</v>
      </c>
      <c r="N183" s="29">
        <f t="shared" si="128"/>
        <v>6</v>
      </c>
      <c r="O183" s="28">
        <f t="shared" si="129"/>
        <v>1</v>
      </c>
      <c r="P183" s="28">
        <f t="shared" si="130"/>
        <v>1</v>
      </c>
      <c r="Q183" s="28">
        <f t="shared" si="112"/>
        <v>11</v>
      </c>
      <c r="R183" s="22">
        <f t="shared" si="113"/>
        <v>149.32253751299965</v>
      </c>
      <c r="S183" s="22">
        <f t="shared" si="114"/>
        <v>52.497017934370071</v>
      </c>
      <c r="T183" s="22">
        <f t="shared" si="115"/>
        <v>22.431004036695086</v>
      </c>
      <c r="U183" s="22">
        <f t="shared" si="116"/>
        <v>9.3338842332445466</v>
      </c>
      <c r="V183" s="21">
        <f t="shared" ref="V183:V246" si="131">IFERROR(R183*($I$33/M183),0)</f>
        <v>20.101800000000011</v>
      </c>
      <c r="W183" s="21">
        <f t="shared" si="91"/>
        <v>15.007620000000001</v>
      </c>
      <c r="X183" s="21">
        <f t="shared" si="121"/>
        <v>7.6850189999999934</v>
      </c>
      <c r="Y183" s="21">
        <f t="shared" si="122"/>
        <v>4.3204590000000023</v>
      </c>
      <c r="Z183" s="221">
        <f t="shared" si="117"/>
        <v>17</v>
      </c>
      <c r="AA183" s="30">
        <f t="shared" si="104"/>
        <v>6.6854850690833461</v>
      </c>
      <c r="AB183" s="30">
        <f t="shared" si="105"/>
        <v>3.1482217793982699</v>
      </c>
      <c r="AC183" s="30">
        <f t="shared" si="106"/>
        <v>2.6269165545362472</v>
      </c>
      <c r="AD183" s="30">
        <f t="shared" si="107"/>
        <v>1.9443526277925764</v>
      </c>
      <c r="AE183" s="32">
        <f t="shared" si="118"/>
        <v>14.404976030810438</v>
      </c>
      <c r="AF183" s="33">
        <f t="shared" si="125"/>
        <v>14.404976030810438</v>
      </c>
      <c r="AG183" s="40">
        <f t="shared" si="119"/>
        <v>34.78326074157318</v>
      </c>
      <c r="AH183" s="224">
        <f>AG183*$P$36</f>
        <v>2.9172251191283478</v>
      </c>
      <c r="AI183" s="226">
        <f>SUM(Z183,IF(Z183&lt;&gt;0,$F$34,0),IF(Z183&lt;&gt;0,$N$36,0),IF(Z183&lt;&gt;0,$T$36,0),IF(Z183=0,AH188,IF(Z183=1,AH189,IF(Z183=2,AH190,IF(Z183=3,AH191,IF(Z183=4,AH192,IF(Z183=5,AH193,IF(Z183=6,AH194,IF(Z183=7,AH195,IF(Z183=8,AH196,IF(Z183=9,AH197,IF(Z183=10,AH198,IF(Z183=11,AH199,IF(Z183=12,AH200,IF(Z183=13,AH201,IF(Z183=14,AH202,IF(Z183=15,AH203,IF(Z183=16,AH204,IF(Z183=17,AH205,IF(Z183=18,AH206,IF(Z183=19,AH207,IF(Z183=20,AH208,IF(Z183=21,AH209,IF(Z183=22,AH210,IF(Z183=23,AH211,IF(Z183=24,AH212,IF(Z183=25,AH213,IF(Z183=26,AH214,IF(Z183=27,AH215,IF(Z183=28,AH216,IF(Z183=29,AH217,IF(Z183=30,AH218))))))))))))))))))))))))))))))))</f>
        <v>41.393523274055838</v>
      </c>
      <c r="AJ183" s="253">
        <f>IF(V183&lt;&gt;0,SUM($F$34,V183,$N$36,MAX($AH$42:$AH$342),$T$36),0)</f>
        <v>49.693288610374459</v>
      </c>
      <c r="AK183" s="253">
        <f>IF(W183&lt;&gt;0,SUM($F$34,W183,$N$36,MAX($AH$42:$AH$342),$T$36),0)</f>
        <v>44.599108610374451</v>
      </c>
      <c r="AL183" s="253">
        <f>IF(X183&lt;&gt;0,SUM($F$34,X183,$N$36,MAX($AH$42:$AH$342),$T$36),0)</f>
        <v>37.276507610374438</v>
      </c>
      <c r="AM183" s="260">
        <f>IF(Y183&lt;&gt;0,SUM($F$34,Y183,$N$36,MAX($AH$42:$AH$342),$T$36),0)</f>
        <v>33.911947610374455</v>
      </c>
    </row>
    <row r="184" spans="1:39" x14ac:dyDescent="0.35">
      <c r="A184" s="259">
        <v>1522</v>
      </c>
      <c r="B184" s="58">
        <f>SUMIF([2]!Table2_23[ETA],'FIS Optimal Model (2)'!A184,[2]!Table2_23[FIS PAX])</f>
        <v>0</v>
      </c>
      <c r="C184" s="44">
        <f t="shared" si="120"/>
        <v>0</v>
      </c>
      <c r="D184" s="52">
        <f t="shared" si="123"/>
        <v>0</v>
      </c>
      <c r="E184" s="26">
        <f t="shared" si="108"/>
        <v>0</v>
      </c>
      <c r="F184" s="26">
        <f t="shared" si="109"/>
        <v>0</v>
      </c>
      <c r="G184" s="26">
        <f t="shared" si="110"/>
        <v>0</v>
      </c>
      <c r="H184" s="26">
        <f t="shared" si="111"/>
        <v>0</v>
      </c>
      <c r="I184" s="27">
        <f t="shared" si="126"/>
        <v>10</v>
      </c>
      <c r="J184" s="27">
        <f t="shared" si="126"/>
        <v>5</v>
      </c>
      <c r="K184" s="27">
        <f t="shared" si="126"/>
        <v>3</v>
      </c>
      <c r="L184" s="27">
        <f t="shared" si="124"/>
        <v>1</v>
      </c>
      <c r="M184" s="28">
        <f t="shared" si="127"/>
        <v>3</v>
      </c>
      <c r="N184" s="29">
        <f t="shared" si="128"/>
        <v>6</v>
      </c>
      <c r="O184" s="28">
        <f t="shared" si="129"/>
        <v>1</v>
      </c>
      <c r="P184" s="28">
        <f t="shared" si="130"/>
        <v>1</v>
      </c>
      <c r="Q184" s="28">
        <f t="shared" si="112"/>
        <v>11</v>
      </c>
      <c r="R184" s="22">
        <f t="shared" si="113"/>
        <v>152.6370524439163</v>
      </c>
      <c r="S184" s="22">
        <f t="shared" si="114"/>
        <v>54.348796154971801</v>
      </c>
      <c r="T184" s="22">
        <f t="shared" si="115"/>
        <v>22.804087482158838</v>
      </c>
      <c r="U184" s="22">
        <f t="shared" si="116"/>
        <v>8.3895316054519711</v>
      </c>
      <c r="V184" s="21">
        <f t="shared" si="131"/>
        <v>20.548000000000012</v>
      </c>
      <c r="W184" s="21">
        <f t="shared" ref="W184:W247" si="132">IFERROR(S184*($I$34/N184),0)</f>
        <v>15.536998333333335</v>
      </c>
      <c r="X184" s="21">
        <f t="shared" si="121"/>
        <v>7.8128399999999933</v>
      </c>
      <c r="Y184" s="21">
        <f t="shared" si="122"/>
        <v>3.8833380000000028</v>
      </c>
      <c r="Z184" s="221">
        <f t="shared" si="117"/>
        <v>17</v>
      </c>
      <c r="AA184" s="30">
        <f t="shared" si="104"/>
        <v>6.6854850690833461</v>
      </c>
      <c r="AB184" s="30">
        <f t="shared" si="105"/>
        <v>3.1482217793982699</v>
      </c>
      <c r="AC184" s="30">
        <f t="shared" si="106"/>
        <v>2.6269165545362472</v>
      </c>
      <c r="AD184" s="30">
        <f t="shared" si="107"/>
        <v>1.9443526277925764</v>
      </c>
      <c r="AE184" s="32">
        <f t="shared" si="118"/>
        <v>14.404976030810438</v>
      </c>
      <c r="AF184" s="33">
        <f t="shared" si="125"/>
        <v>14.404976030810438</v>
      </c>
      <c r="AG184" s="40">
        <f t="shared" si="119"/>
        <v>37.264830342931837</v>
      </c>
      <c r="AH184" s="224">
        <f>AG184*$P$36</f>
        <v>3.1253510113422527</v>
      </c>
      <c r="AI184" s="226">
        <f>SUM(Z184,IF(Z184&lt;&gt;0,$F$34,0),IF(Z184&lt;&gt;0,$N$36,0),IF(Z184&lt;&gt;0,$T$36,0),IF(Z184=0,AH189,IF(Z184=1,AH190,IF(Z184=2,AH191,IF(Z184=3,AH192,IF(Z184=4,AH193,IF(Z184=5,AH194,IF(Z184=6,AH195,IF(Z184=7,AH196,IF(Z184=8,AH197,IF(Z184=9,AH198,IF(Z184=10,AH199,IF(Z184=11,AH200,IF(Z184=12,AH201,IF(Z184=13,AH202,IF(Z184=14,AH203,IF(Z184=15,AH204,IF(Z184=16,AH205,IF(Z184=17,AH206,IF(Z184=18,AH207,IF(Z184=19,AH208,IF(Z184=20,AH209,IF(Z184=21,AH210,IF(Z184=22,AH211,IF(Z184=23,AH212,IF(Z184=24,AH213,IF(Z184=25,AH214,IF(Z184=26,AH215,IF(Z184=27,AH216,IF(Z184=28,AH217,IF(Z184=29,AH218,IF(Z184=30,AH219))))))))))))))))))))))))))))))))</f>
        <v>40.954225881036479</v>
      </c>
      <c r="AJ184" s="253">
        <f>IF(V184&lt;&gt;0,SUM($F$34,V184,$N$36,MAX($AH$42:$AH$342),$T$36),0)</f>
        <v>50.139488610374457</v>
      </c>
      <c r="AK184" s="253">
        <f>IF(W184&lt;&gt;0,SUM($F$34,W184,$N$36,MAX($AH$42:$AH$342),$T$36),0)</f>
        <v>45.128486943707784</v>
      </c>
      <c r="AL184" s="253">
        <f>IF(X184&lt;&gt;0,SUM($F$34,X184,$N$36,MAX($AH$42:$AH$342),$T$36),0)</f>
        <v>37.404328610374442</v>
      </c>
      <c r="AM184" s="260">
        <f>IF(Y184&lt;&gt;0,SUM($F$34,Y184,$N$36,MAX($AH$42:$AH$342),$T$36),0)</f>
        <v>33.47482661037445</v>
      </c>
    </row>
    <row r="185" spans="1:39" x14ac:dyDescent="0.35">
      <c r="A185" s="259">
        <v>1523</v>
      </c>
      <c r="B185" s="58">
        <f>SUMIF([2]!Table2_23[ETA],'FIS Optimal Model (2)'!A185,[2]!Table2_23[FIS PAX])</f>
        <v>0</v>
      </c>
      <c r="C185" s="44">
        <f t="shared" si="120"/>
        <v>0</v>
      </c>
      <c r="D185" s="52">
        <f t="shared" si="123"/>
        <v>0</v>
      </c>
      <c r="E185" s="26">
        <f t="shared" si="108"/>
        <v>0</v>
      </c>
      <c r="F185" s="26">
        <f t="shared" si="109"/>
        <v>0</v>
      </c>
      <c r="G185" s="26">
        <f t="shared" si="110"/>
        <v>0</v>
      </c>
      <c r="H185" s="26">
        <f t="shared" si="111"/>
        <v>0</v>
      </c>
      <c r="I185" s="27">
        <f t="shared" si="126"/>
        <v>3</v>
      </c>
      <c r="J185" s="27">
        <f t="shared" si="126"/>
        <v>2</v>
      </c>
      <c r="K185" s="27">
        <f t="shared" si="126"/>
        <v>1</v>
      </c>
      <c r="L185" s="27">
        <f t="shared" si="124"/>
        <v>1</v>
      </c>
      <c r="M185" s="28">
        <f t="shared" si="127"/>
        <v>3</v>
      </c>
      <c r="N185" s="29">
        <f t="shared" si="128"/>
        <v>6</v>
      </c>
      <c r="O185" s="28">
        <f t="shared" si="129"/>
        <v>1</v>
      </c>
      <c r="P185" s="28">
        <f t="shared" si="130"/>
        <v>1</v>
      </c>
      <c r="Q185" s="28">
        <f t="shared" si="112"/>
        <v>11</v>
      </c>
      <c r="R185" s="22">
        <f t="shared" si="113"/>
        <v>148.95156737483296</v>
      </c>
      <c r="S185" s="22">
        <f t="shared" si="114"/>
        <v>53.200574375573531</v>
      </c>
      <c r="T185" s="22">
        <f t="shared" si="115"/>
        <v>21.177170927622591</v>
      </c>
      <c r="U185" s="22">
        <f t="shared" si="116"/>
        <v>7.4451789776593946</v>
      </c>
      <c r="V185" s="21">
        <f t="shared" si="131"/>
        <v>20.051860000000012</v>
      </c>
      <c r="W185" s="21">
        <f t="shared" si="132"/>
        <v>15.208749666666668</v>
      </c>
      <c r="X185" s="21">
        <f t="shared" si="121"/>
        <v>7.2554469999999931</v>
      </c>
      <c r="Y185" s="21">
        <f t="shared" si="122"/>
        <v>3.446217000000003</v>
      </c>
      <c r="Z185" s="221">
        <f t="shared" si="117"/>
        <v>17</v>
      </c>
      <c r="AA185" s="30">
        <f t="shared" si="104"/>
        <v>6.6854850690833461</v>
      </c>
      <c r="AB185" s="30">
        <f t="shared" si="105"/>
        <v>3.1482217793982699</v>
      </c>
      <c r="AC185" s="30">
        <f t="shared" si="106"/>
        <v>2.6269165545362472</v>
      </c>
      <c r="AD185" s="30">
        <f t="shared" si="107"/>
        <v>1.9443526277925764</v>
      </c>
      <c r="AE185" s="32">
        <f t="shared" si="118"/>
        <v>14.404976030810438</v>
      </c>
      <c r="AF185" s="33">
        <f t="shared" si="125"/>
        <v>14.404976030810438</v>
      </c>
      <c r="AG185" s="40">
        <f t="shared" si="119"/>
        <v>39.746399944290495</v>
      </c>
      <c r="AH185" s="224">
        <f>AG185*$P$36</f>
        <v>3.3334769035561571</v>
      </c>
      <c r="AI185" s="226">
        <f>SUM(Z185,IF(Z185&lt;&gt;0,$F$34,0),IF(Z185&lt;&gt;0,$N$36,0),IF(Z185&lt;&gt;0,$T$36,0),IF(Z185=0,AH190,IF(Z185=1,AH191,IF(Z185=2,AH192,IF(Z185=3,AH193,IF(Z185=4,AH194,IF(Z185=5,AH195,IF(Z185=6,AH196,IF(Z185=7,AH197,IF(Z185=8,AH198,IF(Z185=9,AH199,IF(Z185=10,AH200,IF(Z185=11,AH201,IF(Z185=12,AH202,IF(Z185=13,AH203,IF(Z185=14,AH204,IF(Z185=15,AH205,IF(Z185=16,AH206,IF(Z185=17,AH207,IF(Z185=18,AH208,IF(Z185=19,AH209,IF(Z185=20,AH210,IF(Z185=21,AH211,IF(Z185=22,AH212,IF(Z185=23,AH213,IF(Z185=24,AH214,IF(Z185=25,AH215,IF(Z185=26,AH216,IF(Z185=27,AH217,IF(Z185=28,AH218,IF(Z185=29,AH219,IF(Z185=30,AH220))))))))))))))))))))))))))))))))</f>
        <v>40.514928488017119</v>
      </c>
      <c r="AJ185" s="253">
        <f>IF(V185&lt;&gt;0,SUM($F$34,V185,$N$36,MAX($AH$42:$AH$342),$T$36),0)</f>
        <v>49.64334861037446</v>
      </c>
      <c r="AK185" s="253">
        <f>IF(W185&lt;&gt;0,SUM($F$34,W185,$N$36,MAX($AH$42:$AH$342),$T$36),0)</f>
        <v>44.800238277041117</v>
      </c>
      <c r="AL185" s="253">
        <f>IF(X185&lt;&gt;0,SUM($F$34,X185,$N$36,MAX($AH$42:$AH$342),$T$36),0)</f>
        <v>36.846935610374445</v>
      </c>
      <c r="AM185" s="260">
        <f>IF(Y185&lt;&gt;0,SUM($F$34,Y185,$N$36,MAX($AH$42:$AH$342),$T$36),0)</f>
        <v>33.037705610374452</v>
      </c>
    </row>
    <row r="186" spans="1:39" x14ac:dyDescent="0.35">
      <c r="A186" s="259">
        <v>1524</v>
      </c>
      <c r="B186" s="58">
        <f>SUMIF([2]!Table2_23[ETA],'FIS Optimal Model (2)'!A186,[2]!Table2_23[FIS PAX])</f>
        <v>0</v>
      </c>
      <c r="C186" s="44">
        <f t="shared" si="120"/>
        <v>0</v>
      </c>
      <c r="D186" s="52">
        <f t="shared" si="123"/>
        <v>0</v>
      </c>
      <c r="E186" s="26">
        <f t="shared" si="108"/>
        <v>0</v>
      </c>
      <c r="F186" s="26">
        <f t="shared" si="109"/>
        <v>0</v>
      </c>
      <c r="G186" s="26">
        <f t="shared" si="110"/>
        <v>0</v>
      </c>
      <c r="H186" s="26">
        <f t="shared" si="111"/>
        <v>0</v>
      </c>
      <c r="I186" s="27">
        <f t="shared" si="126"/>
        <v>0</v>
      </c>
      <c r="J186" s="27">
        <f t="shared" si="126"/>
        <v>0</v>
      </c>
      <c r="K186" s="27">
        <f t="shared" si="126"/>
        <v>0</v>
      </c>
      <c r="L186" s="27">
        <f t="shared" si="124"/>
        <v>0</v>
      </c>
      <c r="M186" s="28">
        <f t="shared" si="127"/>
        <v>3</v>
      </c>
      <c r="N186" s="29">
        <f t="shared" si="128"/>
        <v>6</v>
      </c>
      <c r="O186" s="28">
        <f t="shared" si="129"/>
        <v>1</v>
      </c>
      <c r="P186" s="28">
        <f t="shared" si="130"/>
        <v>1</v>
      </c>
      <c r="Q186" s="28">
        <f t="shared" si="112"/>
        <v>11</v>
      </c>
      <c r="R186" s="22">
        <f t="shared" si="113"/>
        <v>142.26608230574962</v>
      </c>
      <c r="S186" s="22">
        <f t="shared" si="114"/>
        <v>50.052352596175261</v>
      </c>
      <c r="T186" s="22">
        <f t="shared" si="115"/>
        <v>18.550254373086343</v>
      </c>
      <c r="U186" s="22">
        <f t="shared" si="116"/>
        <v>5.5008263498668182</v>
      </c>
      <c r="V186" s="21">
        <f t="shared" si="131"/>
        <v>19.151860000000013</v>
      </c>
      <c r="W186" s="21">
        <f t="shared" si="132"/>
        <v>14.308749666666669</v>
      </c>
      <c r="X186" s="21">
        <f t="shared" si="121"/>
        <v>6.3554469999999927</v>
      </c>
      <c r="Y186" s="21">
        <f t="shared" si="122"/>
        <v>2.5462170000000031</v>
      </c>
      <c r="Z186" s="221">
        <f t="shared" si="117"/>
        <v>16</v>
      </c>
      <c r="AA186" s="30">
        <f t="shared" si="104"/>
        <v>6.6854850690833461</v>
      </c>
      <c r="AB186" s="30">
        <f t="shared" si="105"/>
        <v>3.1482217793982699</v>
      </c>
      <c r="AC186" s="30">
        <f t="shared" si="106"/>
        <v>2.6269165545362472</v>
      </c>
      <c r="AD186" s="30">
        <f t="shared" si="107"/>
        <v>1.9443526277925764</v>
      </c>
      <c r="AE186" s="32">
        <f t="shared" si="118"/>
        <v>14.404976030810438</v>
      </c>
      <c r="AF186" s="33">
        <f t="shared" si="125"/>
        <v>14.404976030810438</v>
      </c>
      <c r="AG186" s="40">
        <f t="shared" si="119"/>
        <v>42.227969545649152</v>
      </c>
      <c r="AH186" s="224">
        <f>AG186*$P$36</f>
        <v>3.5416027957700615</v>
      </c>
      <c r="AI186" s="226">
        <f>SUM(Z186,IF(Z186&lt;&gt;0,$F$34,0),IF(Z186&lt;&gt;0,$N$36,0),IF(Z186&lt;&gt;0,$T$36,0),IF(Z186=0,AH191,IF(Z186=1,AH192,IF(Z186=2,AH193,IF(Z186=3,AH194,IF(Z186=4,AH195,IF(Z186=5,AH196,IF(Z186=6,AH197,IF(Z186=7,AH198,IF(Z186=8,AH199,IF(Z186=9,AH200,IF(Z186=10,AH201,IF(Z186=11,AH202,IF(Z186=12,AH203,IF(Z186=13,AH204,IF(Z186=14,AH205,IF(Z186=15,AH206,IF(Z186=16,AH207,IF(Z186=17,AH208,IF(Z186=18,AH209,IF(Z186=19,AH210,IF(Z186=20,AH211,IF(Z186=21,AH212,IF(Z186=22,AH213,IF(Z186=23,AH214,IF(Z186=24,AH215,IF(Z186=25,AH216,IF(Z186=26,AH217,IF(Z186=27,AH218,IF(Z186=28,AH219,IF(Z186=29,AH220,IF(Z186=30,AH221))))))))))))))))))))))))))))))))</f>
        <v>39.514928488017119</v>
      </c>
      <c r="AJ186" s="253">
        <f>IF(V186&lt;&gt;0,SUM($F$34,V186,$N$36,MAX($AH$42:$AH$342),$T$36),0)</f>
        <v>48.743348610374461</v>
      </c>
      <c r="AK186" s="253">
        <f>IF(W186&lt;&gt;0,SUM($F$34,W186,$N$36,MAX($AH$42:$AH$342),$T$36),0)</f>
        <v>43.900238277041119</v>
      </c>
      <c r="AL186" s="253">
        <f>IF(X186&lt;&gt;0,SUM($F$34,X186,$N$36,MAX($AH$42:$AH$342),$T$36),0)</f>
        <v>35.946935610374439</v>
      </c>
      <c r="AM186" s="260">
        <f>IF(Y186&lt;&gt;0,SUM($F$34,Y186,$N$36,MAX($AH$42:$AH$342),$T$36),0)</f>
        <v>32.137705610374454</v>
      </c>
    </row>
    <row r="187" spans="1:39" x14ac:dyDescent="0.35">
      <c r="A187" s="259">
        <v>1525</v>
      </c>
      <c r="B187" s="58">
        <f>SUMIF([2]!Table2_23[ETA],'FIS Optimal Model (2)'!A187,[2]!Table2_23[FIS PAX])</f>
        <v>0</v>
      </c>
      <c r="C187" s="44">
        <f t="shared" si="120"/>
        <v>0</v>
      </c>
      <c r="D187" s="52">
        <f t="shared" si="123"/>
        <v>0</v>
      </c>
      <c r="E187" s="26">
        <f t="shared" si="108"/>
        <v>0</v>
      </c>
      <c r="F187" s="26">
        <f t="shared" si="109"/>
        <v>0</v>
      </c>
      <c r="G187" s="26">
        <f t="shared" si="110"/>
        <v>0</v>
      </c>
      <c r="H187" s="26">
        <f t="shared" si="111"/>
        <v>0</v>
      </c>
      <c r="I187" s="27">
        <f t="shared" si="126"/>
        <v>0</v>
      </c>
      <c r="J187" s="27">
        <f t="shared" si="126"/>
        <v>0</v>
      </c>
      <c r="K187" s="27">
        <f t="shared" si="126"/>
        <v>0</v>
      </c>
      <c r="L187" s="27">
        <f t="shared" si="124"/>
        <v>0</v>
      </c>
      <c r="M187" s="28">
        <f t="shared" si="127"/>
        <v>3</v>
      </c>
      <c r="N187" s="29">
        <f t="shared" si="128"/>
        <v>6</v>
      </c>
      <c r="O187" s="28">
        <f t="shared" si="129"/>
        <v>1</v>
      </c>
      <c r="P187" s="28">
        <f t="shared" si="130"/>
        <v>1</v>
      </c>
      <c r="Q187" s="28">
        <f t="shared" si="112"/>
        <v>11</v>
      </c>
      <c r="R187" s="22">
        <f t="shared" si="113"/>
        <v>135.58059723666628</v>
      </c>
      <c r="S187" s="22">
        <f t="shared" si="114"/>
        <v>46.904130816776991</v>
      </c>
      <c r="T187" s="22">
        <f t="shared" si="115"/>
        <v>15.923337818550095</v>
      </c>
      <c r="U187" s="22">
        <f t="shared" si="116"/>
        <v>3.5564737220742417</v>
      </c>
      <c r="V187" s="21">
        <f t="shared" si="131"/>
        <v>18.251860000000011</v>
      </c>
      <c r="W187" s="21">
        <f t="shared" si="132"/>
        <v>13.408749666666669</v>
      </c>
      <c r="X187" s="21">
        <f t="shared" si="121"/>
        <v>5.4554469999999924</v>
      </c>
      <c r="Y187" s="21">
        <f t="shared" si="122"/>
        <v>1.6462170000000029</v>
      </c>
      <c r="Z187" s="221">
        <f t="shared" si="117"/>
        <v>15</v>
      </c>
      <c r="AA187" s="30">
        <f t="shared" si="104"/>
        <v>6.6854850690833461</v>
      </c>
      <c r="AB187" s="30">
        <f t="shared" si="105"/>
        <v>3.1482217793982699</v>
      </c>
      <c r="AC187" s="30">
        <f t="shared" si="106"/>
        <v>2.6269165545362472</v>
      </c>
      <c r="AD187" s="30">
        <f t="shared" si="107"/>
        <v>1.9443526277925764</v>
      </c>
      <c r="AE187" s="32">
        <f t="shared" si="118"/>
        <v>14.404976030810438</v>
      </c>
      <c r="AF187" s="33">
        <f t="shared" si="125"/>
        <v>14.404976030810438</v>
      </c>
      <c r="AG187" s="40">
        <f t="shared" si="119"/>
        <v>44.70953914700781</v>
      </c>
      <c r="AH187" s="224">
        <f>AG187*$P$36</f>
        <v>3.749728687983966</v>
      </c>
      <c r="AI187" s="226">
        <f>SUM(Z187,IF(Z187&lt;&gt;0,$F$34,0),IF(Z187&lt;&gt;0,$N$36,0),IF(Z187&lt;&gt;0,$T$36,0),IF(Z187=0,AH192,IF(Z187=1,AH193,IF(Z187=2,AH194,IF(Z187=3,AH195,IF(Z187=4,AH196,IF(Z187=5,AH197,IF(Z187=6,AH198,IF(Z187=7,AH199,IF(Z187=8,AH200,IF(Z187=9,AH201,IF(Z187=10,AH202,IF(Z187=11,AH203,IF(Z187=12,AH204,IF(Z187=13,AH205,IF(Z187=14,AH206,IF(Z187=15,AH207,IF(Z187=16,AH208,IF(Z187=17,AH209,IF(Z187=18,AH210,IF(Z187=19,AH211,IF(Z187=20,AH212,IF(Z187=21,AH213,IF(Z187=22,AH214,IF(Z187=23,AH215,IF(Z187=24,AH216,IF(Z187=25,AH217,IF(Z187=26,AH218,IF(Z187=27,AH219,IF(Z187=28,AH220,IF(Z187=29,AH221,IF(Z187=30,AH222))))))))))))))))))))))))))))))))</f>
        <v>38.514928488017119</v>
      </c>
      <c r="AJ187" s="253">
        <f>IF(V187&lt;&gt;0,SUM($F$34,V187,$N$36,MAX($AH$42:$AH$342),$T$36),0)</f>
        <v>47.843348610374463</v>
      </c>
      <c r="AK187" s="253">
        <f>IF(W187&lt;&gt;0,SUM($F$34,W187,$N$36,MAX($AH$42:$AH$342),$T$36),0)</f>
        <v>43.00023827704112</v>
      </c>
      <c r="AL187" s="253">
        <f>IF(X187&lt;&gt;0,SUM($F$34,X187,$N$36,MAX($AH$42:$AH$342),$T$36),0)</f>
        <v>35.04693561037444</v>
      </c>
      <c r="AM187" s="260">
        <f>IF(Y187&lt;&gt;0,SUM($F$34,Y187,$N$36,MAX($AH$42:$AH$342),$T$36),0)</f>
        <v>31.237705610374451</v>
      </c>
    </row>
    <row r="188" spans="1:39" x14ac:dyDescent="0.35">
      <c r="A188" s="259">
        <v>1526</v>
      </c>
      <c r="B188" s="58">
        <f>SUMIF([2]!Table2_23[ETA],'FIS Optimal Model (2)'!A188,[2]!Table2_23[FIS PAX])</f>
        <v>0</v>
      </c>
      <c r="C188" s="44">
        <f t="shared" si="120"/>
        <v>0</v>
      </c>
      <c r="D188" s="52">
        <f t="shared" si="123"/>
        <v>0</v>
      </c>
      <c r="E188" s="26">
        <f t="shared" si="108"/>
        <v>0</v>
      </c>
      <c r="F188" s="26">
        <f t="shared" si="109"/>
        <v>0</v>
      </c>
      <c r="G188" s="26">
        <f t="shared" si="110"/>
        <v>0</v>
      </c>
      <c r="H188" s="26">
        <f t="shared" si="111"/>
        <v>0</v>
      </c>
      <c r="I188" s="27">
        <f t="shared" si="126"/>
        <v>0</v>
      </c>
      <c r="J188" s="27">
        <f t="shared" si="126"/>
        <v>0</v>
      </c>
      <c r="K188" s="27">
        <f t="shared" si="126"/>
        <v>0</v>
      </c>
      <c r="L188" s="27">
        <f t="shared" si="124"/>
        <v>0</v>
      </c>
      <c r="M188" s="28">
        <f t="shared" si="127"/>
        <v>3</v>
      </c>
      <c r="N188" s="29">
        <f t="shared" si="128"/>
        <v>6</v>
      </c>
      <c r="O188" s="28">
        <f t="shared" si="129"/>
        <v>1</v>
      </c>
      <c r="P188" s="28">
        <f t="shared" si="130"/>
        <v>1</v>
      </c>
      <c r="Q188" s="28">
        <f t="shared" si="112"/>
        <v>11</v>
      </c>
      <c r="R188" s="22">
        <f t="shared" si="113"/>
        <v>128.89511216758294</v>
      </c>
      <c r="S188" s="22">
        <f t="shared" si="114"/>
        <v>43.755909037378721</v>
      </c>
      <c r="T188" s="22">
        <f t="shared" si="115"/>
        <v>13.296421264013848</v>
      </c>
      <c r="U188" s="22">
        <f t="shared" si="116"/>
        <v>1.6121210942816653</v>
      </c>
      <c r="V188" s="21">
        <f t="shared" si="131"/>
        <v>17.351860000000013</v>
      </c>
      <c r="W188" s="21">
        <f t="shared" si="132"/>
        <v>12.508749666666668</v>
      </c>
      <c r="X188" s="21">
        <f t="shared" si="121"/>
        <v>4.555446999999992</v>
      </c>
      <c r="Y188" s="21">
        <f t="shared" si="122"/>
        <v>0.74621700000000291</v>
      </c>
      <c r="Z188" s="221">
        <f t="shared" si="117"/>
        <v>14</v>
      </c>
      <c r="AA188" s="30">
        <f t="shared" si="104"/>
        <v>6.6854850690833461</v>
      </c>
      <c r="AB188" s="30">
        <f t="shared" si="105"/>
        <v>3.1482217793982699</v>
      </c>
      <c r="AC188" s="30">
        <f t="shared" si="106"/>
        <v>2.6269165545362472</v>
      </c>
      <c r="AD188" s="30">
        <f t="shared" si="107"/>
        <v>1.9443526277925764</v>
      </c>
      <c r="AE188" s="32">
        <f t="shared" si="118"/>
        <v>14.404976030810438</v>
      </c>
      <c r="AF188" s="33">
        <f t="shared" si="125"/>
        <v>14.404976030810438</v>
      </c>
      <c r="AG188" s="40">
        <f t="shared" si="119"/>
        <v>47.191108748366467</v>
      </c>
      <c r="AH188" s="224">
        <f>AG188*$P$36</f>
        <v>3.9578545801978708</v>
      </c>
      <c r="AI188" s="226">
        <f>SUM(Z188,IF(Z188&lt;&gt;0,$F$34,0),IF(Z188&lt;&gt;0,$N$36,0),IF(Z188&lt;&gt;0,$T$36,0),IF(Z188=0,AH193,IF(Z188=1,AH194,IF(Z188=2,AH195,IF(Z188=3,AH196,IF(Z188=4,AH197,IF(Z188=5,AH198,IF(Z188=6,AH199,IF(Z188=7,AH200,IF(Z188=8,AH201,IF(Z188=9,AH202,IF(Z188=10,AH203,IF(Z188=11,AH204,IF(Z188=12,AH205,IF(Z188=13,AH206,IF(Z188=14,AH207,IF(Z188=15,AH208,IF(Z188=16,AH209,IF(Z188=17,AH210,IF(Z188=18,AH211,IF(Z188=19,AH212,IF(Z188=20,AH213,IF(Z188=21,AH214,IF(Z188=22,AH215,IF(Z188=23,AH216,IF(Z188=24,AH217,IF(Z188=25,AH218,IF(Z188=26,AH219,IF(Z188=27,AH220,IF(Z188=28,AH221,IF(Z188=29,AH222,IF(Z188=30,AH223))))))))))))))))))))))))))))))))</f>
        <v>37.514928488017119</v>
      </c>
      <c r="AJ188" s="253">
        <f>IF(V188&lt;&gt;0,SUM($F$34,V188,$N$36,MAX($AH$42:$AH$342),$T$36),0)</f>
        <v>46.943348610374457</v>
      </c>
      <c r="AK188" s="253">
        <f>IF(W188&lt;&gt;0,SUM($F$34,W188,$N$36,MAX($AH$42:$AH$342),$T$36),0)</f>
        <v>42.100238277041115</v>
      </c>
      <c r="AL188" s="253">
        <f>IF(X188&lt;&gt;0,SUM($F$34,X188,$N$36,MAX($AH$42:$AH$342),$T$36),0)</f>
        <v>34.146935610374442</v>
      </c>
      <c r="AM188" s="260">
        <f>IF(Y188&lt;&gt;0,SUM($F$34,Y188,$N$36,MAX($AH$42:$AH$342),$T$36),0)</f>
        <v>30.337705610374449</v>
      </c>
    </row>
    <row r="189" spans="1:39" x14ac:dyDescent="0.35">
      <c r="A189" s="259">
        <v>1527</v>
      </c>
      <c r="B189" s="58">
        <f>SUMIF([2]!Table2_23[ETA],'FIS Optimal Model (2)'!A189,[2]!Table2_23[FIS PAX])</f>
        <v>0</v>
      </c>
      <c r="C189" s="44">
        <f t="shared" si="120"/>
        <v>0</v>
      </c>
      <c r="D189" s="52">
        <f t="shared" si="123"/>
        <v>0</v>
      </c>
      <c r="E189" s="26">
        <f t="shared" si="108"/>
        <v>0</v>
      </c>
      <c r="F189" s="26">
        <f t="shared" si="109"/>
        <v>0</v>
      </c>
      <c r="G189" s="26">
        <f t="shared" si="110"/>
        <v>0</v>
      </c>
      <c r="H189" s="26">
        <f t="shared" si="111"/>
        <v>0</v>
      </c>
      <c r="I189" s="27">
        <f t="shared" si="126"/>
        <v>0</v>
      </c>
      <c r="J189" s="27">
        <f t="shared" si="126"/>
        <v>0</v>
      </c>
      <c r="K189" s="27">
        <f t="shared" si="126"/>
        <v>0</v>
      </c>
      <c r="L189" s="27">
        <f t="shared" si="124"/>
        <v>0</v>
      </c>
      <c r="M189" s="28">
        <f t="shared" si="127"/>
        <v>3</v>
      </c>
      <c r="N189" s="29">
        <f t="shared" si="128"/>
        <v>6</v>
      </c>
      <c r="O189" s="28">
        <f t="shared" si="129"/>
        <v>1</v>
      </c>
      <c r="P189" s="28">
        <f t="shared" si="130"/>
        <v>1</v>
      </c>
      <c r="Q189" s="28">
        <f t="shared" si="112"/>
        <v>11</v>
      </c>
      <c r="R189" s="22">
        <f t="shared" si="113"/>
        <v>122.2096270984996</v>
      </c>
      <c r="S189" s="22">
        <f t="shared" si="114"/>
        <v>40.08298362808074</v>
      </c>
      <c r="T189" s="22">
        <f t="shared" si="115"/>
        <v>10.6695047094776</v>
      </c>
      <c r="U189" s="22">
        <f t="shared" si="116"/>
        <v>0</v>
      </c>
      <c r="V189" s="21">
        <f t="shared" si="131"/>
        <v>16.451860000000014</v>
      </c>
      <c r="W189" s="21">
        <f t="shared" si="132"/>
        <v>11.458749666666668</v>
      </c>
      <c r="X189" s="21">
        <f t="shared" si="121"/>
        <v>3.6554469999999921</v>
      </c>
      <c r="Y189" s="21">
        <f t="shared" si="122"/>
        <v>0</v>
      </c>
      <c r="Z189" s="221">
        <f t="shared" si="117"/>
        <v>13</v>
      </c>
      <c r="AA189" s="30">
        <f t="shared" si="104"/>
        <v>6.6854850690833461</v>
      </c>
      <c r="AB189" s="30">
        <f t="shared" si="105"/>
        <v>3.1482217793982699</v>
      </c>
      <c r="AC189" s="30">
        <f t="shared" si="106"/>
        <v>2.6269165545362472</v>
      </c>
      <c r="AD189" s="30">
        <f t="shared" si="107"/>
        <v>0</v>
      </c>
      <c r="AE189" s="32">
        <f t="shared" si="118"/>
        <v>12.460623403017863</v>
      </c>
      <c r="AF189" s="33">
        <f t="shared" si="125"/>
        <v>14.404976030810438</v>
      </c>
      <c r="AG189" s="40">
        <f t="shared" si="119"/>
        <v>49.672678349725125</v>
      </c>
      <c r="AH189" s="224">
        <f>AG189*$P$36</f>
        <v>4.1659804724117748</v>
      </c>
      <c r="AI189" s="226">
        <f>SUM(Z189,IF(Z189&lt;&gt;0,$F$34,0),IF(Z189&lt;&gt;0,$N$36,0),IF(Z189&lt;&gt;0,$T$36,0),IF(Z189=0,AH194,IF(Z189=1,AH195,IF(Z189=2,AH196,IF(Z189=3,AH197,IF(Z189=4,AH198,IF(Z189=5,AH199,IF(Z189=6,AH200,IF(Z189=7,AH201,IF(Z189=8,AH202,IF(Z189=9,AH203,IF(Z189=10,AH204,IF(Z189=11,AH205,IF(Z189=12,AH206,IF(Z189=13,AH207,IF(Z189=14,AH208,IF(Z189=15,AH209,IF(Z189=16,AH210,IF(Z189=17,AH211,IF(Z189=18,AH212,IF(Z189=19,AH213,IF(Z189=20,AH214,IF(Z189=21,AH215,IF(Z189=22,AH216,IF(Z189=23,AH217,IF(Z189=24,AH218,IF(Z189=25,AH219,IF(Z189=26,AH220,IF(Z189=27,AH221,IF(Z189=28,AH222,IF(Z189=29,AH223,IF(Z189=30,AH224))))))))))))))))))))))))))))))))</f>
        <v>36.514928488017119</v>
      </c>
      <c r="AJ189" s="253">
        <f>IF(V189&lt;&gt;0,SUM($F$34,V189,$N$36,MAX($AH$42:$AH$342),$T$36),0)</f>
        <v>46.043348610374466</v>
      </c>
      <c r="AK189" s="253">
        <f>IF(W189&lt;&gt;0,SUM($F$34,W189,$N$36,MAX($AH$42:$AH$342),$T$36),0)</f>
        <v>41.050238277041117</v>
      </c>
      <c r="AL189" s="253">
        <f>IF(X189&lt;&gt;0,SUM($F$34,X189,$N$36,MAX($AH$42:$AH$342),$T$36),0)</f>
        <v>33.246935610374436</v>
      </c>
      <c r="AM189" s="260">
        <f>IF(Y189&lt;&gt;0,SUM($F$34,Y189,$N$36,MAX($AH$42:$AH$342),$T$36),0)</f>
        <v>0</v>
      </c>
    </row>
    <row r="190" spans="1:39" x14ac:dyDescent="0.35">
      <c r="A190" s="259">
        <v>1528</v>
      </c>
      <c r="B190" s="58">
        <f>SUMIF([2]!Table2_23[ETA],'FIS Optimal Model (2)'!A190,[2]!Table2_23[FIS PAX])</f>
        <v>0</v>
      </c>
      <c r="C190" s="44">
        <f t="shared" si="120"/>
        <v>0</v>
      </c>
      <c r="D190" s="52">
        <f t="shared" si="123"/>
        <v>0</v>
      </c>
      <c r="E190" s="26">
        <f t="shared" si="108"/>
        <v>0</v>
      </c>
      <c r="F190" s="26">
        <f t="shared" si="109"/>
        <v>0</v>
      </c>
      <c r="G190" s="26">
        <f t="shared" si="110"/>
        <v>0</v>
      </c>
      <c r="H190" s="26">
        <f t="shared" si="111"/>
        <v>0</v>
      </c>
      <c r="I190" s="27">
        <f t="shared" si="126"/>
        <v>0</v>
      </c>
      <c r="J190" s="27">
        <f t="shared" si="126"/>
        <v>0</v>
      </c>
      <c r="K190" s="27">
        <f t="shared" si="126"/>
        <v>0</v>
      </c>
      <c r="L190" s="27">
        <f t="shared" si="124"/>
        <v>0</v>
      </c>
      <c r="M190" s="28">
        <f t="shared" si="127"/>
        <v>3</v>
      </c>
      <c r="N190" s="29">
        <f t="shared" si="128"/>
        <v>6</v>
      </c>
      <c r="O190" s="28">
        <f t="shared" si="129"/>
        <v>1</v>
      </c>
      <c r="P190" s="28">
        <f t="shared" si="130"/>
        <v>1</v>
      </c>
      <c r="Q190" s="28">
        <f t="shared" si="112"/>
        <v>11</v>
      </c>
      <c r="R190" s="22">
        <f t="shared" si="113"/>
        <v>115.52414202941625</v>
      </c>
      <c r="S190" s="22">
        <f t="shared" si="114"/>
        <v>36.410058218782758</v>
      </c>
      <c r="T190" s="22">
        <f t="shared" si="115"/>
        <v>8.0425881549413525</v>
      </c>
      <c r="U190" s="22">
        <f t="shared" si="116"/>
        <v>0</v>
      </c>
      <c r="V190" s="21">
        <f t="shared" si="131"/>
        <v>15.551860000000016</v>
      </c>
      <c r="W190" s="21">
        <f t="shared" si="132"/>
        <v>10.408749666666669</v>
      </c>
      <c r="X190" s="21">
        <f t="shared" si="121"/>
        <v>2.7554469999999918</v>
      </c>
      <c r="Y190" s="21">
        <f t="shared" si="122"/>
        <v>0</v>
      </c>
      <c r="Z190" s="221">
        <f t="shared" si="117"/>
        <v>12</v>
      </c>
      <c r="AA190" s="30">
        <f t="shared" si="104"/>
        <v>6.6854850690833461</v>
      </c>
      <c r="AB190" s="30">
        <f t="shared" si="105"/>
        <v>3.1482217793982699</v>
      </c>
      <c r="AC190" s="30">
        <f t="shared" si="106"/>
        <v>2.6269165545362472</v>
      </c>
      <c r="AD190" s="30">
        <f t="shared" si="107"/>
        <v>0</v>
      </c>
      <c r="AE190" s="32">
        <f t="shared" si="118"/>
        <v>12.460623403017863</v>
      </c>
      <c r="AF190" s="33">
        <f t="shared" si="125"/>
        <v>14.404976030810438</v>
      </c>
      <c r="AG190" s="40">
        <f t="shared" si="119"/>
        <v>52.154247951083782</v>
      </c>
      <c r="AH190" s="224">
        <f>AG190*$P$36</f>
        <v>4.3741063646256801</v>
      </c>
      <c r="AI190" s="226">
        <f>SUM(Z190,IF(Z190&lt;&gt;0,$F$34,0),IF(Z190&lt;&gt;0,$N$36,0),IF(Z190&lt;&gt;0,$T$36,0),IF(Z190=0,AH195,IF(Z190=1,AH196,IF(Z190=2,AH197,IF(Z190=3,AH198,IF(Z190=4,AH199,IF(Z190=5,AH200,IF(Z190=6,AH201,IF(Z190=7,AH202,IF(Z190=8,AH203,IF(Z190=9,AH204,IF(Z190=10,AH205,IF(Z190=11,AH206,IF(Z190=12,AH207,IF(Z190=13,AH208,IF(Z190=14,AH209,IF(Z190=15,AH210,IF(Z190=16,AH211,IF(Z190=17,AH212,IF(Z190=18,AH213,IF(Z190=19,AH214,IF(Z190=20,AH215,IF(Z190=21,AH216,IF(Z190=22,AH217,IF(Z190=23,AH218,IF(Z190=24,AH219,IF(Z190=25,AH220,IF(Z190=26,AH221,IF(Z190=27,AH222,IF(Z190=28,AH223,IF(Z190=29,AH224,IF(Z190=30,AH225))))))))))))))))))))))))))))))))</f>
        <v>35.514928488017119</v>
      </c>
      <c r="AJ190" s="253">
        <f>IF(V190&lt;&gt;0,SUM($F$34,V190,$N$36,MAX($AH$42:$AH$342),$T$36),0)</f>
        <v>45.14334861037446</v>
      </c>
      <c r="AK190" s="253">
        <f>IF(W190&lt;&gt;0,SUM($F$34,W190,$N$36,MAX($AH$42:$AH$342),$T$36),0)</f>
        <v>40.00023827704112</v>
      </c>
      <c r="AL190" s="253">
        <f>IF(X190&lt;&gt;0,SUM($F$34,X190,$N$36,MAX($AH$42:$AH$342),$T$36),0)</f>
        <v>32.346935610374437</v>
      </c>
      <c r="AM190" s="260">
        <f>IF(Y190&lt;&gt;0,SUM($F$34,Y190,$N$36,MAX($AH$42:$AH$342),$T$36),0)</f>
        <v>0</v>
      </c>
    </row>
    <row r="191" spans="1:39" x14ac:dyDescent="0.35">
      <c r="A191" s="259">
        <v>1529</v>
      </c>
      <c r="B191" s="58">
        <f>SUMIF([2]!Table2_23[ETA],'FIS Optimal Model (2)'!A191,[2]!Table2_23[FIS PAX])</f>
        <v>0</v>
      </c>
      <c r="C191" s="44">
        <f t="shared" si="120"/>
        <v>0</v>
      </c>
      <c r="D191" s="52">
        <f t="shared" si="123"/>
        <v>0</v>
      </c>
      <c r="E191" s="26">
        <f t="shared" si="108"/>
        <v>0</v>
      </c>
      <c r="F191" s="26">
        <f t="shared" si="109"/>
        <v>0</v>
      </c>
      <c r="G191" s="26">
        <f t="shared" si="110"/>
        <v>0</v>
      </c>
      <c r="H191" s="26">
        <f t="shared" si="111"/>
        <v>0</v>
      </c>
      <c r="I191" s="27">
        <f t="shared" si="126"/>
        <v>0</v>
      </c>
      <c r="J191" s="27">
        <f t="shared" si="126"/>
        <v>0</v>
      </c>
      <c r="K191" s="27">
        <f t="shared" si="126"/>
        <v>0</v>
      </c>
      <c r="L191" s="27">
        <f t="shared" si="124"/>
        <v>0</v>
      </c>
      <c r="M191" s="28">
        <f t="shared" si="127"/>
        <v>3</v>
      </c>
      <c r="N191" s="29">
        <f t="shared" si="128"/>
        <v>6</v>
      </c>
      <c r="O191" s="28">
        <f t="shared" si="129"/>
        <v>1</v>
      </c>
      <c r="P191" s="28">
        <f t="shared" si="130"/>
        <v>1</v>
      </c>
      <c r="Q191" s="28">
        <f t="shared" si="112"/>
        <v>11</v>
      </c>
      <c r="R191" s="22">
        <f t="shared" si="113"/>
        <v>108.83865696033291</v>
      </c>
      <c r="S191" s="22">
        <f t="shared" si="114"/>
        <v>32.737132809484777</v>
      </c>
      <c r="T191" s="22">
        <f t="shared" si="115"/>
        <v>5.4156716004051049</v>
      </c>
      <c r="U191" s="22">
        <f t="shared" si="116"/>
        <v>0</v>
      </c>
      <c r="V191" s="21">
        <f t="shared" si="131"/>
        <v>14.651860000000015</v>
      </c>
      <c r="W191" s="21">
        <f t="shared" si="132"/>
        <v>9.3587496666666681</v>
      </c>
      <c r="X191" s="21">
        <f t="shared" si="121"/>
        <v>1.8554469999999916</v>
      </c>
      <c r="Y191" s="21">
        <f t="shared" si="122"/>
        <v>0</v>
      </c>
      <c r="Z191" s="221">
        <f t="shared" si="117"/>
        <v>11</v>
      </c>
      <c r="AA191" s="30">
        <f t="shared" si="104"/>
        <v>6.6854850690833461</v>
      </c>
      <c r="AB191" s="30">
        <f t="shared" si="105"/>
        <v>3.1482217793982699</v>
      </c>
      <c r="AC191" s="30">
        <f t="shared" si="106"/>
        <v>2.6269165545362472</v>
      </c>
      <c r="AD191" s="30">
        <f t="shared" si="107"/>
        <v>0</v>
      </c>
      <c r="AE191" s="32">
        <f t="shared" si="118"/>
        <v>12.460623403017863</v>
      </c>
      <c r="AF191" s="33">
        <f t="shared" si="125"/>
        <v>14.404976030810438</v>
      </c>
      <c r="AG191" s="40">
        <f t="shared" si="119"/>
        <v>54.63581755244244</v>
      </c>
      <c r="AH191" s="224">
        <f>AG191*$P$36</f>
        <v>4.5822322568395846</v>
      </c>
      <c r="AI191" s="226">
        <f>SUM(Z191,IF(Z191&lt;&gt;0,$F$34,0),IF(Z191&lt;&gt;0,$N$36,0),IF(Z191&lt;&gt;0,$T$36,0),IF(Z191=0,AH196,IF(Z191=1,AH197,IF(Z191=2,AH198,IF(Z191=3,AH199,IF(Z191=4,AH200,IF(Z191=5,AH201,IF(Z191=6,AH202,IF(Z191=7,AH203,IF(Z191=8,AH204,IF(Z191=9,AH205,IF(Z191=10,AH206,IF(Z191=11,AH207,IF(Z191=12,AH208,IF(Z191=13,AH209,IF(Z191=14,AH210,IF(Z191=15,AH211,IF(Z191=16,AH212,IF(Z191=17,AH213,IF(Z191=18,AH214,IF(Z191=19,AH215,IF(Z191=20,AH216,IF(Z191=21,AH217,IF(Z191=22,AH218,IF(Z191=23,AH219,IF(Z191=24,AH220,IF(Z191=25,AH221,IF(Z191=26,AH222,IF(Z191=27,AH223,IF(Z191=28,AH224,IF(Z191=29,AH225,IF(Z191=30,AH226))))))))))))))))))))))))))))))))</f>
        <v>34.514928488017119</v>
      </c>
      <c r="AJ191" s="253">
        <f>IF(V191&lt;&gt;0,SUM($F$34,V191,$N$36,MAX($AH$42:$AH$342),$T$36),0)</f>
        <v>44.243348610374461</v>
      </c>
      <c r="AK191" s="253">
        <f>IF(W191&lt;&gt;0,SUM($F$34,W191,$N$36,MAX($AH$42:$AH$342),$T$36),0)</f>
        <v>38.950238277041116</v>
      </c>
      <c r="AL191" s="253">
        <f>IF(X191&lt;&gt;0,SUM($F$34,X191,$N$36,MAX($AH$42:$AH$342),$T$36),0)</f>
        <v>31.446935610374439</v>
      </c>
      <c r="AM191" s="260">
        <f>IF(Y191&lt;&gt;0,SUM($F$34,Y191,$N$36,MAX($AH$42:$AH$342),$T$36),0)</f>
        <v>0</v>
      </c>
    </row>
    <row r="192" spans="1:39" x14ac:dyDescent="0.35">
      <c r="A192" s="259">
        <v>1530</v>
      </c>
      <c r="B192" s="58">
        <f>SUMIF([2]!Table2_23[ETA],'FIS Optimal Model (2)'!A192,[2]!Table2_23[FIS PAX])</f>
        <v>0</v>
      </c>
      <c r="C192" s="44">
        <f t="shared" si="120"/>
        <v>0</v>
      </c>
      <c r="D192" s="52">
        <f t="shared" si="123"/>
        <v>0</v>
      </c>
      <c r="E192" s="26">
        <f t="shared" si="108"/>
        <v>0</v>
      </c>
      <c r="F192" s="26">
        <f t="shared" si="109"/>
        <v>0</v>
      </c>
      <c r="G192" s="26">
        <f t="shared" si="110"/>
        <v>0</v>
      </c>
      <c r="H192" s="26">
        <f t="shared" si="111"/>
        <v>0</v>
      </c>
      <c r="I192" s="27">
        <f t="shared" si="126"/>
        <v>0</v>
      </c>
      <c r="J192" s="27">
        <f t="shared" si="126"/>
        <v>0</v>
      </c>
      <c r="K192" s="27">
        <f t="shared" si="126"/>
        <v>0</v>
      </c>
      <c r="L192" s="27">
        <f t="shared" si="124"/>
        <v>0</v>
      </c>
      <c r="M192" s="28">
        <f t="shared" si="127"/>
        <v>3</v>
      </c>
      <c r="N192" s="29">
        <f t="shared" si="128"/>
        <v>6</v>
      </c>
      <c r="O192" s="28">
        <f t="shared" si="129"/>
        <v>1</v>
      </c>
      <c r="P192" s="28">
        <f t="shared" si="130"/>
        <v>1</v>
      </c>
      <c r="Q192" s="28">
        <f t="shared" si="112"/>
        <v>11</v>
      </c>
      <c r="R192" s="22">
        <f t="shared" si="113"/>
        <v>102.15317189124957</v>
      </c>
      <c r="S192" s="22">
        <f t="shared" si="114"/>
        <v>29.064207400186795</v>
      </c>
      <c r="T192" s="22">
        <f t="shared" si="115"/>
        <v>2.7887550458688577</v>
      </c>
      <c r="U192" s="22">
        <f t="shared" si="116"/>
        <v>0</v>
      </c>
      <c r="V192" s="21">
        <f t="shared" si="131"/>
        <v>13.751860000000017</v>
      </c>
      <c r="W192" s="21">
        <f t="shared" si="132"/>
        <v>8.3087496666666674</v>
      </c>
      <c r="X192" s="21">
        <f t="shared" si="121"/>
        <v>0.95544699999999172</v>
      </c>
      <c r="Y192" s="21">
        <f t="shared" si="122"/>
        <v>0</v>
      </c>
      <c r="Z192" s="221">
        <f t="shared" si="117"/>
        <v>10</v>
      </c>
      <c r="AA192" s="30">
        <f t="shared" si="104"/>
        <v>6.6854850690833461</v>
      </c>
      <c r="AB192" s="30">
        <f t="shared" si="105"/>
        <v>3.1482217793982699</v>
      </c>
      <c r="AC192" s="30">
        <f t="shared" si="106"/>
        <v>2.6269165545362472</v>
      </c>
      <c r="AD192" s="30">
        <f t="shared" si="107"/>
        <v>0</v>
      </c>
      <c r="AE192" s="32">
        <f t="shared" si="118"/>
        <v>12.460623403017863</v>
      </c>
      <c r="AF192" s="33">
        <f t="shared" si="125"/>
        <v>14.404976030810438</v>
      </c>
      <c r="AG192" s="40">
        <f t="shared" si="119"/>
        <v>57.117387153801097</v>
      </c>
      <c r="AH192" s="224">
        <f>AG192*$P$36</f>
        <v>4.790358149053489</v>
      </c>
      <c r="AI192" s="226">
        <f>SUM(Z192,IF(Z192&lt;&gt;0,$F$34,0),IF(Z192&lt;&gt;0,$N$36,0),IF(Z192&lt;&gt;0,$T$36,0),IF(Z192=0,AH197,IF(Z192=1,AH198,IF(Z192=2,AH199,IF(Z192=3,AH200,IF(Z192=4,AH201,IF(Z192=5,AH202,IF(Z192=6,AH203,IF(Z192=7,AH204,IF(Z192=8,AH205,IF(Z192=9,AH206,IF(Z192=10,AH207,IF(Z192=11,AH208,IF(Z192=12,AH209,IF(Z192=13,AH210,IF(Z192=14,AH211,IF(Z192=15,AH212,IF(Z192=16,AH213,IF(Z192=17,AH214,IF(Z192=18,AH215,IF(Z192=19,AH216,IF(Z192=20,AH217,IF(Z192=21,AH218,IF(Z192=22,AH219,IF(Z192=23,AH220,IF(Z192=24,AH221,IF(Z192=25,AH222,IF(Z192=26,AH223,IF(Z192=27,AH224,IF(Z192=28,AH225,IF(Z192=29,AH226,IF(Z192=30,AH227))))))))))))))))))))))))))))))))</f>
        <v>33.514928488017119</v>
      </c>
      <c r="AJ192" s="253">
        <f>IF(V192&lt;&gt;0,SUM($F$34,V192,$N$36,MAX($AH$42:$AH$342),$T$36),0)</f>
        <v>43.343348610374463</v>
      </c>
      <c r="AK192" s="253">
        <f>IF(W192&lt;&gt;0,SUM($F$34,W192,$N$36,MAX($AH$42:$AH$342),$T$36),0)</f>
        <v>37.900238277041112</v>
      </c>
      <c r="AL192" s="253">
        <f>IF(X192&lt;&gt;0,SUM($F$34,X192,$N$36,MAX($AH$42:$AH$342),$T$36),0)</f>
        <v>30.54693561037444</v>
      </c>
      <c r="AM192" s="260">
        <f>IF(Y192&lt;&gt;0,SUM($F$34,Y192,$N$36,MAX($AH$42:$AH$342),$T$36),0)</f>
        <v>0</v>
      </c>
    </row>
    <row r="193" spans="1:39" x14ac:dyDescent="0.35">
      <c r="A193" s="259">
        <v>1531</v>
      </c>
      <c r="B193" s="58">
        <f>SUMIF([2]!Table2_23[ETA],'FIS Optimal Model (2)'!A193,[2]!Table2_23[FIS PAX])</f>
        <v>0</v>
      </c>
      <c r="C193" s="44">
        <f t="shared" si="120"/>
        <v>0</v>
      </c>
      <c r="D193" s="52">
        <f t="shared" si="123"/>
        <v>0</v>
      </c>
      <c r="E193" s="26">
        <f t="shared" si="108"/>
        <v>0</v>
      </c>
      <c r="F193" s="26">
        <f t="shared" si="109"/>
        <v>0</v>
      </c>
      <c r="G193" s="26">
        <f t="shared" si="110"/>
        <v>0</v>
      </c>
      <c r="H193" s="26">
        <f t="shared" si="111"/>
        <v>0</v>
      </c>
      <c r="I193" s="27">
        <f t="shared" si="126"/>
        <v>0</v>
      </c>
      <c r="J193" s="27">
        <f t="shared" si="126"/>
        <v>0</v>
      </c>
      <c r="K193" s="27">
        <f t="shared" si="126"/>
        <v>0</v>
      </c>
      <c r="L193" s="27">
        <f t="shared" si="124"/>
        <v>0</v>
      </c>
      <c r="M193" s="28">
        <f>IF(R192=0,0,$Q$16)</f>
        <v>3</v>
      </c>
      <c r="N193" s="29">
        <f>$U$16-M193-O193-P193</f>
        <v>7</v>
      </c>
      <c r="O193" s="28">
        <f>IF(T192=0,0,$S$16)</f>
        <v>1</v>
      </c>
      <c r="P193" s="28">
        <f>IF(U192=0,0,$T$16)</f>
        <v>0</v>
      </c>
      <c r="Q193" s="28">
        <f t="shared" si="112"/>
        <v>11</v>
      </c>
      <c r="R193" s="22">
        <f t="shared" si="113"/>
        <v>95.467686822166229</v>
      </c>
      <c r="S193" s="22">
        <f t="shared" si="114"/>
        <v>25.391281990888814</v>
      </c>
      <c r="T193" s="22">
        <f t="shared" si="115"/>
        <v>0.16183849133261052</v>
      </c>
      <c r="U193" s="22">
        <f t="shared" si="116"/>
        <v>0</v>
      </c>
      <c r="V193" s="21">
        <f t="shared" si="131"/>
        <v>12.851860000000016</v>
      </c>
      <c r="W193" s="21">
        <f t="shared" si="132"/>
        <v>6.2217854285714296</v>
      </c>
      <c r="X193" s="21">
        <f t="shared" si="121"/>
        <v>5.544699999999169E-2</v>
      </c>
      <c r="Y193" s="21">
        <f t="shared" si="122"/>
        <v>0</v>
      </c>
      <c r="Z193" s="221">
        <f t="shared" si="117"/>
        <v>9</v>
      </c>
      <c r="AA193" s="30">
        <f t="shared" si="104"/>
        <v>6.6854850690833461</v>
      </c>
      <c r="AB193" s="30">
        <f t="shared" si="105"/>
        <v>3.6729254092979819</v>
      </c>
      <c r="AC193" s="30">
        <f t="shared" si="106"/>
        <v>2.6269165545362472</v>
      </c>
      <c r="AD193" s="30">
        <f t="shared" si="107"/>
        <v>0</v>
      </c>
      <c r="AE193" s="32">
        <f t="shared" si="118"/>
        <v>12.985327032917576</v>
      </c>
      <c r="AF193" s="33">
        <f t="shared" si="125"/>
        <v>12.460623403017863</v>
      </c>
      <c r="AG193" s="40">
        <f t="shared" si="119"/>
        <v>57.654604127367179</v>
      </c>
      <c r="AH193" s="224">
        <f>AG193*$P$36</f>
        <v>4.8354138113547513</v>
      </c>
      <c r="AI193" s="226">
        <f>SUM(Z193,IF(Z193&lt;&gt;0,$F$34,0),IF(Z193&lt;&gt;0,$N$36,0),IF(Z193&lt;&gt;0,$T$36,0),IF(Z193=0,AH198,IF(Z193=1,AH199,IF(Z193=2,AH200,IF(Z193=3,AH201,IF(Z193=4,AH202,IF(Z193=5,AH203,IF(Z193=6,AH204,IF(Z193=7,AH205,IF(Z193=8,AH206,IF(Z193=9,AH207,IF(Z193=10,AH208,IF(Z193=11,AH209,IF(Z193=12,AH210,IF(Z193=13,AH211,IF(Z193=14,AH212,IF(Z193=15,AH213,IF(Z193=16,AH214,IF(Z193=17,AH215,IF(Z193=18,AH216,IF(Z193=19,AH217,IF(Z193=20,AH218,IF(Z193=21,AH219,IF(Z193=22,AH220,IF(Z193=23,AH221,IF(Z193=24,AH222,IF(Z193=25,AH223,IF(Z193=26,AH224,IF(Z193=27,AH225,IF(Z193=28,AH226,IF(Z193=29,AH227,IF(Z193=30,AH228))))))))))))))))))))))))))))))))</f>
        <v>32.514928488017119</v>
      </c>
      <c r="AJ193" s="253">
        <f>IF(V193&lt;&gt;0,SUM($F$34,V193,$N$36,MAX($AH$42:$AH$342),$T$36),0)</f>
        <v>42.443348610374464</v>
      </c>
      <c r="AK193" s="253">
        <f>IF(W193&lt;&gt;0,SUM($F$34,W193,$N$36,MAX($AH$42:$AH$342),$T$36),0)</f>
        <v>35.813274038945877</v>
      </c>
      <c r="AL193" s="253">
        <f>IF(X193&lt;&gt;0,SUM($F$34,X193,$N$36,MAX($AH$42:$AH$342),$T$36),0)</f>
        <v>29.646935610374442</v>
      </c>
      <c r="AM193" s="260">
        <f>IF(Y193&lt;&gt;0,SUM($F$34,Y193,$N$36,MAX($AH$42:$AH$342),$T$36),0)</f>
        <v>0</v>
      </c>
    </row>
    <row r="194" spans="1:39" x14ac:dyDescent="0.35">
      <c r="A194" s="259">
        <v>1532</v>
      </c>
      <c r="B194" s="58">
        <f>SUMIF([2]!Table2_23[ETA],'FIS Optimal Model (2)'!A194,[2]!Table2_23[FIS PAX])</f>
        <v>0</v>
      </c>
      <c r="C194" s="44">
        <f t="shared" si="120"/>
        <v>0</v>
      </c>
      <c r="D194" s="52">
        <f t="shared" si="123"/>
        <v>0</v>
      </c>
      <c r="E194" s="26">
        <f t="shared" si="108"/>
        <v>0</v>
      </c>
      <c r="F194" s="26">
        <f t="shared" si="109"/>
        <v>0</v>
      </c>
      <c r="G194" s="26">
        <f t="shared" si="110"/>
        <v>0</v>
      </c>
      <c r="H194" s="26">
        <f t="shared" si="111"/>
        <v>0</v>
      </c>
      <c r="I194" s="27">
        <f t="shared" si="126"/>
        <v>0</v>
      </c>
      <c r="J194" s="27">
        <f t="shared" si="126"/>
        <v>0</v>
      </c>
      <c r="K194" s="27">
        <f t="shared" si="126"/>
        <v>0</v>
      </c>
      <c r="L194" s="27">
        <f t="shared" si="124"/>
        <v>0</v>
      </c>
      <c r="M194" s="28">
        <f>$M$193</f>
        <v>3</v>
      </c>
      <c r="N194" s="29">
        <f>$N$193</f>
        <v>7</v>
      </c>
      <c r="O194" s="28">
        <f>$O$193</f>
        <v>1</v>
      </c>
      <c r="P194" s="28">
        <f>$P$193</f>
        <v>0</v>
      </c>
      <c r="Q194" s="28">
        <f t="shared" si="112"/>
        <v>11</v>
      </c>
      <c r="R194" s="22">
        <f t="shared" si="113"/>
        <v>88.782201753082887</v>
      </c>
      <c r="S194" s="22">
        <f t="shared" si="114"/>
        <v>21.718356581590832</v>
      </c>
      <c r="T194" s="22">
        <f t="shared" si="115"/>
        <v>0</v>
      </c>
      <c r="U194" s="22">
        <f t="shared" si="116"/>
        <v>0</v>
      </c>
      <c r="V194" s="21">
        <f t="shared" si="131"/>
        <v>11.951860000000018</v>
      </c>
      <c r="W194" s="21">
        <f t="shared" si="132"/>
        <v>5.3217854285714292</v>
      </c>
      <c r="X194" s="21">
        <f t="shared" si="121"/>
        <v>0</v>
      </c>
      <c r="Y194" s="21">
        <f t="shared" si="122"/>
        <v>0</v>
      </c>
      <c r="Z194" s="221">
        <f t="shared" si="117"/>
        <v>8</v>
      </c>
      <c r="AA194" s="30">
        <f t="shared" si="104"/>
        <v>6.6854850690833461</v>
      </c>
      <c r="AB194" s="30">
        <f t="shared" si="105"/>
        <v>3.6729254092979819</v>
      </c>
      <c r="AC194" s="30">
        <f t="shared" si="106"/>
        <v>0</v>
      </c>
      <c r="AD194" s="30">
        <f t="shared" si="107"/>
        <v>0</v>
      </c>
      <c r="AE194" s="32">
        <f t="shared" si="118"/>
        <v>10.358410478381328</v>
      </c>
      <c r="AF194" s="33">
        <f t="shared" si="125"/>
        <v>12.460623403017863</v>
      </c>
      <c r="AG194" s="40">
        <f t="shared" si="119"/>
        <v>58.191821100933261</v>
      </c>
      <c r="AH194" s="224">
        <f>AG194*$P$36</f>
        <v>4.8804694736560137</v>
      </c>
      <c r="AI194" s="226">
        <f>SUM(Z194,IF(Z194&lt;&gt;0,$F$34,0),IF(Z194&lt;&gt;0,$N$36,0),IF(Z194&lt;&gt;0,$T$36,0),IF(Z194=0,AH199,IF(Z194=1,AH200,IF(Z194=2,AH201,IF(Z194=3,AH202,IF(Z194=4,AH203,IF(Z194=5,AH204,IF(Z194=6,AH205,IF(Z194=7,AH206,IF(Z194=8,AH207,IF(Z194=9,AH208,IF(Z194=10,AH209,IF(Z194=11,AH210,IF(Z194=12,AH211,IF(Z194=13,AH212,IF(Z194=14,AH213,IF(Z194=15,AH214,IF(Z194=16,AH215,IF(Z194=17,AH216,IF(Z194=18,AH217,IF(Z194=19,AH218,IF(Z194=20,AH219,IF(Z194=21,AH220,IF(Z194=22,AH221,IF(Z194=23,AH222,IF(Z194=24,AH223,IF(Z194=25,AH224,IF(Z194=26,AH225,IF(Z194=27,AH226,IF(Z194=28,AH227,IF(Z194=29,AH228,IF(Z194=30,AH229))))))))))))))))))))))))))))))))</f>
        <v>31.514928488017119</v>
      </c>
      <c r="AJ194" s="253">
        <f>IF(V194&lt;&gt;0,SUM($F$34,V194,$N$36,MAX($AH$42:$AH$342),$T$36),0)</f>
        <v>41.543348610374466</v>
      </c>
      <c r="AK194" s="253">
        <f>IF(W194&lt;&gt;0,SUM($F$34,W194,$N$36,MAX($AH$42:$AH$342),$T$36),0)</f>
        <v>34.913274038945879</v>
      </c>
      <c r="AL194" s="253">
        <f>IF(X194&lt;&gt;0,SUM($F$34,X194,$N$36,MAX($AH$42:$AH$342),$T$36),0)</f>
        <v>0</v>
      </c>
      <c r="AM194" s="260">
        <f>IF(Y194&lt;&gt;0,SUM($F$34,Y194,$N$36,MAX($AH$42:$AH$342),$T$36),0)</f>
        <v>0</v>
      </c>
    </row>
    <row r="195" spans="1:39" x14ac:dyDescent="0.35">
      <c r="A195" s="259">
        <v>1533</v>
      </c>
      <c r="B195" s="58">
        <f>SUMIF([2]!Table2_23[ETA],'FIS Optimal Model (2)'!A195,[2]!Table2_23[FIS PAX])</f>
        <v>0</v>
      </c>
      <c r="C195" s="44">
        <f t="shared" si="120"/>
        <v>0</v>
      </c>
      <c r="D195" s="52">
        <f t="shared" si="123"/>
        <v>0</v>
      </c>
      <c r="E195" s="26">
        <f t="shared" si="108"/>
        <v>0</v>
      </c>
      <c r="F195" s="26">
        <f t="shared" si="109"/>
        <v>0</v>
      </c>
      <c r="G195" s="26">
        <f t="shared" si="110"/>
        <v>0</v>
      </c>
      <c r="H195" s="26">
        <f t="shared" si="111"/>
        <v>0</v>
      </c>
      <c r="I195" s="27">
        <f t="shared" si="126"/>
        <v>0</v>
      </c>
      <c r="J195" s="27">
        <f t="shared" si="126"/>
        <v>0</v>
      </c>
      <c r="K195" s="27">
        <f t="shared" si="126"/>
        <v>0</v>
      </c>
      <c r="L195" s="27">
        <f t="shared" si="124"/>
        <v>0</v>
      </c>
      <c r="M195" s="28">
        <f t="shared" ref="M195:M207" si="133">$M$193</f>
        <v>3</v>
      </c>
      <c r="N195" s="29">
        <f t="shared" ref="N195:N207" si="134">$N$193</f>
        <v>7</v>
      </c>
      <c r="O195" s="28">
        <f t="shared" ref="O195:O207" si="135">$O$193</f>
        <v>1</v>
      </c>
      <c r="P195" s="28">
        <f t="shared" ref="P195:P207" si="136">$P$193</f>
        <v>0</v>
      </c>
      <c r="Q195" s="28">
        <f t="shared" si="112"/>
        <v>11</v>
      </c>
      <c r="R195" s="22">
        <f t="shared" si="113"/>
        <v>82.096716683999546</v>
      </c>
      <c r="S195" s="22">
        <f t="shared" si="114"/>
        <v>18.045431172292851</v>
      </c>
      <c r="T195" s="22">
        <f t="shared" si="115"/>
        <v>0</v>
      </c>
      <c r="U195" s="22">
        <f t="shared" si="116"/>
        <v>0</v>
      </c>
      <c r="V195" s="21">
        <f t="shared" si="131"/>
        <v>11.051860000000017</v>
      </c>
      <c r="W195" s="21">
        <f t="shared" si="132"/>
        <v>4.4217854285714289</v>
      </c>
      <c r="X195" s="21">
        <f t="shared" si="121"/>
        <v>0</v>
      </c>
      <c r="Y195" s="21">
        <f t="shared" si="122"/>
        <v>0</v>
      </c>
      <c r="Z195" s="221">
        <f t="shared" si="117"/>
        <v>8</v>
      </c>
      <c r="AA195" s="30">
        <f t="shared" si="104"/>
        <v>6.6854850690833461</v>
      </c>
      <c r="AB195" s="30">
        <f t="shared" si="105"/>
        <v>3.6729254092979819</v>
      </c>
      <c r="AC195" s="30">
        <f t="shared" si="106"/>
        <v>0</v>
      </c>
      <c r="AD195" s="30">
        <f t="shared" si="107"/>
        <v>0</v>
      </c>
      <c r="AE195" s="32">
        <f t="shared" si="118"/>
        <v>10.358410478381328</v>
      </c>
      <c r="AF195" s="33">
        <f t="shared" si="125"/>
        <v>12.460623403017863</v>
      </c>
      <c r="AG195" s="40">
        <f t="shared" si="119"/>
        <v>58.729038074499343</v>
      </c>
      <c r="AH195" s="224">
        <f>AG195*$P$36</f>
        <v>4.925525135957276</v>
      </c>
      <c r="AI195" s="226">
        <f>SUM(Z195,IF(Z195&lt;&gt;0,$F$34,0),IF(Z195&lt;&gt;0,$N$36,0),IF(Z195&lt;&gt;0,$T$36,0),IF(Z195=0,AH200,IF(Z195=1,AH201,IF(Z195=2,AH202,IF(Z195=3,AH203,IF(Z195=4,AH204,IF(Z195=5,AH205,IF(Z195=6,AH206,IF(Z195=7,AH207,IF(Z195=8,AH208,IF(Z195=9,AH209,IF(Z195=10,AH210,IF(Z195=11,AH211,IF(Z195=12,AH212,IF(Z195=13,AH213,IF(Z195=14,AH214,IF(Z195=15,AH215,IF(Z195=16,AH216,IF(Z195=17,AH217,IF(Z195=18,AH218,IF(Z195=19,AH219,IF(Z195=20,AH220,IF(Z195=21,AH221,IF(Z195=22,AH222,IF(Z195=23,AH223,IF(Z195=24,AH224,IF(Z195=25,AH225,IF(Z195=26,AH226,IF(Z195=27,AH227,IF(Z195=28,AH228,IF(Z195=29,AH229,IF(Z195=30,AH230))))))))))))))))))))))))))))))))</f>
        <v>31.07563109499776</v>
      </c>
      <c r="AJ195" s="253">
        <f>IF(V195&lt;&gt;0,SUM($F$34,V195,$N$36,MAX($AH$42:$AH$342),$T$36),0)</f>
        <v>40.643348610374467</v>
      </c>
      <c r="AK195" s="253">
        <f>IF(W195&lt;&gt;0,SUM($F$34,W195,$N$36,MAX($AH$42:$AH$342),$T$36),0)</f>
        <v>34.01327403894588</v>
      </c>
      <c r="AL195" s="253">
        <f>IF(X195&lt;&gt;0,SUM($F$34,X195,$N$36,MAX($AH$42:$AH$342),$T$36),0)</f>
        <v>0</v>
      </c>
      <c r="AM195" s="260">
        <f>IF(Y195&lt;&gt;0,SUM($F$34,Y195,$N$36,MAX($AH$42:$AH$342),$T$36),0)</f>
        <v>0</v>
      </c>
    </row>
    <row r="196" spans="1:39" x14ac:dyDescent="0.35">
      <c r="A196" s="259">
        <v>1534</v>
      </c>
      <c r="B196" s="58">
        <f>SUMIF([2]!Table2_23[ETA],'FIS Optimal Model (2)'!A196,[2]!Table2_23[FIS PAX])</f>
        <v>0</v>
      </c>
      <c r="C196" s="44">
        <f t="shared" si="120"/>
        <v>0</v>
      </c>
      <c r="D196" s="52">
        <f t="shared" si="123"/>
        <v>0</v>
      </c>
      <c r="E196" s="26">
        <f t="shared" si="108"/>
        <v>0</v>
      </c>
      <c r="F196" s="26">
        <f t="shared" si="109"/>
        <v>0</v>
      </c>
      <c r="G196" s="26">
        <f t="shared" si="110"/>
        <v>0</v>
      </c>
      <c r="H196" s="26">
        <f t="shared" si="111"/>
        <v>0</v>
      </c>
      <c r="I196" s="27">
        <f t="shared" si="126"/>
        <v>0</v>
      </c>
      <c r="J196" s="27">
        <f t="shared" si="126"/>
        <v>0</v>
      </c>
      <c r="K196" s="27">
        <f t="shared" si="126"/>
        <v>0</v>
      </c>
      <c r="L196" s="27">
        <f t="shared" si="124"/>
        <v>0</v>
      </c>
      <c r="M196" s="28">
        <f t="shared" si="133"/>
        <v>3</v>
      </c>
      <c r="N196" s="29">
        <f t="shared" si="134"/>
        <v>7</v>
      </c>
      <c r="O196" s="28">
        <f t="shared" si="135"/>
        <v>1</v>
      </c>
      <c r="P196" s="28">
        <f t="shared" si="136"/>
        <v>0</v>
      </c>
      <c r="Q196" s="28">
        <f t="shared" si="112"/>
        <v>11</v>
      </c>
      <c r="R196" s="22">
        <f t="shared" si="113"/>
        <v>75.411231614916204</v>
      </c>
      <c r="S196" s="22">
        <f t="shared" si="114"/>
        <v>14.372505762994869</v>
      </c>
      <c r="T196" s="22">
        <f t="shared" si="115"/>
        <v>0</v>
      </c>
      <c r="U196" s="22">
        <f t="shared" si="116"/>
        <v>0</v>
      </c>
      <c r="V196" s="21">
        <f t="shared" si="131"/>
        <v>10.151860000000019</v>
      </c>
      <c r="W196" s="21">
        <f t="shared" si="132"/>
        <v>3.521785428571429</v>
      </c>
      <c r="X196" s="21">
        <f t="shared" si="121"/>
        <v>0</v>
      </c>
      <c r="Y196" s="21">
        <f t="shared" si="122"/>
        <v>0</v>
      </c>
      <c r="Z196" s="221">
        <f t="shared" si="117"/>
        <v>7</v>
      </c>
      <c r="AA196" s="30">
        <f t="shared" si="104"/>
        <v>6.6854850690833461</v>
      </c>
      <c r="AB196" s="30">
        <f t="shared" si="105"/>
        <v>3.6729254092979819</v>
      </c>
      <c r="AC196" s="30">
        <f t="shared" si="106"/>
        <v>0</v>
      </c>
      <c r="AD196" s="30">
        <f t="shared" si="107"/>
        <v>0</v>
      </c>
      <c r="AE196" s="32">
        <f t="shared" si="118"/>
        <v>10.358410478381328</v>
      </c>
      <c r="AF196" s="33">
        <f t="shared" si="125"/>
        <v>12.460623403017863</v>
      </c>
      <c r="AG196" s="40">
        <f t="shared" si="119"/>
        <v>59.266255048065425</v>
      </c>
      <c r="AH196" s="224">
        <f>AG196*$P$36</f>
        <v>4.9705807982585393</v>
      </c>
      <c r="AI196" s="226">
        <f>SUM(Z196,IF(Z196&lt;&gt;0,$F$34,0),IF(Z196&lt;&gt;0,$N$36,0),IF(Z196&lt;&gt;0,$T$36,0),IF(Z196=0,AH201,IF(Z196=1,AH202,IF(Z196=2,AH203,IF(Z196=3,AH204,IF(Z196=4,AH205,IF(Z196=5,AH206,IF(Z196=6,AH207,IF(Z196=7,AH208,IF(Z196=8,AH209,IF(Z196=9,AH210,IF(Z196=10,AH211,IF(Z196=11,AH212,IF(Z196=12,AH213,IF(Z196=13,AH214,IF(Z196=14,AH215,IF(Z196=15,AH216,IF(Z196=16,AH217,IF(Z196=17,AH218,IF(Z196=18,AH219,IF(Z196=19,AH220,IF(Z196=20,AH221,IF(Z196=21,AH222,IF(Z196=22,AH223,IF(Z196=23,AH224,IF(Z196=24,AH225,IF(Z196=25,AH226,IF(Z196=26,AH227,IF(Z196=27,AH228,IF(Z196=28,AH229,IF(Z196=29,AH230,IF(Z196=30,AH231))))))))))))))))))))))))))))))))</f>
        <v>30.07563109499776</v>
      </c>
      <c r="AJ196" s="253">
        <f>IF(V196&lt;&gt;0,SUM($F$34,V196,$N$36,MAX($AH$42:$AH$342),$T$36),0)</f>
        <v>39.743348610374468</v>
      </c>
      <c r="AK196" s="253">
        <f>IF(W196&lt;&gt;0,SUM($F$34,W196,$N$36,MAX($AH$42:$AH$342),$T$36),0)</f>
        <v>33.113274038945875</v>
      </c>
      <c r="AL196" s="253">
        <f>IF(X196&lt;&gt;0,SUM($F$34,X196,$N$36,MAX($AH$42:$AH$342),$T$36),0)</f>
        <v>0</v>
      </c>
      <c r="AM196" s="260">
        <f>IF(Y196&lt;&gt;0,SUM($F$34,Y196,$N$36,MAX($AH$42:$AH$342),$T$36),0)</f>
        <v>0</v>
      </c>
    </row>
    <row r="197" spans="1:39" x14ac:dyDescent="0.35">
      <c r="A197" s="259">
        <v>1535</v>
      </c>
      <c r="B197" s="58">
        <f>SUMIF([2]!Table2_23[ETA],'FIS Optimal Model (2)'!A197,[2]!Table2_23[FIS PAX])</f>
        <v>0</v>
      </c>
      <c r="C197" s="44">
        <f t="shared" si="120"/>
        <v>0</v>
      </c>
      <c r="D197" s="52">
        <f t="shared" si="123"/>
        <v>0</v>
      </c>
      <c r="E197" s="26">
        <f t="shared" si="108"/>
        <v>0</v>
      </c>
      <c r="F197" s="26">
        <f t="shared" si="109"/>
        <v>0</v>
      </c>
      <c r="G197" s="26">
        <f t="shared" si="110"/>
        <v>0</v>
      </c>
      <c r="H197" s="26">
        <f t="shared" si="111"/>
        <v>0</v>
      </c>
      <c r="I197" s="27">
        <f t="shared" si="126"/>
        <v>0</v>
      </c>
      <c r="J197" s="27">
        <f t="shared" si="126"/>
        <v>0</v>
      </c>
      <c r="K197" s="27">
        <f t="shared" si="126"/>
        <v>0</v>
      </c>
      <c r="L197" s="27">
        <f t="shared" si="124"/>
        <v>0</v>
      </c>
      <c r="M197" s="28">
        <f t="shared" si="133"/>
        <v>3</v>
      </c>
      <c r="N197" s="29">
        <f t="shared" si="134"/>
        <v>7</v>
      </c>
      <c r="O197" s="28">
        <f t="shared" si="135"/>
        <v>1</v>
      </c>
      <c r="P197" s="28">
        <f t="shared" si="136"/>
        <v>0</v>
      </c>
      <c r="Q197" s="28">
        <f t="shared" si="112"/>
        <v>11</v>
      </c>
      <c r="R197" s="22">
        <f t="shared" si="113"/>
        <v>68.725746545832862</v>
      </c>
      <c r="S197" s="22">
        <f t="shared" si="114"/>
        <v>10.699580353696888</v>
      </c>
      <c r="T197" s="22">
        <f t="shared" si="115"/>
        <v>0</v>
      </c>
      <c r="U197" s="22">
        <f t="shared" si="116"/>
        <v>0</v>
      </c>
      <c r="V197" s="21">
        <f t="shared" si="131"/>
        <v>9.2518600000000184</v>
      </c>
      <c r="W197" s="21">
        <f t="shared" si="132"/>
        <v>2.621785428571429</v>
      </c>
      <c r="X197" s="21">
        <f t="shared" si="121"/>
        <v>0</v>
      </c>
      <c r="Y197" s="21">
        <f t="shared" si="122"/>
        <v>0</v>
      </c>
      <c r="Z197" s="221">
        <f t="shared" si="117"/>
        <v>6</v>
      </c>
      <c r="AA197" s="30">
        <f t="shared" si="104"/>
        <v>6.6854850690833461</v>
      </c>
      <c r="AB197" s="30">
        <f t="shared" si="105"/>
        <v>3.6729254092979819</v>
      </c>
      <c r="AC197" s="30">
        <f t="shared" si="106"/>
        <v>0</v>
      </c>
      <c r="AD197" s="30">
        <f t="shared" si="107"/>
        <v>0</v>
      </c>
      <c r="AE197" s="32">
        <f t="shared" si="118"/>
        <v>10.358410478381328</v>
      </c>
      <c r="AF197" s="33">
        <f t="shared" si="125"/>
        <v>12.985327032917576</v>
      </c>
      <c r="AG197" s="40">
        <f t="shared" si="119"/>
        <v>60.328175651531218</v>
      </c>
      <c r="AH197" s="224">
        <f>AG197*$P$36</f>
        <v>5.0596426456214507</v>
      </c>
      <c r="AI197" s="226">
        <f>SUM(Z197,IF(Z197&lt;&gt;0,$F$34,0),IF(Z197&lt;&gt;0,$N$36,0),IF(Z197&lt;&gt;0,$T$36,0),IF(Z197=0,AH202,IF(Z197=1,AH203,IF(Z197=2,AH204,IF(Z197=3,AH205,IF(Z197=4,AH206,IF(Z197=5,AH207,IF(Z197=6,AH208,IF(Z197=7,AH209,IF(Z197=8,AH210,IF(Z197=9,AH211,IF(Z197=10,AH212,IF(Z197=11,AH213,IF(Z197=12,AH214,IF(Z197=13,AH215,IF(Z197=14,AH216,IF(Z197=15,AH217,IF(Z197=16,AH218,IF(Z197=17,AH219,IF(Z197=18,AH220,IF(Z197=19,AH221,IF(Z197=20,AH222,IF(Z197=21,AH223,IF(Z197=22,AH224,IF(Z197=23,AH225,IF(Z197=24,AH226,IF(Z197=25,AH227,IF(Z197=26,AH228,IF(Z197=27,AH229,IF(Z197=28,AH230,IF(Z197=29,AH231,IF(Z197=30,AH232))))))))))))))))))))))))))))))))</f>
        <v>29.07563109499776</v>
      </c>
      <c r="AJ197" s="253">
        <f>IF(V197&lt;&gt;0,SUM($F$34,V197,$N$36,MAX($AH$42:$AH$342),$T$36),0)</f>
        <v>38.843348610374463</v>
      </c>
      <c r="AK197" s="253">
        <f>IF(W197&lt;&gt;0,SUM($F$34,W197,$N$36,MAX($AH$42:$AH$342),$T$36),0)</f>
        <v>32.213274038945876</v>
      </c>
      <c r="AL197" s="253">
        <f>IF(X197&lt;&gt;0,SUM($F$34,X197,$N$36,MAX($AH$42:$AH$342),$T$36),0)</f>
        <v>0</v>
      </c>
      <c r="AM197" s="260">
        <f>IF(Y197&lt;&gt;0,SUM($F$34,Y197,$N$36,MAX($AH$42:$AH$342),$T$36),0)</f>
        <v>0</v>
      </c>
    </row>
    <row r="198" spans="1:39" x14ac:dyDescent="0.35">
      <c r="A198" s="259">
        <v>1536</v>
      </c>
      <c r="B198" s="58">
        <f>SUMIF([2]!Table2_23[ETA],'FIS Optimal Model (2)'!A198,[2]!Table2_23[FIS PAX])</f>
        <v>0</v>
      </c>
      <c r="C198" s="44">
        <f t="shared" si="120"/>
        <v>0</v>
      </c>
      <c r="D198" s="52">
        <f t="shared" si="123"/>
        <v>0</v>
      </c>
      <c r="E198" s="26">
        <f t="shared" si="108"/>
        <v>0</v>
      </c>
      <c r="F198" s="26">
        <f t="shared" si="109"/>
        <v>0</v>
      </c>
      <c r="G198" s="26">
        <f t="shared" si="110"/>
        <v>0</v>
      </c>
      <c r="H198" s="26">
        <f t="shared" si="111"/>
        <v>0</v>
      </c>
      <c r="I198" s="27">
        <f t="shared" si="126"/>
        <v>0</v>
      </c>
      <c r="J198" s="27">
        <f t="shared" si="126"/>
        <v>0</v>
      </c>
      <c r="K198" s="27">
        <f t="shared" si="126"/>
        <v>0</v>
      </c>
      <c r="L198" s="27">
        <f t="shared" si="124"/>
        <v>0</v>
      </c>
      <c r="M198" s="28">
        <f t="shared" si="133"/>
        <v>3</v>
      </c>
      <c r="N198" s="29">
        <f t="shared" si="134"/>
        <v>7</v>
      </c>
      <c r="O198" s="28">
        <f t="shared" si="135"/>
        <v>1</v>
      </c>
      <c r="P198" s="28">
        <f t="shared" si="136"/>
        <v>0</v>
      </c>
      <c r="Q198" s="28">
        <f t="shared" si="112"/>
        <v>11</v>
      </c>
      <c r="R198" s="22">
        <f t="shared" si="113"/>
        <v>62.040261476749514</v>
      </c>
      <c r="S198" s="22">
        <f t="shared" si="114"/>
        <v>7.0266549443989064</v>
      </c>
      <c r="T198" s="22">
        <f t="shared" si="115"/>
        <v>0</v>
      </c>
      <c r="U198" s="22">
        <f t="shared" si="116"/>
        <v>0</v>
      </c>
      <c r="V198" s="21">
        <f t="shared" si="131"/>
        <v>8.351860000000018</v>
      </c>
      <c r="W198" s="21">
        <f t="shared" si="132"/>
        <v>1.7217854285714289</v>
      </c>
      <c r="X198" s="21">
        <f t="shared" si="121"/>
        <v>0</v>
      </c>
      <c r="Y198" s="21">
        <f t="shared" si="122"/>
        <v>0</v>
      </c>
      <c r="Z198" s="221">
        <f t="shared" si="117"/>
        <v>6</v>
      </c>
      <c r="AA198" s="30">
        <f t="shared" si="104"/>
        <v>6.6854850690833461</v>
      </c>
      <c r="AB198" s="30">
        <f t="shared" si="105"/>
        <v>3.6729254092979819</v>
      </c>
      <c r="AC198" s="30">
        <f t="shared" si="106"/>
        <v>0</v>
      </c>
      <c r="AD198" s="30">
        <f t="shared" si="107"/>
        <v>0</v>
      </c>
      <c r="AE198" s="32">
        <f t="shared" si="118"/>
        <v>10.358410478381328</v>
      </c>
      <c r="AF198" s="33">
        <f t="shared" si="125"/>
        <v>10.358410478381328</v>
      </c>
      <c r="AG198" s="40">
        <f t="shared" si="119"/>
        <v>58.763179700460768</v>
      </c>
      <c r="AH198" s="224">
        <f>AG198*$P$36</f>
        <v>4.9283885480336354</v>
      </c>
      <c r="AI198" s="226">
        <f>SUM(Z198,IF(Z198&lt;&gt;0,$F$34,0),IF(Z198&lt;&gt;0,$N$36,0),IF(Z198&lt;&gt;0,$T$36,0),IF(Z198=0,AH203,IF(Z198=1,AH204,IF(Z198=2,AH205,IF(Z198=3,AH206,IF(Z198=4,AH207,IF(Z198=5,AH208,IF(Z198=6,AH209,IF(Z198=7,AH210,IF(Z198=8,AH211,IF(Z198=9,AH212,IF(Z198=10,AH213,IF(Z198=11,AH214,IF(Z198=12,AH215,IF(Z198=13,AH216,IF(Z198=14,AH217,IF(Z198=15,AH218,IF(Z198=16,AH219,IF(Z198=17,AH220,IF(Z198=18,AH221,IF(Z198=19,AH222,IF(Z198=20,AH223,IF(Z198=21,AH224,IF(Z198=22,AH225,IF(Z198=23,AH226,IF(Z198=24,AH227,IF(Z198=25,AH228,IF(Z198=26,AH229,IF(Z198=27,AH230,IF(Z198=28,AH231,IF(Z198=29,AH232,IF(Z198=30,AH233))))))))))))))))))))))))))))))))</f>
        <v>28.636333701978401</v>
      </c>
      <c r="AJ198" s="253">
        <f>IF(V198&lt;&gt;0,SUM($F$34,V198,$N$36,MAX($AH$42:$AH$342),$T$36),0)</f>
        <v>37.943348610374464</v>
      </c>
      <c r="AK198" s="253">
        <f>IF(W198&lt;&gt;0,SUM($F$34,W198,$N$36,MAX($AH$42:$AH$342),$T$36),0)</f>
        <v>31.313274038945877</v>
      </c>
      <c r="AL198" s="253">
        <f>IF(X198&lt;&gt;0,SUM($F$34,X198,$N$36,MAX($AH$42:$AH$342),$T$36),0)</f>
        <v>0</v>
      </c>
      <c r="AM198" s="260">
        <f>IF(Y198&lt;&gt;0,SUM($F$34,Y198,$N$36,MAX($AH$42:$AH$342),$T$36),0)</f>
        <v>0</v>
      </c>
    </row>
    <row r="199" spans="1:39" x14ac:dyDescent="0.35">
      <c r="A199" s="259">
        <v>1537</v>
      </c>
      <c r="B199" s="58">
        <f>SUMIF([2]!Table2_23[ETA],'FIS Optimal Model (2)'!A199,[2]!Table2_23[FIS PAX])</f>
        <v>0</v>
      </c>
      <c r="C199" s="44">
        <f t="shared" si="120"/>
        <v>0</v>
      </c>
      <c r="D199" s="52">
        <f t="shared" si="123"/>
        <v>0</v>
      </c>
      <c r="E199" s="26">
        <f t="shared" si="108"/>
        <v>0</v>
      </c>
      <c r="F199" s="26">
        <f t="shared" si="109"/>
        <v>0</v>
      </c>
      <c r="G199" s="26">
        <f t="shared" si="110"/>
        <v>0</v>
      </c>
      <c r="H199" s="26">
        <f t="shared" si="111"/>
        <v>0</v>
      </c>
      <c r="I199" s="27">
        <f t="shared" si="126"/>
        <v>0</v>
      </c>
      <c r="J199" s="27">
        <f t="shared" si="126"/>
        <v>0</v>
      </c>
      <c r="K199" s="27">
        <f t="shared" si="126"/>
        <v>0</v>
      </c>
      <c r="L199" s="27">
        <f t="shared" si="124"/>
        <v>0</v>
      </c>
      <c r="M199" s="28">
        <f t="shared" si="133"/>
        <v>3</v>
      </c>
      <c r="N199" s="29">
        <f t="shared" si="134"/>
        <v>7</v>
      </c>
      <c r="O199" s="28">
        <f t="shared" si="135"/>
        <v>1</v>
      </c>
      <c r="P199" s="28">
        <f t="shared" si="136"/>
        <v>0</v>
      </c>
      <c r="Q199" s="28">
        <f t="shared" si="112"/>
        <v>11</v>
      </c>
      <c r="R199" s="22">
        <f t="shared" si="113"/>
        <v>55.354776407666165</v>
      </c>
      <c r="S199" s="22">
        <f t="shared" si="114"/>
        <v>3.3537295351009244</v>
      </c>
      <c r="T199" s="22">
        <f t="shared" si="115"/>
        <v>0</v>
      </c>
      <c r="U199" s="22">
        <f t="shared" si="116"/>
        <v>0</v>
      </c>
      <c r="V199" s="21">
        <f t="shared" si="131"/>
        <v>7.4518600000000186</v>
      </c>
      <c r="W199" s="21">
        <f t="shared" si="132"/>
        <v>0.82178542857142878</v>
      </c>
      <c r="X199" s="21">
        <f t="shared" si="121"/>
        <v>0</v>
      </c>
      <c r="Y199" s="21">
        <f t="shared" si="122"/>
        <v>0</v>
      </c>
      <c r="Z199" s="221">
        <f t="shared" si="117"/>
        <v>5</v>
      </c>
      <c r="AA199" s="30">
        <f t="shared" si="104"/>
        <v>6.6854850690833461</v>
      </c>
      <c r="AB199" s="30">
        <f t="shared" si="105"/>
        <v>3.6729254092979819</v>
      </c>
      <c r="AC199" s="30">
        <f t="shared" si="106"/>
        <v>0</v>
      </c>
      <c r="AD199" s="30">
        <f t="shared" si="107"/>
        <v>0</v>
      </c>
      <c r="AE199" s="32">
        <f t="shared" si="118"/>
        <v>10.358410478381328</v>
      </c>
      <c r="AF199" s="33">
        <f t="shared" si="125"/>
        <v>10.358410478381328</v>
      </c>
      <c r="AG199" s="40">
        <f t="shared" si="119"/>
        <v>57.198183749390317</v>
      </c>
      <c r="AH199" s="224">
        <f>AG199*$P$36</f>
        <v>4.79713445044582</v>
      </c>
      <c r="AI199" s="226">
        <f>SUM(Z199,IF(Z199&lt;&gt;0,$F$34,0),IF(Z199&lt;&gt;0,$N$36,0),IF(Z199&lt;&gt;0,$T$36,0),IF(Z199=0,AH204,IF(Z199=1,AH205,IF(Z199=2,AH206,IF(Z199=3,AH207,IF(Z199=4,AH208,IF(Z199=5,AH209,IF(Z199=6,AH210,IF(Z199=7,AH211,IF(Z199=8,AH212,IF(Z199=9,AH213,IF(Z199=10,AH214,IF(Z199=11,AH215,IF(Z199=12,AH216,IF(Z199=13,AH217,IF(Z199=14,AH218,IF(Z199=15,AH219,IF(Z199=16,AH220,IF(Z199=17,AH221,IF(Z199=18,AH222,IF(Z199=19,AH223,IF(Z199=20,AH224,IF(Z199=21,AH225,IF(Z199=22,AH226,IF(Z199=23,AH227,IF(Z199=24,AH228,IF(Z199=25,AH229,IF(Z199=26,AH230,IF(Z199=27,AH231,IF(Z199=28,AH232,IF(Z199=29,AH233,IF(Z199=30,AH234))))))))))))))))))))))))))))))))</f>
        <v>27.636333701978401</v>
      </c>
      <c r="AJ199" s="253">
        <f>IF(V199&lt;&gt;0,SUM($F$34,V199,$N$36,MAX($AH$42:$AH$342),$T$36),0)</f>
        <v>37.043348610374466</v>
      </c>
      <c r="AK199" s="253">
        <f>IF(W199&lt;&gt;0,SUM($F$34,W199,$N$36,MAX($AH$42:$AH$342),$T$36),0)</f>
        <v>30.413274038945879</v>
      </c>
      <c r="AL199" s="253">
        <f>IF(X199&lt;&gt;0,SUM($F$34,X199,$N$36,MAX($AH$42:$AH$342),$T$36),0)</f>
        <v>0</v>
      </c>
      <c r="AM199" s="260">
        <f>IF(Y199&lt;&gt;0,SUM($F$34,Y199,$N$36,MAX($AH$42:$AH$342),$T$36),0)</f>
        <v>0</v>
      </c>
    </row>
    <row r="200" spans="1:39" x14ac:dyDescent="0.35">
      <c r="A200" s="259">
        <v>1538</v>
      </c>
      <c r="B200" s="58">
        <f>SUMIF([2]!Table2_23[ETA],'FIS Optimal Model (2)'!A200,[2]!Table2_23[FIS PAX])</f>
        <v>0</v>
      </c>
      <c r="C200" s="44">
        <f t="shared" si="120"/>
        <v>0</v>
      </c>
      <c r="D200" s="52">
        <f t="shared" si="123"/>
        <v>0</v>
      </c>
      <c r="E200" s="26">
        <f t="shared" si="108"/>
        <v>0</v>
      </c>
      <c r="F200" s="26">
        <f t="shared" si="109"/>
        <v>0</v>
      </c>
      <c r="G200" s="26">
        <f t="shared" si="110"/>
        <v>0</v>
      </c>
      <c r="H200" s="26">
        <f t="shared" si="111"/>
        <v>0</v>
      </c>
      <c r="I200" s="27">
        <f t="shared" si="126"/>
        <v>0</v>
      </c>
      <c r="J200" s="27">
        <f t="shared" si="126"/>
        <v>0</v>
      </c>
      <c r="K200" s="27">
        <f t="shared" si="126"/>
        <v>0</v>
      </c>
      <c r="L200" s="27">
        <f t="shared" si="124"/>
        <v>0</v>
      </c>
      <c r="M200" s="28">
        <f t="shared" si="133"/>
        <v>3</v>
      </c>
      <c r="N200" s="29">
        <f t="shared" si="134"/>
        <v>7</v>
      </c>
      <c r="O200" s="28">
        <f t="shared" si="135"/>
        <v>1</v>
      </c>
      <c r="P200" s="28">
        <f t="shared" si="136"/>
        <v>0</v>
      </c>
      <c r="Q200" s="28">
        <f t="shared" si="112"/>
        <v>11</v>
      </c>
      <c r="R200" s="22">
        <f t="shared" si="113"/>
        <v>48.669291338582816</v>
      </c>
      <c r="S200" s="22">
        <f t="shared" si="114"/>
        <v>0</v>
      </c>
      <c r="T200" s="22">
        <f t="shared" si="115"/>
        <v>0</v>
      </c>
      <c r="U200" s="22">
        <f t="shared" si="116"/>
        <v>0</v>
      </c>
      <c r="V200" s="21">
        <f t="shared" si="131"/>
        <v>6.5518600000000182</v>
      </c>
      <c r="W200" s="21">
        <f t="shared" si="132"/>
        <v>0</v>
      </c>
      <c r="X200" s="21">
        <f t="shared" si="121"/>
        <v>0</v>
      </c>
      <c r="Y200" s="21">
        <f t="shared" si="122"/>
        <v>0</v>
      </c>
      <c r="Z200" s="221">
        <f t="shared" si="117"/>
        <v>4</v>
      </c>
      <c r="AA200" s="30">
        <f t="shared" si="104"/>
        <v>6.6854850690833461</v>
      </c>
      <c r="AB200" s="30">
        <f t="shared" si="105"/>
        <v>0</v>
      </c>
      <c r="AC200" s="30">
        <f t="shared" si="106"/>
        <v>0</v>
      </c>
      <c r="AD200" s="30">
        <f t="shared" si="107"/>
        <v>0</v>
      </c>
      <c r="AE200" s="32">
        <f t="shared" si="118"/>
        <v>6.6854850690833461</v>
      </c>
      <c r="AF200" s="33">
        <f t="shared" si="125"/>
        <v>10.358410478381328</v>
      </c>
      <c r="AG200" s="40">
        <f t="shared" si="119"/>
        <v>55.633187798319867</v>
      </c>
      <c r="AH200" s="224">
        <f>AG200*$P$36</f>
        <v>4.6658803528580037</v>
      </c>
      <c r="AI200" s="226">
        <f>SUM(Z200,IF(Z200&lt;&gt;0,$F$34,0),IF(Z200&lt;&gt;0,$N$36,0),IF(Z200&lt;&gt;0,$T$36,0),IF(Z200=0,AH205,IF(Z200=1,AH206,IF(Z200=2,AH207,IF(Z200=3,AH208,IF(Z200=4,AH209,IF(Z200=5,AH210,IF(Z200=6,AH211,IF(Z200=7,AH212,IF(Z200=8,AH213,IF(Z200=9,AH214,IF(Z200=10,AH215,IF(Z200=11,AH216,IF(Z200=12,AH217,IF(Z200=13,AH218,IF(Z200=14,AH219,IF(Z200=15,AH220,IF(Z200=16,AH221,IF(Z200=17,AH222,IF(Z200=18,AH223,IF(Z200=19,AH224,IF(Z200=20,AH225,IF(Z200=21,AH226,IF(Z200=22,AH227,IF(Z200=23,AH228,IF(Z200=24,AH229,IF(Z200=25,AH230,IF(Z200=26,AH231,IF(Z200=27,AH232,IF(Z200=28,AH233,IF(Z200=29,AH234,IF(Z200=30,AH235))))))))))))))))))))))))))))))))</f>
        <v>26.636333701978401</v>
      </c>
      <c r="AJ200" s="253">
        <f>IF(V200&lt;&gt;0,SUM($F$34,V200,$N$36,MAX($AH$42:$AH$342),$T$36),0)</f>
        <v>36.143348610374467</v>
      </c>
      <c r="AK200" s="253">
        <f>IF(W200&lt;&gt;0,SUM($F$34,W200,$N$36,MAX($AH$42:$AH$342),$T$36),0)</f>
        <v>0</v>
      </c>
      <c r="AL200" s="253">
        <f>IF(X200&lt;&gt;0,SUM($F$34,X200,$N$36,MAX($AH$42:$AH$342),$T$36),0)</f>
        <v>0</v>
      </c>
      <c r="AM200" s="260">
        <f>IF(Y200&lt;&gt;0,SUM($F$34,Y200,$N$36,MAX($AH$42:$AH$342),$T$36),0)</f>
        <v>0</v>
      </c>
    </row>
    <row r="201" spans="1:39" x14ac:dyDescent="0.35">
      <c r="A201" s="259">
        <v>1539</v>
      </c>
      <c r="B201" s="58">
        <f>SUMIF([2]!Table2_23[ETA],'FIS Optimal Model (2)'!A201,[2]!Table2_23[FIS PAX])</f>
        <v>185</v>
      </c>
      <c r="C201" s="44">
        <f t="shared" si="120"/>
        <v>0</v>
      </c>
      <c r="D201" s="52">
        <f t="shared" si="123"/>
        <v>0</v>
      </c>
      <c r="E201" s="26">
        <f t="shared" si="108"/>
        <v>0</v>
      </c>
      <c r="F201" s="26">
        <f t="shared" si="109"/>
        <v>0</v>
      </c>
      <c r="G201" s="26">
        <f t="shared" si="110"/>
        <v>0</v>
      </c>
      <c r="H201" s="26">
        <f t="shared" si="111"/>
        <v>0</v>
      </c>
      <c r="I201" s="27">
        <f t="shared" si="126"/>
        <v>0</v>
      </c>
      <c r="J201" s="27">
        <f t="shared" si="126"/>
        <v>0</v>
      </c>
      <c r="K201" s="27">
        <f t="shared" si="126"/>
        <v>0</v>
      </c>
      <c r="L201" s="27">
        <f t="shared" si="124"/>
        <v>0</v>
      </c>
      <c r="M201" s="28">
        <f t="shared" si="133"/>
        <v>3</v>
      </c>
      <c r="N201" s="29">
        <f t="shared" si="134"/>
        <v>7</v>
      </c>
      <c r="O201" s="28">
        <f t="shared" si="135"/>
        <v>1</v>
      </c>
      <c r="P201" s="28">
        <f t="shared" si="136"/>
        <v>0</v>
      </c>
      <c r="Q201" s="28">
        <f t="shared" si="112"/>
        <v>11</v>
      </c>
      <c r="R201" s="22">
        <f t="shared" si="113"/>
        <v>41.983806269499468</v>
      </c>
      <c r="S201" s="22">
        <f t="shared" si="114"/>
        <v>0</v>
      </c>
      <c r="T201" s="22">
        <f t="shared" si="115"/>
        <v>0</v>
      </c>
      <c r="U201" s="22">
        <f t="shared" si="116"/>
        <v>0</v>
      </c>
      <c r="V201" s="21">
        <f t="shared" si="131"/>
        <v>5.6518600000000179</v>
      </c>
      <c r="W201" s="21">
        <f t="shared" si="132"/>
        <v>0</v>
      </c>
      <c r="X201" s="21">
        <f t="shared" si="121"/>
        <v>0</v>
      </c>
      <c r="Y201" s="21">
        <f t="shared" si="122"/>
        <v>0</v>
      </c>
      <c r="Z201" s="221">
        <f t="shared" si="117"/>
        <v>4</v>
      </c>
      <c r="AA201" s="30">
        <f t="shared" si="104"/>
        <v>6.6854850690833461</v>
      </c>
      <c r="AB201" s="30">
        <f t="shared" si="105"/>
        <v>0</v>
      </c>
      <c r="AC201" s="30">
        <f t="shared" si="106"/>
        <v>0</v>
      </c>
      <c r="AD201" s="30">
        <f t="shared" si="107"/>
        <v>0</v>
      </c>
      <c r="AE201" s="32">
        <f t="shared" si="118"/>
        <v>6.6854850690833461</v>
      </c>
      <c r="AF201" s="33">
        <f t="shared" si="125"/>
        <v>10.358410478381328</v>
      </c>
      <c r="AG201" s="40">
        <f t="shared" si="119"/>
        <v>54.068191847249416</v>
      </c>
      <c r="AH201" s="224">
        <f>AG201*$P$36</f>
        <v>4.5346262552701884</v>
      </c>
      <c r="AI201" s="226">
        <f>SUM(Z201,IF(Z201&lt;&gt;0,$F$34,0),IF(Z201&lt;&gt;0,$N$36,0),IF(Z201&lt;&gt;0,$T$36,0),IF(Z201=0,AH206,IF(Z201=1,AH207,IF(Z201=2,AH208,IF(Z201=3,AH209,IF(Z201=4,AH210,IF(Z201=5,AH211,IF(Z201=6,AH212,IF(Z201=7,AH213,IF(Z201=8,AH214,IF(Z201=9,AH215,IF(Z201=10,AH216,IF(Z201=11,AH217,IF(Z201=12,AH218,IF(Z201=13,AH219,IF(Z201=14,AH220,IF(Z201=15,AH221,IF(Z201=16,AH222,IF(Z201=17,AH223,IF(Z201=18,AH224,IF(Z201=19,AH225,IF(Z201=20,AH226,IF(Z201=21,AH227,IF(Z201=22,AH228,IF(Z201=23,AH229,IF(Z201=24,AH230,IF(Z201=25,AH231,IF(Z201=26,AH232,IF(Z201=27,AH233,IF(Z201=28,AH234,IF(Z201=29,AH235,IF(Z201=30,AH236))))))))))))))))))))))))))))))))</f>
        <v>26.197036308959042</v>
      </c>
      <c r="AJ201" s="253">
        <f>IF(V201&lt;&gt;0,SUM($F$34,V201,$N$36,MAX($AH$42:$AH$342),$T$36),0)</f>
        <v>35.243348610374468</v>
      </c>
      <c r="AK201" s="253">
        <f>IF(W201&lt;&gt;0,SUM($F$34,W201,$N$36,MAX($AH$42:$AH$342),$T$36),0)</f>
        <v>0</v>
      </c>
      <c r="AL201" s="253">
        <f>IF(X201&lt;&gt;0,SUM($F$34,X201,$N$36,MAX($AH$42:$AH$342),$T$36),0)</f>
        <v>0</v>
      </c>
      <c r="AM201" s="260">
        <f>IF(Y201&lt;&gt;0,SUM($F$34,Y201,$N$36,MAX($AH$42:$AH$342),$T$36),0)</f>
        <v>0</v>
      </c>
    </row>
    <row r="202" spans="1:39" x14ac:dyDescent="0.35">
      <c r="A202" s="259">
        <v>1540</v>
      </c>
      <c r="B202" s="58">
        <f>SUMIF([2]!Table2_23[ETA],'FIS Optimal Model (2)'!A202,[2]!Table2_23[FIS PAX])</f>
        <v>0</v>
      </c>
      <c r="C202" s="44">
        <f t="shared" si="120"/>
        <v>18</v>
      </c>
      <c r="D202" s="52">
        <f t="shared" si="123"/>
        <v>167</v>
      </c>
      <c r="E202" s="26">
        <f t="shared" si="108"/>
        <v>10</v>
      </c>
      <c r="F202" s="26">
        <f t="shared" si="109"/>
        <v>5</v>
      </c>
      <c r="G202" s="26">
        <f t="shared" si="110"/>
        <v>3</v>
      </c>
      <c r="H202" s="26">
        <f t="shared" si="111"/>
        <v>1</v>
      </c>
      <c r="I202" s="27">
        <f t="shared" si="126"/>
        <v>0</v>
      </c>
      <c r="J202" s="27">
        <f t="shared" si="126"/>
        <v>0</v>
      </c>
      <c r="K202" s="27">
        <f t="shared" si="126"/>
        <v>0</v>
      </c>
      <c r="L202" s="27">
        <f t="shared" si="124"/>
        <v>0</v>
      </c>
      <c r="M202" s="28">
        <f t="shared" si="133"/>
        <v>3</v>
      </c>
      <c r="N202" s="29">
        <f t="shared" si="134"/>
        <v>7</v>
      </c>
      <c r="O202" s="28">
        <f t="shared" si="135"/>
        <v>1</v>
      </c>
      <c r="P202" s="28">
        <f t="shared" si="136"/>
        <v>0</v>
      </c>
      <c r="Q202" s="28">
        <f t="shared" si="112"/>
        <v>11</v>
      </c>
      <c r="R202" s="22">
        <f t="shared" si="113"/>
        <v>35.298321200416119</v>
      </c>
      <c r="S202" s="22">
        <f t="shared" si="114"/>
        <v>0</v>
      </c>
      <c r="T202" s="22">
        <f t="shared" si="115"/>
        <v>0</v>
      </c>
      <c r="U202" s="22">
        <f t="shared" si="116"/>
        <v>0</v>
      </c>
      <c r="V202" s="21">
        <f t="shared" si="131"/>
        <v>4.7518600000000175</v>
      </c>
      <c r="W202" s="21">
        <f t="shared" si="132"/>
        <v>0</v>
      </c>
      <c r="X202" s="21">
        <f t="shared" si="121"/>
        <v>0</v>
      </c>
      <c r="Y202" s="21">
        <f t="shared" si="122"/>
        <v>0</v>
      </c>
      <c r="Z202" s="221">
        <f t="shared" si="117"/>
        <v>3</v>
      </c>
      <c r="AA202" s="30">
        <f t="shared" si="104"/>
        <v>6.6854850690833461</v>
      </c>
      <c r="AB202" s="30">
        <f t="shared" si="105"/>
        <v>0</v>
      </c>
      <c r="AC202" s="30">
        <f t="shared" si="106"/>
        <v>0</v>
      </c>
      <c r="AD202" s="30">
        <f t="shared" si="107"/>
        <v>0</v>
      </c>
      <c r="AE202" s="32">
        <f t="shared" si="118"/>
        <v>6.6854850690833461</v>
      </c>
      <c r="AF202" s="33">
        <f t="shared" si="125"/>
        <v>10.358410478381328</v>
      </c>
      <c r="AG202" s="40">
        <f t="shared" si="119"/>
        <v>52.503195896178966</v>
      </c>
      <c r="AH202" s="224">
        <f>AG202*$P$36</f>
        <v>4.403372157682373</v>
      </c>
      <c r="AI202" s="226">
        <f>SUM(Z202,IF(Z202&lt;&gt;0,$F$34,0),IF(Z202&lt;&gt;0,$N$36,0),IF(Z202&lt;&gt;0,$T$36,0),IF(Z202=0,AH207,IF(Z202=1,AH208,IF(Z202=2,AH209,IF(Z202=3,AH210,IF(Z202=4,AH211,IF(Z202=5,AH212,IF(Z202=6,AH213,IF(Z202=7,AH214,IF(Z202=8,AH215,IF(Z202=9,AH216,IF(Z202=10,AH217,IF(Z202=11,AH218,IF(Z202=12,AH219,IF(Z202=13,AH220,IF(Z202=14,AH221,IF(Z202=15,AH222,IF(Z202=16,AH223,IF(Z202=17,AH224,IF(Z202=18,AH225,IF(Z202=19,AH226,IF(Z202=20,AH227,IF(Z202=21,AH228,IF(Z202=22,AH229,IF(Z202=23,AH230,IF(Z202=24,AH231,IF(Z202=25,AH232,IF(Z202=26,AH233,IF(Z202=27,AH234,IF(Z202=28,AH235,IF(Z202=29,AH236,IF(Z202=30,AH237))))))))))))))))))))))))))))))))</f>
        <v>25.197036308959042</v>
      </c>
      <c r="AJ202" s="253">
        <f>IF(V202&lt;&gt;0,SUM($F$34,V202,$N$36,MAX($AH$42:$AH$342),$T$36),0)</f>
        <v>34.343348610374463</v>
      </c>
      <c r="AK202" s="253">
        <f>IF(W202&lt;&gt;0,SUM($F$34,W202,$N$36,MAX($AH$42:$AH$342),$T$36),0)</f>
        <v>0</v>
      </c>
      <c r="AL202" s="253">
        <f>IF(X202&lt;&gt;0,SUM($F$34,X202,$N$36,MAX($AH$42:$AH$342),$T$36),0)</f>
        <v>0</v>
      </c>
      <c r="AM202" s="260">
        <f>IF(Y202&lt;&gt;0,SUM($F$34,Y202,$N$36,MAX($AH$42:$AH$342),$T$36),0)</f>
        <v>0</v>
      </c>
    </row>
    <row r="203" spans="1:39" x14ac:dyDescent="0.35">
      <c r="A203" s="259">
        <v>1541</v>
      </c>
      <c r="B203" s="58">
        <f>SUMIF([2]!Table2_23[ETA],'FIS Optimal Model (2)'!A203,[2]!Table2_23[FIS PAX])</f>
        <v>0</v>
      </c>
      <c r="C203" s="44">
        <f t="shared" si="120"/>
        <v>18</v>
      </c>
      <c r="D203" s="52">
        <f t="shared" si="123"/>
        <v>149</v>
      </c>
      <c r="E203" s="26">
        <f t="shared" si="108"/>
        <v>10</v>
      </c>
      <c r="F203" s="26">
        <f t="shared" si="109"/>
        <v>5</v>
      </c>
      <c r="G203" s="26">
        <f t="shared" si="110"/>
        <v>3</v>
      </c>
      <c r="H203" s="26">
        <f t="shared" si="111"/>
        <v>1</v>
      </c>
      <c r="I203" s="27">
        <f t="shared" si="126"/>
        <v>0</v>
      </c>
      <c r="J203" s="27">
        <f t="shared" si="126"/>
        <v>0</v>
      </c>
      <c r="K203" s="27">
        <f t="shared" si="126"/>
        <v>0</v>
      </c>
      <c r="L203" s="27">
        <f t="shared" si="124"/>
        <v>0</v>
      </c>
      <c r="M203" s="28">
        <f t="shared" si="133"/>
        <v>3</v>
      </c>
      <c r="N203" s="29">
        <f t="shared" si="134"/>
        <v>7</v>
      </c>
      <c r="O203" s="28">
        <f t="shared" si="135"/>
        <v>1</v>
      </c>
      <c r="P203" s="28">
        <f t="shared" si="136"/>
        <v>0</v>
      </c>
      <c r="Q203" s="28">
        <f t="shared" si="112"/>
        <v>11</v>
      </c>
      <c r="R203" s="22">
        <f t="shared" si="113"/>
        <v>28.612836131332774</v>
      </c>
      <c r="S203" s="22">
        <f t="shared" si="114"/>
        <v>0</v>
      </c>
      <c r="T203" s="22">
        <f t="shared" si="115"/>
        <v>0</v>
      </c>
      <c r="U203" s="22">
        <f t="shared" si="116"/>
        <v>0</v>
      </c>
      <c r="V203" s="21">
        <f t="shared" si="131"/>
        <v>3.8518600000000176</v>
      </c>
      <c r="W203" s="21">
        <f t="shared" si="132"/>
        <v>0</v>
      </c>
      <c r="X203" s="21">
        <f t="shared" si="121"/>
        <v>0</v>
      </c>
      <c r="Y203" s="21">
        <f t="shared" si="122"/>
        <v>0</v>
      </c>
      <c r="Z203" s="221">
        <f t="shared" si="117"/>
        <v>3</v>
      </c>
      <c r="AA203" s="30">
        <f t="shared" si="104"/>
        <v>6.6854850690833461</v>
      </c>
      <c r="AB203" s="30">
        <f t="shared" si="105"/>
        <v>0</v>
      </c>
      <c r="AC203" s="30">
        <f t="shared" si="106"/>
        <v>0</v>
      </c>
      <c r="AD203" s="30">
        <f t="shared" si="107"/>
        <v>0</v>
      </c>
      <c r="AE203" s="32">
        <f t="shared" si="118"/>
        <v>6.6854850690833461</v>
      </c>
      <c r="AF203" s="33">
        <f t="shared" si="125"/>
        <v>10.358410478381328</v>
      </c>
      <c r="AG203" s="40">
        <f t="shared" si="119"/>
        <v>50.938199945108515</v>
      </c>
      <c r="AH203" s="224">
        <f>AG203*$P$36</f>
        <v>4.2721180600945576</v>
      </c>
      <c r="AI203" s="226">
        <f>SUM(Z203,IF(Z203&lt;&gt;0,$F$34,0),IF(Z203&lt;&gt;0,$N$36,0),IF(Z203&lt;&gt;0,$T$36,0),IF(Z203=0,AH208,IF(Z203=1,AH209,IF(Z203=2,AH210,IF(Z203=3,AH211,IF(Z203=4,AH212,IF(Z203=5,AH213,IF(Z203=6,AH214,IF(Z203=7,AH215,IF(Z203=8,AH216,IF(Z203=9,AH217,IF(Z203=10,AH218,IF(Z203=11,AH219,IF(Z203=12,AH220,IF(Z203=13,AH221,IF(Z203=14,AH222,IF(Z203=15,AH223,IF(Z203=16,AH224,IF(Z203=17,AH225,IF(Z203=18,AH226,IF(Z203=19,AH227,IF(Z203=20,AH228,IF(Z203=21,AH229,IF(Z203=22,AH230,IF(Z203=23,AH231,IF(Z203=24,AH232,IF(Z203=25,AH233,IF(Z203=26,AH234,IF(Z203=27,AH235,IF(Z203=28,AH236,IF(Z203=29,AH237,IF(Z203=30,AH238))))))))))))))))))))))))))))))))</f>
        <v>25.286098156321955</v>
      </c>
      <c r="AJ203" s="253">
        <f>IF(V203&lt;&gt;0,SUM($F$34,V203,$N$36,MAX($AH$42:$AH$342),$T$36),0)</f>
        <v>33.443348610374464</v>
      </c>
      <c r="AK203" s="253">
        <f>IF(W203&lt;&gt;0,SUM($F$34,W203,$N$36,MAX($AH$42:$AH$342),$T$36),0)</f>
        <v>0</v>
      </c>
      <c r="AL203" s="253">
        <f>IF(X203&lt;&gt;0,SUM($F$34,X203,$N$36,MAX($AH$42:$AH$342),$T$36),0)</f>
        <v>0</v>
      </c>
      <c r="AM203" s="260">
        <f>IF(Y203&lt;&gt;0,SUM($F$34,Y203,$N$36,MAX($AH$42:$AH$342),$T$36),0)</f>
        <v>0</v>
      </c>
    </row>
    <row r="204" spans="1:39" x14ac:dyDescent="0.35">
      <c r="A204" s="259">
        <v>1542</v>
      </c>
      <c r="B204" s="58">
        <f>SUMIF([2]!Table2_23[ETA],'FIS Optimal Model (2)'!A204,[2]!Table2_23[FIS PAX])</f>
        <v>0</v>
      </c>
      <c r="C204" s="44">
        <f t="shared" si="120"/>
        <v>18</v>
      </c>
      <c r="D204" s="52">
        <f t="shared" si="123"/>
        <v>131</v>
      </c>
      <c r="E204" s="26">
        <f t="shared" si="108"/>
        <v>10</v>
      </c>
      <c r="F204" s="26">
        <f t="shared" si="109"/>
        <v>5</v>
      </c>
      <c r="G204" s="26">
        <f t="shared" si="110"/>
        <v>3</v>
      </c>
      <c r="H204" s="26">
        <f t="shared" si="111"/>
        <v>1</v>
      </c>
      <c r="I204" s="27">
        <f t="shared" si="126"/>
        <v>0</v>
      </c>
      <c r="J204" s="27">
        <f t="shared" si="126"/>
        <v>0</v>
      </c>
      <c r="K204" s="27">
        <f t="shared" si="126"/>
        <v>0</v>
      </c>
      <c r="L204" s="27">
        <f t="shared" si="124"/>
        <v>0</v>
      </c>
      <c r="M204" s="28">
        <f t="shared" si="133"/>
        <v>3</v>
      </c>
      <c r="N204" s="29">
        <f t="shared" si="134"/>
        <v>7</v>
      </c>
      <c r="O204" s="28">
        <f t="shared" si="135"/>
        <v>1</v>
      </c>
      <c r="P204" s="28">
        <f t="shared" si="136"/>
        <v>0</v>
      </c>
      <c r="Q204" s="28">
        <f t="shared" si="112"/>
        <v>11</v>
      </c>
      <c r="R204" s="22">
        <f t="shared" si="113"/>
        <v>21.927351062249429</v>
      </c>
      <c r="S204" s="22">
        <f t="shared" si="114"/>
        <v>0</v>
      </c>
      <c r="T204" s="22">
        <f t="shared" si="115"/>
        <v>0</v>
      </c>
      <c r="U204" s="22">
        <f t="shared" si="116"/>
        <v>0</v>
      </c>
      <c r="V204" s="21">
        <f t="shared" si="131"/>
        <v>2.9518600000000177</v>
      </c>
      <c r="W204" s="21">
        <f t="shared" si="132"/>
        <v>0</v>
      </c>
      <c r="X204" s="21">
        <f t="shared" si="121"/>
        <v>0</v>
      </c>
      <c r="Y204" s="21">
        <f t="shared" si="122"/>
        <v>0</v>
      </c>
      <c r="Z204" s="221">
        <f t="shared" si="117"/>
        <v>2</v>
      </c>
      <c r="AA204" s="30">
        <f t="shared" si="104"/>
        <v>6.6854850690833461</v>
      </c>
      <c r="AB204" s="30">
        <f t="shared" si="105"/>
        <v>0</v>
      </c>
      <c r="AC204" s="30">
        <f t="shared" si="106"/>
        <v>0</v>
      </c>
      <c r="AD204" s="30">
        <f t="shared" si="107"/>
        <v>0</v>
      </c>
      <c r="AE204" s="32">
        <f t="shared" si="118"/>
        <v>6.6854850690833461</v>
      </c>
      <c r="AF204" s="33">
        <f t="shared" si="125"/>
        <v>6.6854850690833461</v>
      </c>
      <c r="AG204" s="40">
        <f t="shared" si="119"/>
        <v>45.700278584740083</v>
      </c>
      <c r="AH204" s="224">
        <f>AG204*$P$36</f>
        <v>3.8328206670751985</v>
      </c>
      <c r="AI204" s="226">
        <f>SUM(Z204,IF(Z204&lt;&gt;0,$F$34,0),IF(Z204&lt;&gt;0,$N$36,0),IF(Z204&lt;&gt;0,$T$36,0),IF(Z204=0,AH209,IF(Z204=1,AH210,IF(Z204=2,AH211,IF(Z204=3,AH212,IF(Z204=4,AH213,IF(Z204=5,AH214,IF(Z204=6,AH215,IF(Z204=7,AH216,IF(Z204=8,AH217,IF(Z204=9,AH218,IF(Z204=10,AH219,IF(Z204=11,AH220,IF(Z204=12,AH221,IF(Z204=13,AH222,IF(Z204=14,AH223,IF(Z204=15,AH224,IF(Z204=16,AH225,IF(Z204=17,AH226,IF(Z204=18,AH227,IF(Z204=19,AH228,IF(Z204=20,AH229,IF(Z204=21,AH230,IF(Z204=22,AH231,IF(Z204=23,AH232,IF(Z204=24,AH233,IF(Z204=25,AH234,IF(Z204=26,AH235,IF(Z204=27,AH236,IF(Z204=28,AH237,IF(Z204=29,AH238,IF(Z204=30,AH239))))))))))))))))))))))))))))))))</f>
        <v>24.286098156321955</v>
      </c>
      <c r="AJ204" s="253">
        <f>IF(V204&lt;&gt;0,SUM($F$34,V204,$N$36,MAX($AH$42:$AH$342),$T$36),0)</f>
        <v>32.543348610374466</v>
      </c>
      <c r="AK204" s="253">
        <f>IF(W204&lt;&gt;0,SUM($F$34,W204,$N$36,MAX($AH$42:$AH$342),$T$36),0)</f>
        <v>0</v>
      </c>
      <c r="AL204" s="253">
        <f>IF(X204&lt;&gt;0,SUM($F$34,X204,$N$36,MAX($AH$42:$AH$342),$T$36),0)</f>
        <v>0</v>
      </c>
      <c r="AM204" s="260">
        <f>IF(Y204&lt;&gt;0,SUM($F$34,Y204,$N$36,MAX($AH$42:$AH$342),$T$36),0)</f>
        <v>0</v>
      </c>
    </row>
    <row r="205" spans="1:39" x14ac:dyDescent="0.35">
      <c r="A205" s="259">
        <v>1543</v>
      </c>
      <c r="B205" s="58">
        <f>SUMIF([2]!Table2_23[ETA],'FIS Optimal Model (2)'!A205,[2]!Table2_23[FIS PAX])</f>
        <v>0</v>
      </c>
      <c r="C205" s="44">
        <f t="shared" si="120"/>
        <v>18</v>
      </c>
      <c r="D205" s="52">
        <f t="shared" si="123"/>
        <v>113</v>
      </c>
      <c r="E205" s="26">
        <f t="shared" si="108"/>
        <v>10</v>
      </c>
      <c r="F205" s="26">
        <f t="shared" si="109"/>
        <v>5</v>
      </c>
      <c r="G205" s="26">
        <f t="shared" si="110"/>
        <v>3</v>
      </c>
      <c r="H205" s="26">
        <f t="shared" si="111"/>
        <v>1</v>
      </c>
      <c r="I205" s="27">
        <f t="shared" si="126"/>
        <v>0</v>
      </c>
      <c r="J205" s="27">
        <f t="shared" si="126"/>
        <v>0</v>
      </c>
      <c r="K205" s="27">
        <f t="shared" si="126"/>
        <v>0</v>
      </c>
      <c r="L205" s="27">
        <f t="shared" si="124"/>
        <v>0</v>
      </c>
      <c r="M205" s="28">
        <f t="shared" si="133"/>
        <v>3</v>
      </c>
      <c r="N205" s="29">
        <f t="shared" si="134"/>
        <v>7</v>
      </c>
      <c r="O205" s="28">
        <f t="shared" si="135"/>
        <v>1</v>
      </c>
      <c r="P205" s="28">
        <f t="shared" si="136"/>
        <v>0</v>
      </c>
      <c r="Q205" s="28">
        <f t="shared" si="112"/>
        <v>11</v>
      </c>
      <c r="R205" s="22">
        <f t="shared" si="113"/>
        <v>15.241865993166083</v>
      </c>
      <c r="S205" s="22">
        <f t="shared" si="114"/>
        <v>0</v>
      </c>
      <c r="T205" s="22">
        <f t="shared" si="115"/>
        <v>0</v>
      </c>
      <c r="U205" s="22">
        <f t="shared" si="116"/>
        <v>0</v>
      </c>
      <c r="V205" s="21">
        <f t="shared" si="131"/>
        <v>2.0518600000000178</v>
      </c>
      <c r="W205" s="21">
        <f t="shared" si="132"/>
        <v>0</v>
      </c>
      <c r="X205" s="21">
        <f t="shared" si="121"/>
        <v>0</v>
      </c>
      <c r="Y205" s="21">
        <f t="shared" si="122"/>
        <v>0</v>
      </c>
      <c r="Z205" s="221">
        <f t="shared" si="117"/>
        <v>2</v>
      </c>
      <c r="AA205" s="30">
        <f t="shared" si="104"/>
        <v>6.6854850690833461</v>
      </c>
      <c r="AB205" s="30">
        <f t="shared" si="105"/>
        <v>0</v>
      </c>
      <c r="AC205" s="30">
        <f t="shared" si="106"/>
        <v>0</v>
      </c>
      <c r="AD205" s="30">
        <f t="shared" si="107"/>
        <v>0</v>
      </c>
      <c r="AE205" s="32">
        <f t="shared" si="118"/>
        <v>6.6854850690833461</v>
      </c>
      <c r="AF205" s="33">
        <f t="shared" si="125"/>
        <v>6.6854850690833461</v>
      </c>
      <c r="AG205" s="40">
        <f t="shared" si="119"/>
        <v>40.462357224371651</v>
      </c>
      <c r="AH205" s="224">
        <f>AG205*$P$36</f>
        <v>3.3935232740558394</v>
      </c>
      <c r="AI205" s="226">
        <f>SUM(Z205,IF(Z205&lt;&gt;0,$F$34,0),IF(Z205&lt;&gt;0,$N$36,0),IF(Z205&lt;&gt;0,$T$36,0),IF(Z205=0,AH210,IF(Z205=1,AH211,IF(Z205=2,AH212,IF(Z205=3,AH213,IF(Z205=4,AH214,IF(Z205=5,AH215,IF(Z205=6,AH216,IF(Z205=7,AH217,IF(Z205=8,AH218,IF(Z205=9,AH219,IF(Z205=10,AH220,IF(Z205=11,AH221,IF(Z205=12,AH222,IF(Z205=13,AH223,IF(Z205=14,AH224,IF(Z205=15,AH225,IF(Z205=16,AH226,IF(Z205=17,AH227,IF(Z205=18,AH228,IF(Z205=19,AH229,IF(Z205=20,AH230,IF(Z205=21,AH231,IF(Z205=22,AH232,IF(Z205=23,AH233,IF(Z205=24,AH234,IF(Z205=25,AH235,IF(Z205=26,AH236,IF(Z205=27,AH237,IF(Z205=28,AH238,IF(Z205=29,AH239,IF(Z205=30,AH240))))))))))))))))))))))))))))))))</f>
        <v>24.494224048535859</v>
      </c>
      <c r="AJ205" s="253">
        <f>IF(V205&lt;&gt;0,SUM($F$34,V205,$N$36,MAX($AH$42:$AH$342),$T$36),0)</f>
        <v>31.643348610374467</v>
      </c>
      <c r="AK205" s="253">
        <f>IF(W205&lt;&gt;0,SUM($F$34,W205,$N$36,MAX($AH$42:$AH$342),$T$36),0)</f>
        <v>0</v>
      </c>
      <c r="AL205" s="253">
        <f>IF(X205&lt;&gt;0,SUM($F$34,X205,$N$36,MAX($AH$42:$AH$342),$T$36),0)</f>
        <v>0</v>
      </c>
      <c r="AM205" s="260">
        <f>IF(Y205&lt;&gt;0,SUM($F$34,Y205,$N$36,MAX($AH$42:$AH$342),$T$36),0)</f>
        <v>0</v>
      </c>
    </row>
    <row r="206" spans="1:39" x14ac:dyDescent="0.35">
      <c r="A206" s="259">
        <v>1544</v>
      </c>
      <c r="B206" s="58">
        <f>SUMIF([2]!Table2_23[ETA],'FIS Optimal Model (2)'!A206,[2]!Table2_23[FIS PAX])</f>
        <v>0</v>
      </c>
      <c r="C206" s="44">
        <f t="shared" si="120"/>
        <v>18</v>
      </c>
      <c r="D206" s="52">
        <f t="shared" si="123"/>
        <v>95</v>
      </c>
      <c r="E206" s="26">
        <f t="shared" si="108"/>
        <v>10</v>
      </c>
      <c r="F206" s="26">
        <f t="shared" si="109"/>
        <v>5</v>
      </c>
      <c r="G206" s="26">
        <f t="shared" si="110"/>
        <v>3</v>
      </c>
      <c r="H206" s="26">
        <f t="shared" si="111"/>
        <v>1</v>
      </c>
      <c r="I206" s="27">
        <f t="shared" si="126"/>
        <v>0</v>
      </c>
      <c r="J206" s="27">
        <f t="shared" si="126"/>
        <v>0</v>
      </c>
      <c r="K206" s="27">
        <f t="shared" si="126"/>
        <v>0</v>
      </c>
      <c r="L206" s="27">
        <f t="shared" si="124"/>
        <v>0</v>
      </c>
      <c r="M206" s="28">
        <f t="shared" si="133"/>
        <v>3</v>
      </c>
      <c r="N206" s="29">
        <f t="shared" si="134"/>
        <v>7</v>
      </c>
      <c r="O206" s="28">
        <f t="shared" si="135"/>
        <v>1</v>
      </c>
      <c r="P206" s="28">
        <f t="shared" si="136"/>
        <v>0</v>
      </c>
      <c r="Q206" s="28">
        <f t="shared" si="112"/>
        <v>11</v>
      </c>
      <c r="R206" s="22">
        <f t="shared" si="113"/>
        <v>8.5563809240827382</v>
      </c>
      <c r="S206" s="22">
        <f t="shared" si="114"/>
        <v>0</v>
      </c>
      <c r="T206" s="22">
        <f t="shared" si="115"/>
        <v>0</v>
      </c>
      <c r="U206" s="22">
        <f t="shared" si="116"/>
        <v>0</v>
      </c>
      <c r="V206" s="21">
        <f t="shared" si="131"/>
        <v>1.1518600000000181</v>
      </c>
      <c r="W206" s="21">
        <f t="shared" si="132"/>
        <v>0</v>
      </c>
      <c r="X206" s="21">
        <f t="shared" si="121"/>
        <v>0</v>
      </c>
      <c r="Y206" s="21">
        <f t="shared" si="122"/>
        <v>0</v>
      </c>
      <c r="Z206" s="221">
        <f t="shared" si="117"/>
        <v>1</v>
      </c>
      <c r="AA206" s="30">
        <f t="shared" si="104"/>
        <v>6.6854850690833461</v>
      </c>
      <c r="AB206" s="30">
        <f t="shared" si="105"/>
        <v>0</v>
      </c>
      <c r="AC206" s="30">
        <f t="shared" si="106"/>
        <v>0</v>
      </c>
      <c r="AD206" s="30">
        <f t="shared" si="107"/>
        <v>0</v>
      </c>
      <c r="AE206" s="32">
        <f t="shared" si="118"/>
        <v>6.6854850690833461</v>
      </c>
      <c r="AF206" s="33">
        <f t="shared" si="125"/>
        <v>6.6854850690833461</v>
      </c>
      <c r="AG206" s="40">
        <f t="shared" si="119"/>
        <v>35.224435864003219</v>
      </c>
      <c r="AH206" s="224">
        <f>AG206*$P$36</f>
        <v>2.9542258810364803</v>
      </c>
      <c r="AI206" s="226">
        <f>SUM(Z206,IF(Z206&lt;&gt;0,$F$34,0),IF(Z206&lt;&gt;0,$N$36,0),IF(Z206&lt;&gt;0,$T$36,0),IF(Z206=0,AH211,IF(Z206=1,AH212,IF(Z206=2,AH213,IF(Z206=3,AH214,IF(Z206=4,AH215,IF(Z206=5,AH216,IF(Z206=6,AH217,IF(Z206=7,AH218,IF(Z206=8,AH219,IF(Z206=9,AH220,IF(Z206=10,AH221,IF(Z206=11,AH222,IF(Z206=12,AH223,IF(Z206=13,AH224,IF(Z206=14,AH225,IF(Z206=15,AH226,IF(Z206=16,AH227,IF(Z206=17,AH228,IF(Z206=18,AH229,IF(Z206=19,AH230,IF(Z206=20,AH231,IF(Z206=21,AH232,IF(Z206=22,AH233,IF(Z206=23,AH234,IF(Z206=24,AH235,IF(Z206=25,AH236,IF(Z206=26,AH237,IF(Z206=27,AH238,IF(Z206=28,AH239,IF(Z206=29,AH240,IF(Z206=30,AH241))))))))))))))))))))))))))))))))</f>
        <v>23.494224048535859</v>
      </c>
      <c r="AJ206" s="253">
        <f>IF(V206&lt;&gt;0,SUM($F$34,V206,$N$36,MAX($AH$42:$AH$342),$T$36),0)</f>
        <v>30.743348610374465</v>
      </c>
      <c r="AK206" s="253">
        <f>IF(W206&lt;&gt;0,SUM($F$34,W206,$N$36,MAX($AH$42:$AH$342),$T$36),0)</f>
        <v>0</v>
      </c>
      <c r="AL206" s="253">
        <f>IF(X206&lt;&gt;0,SUM($F$34,X206,$N$36,MAX($AH$42:$AH$342),$T$36),0)</f>
        <v>0</v>
      </c>
      <c r="AM206" s="260">
        <f>IF(Y206&lt;&gt;0,SUM($F$34,Y206,$N$36,MAX($AH$42:$AH$342),$T$36),0)</f>
        <v>0</v>
      </c>
    </row>
    <row r="207" spans="1:39" x14ac:dyDescent="0.35">
      <c r="A207" s="259">
        <v>1545</v>
      </c>
      <c r="B207" s="58">
        <f>SUMIF([2]!Table2_23[ETA],'FIS Optimal Model (2)'!A207,[2]!Table2_23[FIS PAX])</f>
        <v>0</v>
      </c>
      <c r="C207" s="44">
        <f t="shared" si="120"/>
        <v>18</v>
      </c>
      <c r="D207" s="52">
        <f t="shared" si="123"/>
        <v>77</v>
      </c>
      <c r="E207" s="26">
        <f t="shared" si="108"/>
        <v>10</v>
      </c>
      <c r="F207" s="26">
        <f t="shared" si="109"/>
        <v>5</v>
      </c>
      <c r="G207" s="26">
        <f t="shared" si="110"/>
        <v>3</v>
      </c>
      <c r="H207" s="26">
        <f t="shared" si="111"/>
        <v>1</v>
      </c>
      <c r="I207" s="27">
        <f t="shared" si="126"/>
        <v>10</v>
      </c>
      <c r="J207" s="27">
        <f t="shared" si="126"/>
        <v>5</v>
      </c>
      <c r="K207" s="27">
        <f t="shared" si="126"/>
        <v>3</v>
      </c>
      <c r="L207" s="27">
        <f t="shared" si="124"/>
        <v>1</v>
      </c>
      <c r="M207" s="28">
        <f t="shared" si="133"/>
        <v>3</v>
      </c>
      <c r="N207" s="29">
        <f t="shared" si="134"/>
        <v>7</v>
      </c>
      <c r="O207" s="28">
        <f t="shared" si="135"/>
        <v>1</v>
      </c>
      <c r="P207" s="28">
        <f t="shared" si="136"/>
        <v>0</v>
      </c>
      <c r="Q207" s="28">
        <f t="shared" si="112"/>
        <v>11</v>
      </c>
      <c r="R207" s="22">
        <f t="shared" si="113"/>
        <v>11.870895854999393</v>
      </c>
      <c r="S207" s="22">
        <f t="shared" si="114"/>
        <v>1.3270745907020181</v>
      </c>
      <c r="T207" s="22">
        <f t="shared" si="115"/>
        <v>0.37308344546375283</v>
      </c>
      <c r="U207" s="22">
        <f t="shared" si="116"/>
        <v>1</v>
      </c>
      <c r="V207" s="21">
        <f t="shared" si="131"/>
        <v>1.5980600000000182</v>
      </c>
      <c r="W207" s="21">
        <f t="shared" si="132"/>
        <v>0.32518142857142851</v>
      </c>
      <c r="X207" s="21">
        <f t="shared" si="121"/>
        <v>0.12782099999999996</v>
      </c>
      <c r="Y207" s="21">
        <f t="shared" si="122"/>
        <v>0</v>
      </c>
      <c r="Z207" s="221">
        <f t="shared" si="117"/>
        <v>1</v>
      </c>
      <c r="AA207" s="30">
        <f t="shared" si="104"/>
        <v>6.6854850690833461</v>
      </c>
      <c r="AB207" s="30">
        <f t="shared" si="105"/>
        <v>3.6729254092979819</v>
      </c>
      <c r="AC207" s="30">
        <f t="shared" si="106"/>
        <v>2.6269165545362472</v>
      </c>
      <c r="AD207" s="30">
        <f t="shared" si="107"/>
        <v>0</v>
      </c>
      <c r="AE207" s="32">
        <f t="shared" si="118"/>
        <v>12.985327032917576</v>
      </c>
      <c r="AF207" s="33">
        <f t="shared" si="125"/>
        <v>6.6854850690833461</v>
      </c>
      <c r="AG207" s="40">
        <f t="shared" si="119"/>
        <v>29.986514503634783</v>
      </c>
      <c r="AH207" s="224">
        <f>AG207*$P$36</f>
        <v>2.5149284880171208</v>
      </c>
      <c r="AI207" s="226">
        <f>SUM(Z207,IF(Z207&lt;&gt;0,$F$34,0),IF(Z207&lt;&gt;0,$N$36,0),IF(Z207&lt;&gt;0,$T$36,0),IF(Z207=0,AH212,IF(Z207=1,AH213,IF(Z207=2,AH214,IF(Z207=3,AH215,IF(Z207=4,AH216,IF(Z207=5,AH217,IF(Z207=6,AH218,IF(Z207=7,AH219,IF(Z207=8,AH220,IF(Z207=9,AH221,IF(Z207=10,AH222,IF(Z207=11,AH223,IF(Z207=12,AH224,IF(Z207=13,AH225,IF(Z207=14,AH226,IF(Z207=15,AH227,IF(Z207=16,AH228,IF(Z207=17,AH229,IF(Z207=18,AH230,IF(Z207=19,AH231,IF(Z207=20,AH232,IF(Z207=21,AH233,IF(Z207=22,AH234,IF(Z207=23,AH235,IF(Z207=24,AH236,IF(Z207=25,AH237,IF(Z207=26,AH238,IF(Z207=27,AH239,IF(Z207=28,AH240,IF(Z207=29,AH241,IF(Z207=30,AH242))))))))))))))))))))))))))))))))</f>
        <v>23.539279710837121</v>
      </c>
      <c r="AJ207" s="253">
        <f>IF(V207&lt;&gt;0,SUM($F$34,V207,$N$36,MAX($AH$42:$AH$342),$T$36),0)</f>
        <v>31.189548610374466</v>
      </c>
      <c r="AK207" s="253">
        <f>IF(W207&lt;&gt;0,SUM($F$34,W207,$N$36,MAX($AH$42:$AH$342),$T$36),0)</f>
        <v>29.916670038945878</v>
      </c>
      <c r="AL207" s="253">
        <f>IF(X207&lt;&gt;0,SUM($F$34,X207,$N$36,MAX($AH$42:$AH$342),$T$36),0)</f>
        <v>29.719309610374449</v>
      </c>
      <c r="AM207" s="260">
        <f>IF(Y207&lt;&gt;0,SUM($F$34,Y207,$N$36,MAX($AH$42:$AH$342),$T$36),0)</f>
        <v>0</v>
      </c>
    </row>
    <row r="208" spans="1:39" x14ac:dyDescent="0.35">
      <c r="A208" s="259">
        <v>1546</v>
      </c>
      <c r="B208" s="58">
        <f>SUMIF([2]!Table2_23[ETA],'FIS Optimal Model (2)'!A208,[2]!Table2_23[FIS PAX])</f>
        <v>123</v>
      </c>
      <c r="C208" s="44">
        <f t="shared" si="120"/>
        <v>18</v>
      </c>
      <c r="D208" s="52">
        <f t="shared" si="123"/>
        <v>59</v>
      </c>
      <c r="E208" s="26">
        <f t="shared" si="108"/>
        <v>10</v>
      </c>
      <c r="F208" s="26">
        <f t="shared" si="109"/>
        <v>5</v>
      </c>
      <c r="G208" s="26">
        <f t="shared" si="110"/>
        <v>3</v>
      </c>
      <c r="H208" s="26">
        <f t="shared" si="111"/>
        <v>1</v>
      </c>
      <c r="I208" s="27">
        <f t="shared" si="126"/>
        <v>10</v>
      </c>
      <c r="J208" s="27">
        <f t="shared" si="126"/>
        <v>5</v>
      </c>
      <c r="K208" s="27">
        <f t="shared" si="126"/>
        <v>3</v>
      </c>
      <c r="L208" s="27">
        <f t="shared" si="124"/>
        <v>1</v>
      </c>
      <c r="M208" s="28">
        <f>IF(R207=0,0,$Q$17)</f>
        <v>3</v>
      </c>
      <c r="N208" s="29">
        <f>$U$17-M208-O208-P208</f>
        <v>6</v>
      </c>
      <c r="O208" s="28">
        <f>IF(T207=0,0,$S$17)</f>
        <v>1</v>
      </c>
      <c r="P208" s="28">
        <f>IF(U207=0,0,$T$17)</f>
        <v>1</v>
      </c>
      <c r="Q208" s="28">
        <f t="shared" si="112"/>
        <v>11</v>
      </c>
      <c r="R208" s="22">
        <f t="shared" si="113"/>
        <v>15.185410785916048</v>
      </c>
      <c r="S208" s="22">
        <f t="shared" si="114"/>
        <v>3.1788528113037482</v>
      </c>
      <c r="T208" s="22">
        <f t="shared" si="115"/>
        <v>0.74616689092750565</v>
      </c>
      <c r="U208" s="22">
        <f t="shared" si="116"/>
        <v>5.5647372207423551E-2</v>
      </c>
      <c r="V208" s="21">
        <f t="shared" si="131"/>
        <v>2.0442600000000182</v>
      </c>
      <c r="W208" s="21">
        <f t="shared" si="132"/>
        <v>0.90875666666666666</v>
      </c>
      <c r="X208" s="21">
        <f t="shared" si="121"/>
        <v>0.25564199999999992</v>
      </c>
      <c r="Y208" s="21">
        <f t="shared" si="122"/>
        <v>2.5758000000000007E-2</v>
      </c>
      <c r="Z208" s="221">
        <f t="shared" si="117"/>
        <v>2</v>
      </c>
      <c r="AA208" s="30">
        <f t="shared" si="104"/>
        <v>6.6854850690833461</v>
      </c>
      <c r="AB208" s="30">
        <f t="shared" si="105"/>
        <v>3.1482217793982699</v>
      </c>
      <c r="AC208" s="30">
        <f t="shared" si="106"/>
        <v>2.6269165545362472</v>
      </c>
      <c r="AD208" s="30">
        <f t="shared" si="107"/>
        <v>1.9443526277925764</v>
      </c>
      <c r="AE208" s="32">
        <f t="shared" si="118"/>
        <v>14.404976030810438</v>
      </c>
      <c r="AF208" s="33">
        <f t="shared" si="125"/>
        <v>6.6854850690833461</v>
      </c>
      <c r="AG208" s="40">
        <f t="shared" si="119"/>
        <v>24.748593143266348</v>
      </c>
      <c r="AH208" s="224">
        <f>AG208*$P$36</f>
        <v>2.0756310949977617</v>
      </c>
      <c r="AI208" s="226">
        <f>SUM(Z208,IF(Z208&lt;&gt;0,$F$34,0),IF(Z208&lt;&gt;0,$N$36,0),IF(Z208&lt;&gt;0,$T$36,0),IF(Z208=0,AH213,IF(Z208=1,AH214,IF(Z208=2,AH215,IF(Z208=3,AH216,IF(Z208=4,AH217,IF(Z208=5,AH218,IF(Z208=6,AH219,IF(Z208=7,AH220,IF(Z208=8,AH221,IF(Z208=9,AH222,IF(Z208=10,AH223,IF(Z208=11,AH224,IF(Z208=12,AH225,IF(Z208=13,AH226,IF(Z208=14,AH227,IF(Z208=15,AH228,IF(Z208=16,AH229,IF(Z208=17,AH230,IF(Z208=18,AH231,IF(Z208=19,AH232,IF(Z208=20,AH233,IF(Z208=21,AH234,IF(Z208=22,AH235,IF(Z208=23,AH236,IF(Z208=24,AH237,IF(Z208=25,AH238,IF(Z208=26,AH239,IF(Z208=27,AH240,IF(Z208=28,AH241,IF(Z208=29,AH242,IF(Z208=30,AH243))))))))))))))))))))))))))))))))</f>
        <v>24.629391035439646</v>
      </c>
      <c r="AJ208" s="253">
        <f>IF(V208&lt;&gt;0,SUM($F$34,V208,$N$36,MAX($AH$42:$AH$342),$T$36),0)</f>
        <v>31.635748610374467</v>
      </c>
      <c r="AK208" s="253">
        <f>IF(W208&lt;&gt;0,SUM($F$34,W208,$N$36,MAX($AH$42:$AH$342),$T$36),0)</f>
        <v>30.500245277041117</v>
      </c>
      <c r="AL208" s="253">
        <f>IF(X208&lt;&gt;0,SUM($F$34,X208,$N$36,MAX($AH$42:$AH$342),$T$36),0)</f>
        <v>29.84713061037445</v>
      </c>
      <c r="AM208" s="260">
        <f>IF(Y208&lt;&gt;0,SUM($F$34,Y208,$N$36,MAX($AH$42:$AH$342),$T$36),0)</f>
        <v>29.617246610374448</v>
      </c>
    </row>
    <row r="209" spans="1:39" x14ac:dyDescent="0.35">
      <c r="A209" s="259">
        <v>1547</v>
      </c>
      <c r="B209" s="58">
        <f>SUMIF([2]!Table2_23[ETA],'FIS Optimal Model (2)'!A209,[2]!Table2_23[FIS PAX])</f>
        <v>0</v>
      </c>
      <c r="C209" s="44">
        <f t="shared" si="120"/>
        <v>18</v>
      </c>
      <c r="D209" s="52">
        <f t="shared" si="123"/>
        <v>164</v>
      </c>
      <c r="E209" s="26">
        <f t="shared" si="108"/>
        <v>10</v>
      </c>
      <c r="F209" s="26">
        <f t="shared" si="109"/>
        <v>5</v>
      </c>
      <c r="G209" s="26">
        <f t="shared" si="110"/>
        <v>3</v>
      </c>
      <c r="H209" s="26">
        <f t="shared" si="111"/>
        <v>1</v>
      </c>
      <c r="I209" s="27">
        <f t="shared" si="126"/>
        <v>10</v>
      </c>
      <c r="J209" s="27">
        <f t="shared" si="126"/>
        <v>5</v>
      </c>
      <c r="K209" s="27">
        <f t="shared" si="126"/>
        <v>3</v>
      </c>
      <c r="L209" s="27">
        <f t="shared" si="124"/>
        <v>1</v>
      </c>
      <c r="M209" s="28">
        <f>$M$208</f>
        <v>3</v>
      </c>
      <c r="N209" s="29">
        <f>$N$208</f>
        <v>6</v>
      </c>
      <c r="O209" s="28">
        <f>$O$208</f>
        <v>1</v>
      </c>
      <c r="P209" s="28">
        <f>$P$208</f>
        <v>1</v>
      </c>
      <c r="Q209" s="28">
        <f t="shared" si="112"/>
        <v>11</v>
      </c>
      <c r="R209" s="22">
        <f t="shared" si="113"/>
        <v>18.499925716832703</v>
      </c>
      <c r="S209" s="22">
        <f t="shared" si="114"/>
        <v>4.5059274020057662</v>
      </c>
      <c r="T209" s="22">
        <f t="shared" si="115"/>
        <v>1.1192503363912585</v>
      </c>
      <c r="U209" s="22">
        <f t="shared" si="116"/>
        <v>0</v>
      </c>
      <c r="V209" s="21">
        <f t="shared" si="131"/>
        <v>2.4904600000000183</v>
      </c>
      <c r="W209" s="21">
        <f t="shared" si="132"/>
        <v>1.2881349999999998</v>
      </c>
      <c r="X209" s="21">
        <f t="shared" si="121"/>
        <v>0.38346299999999989</v>
      </c>
      <c r="Y209" s="21">
        <f t="shared" si="122"/>
        <v>0</v>
      </c>
      <c r="Z209" s="221">
        <f t="shared" si="117"/>
        <v>2</v>
      </c>
      <c r="AA209" s="30">
        <f t="shared" si="104"/>
        <v>6.6854850690833461</v>
      </c>
      <c r="AB209" s="30">
        <f t="shared" si="105"/>
        <v>3.1482217793982699</v>
      </c>
      <c r="AC209" s="30">
        <f t="shared" si="106"/>
        <v>2.6269165545362472</v>
      </c>
      <c r="AD209" s="30">
        <f t="shared" si="107"/>
        <v>0</v>
      </c>
      <c r="AE209" s="32">
        <f t="shared" si="118"/>
        <v>12.460623403017863</v>
      </c>
      <c r="AF209" s="33">
        <f t="shared" si="125"/>
        <v>6.6854850690833461</v>
      </c>
      <c r="AG209" s="40">
        <f t="shared" si="119"/>
        <v>19.510671782897912</v>
      </c>
      <c r="AH209" s="224">
        <f>AG209*$P$36</f>
        <v>1.6363337019784021</v>
      </c>
      <c r="AI209" s="226">
        <f>SUM(Z209,IF(Z209&lt;&gt;0,$F$34,0),IF(Z209&lt;&gt;0,$N$36,0),IF(Z209&lt;&gt;0,$T$36,0),IF(Z209=0,AH214,IF(Z209=1,AH215,IF(Z209=2,AH216,IF(Z209=3,AH217,IF(Z209=4,AH218,IF(Z209=5,AH219,IF(Z209=6,AH220,IF(Z209=7,AH221,IF(Z209=8,AH222,IF(Z209=9,AH223,IF(Z209=10,AH224,IF(Z209=11,AH225,IF(Z209=12,AH226,IF(Z209=13,AH227,IF(Z209=14,AH228,IF(Z209=15,AH229,IF(Z209=16,AH230,IF(Z209=17,AH231,IF(Z209=18,AH232,IF(Z209=19,AH233,IF(Z209=20,AH234,IF(Z209=21,AH235,IF(Z209=22,AH236,IF(Z209=23,AH237,IF(Z209=24,AH238,IF(Z209=25,AH239,IF(Z209=26,AH240,IF(Z209=27,AH241,IF(Z209=28,AH242,IF(Z209=29,AH243,IF(Z209=30,AH244))))))))))))))))))))))))))))))))</f>
        <v>24.674446697740908</v>
      </c>
      <c r="AJ209" s="253">
        <f>IF(V209&lt;&gt;0,SUM($F$34,V209,$N$36,MAX($AH$42:$AH$342),$T$36),0)</f>
        <v>32.081948610374468</v>
      </c>
      <c r="AK209" s="253">
        <f>IF(W209&lt;&gt;0,SUM($F$34,W209,$N$36,MAX($AH$42:$AH$342),$T$36),0)</f>
        <v>30.879623610374448</v>
      </c>
      <c r="AL209" s="253">
        <f>IF(X209&lt;&gt;0,SUM($F$34,X209,$N$36,MAX($AH$42:$AH$342),$T$36),0)</f>
        <v>29.974951610374447</v>
      </c>
      <c r="AM209" s="260">
        <f>IF(Y209&lt;&gt;0,SUM($F$34,Y209,$N$36,MAX($AH$42:$AH$342),$T$36),0)</f>
        <v>0</v>
      </c>
    </row>
    <row r="210" spans="1:39" x14ac:dyDescent="0.35">
      <c r="A210" s="259">
        <v>1548</v>
      </c>
      <c r="B210" s="58">
        <f>SUMIF([2]!Table2_23[ETA],'FIS Optimal Model (2)'!A210,[2]!Table2_23[FIS PAX])</f>
        <v>0</v>
      </c>
      <c r="C210" s="44">
        <f t="shared" si="120"/>
        <v>18</v>
      </c>
      <c r="D210" s="52">
        <f t="shared" si="123"/>
        <v>146</v>
      </c>
      <c r="E210" s="26">
        <f t="shared" si="108"/>
        <v>10</v>
      </c>
      <c r="F210" s="26">
        <f t="shared" si="109"/>
        <v>5</v>
      </c>
      <c r="G210" s="26">
        <f t="shared" si="110"/>
        <v>3</v>
      </c>
      <c r="H210" s="26">
        <f t="shared" si="111"/>
        <v>1</v>
      </c>
      <c r="I210" s="27">
        <f t="shared" si="126"/>
        <v>10</v>
      </c>
      <c r="J210" s="27">
        <f t="shared" si="126"/>
        <v>5</v>
      </c>
      <c r="K210" s="27">
        <f t="shared" si="126"/>
        <v>3</v>
      </c>
      <c r="L210" s="27">
        <f t="shared" si="124"/>
        <v>1</v>
      </c>
      <c r="M210" s="28">
        <f t="shared" ref="M210:M222" si="137">$M$208</f>
        <v>3</v>
      </c>
      <c r="N210" s="29">
        <f t="shared" ref="N210:N222" si="138">$N$208</f>
        <v>6</v>
      </c>
      <c r="O210" s="28">
        <f t="shared" ref="O210:O222" si="139">$O$208</f>
        <v>1</v>
      </c>
      <c r="P210" s="28">
        <f t="shared" ref="P210:P222" si="140">$P$208</f>
        <v>1</v>
      </c>
      <c r="Q210" s="28">
        <f t="shared" si="112"/>
        <v>11</v>
      </c>
      <c r="R210" s="22">
        <f t="shared" si="113"/>
        <v>21.814440647749358</v>
      </c>
      <c r="S210" s="22">
        <f t="shared" si="114"/>
        <v>5.8330019927077839</v>
      </c>
      <c r="T210" s="22">
        <f t="shared" si="115"/>
        <v>1.4923337818550113</v>
      </c>
      <c r="U210" s="22">
        <f t="shared" si="116"/>
        <v>0</v>
      </c>
      <c r="V210" s="21">
        <f t="shared" si="131"/>
        <v>2.9366600000000185</v>
      </c>
      <c r="W210" s="21">
        <f t="shared" si="132"/>
        <v>1.667513333333333</v>
      </c>
      <c r="X210" s="21">
        <f t="shared" si="121"/>
        <v>0.51128399999999985</v>
      </c>
      <c r="Y210" s="21">
        <f t="shared" si="122"/>
        <v>0</v>
      </c>
      <c r="Z210" s="221">
        <f t="shared" si="117"/>
        <v>3</v>
      </c>
      <c r="AA210" s="30">
        <f t="shared" si="104"/>
        <v>6.6854850690833461</v>
      </c>
      <c r="AB210" s="30">
        <f t="shared" si="105"/>
        <v>3.1482217793982699</v>
      </c>
      <c r="AC210" s="30">
        <f t="shared" si="106"/>
        <v>2.6269165545362472</v>
      </c>
      <c r="AD210" s="30">
        <f t="shared" si="107"/>
        <v>0</v>
      </c>
      <c r="AE210" s="32">
        <f t="shared" si="118"/>
        <v>12.460623403017863</v>
      </c>
      <c r="AF210" s="33">
        <f t="shared" si="125"/>
        <v>6.6854850690833461</v>
      </c>
      <c r="AG210" s="40">
        <f t="shared" si="119"/>
        <v>14.272750422529477</v>
      </c>
      <c r="AH210" s="224">
        <f>AG210*$P$36</f>
        <v>1.1970363089590426</v>
      </c>
      <c r="AI210" s="226">
        <f>SUM(Z210,IF(Z210&lt;&gt;0,$F$34,0),IF(Z210&lt;&gt;0,$N$36,0),IF(Z210&lt;&gt;0,$T$36,0),IF(Z210=0,AH215,IF(Z210=1,AH216,IF(Z210=2,AH217,IF(Z210=3,AH218,IF(Z210=4,AH219,IF(Z210=5,AH220,IF(Z210=6,AH221,IF(Z210=7,AH222,IF(Z210=8,AH223,IF(Z210=9,AH224,IF(Z210=10,AH225,IF(Z210=11,AH226,IF(Z210=12,AH227,IF(Z210=13,AH228,IF(Z210=14,AH229,IF(Z210=15,AH230,IF(Z210=16,AH231,IF(Z210=17,AH232,IF(Z210=18,AH233,IF(Z210=19,AH234,IF(Z210=20,AH235,IF(Z210=21,AH236,IF(Z210=22,AH237,IF(Z210=23,AH238,IF(Z210=24,AH239,IF(Z210=25,AH240,IF(Z210=26,AH241,IF(Z210=27,AH242,IF(Z210=28,AH243,IF(Z210=29,AH244,IF(Z210=30,AH245))))))))))))))))))))))))))))))))</f>
        <v>25.764558022343433</v>
      </c>
      <c r="AJ210" s="253">
        <f>IF(V210&lt;&gt;0,SUM($F$34,V210,$N$36,MAX($AH$42:$AH$342),$T$36),0)</f>
        <v>32.528148610374465</v>
      </c>
      <c r="AK210" s="253">
        <f>IF(W210&lt;&gt;0,SUM($F$34,W210,$N$36,MAX($AH$42:$AH$342),$T$36),0)</f>
        <v>31.25900194370778</v>
      </c>
      <c r="AL210" s="253">
        <f>IF(X210&lt;&gt;0,SUM($F$34,X210,$N$36,MAX($AH$42:$AH$342),$T$36),0)</f>
        <v>30.102772610374448</v>
      </c>
      <c r="AM210" s="260">
        <f>IF(Y210&lt;&gt;0,SUM($F$34,Y210,$N$36,MAX($AH$42:$AH$342),$T$36),0)</f>
        <v>0</v>
      </c>
    </row>
    <row r="211" spans="1:39" x14ac:dyDescent="0.35">
      <c r="A211" s="259">
        <v>1549</v>
      </c>
      <c r="B211" s="58">
        <f>SUMIF([2]!Table2_23[ETA],'FIS Optimal Model (2)'!A211,[2]!Table2_23[FIS PAX])</f>
        <v>0</v>
      </c>
      <c r="C211" s="44">
        <f t="shared" si="120"/>
        <v>18</v>
      </c>
      <c r="D211" s="52">
        <f t="shared" si="123"/>
        <v>128</v>
      </c>
      <c r="E211" s="26">
        <f t="shared" si="108"/>
        <v>10</v>
      </c>
      <c r="F211" s="26">
        <f t="shared" si="109"/>
        <v>5</v>
      </c>
      <c r="G211" s="26">
        <f t="shared" si="110"/>
        <v>3</v>
      </c>
      <c r="H211" s="26">
        <f t="shared" si="111"/>
        <v>1</v>
      </c>
      <c r="I211" s="27">
        <f t="shared" si="126"/>
        <v>10</v>
      </c>
      <c r="J211" s="27">
        <f t="shared" si="126"/>
        <v>5</v>
      </c>
      <c r="K211" s="27">
        <f t="shared" si="126"/>
        <v>3</v>
      </c>
      <c r="L211" s="27">
        <f t="shared" si="124"/>
        <v>1</v>
      </c>
      <c r="M211" s="28">
        <f t="shared" si="137"/>
        <v>3</v>
      </c>
      <c r="N211" s="29">
        <f t="shared" si="138"/>
        <v>6</v>
      </c>
      <c r="O211" s="28">
        <f t="shared" si="139"/>
        <v>1</v>
      </c>
      <c r="P211" s="28">
        <f t="shared" si="140"/>
        <v>1</v>
      </c>
      <c r="Q211" s="28">
        <f t="shared" si="112"/>
        <v>11</v>
      </c>
      <c r="R211" s="22">
        <f t="shared" si="113"/>
        <v>25.128955578666012</v>
      </c>
      <c r="S211" s="22">
        <f t="shared" si="114"/>
        <v>7.1600765834098024</v>
      </c>
      <c r="T211" s="22">
        <f t="shared" si="115"/>
        <v>1.8654172273187641</v>
      </c>
      <c r="U211" s="22">
        <f t="shared" si="116"/>
        <v>0</v>
      </c>
      <c r="V211" s="21">
        <f t="shared" si="131"/>
        <v>3.3828600000000182</v>
      </c>
      <c r="W211" s="21">
        <f t="shared" si="132"/>
        <v>2.0468916666666663</v>
      </c>
      <c r="X211" s="21">
        <f t="shared" si="121"/>
        <v>0.63910499999999981</v>
      </c>
      <c r="Y211" s="21">
        <f t="shared" si="122"/>
        <v>0</v>
      </c>
      <c r="Z211" s="221">
        <f t="shared" si="117"/>
        <v>3</v>
      </c>
      <c r="AA211" s="30">
        <f t="shared" si="104"/>
        <v>6.6854850690833461</v>
      </c>
      <c r="AB211" s="30">
        <f t="shared" si="105"/>
        <v>3.1482217793982699</v>
      </c>
      <c r="AC211" s="30">
        <f t="shared" si="106"/>
        <v>2.6269165545362472</v>
      </c>
      <c r="AD211" s="30">
        <f t="shared" si="107"/>
        <v>0</v>
      </c>
      <c r="AE211" s="32">
        <f t="shared" si="118"/>
        <v>12.460623403017863</v>
      </c>
      <c r="AF211" s="33">
        <f t="shared" si="125"/>
        <v>12.985327032917576</v>
      </c>
      <c r="AG211" s="40">
        <f t="shared" si="119"/>
        <v>15.334671025995272</v>
      </c>
      <c r="AH211" s="224">
        <f>AG211*$P$36</f>
        <v>1.2860981563219545</v>
      </c>
      <c r="AI211" s="226">
        <f>SUM(Z211,IF(Z211&lt;&gt;0,$F$34,0),IF(Z211&lt;&gt;0,$N$36,0),IF(Z211&lt;&gt;0,$T$36,0),IF(Z211=0,AH216,IF(Z211=1,AH217,IF(Z211=2,AH218,IF(Z211=3,AH219,IF(Z211=4,AH220,IF(Z211=5,AH221,IF(Z211=6,AH222,IF(Z211=7,AH223,IF(Z211=8,AH224,IF(Z211=9,AH225,IF(Z211=10,AH226,IF(Z211=11,AH227,IF(Z211=12,AH228,IF(Z211=13,AH229,IF(Z211=14,AH230,IF(Z211=15,AH231,IF(Z211=16,AH232,IF(Z211=17,AH233,IF(Z211=18,AH234,IF(Z211=19,AH235,IF(Z211=20,AH236,IF(Z211=21,AH237,IF(Z211=22,AH238,IF(Z211=23,AH239,IF(Z211=24,AH240,IF(Z211=25,AH241,IF(Z211=26,AH242,IF(Z211=27,AH243,IF(Z211=28,AH244,IF(Z211=29,AH245,IF(Z211=30,AH246))))))))))))))))))))))))))))))))</f>
        <v>25.809613684644695</v>
      </c>
      <c r="AJ211" s="253">
        <f>IF(V211&lt;&gt;0,SUM($F$34,V211,$N$36,MAX($AH$42:$AH$342),$T$36),0)</f>
        <v>32.974348610374463</v>
      </c>
      <c r="AK211" s="253">
        <f>IF(W211&lt;&gt;0,SUM($F$34,W211,$N$36,MAX($AH$42:$AH$342),$T$36),0)</f>
        <v>31.638380277041115</v>
      </c>
      <c r="AL211" s="253">
        <f>IF(X211&lt;&gt;0,SUM($F$34,X211,$N$36,MAX($AH$42:$AH$342),$T$36),0)</f>
        <v>30.230593610374449</v>
      </c>
      <c r="AM211" s="260">
        <f>IF(Y211&lt;&gt;0,SUM($F$34,Y211,$N$36,MAX($AH$42:$AH$342),$T$36),0)</f>
        <v>0</v>
      </c>
    </row>
    <row r="212" spans="1:39" x14ac:dyDescent="0.35">
      <c r="A212" s="259">
        <v>1550</v>
      </c>
      <c r="B212" s="58">
        <f>SUMIF([2]!Table2_23[ETA],'FIS Optimal Model (2)'!A212,[2]!Table2_23[FIS PAX])</f>
        <v>17</v>
      </c>
      <c r="C212" s="44">
        <f t="shared" si="120"/>
        <v>18</v>
      </c>
      <c r="D212" s="52">
        <f t="shared" si="123"/>
        <v>110</v>
      </c>
      <c r="E212" s="26">
        <f t="shared" si="108"/>
        <v>10</v>
      </c>
      <c r="F212" s="26">
        <f t="shared" si="109"/>
        <v>5</v>
      </c>
      <c r="G212" s="26">
        <f t="shared" si="110"/>
        <v>3</v>
      </c>
      <c r="H212" s="26">
        <f t="shared" si="111"/>
        <v>1</v>
      </c>
      <c r="I212" s="27">
        <f t="shared" si="126"/>
        <v>10</v>
      </c>
      <c r="J212" s="27">
        <f t="shared" si="126"/>
        <v>5</v>
      </c>
      <c r="K212" s="27">
        <f t="shared" si="126"/>
        <v>3</v>
      </c>
      <c r="L212" s="27">
        <f t="shared" si="124"/>
        <v>1</v>
      </c>
      <c r="M212" s="28">
        <f t="shared" si="137"/>
        <v>3</v>
      </c>
      <c r="N212" s="29">
        <f t="shared" si="138"/>
        <v>6</v>
      </c>
      <c r="O212" s="28">
        <f t="shared" si="139"/>
        <v>1</v>
      </c>
      <c r="P212" s="28">
        <f t="shared" si="140"/>
        <v>1</v>
      </c>
      <c r="Q212" s="28">
        <f t="shared" si="112"/>
        <v>11</v>
      </c>
      <c r="R212" s="22">
        <f t="shared" si="113"/>
        <v>28.443470509582667</v>
      </c>
      <c r="S212" s="22">
        <f t="shared" si="114"/>
        <v>8.4871511741118209</v>
      </c>
      <c r="T212" s="22">
        <f t="shared" si="115"/>
        <v>2.238500672782517</v>
      </c>
      <c r="U212" s="22">
        <f t="shared" si="116"/>
        <v>0</v>
      </c>
      <c r="V212" s="21">
        <f t="shared" si="131"/>
        <v>3.8290600000000183</v>
      </c>
      <c r="W212" s="21">
        <f t="shared" si="132"/>
        <v>2.4262699999999997</v>
      </c>
      <c r="X212" s="21">
        <f t="shared" si="121"/>
        <v>0.76692599999999977</v>
      </c>
      <c r="Y212" s="21">
        <f t="shared" si="122"/>
        <v>0</v>
      </c>
      <c r="Z212" s="221">
        <f t="shared" si="117"/>
        <v>3</v>
      </c>
      <c r="AA212" s="30">
        <f t="shared" si="104"/>
        <v>6.6854850690833461</v>
      </c>
      <c r="AB212" s="30">
        <f t="shared" si="105"/>
        <v>3.1482217793982699</v>
      </c>
      <c r="AC212" s="30">
        <f t="shared" si="106"/>
        <v>2.6269165545362472</v>
      </c>
      <c r="AD212" s="30">
        <f t="shared" si="107"/>
        <v>0</v>
      </c>
      <c r="AE212" s="32">
        <f t="shared" si="118"/>
        <v>12.460623403017863</v>
      </c>
      <c r="AF212" s="33">
        <f t="shared" si="125"/>
        <v>14.404976030810438</v>
      </c>
      <c r="AG212" s="40">
        <f t="shared" si="119"/>
        <v>17.816240627353928</v>
      </c>
      <c r="AH212" s="224">
        <f>AG212*$P$36</f>
        <v>1.4942240485358589</v>
      </c>
      <c r="AI212" s="226">
        <f>SUM(Z212,IF(Z212&lt;&gt;0,$F$34,0),IF(Z212&lt;&gt;0,$N$36,0),IF(Z212&lt;&gt;0,$T$36,0),IF(Z212=0,AH217,IF(Z212=1,AH218,IF(Z212=2,AH219,IF(Z212=3,AH220,IF(Z212=4,AH221,IF(Z212=5,AH222,IF(Z212=6,AH223,IF(Z212=7,AH224,IF(Z212=8,AH225,IF(Z212=9,AH226,IF(Z212=10,AH227,IF(Z212=11,AH228,IF(Z212=12,AH229,IF(Z212=13,AH230,IF(Z212=14,AH231,IF(Z212=15,AH232,IF(Z212=16,AH233,IF(Z212=17,AH234,IF(Z212=18,AH235,IF(Z212=19,AH236,IF(Z212=20,AH237,IF(Z212=21,AH238,IF(Z212=22,AH239,IF(Z212=23,AH240,IF(Z212=24,AH241,IF(Z212=25,AH242,IF(Z212=26,AH243,IF(Z212=27,AH244,IF(Z212=28,AH245,IF(Z212=29,AH246,IF(Z212=30,AH247))))))))))))))))))))))))))))))))</f>
        <v>25.854669346945958</v>
      </c>
      <c r="AJ212" s="253">
        <f>IF(V212&lt;&gt;0,SUM($F$34,V212,$N$36,MAX($AH$42:$AH$342),$T$36),0)</f>
        <v>33.420548610374468</v>
      </c>
      <c r="AK212" s="253">
        <f>IF(W212&lt;&gt;0,SUM($F$34,W212,$N$36,MAX($AH$42:$AH$342),$T$36),0)</f>
        <v>32.017758610374443</v>
      </c>
      <c r="AL212" s="253">
        <f>IF(X212&lt;&gt;0,SUM($F$34,X212,$N$36,MAX($AH$42:$AH$342),$T$36),0)</f>
        <v>30.358414610374446</v>
      </c>
      <c r="AM212" s="260">
        <f>IF(Y212&lt;&gt;0,SUM($F$34,Y212,$N$36,MAX($AH$42:$AH$342),$T$36),0)</f>
        <v>0</v>
      </c>
    </row>
    <row r="213" spans="1:39" x14ac:dyDescent="0.35">
      <c r="A213" s="259">
        <v>1551</v>
      </c>
      <c r="B213" s="58">
        <f>SUMIF([2]!Table2_23[ETA],'FIS Optimal Model (2)'!A213,[2]!Table2_23[FIS PAX])</f>
        <v>0</v>
      </c>
      <c r="C213" s="44">
        <f t="shared" si="120"/>
        <v>1</v>
      </c>
      <c r="D213" s="52">
        <f t="shared" si="123"/>
        <v>109</v>
      </c>
      <c r="E213" s="26">
        <f t="shared" si="108"/>
        <v>1</v>
      </c>
      <c r="F213" s="26">
        <f t="shared" si="109"/>
        <v>1</v>
      </c>
      <c r="G213" s="26">
        <f t="shared" si="110"/>
        <v>1</v>
      </c>
      <c r="H213" s="26">
        <f t="shared" si="111"/>
        <v>1</v>
      </c>
      <c r="I213" s="27">
        <f t="shared" si="126"/>
        <v>10</v>
      </c>
      <c r="J213" s="27">
        <f t="shared" si="126"/>
        <v>5</v>
      </c>
      <c r="K213" s="27">
        <f t="shared" si="126"/>
        <v>3</v>
      </c>
      <c r="L213" s="27">
        <f t="shared" si="124"/>
        <v>1</v>
      </c>
      <c r="M213" s="28">
        <f t="shared" si="137"/>
        <v>3</v>
      </c>
      <c r="N213" s="29">
        <f t="shared" si="138"/>
        <v>6</v>
      </c>
      <c r="O213" s="28">
        <f t="shared" si="139"/>
        <v>1</v>
      </c>
      <c r="P213" s="28">
        <f t="shared" si="140"/>
        <v>1</v>
      </c>
      <c r="Q213" s="28">
        <f t="shared" si="112"/>
        <v>11</v>
      </c>
      <c r="R213" s="22">
        <f t="shared" si="113"/>
        <v>31.757985440499322</v>
      </c>
      <c r="S213" s="22">
        <f t="shared" si="114"/>
        <v>9.8142257648138393</v>
      </c>
      <c r="T213" s="22">
        <f t="shared" si="115"/>
        <v>2.6115841182462698</v>
      </c>
      <c r="U213" s="22">
        <f t="shared" si="116"/>
        <v>0</v>
      </c>
      <c r="V213" s="21">
        <f t="shared" si="131"/>
        <v>4.275260000000018</v>
      </c>
      <c r="W213" s="21">
        <f t="shared" si="132"/>
        <v>2.8056483333333331</v>
      </c>
      <c r="X213" s="21">
        <f t="shared" si="121"/>
        <v>0.89474699999999974</v>
      </c>
      <c r="Y213" s="21">
        <f t="shared" si="122"/>
        <v>0</v>
      </c>
      <c r="Z213" s="221">
        <f t="shared" si="117"/>
        <v>4</v>
      </c>
      <c r="AA213" s="30">
        <f t="shared" si="104"/>
        <v>6.6854850690833461</v>
      </c>
      <c r="AB213" s="30">
        <f t="shared" si="105"/>
        <v>3.1482217793982699</v>
      </c>
      <c r="AC213" s="30">
        <f t="shared" si="106"/>
        <v>2.6269165545362472</v>
      </c>
      <c r="AD213" s="30">
        <f t="shared" si="107"/>
        <v>0</v>
      </c>
      <c r="AE213" s="32">
        <f t="shared" si="118"/>
        <v>12.460623403017863</v>
      </c>
      <c r="AF213" s="33">
        <f t="shared" si="125"/>
        <v>12.460623403017863</v>
      </c>
      <c r="AG213" s="40">
        <f t="shared" si="119"/>
        <v>18.353457600920009</v>
      </c>
      <c r="AH213" s="224">
        <f>AG213*$P$36</f>
        <v>1.5392797108371212</v>
      </c>
      <c r="AI213" s="226">
        <f>SUM(Z213,IF(Z213&lt;&gt;0,$F$34,0),IF(Z213&lt;&gt;0,$N$36,0),IF(Z213&lt;&gt;0,$T$36,0),IF(Z213=0,AH218,IF(Z213=1,AH219,IF(Z213=2,AH220,IF(Z213=3,AH221,IF(Z213=4,AH222,IF(Z213=5,AH223,IF(Z213=6,AH224,IF(Z213=7,AH225,IF(Z213=8,AH226,IF(Z213=9,AH227,IF(Z213=10,AH228,IF(Z213=11,AH229,IF(Z213=12,AH230,IF(Z213=13,AH231,IF(Z213=14,AH232,IF(Z213=15,AH233,IF(Z213=16,AH234,IF(Z213=17,AH235,IF(Z213=18,AH236,IF(Z213=19,AH237,IF(Z213=20,AH238,IF(Z213=21,AH239,IF(Z213=22,AH240,IF(Z213=23,AH241,IF(Z213=24,AH242,IF(Z213=25,AH243,IF(Z213=26,AH244,IF(Z213=27,AH245,IF(Z213=28,AH246,IF(Z213=29,AH247,IF(Z213=30,AH248))))))))))))))))))))))))))))))))</f>
        <v>26.944780671548486</v>
      </c>
      <c r="AJ213" s="253">
        <f>IF(V213&lt;&gt;0,SUM($F$34,V213,$N$36,MAX($AH$42:$AH$342),$T$36),0)</f>
        <v>33.866748610374465</v>
      </c>
      <c r="AK213" s="253">
        <f>IF(W213&lt;&gt;0,SUM($F$34,W213,$N$36,MAX($AH$42:$AH$342),$T$36),0)</f>
        <v>32.397136943707778</v>
      </c>
      <c r="AL213" s="253">
        <f>IF(X213&lt;&gt;0,SUM($F$34,X213,$N$36,MAX($AH$42:$AH$342),$T$36),0)</f>
        <v>30.486235610374447</v>
      </c>
      <c r="AM213" s="260">
        <f>IF(Y213&lt;&gt;0,SUM($F$34,Y213,$N$36,MAX($AH$42:$AH$342),$T$36),0)</f>
        <v>0</v>
      </c>
    </row>
    <row r="214" spans="1:39" x14ac:dyDescent="0.35">
      <c r="A214" s="259">
        <v>1552</v>
      </c>
      <c r="B214" s="58">
        <f>SUMIF([2]!Table2_23[ETA],'FIS Optimal Model (2)'!A214,[2]!Table2_23[FIS PAX])</f>
        <v>0</v>
      </c>
      <c r="C214" s="44">
        <f t="shared" si="120"/>
        <v>18</v>
      </c>
      <c r="D214" s="52">
        <f t="shared" si="123"/>
        <v>91</v>
      </c>
      <c r="E214" s="26">
        <f t="shared" si="108"/>
        <v>10</v>
      </c>
      <c r="F214" s="26">
        <f t="shared" si="109"/>
        <v>5</v>
      </c>
      <c r="G214" s="26">
        <f t="shared" si="110"/>
        <v>3</v>
      </c>
      <c r="H214" s="26">
        <f t="shared" si="111"/>
        <v>1</v>
      </c>
      <c r="I214" s="27">
        <f t="shared" si="126"/>
        <v>10</v>
      </c>
      <c r="J214" s="27">
        <f t="shared" si="126"/>
        <v>5</v>
      </c>
      <c r="K214" s="27">
        <f t="shared" si="126"/>
        <v>3</v>
      </c>
      <c r="L214" s="27">
        <f t="shared" si="124"/>
        <v>1</v>
      </c>
      <c r="M214" s="28">
        <f t="shared" si="137"/>
        <v>3</v>
      </c>
      <c r="N214" s="29">
        <f t="shared" si="138"/>
        <v>6</v>
      </c>
      <c r="O214" s="28">
        <f t="shared" si="139"/>
        <v>1</v>
      </c>
      <c r="P214" s="28">
        <f t="shared" si="140"/>
        <v>1</v>
      </c>
      <c r="Q214" s="28">
        <f t="shared" si="112"/>
        <v>11</v>
      </c>
      <c r="R214" s="22">
        <f t="shared" si="113"/>
        <v>35.072500371415977</v>
      </c>
      <c r="S214" s="22">
        <f t="shared" si="114"/>
        <v>11.141300355515858</v>
      </c>
      <c r="T214" s="22">
        <f t="shared" si="115"/>
        <v>2.9846675637100226</v>
      </c>
      <c r="U214" s="22">
        <f t="shared" si="116"/>
        <v>0</v>
      </c>
      <c r="V214" s="21">
        <f t="shared" si="131"/>
        <v>4.7214600000000182</v>
      </c>
      <c r="W214" s="21">
        <f t="shared" si="132"/>
        <v>3.1850266666666665</v>
      </c>
      <c r="X214" s="21">
        <f t="shared" si="121"/>
        <v>1.0225679999999997</v>
      </c>
      <c r="Y214" s="21">
        <f t="shared" si="122"/>
        <v>0</v>
      </c>
      <c r="Z214" s="221">
        <f t="shared" si="117"/>
        <v>4</v>
      </c>
      <c r="AA214" s="30">
        <f t="shared" si="104"/>
        <v>6.6854850690833461</v>
      </c>
      <c r="AB214" s="30">
        <f t="shared" si="105"/>
        <v>3.1482217793982699</v>
      </c>
      <c r="AC214" s="30">
        <f t="shared" si="106"/>
        <v>2.6269165545362472</v>
      </c>
      <c r="AD214" s="30">
        <f t="shared" si="107"/>
        <v>0</v>
      </c>
      <c r="AE214" s="32">
        <f t="shared" si="118"/>
        <v>12.460623403017863</v>
      </c>
      <c r="AF214" s="33">
        <f t="shared" si="125"/>
        <v>12.460623403017863</v>
      </c>
      <c r="AG214" s="40">
        <f t="shared" si="119"/>
        <v>18.890674574486091</v>
      </c>
      <c r="AH214" s="224">
        <f>AG214*$P$36</f>
        <v>1.5843353731383838</v>
      </c>
      <c r="AI214" s="226">
        <f>SUM(Z214,IF(Z214&lt;&gt;0,$F$34,0),IF(Z214&lt;&gt;0,$N$36,0),IF(Z214&lt;&gt;0,$T$36,0),IF(Z214=0,AH219,IF(Z214=1,AH220,IF(Z214=2,AH221,IF(Z214=3,AH222,IF(Z214=4,AH223,IF(Z214=5,AH224,IF(Z214=6,AH225,IF(Z214=7,AH226,IF(Z214=8,AH227,IF(Z214=9,AH228,IF(Z214=10,AH229,IF(Z214=11,AH230,IF(Z214=12,AH231,IF(Z214=13,AH232,IF(Z214=14,AH233,IF(Z214=15,AH234,IF(Z214=16,AH235,IF(Z214=17,AH236,IF(Z214=18,AH237,IF(Z214=19,AH238,IF(Z214=20,AH239,IF(Z214=21,AH240,IF(Z214=22,AH241,IF(Z214=23,AH242,IF(Z214=24,AH243,IF(Z214=25,AH244,IF(Z214=26,AH245,IF(Z214=27,AH246,IF(Z214=28,AH247,IF(Z214=29,AH248,IF(Z214=30,AH249))))))))))))))))))))))))))))))))</f>
        <v>26.989836333849748</v>
      </c>
      <c r="AJ214" s="253">
        <f>IF(V214&lt;&gt;0,SUM($F$34,V214,$N$36,MAX($AH$42:$AH$342),$T$36),0)</f>
        <v>34.312948610374463</v>
      </c>
      <c r="AK214" s="253">
        <f>IF(W214&lt;&gt;0,SUM($F$34,W214,$N$36,MAX($AH$42:$AH$342),$T$36),0)</f>
        <v>32.776515277041113</v>
      </c>
      <c r="AL214" s="253">
        <f>IF(X214&lt;&gt;0,SUM($F$34,X214,$N$36,MAX($AH$42:$AH$342),$T$36),0)</f>
        <v>30.614056610374448</v>
      </c>
      <c r="AM214" s="260">
        <f>IF(Y214&lt;&gt;0,SUM($F$34,Y214,$N$36,MAX($AH$42:$AH$342),$T$36),0)</f>
        <v>0</v>
      </c>
    </row>
    <row r="215" spans="1:39" x14ac:dyDescent="0.35">
      <c r="A215" s="259">
        <v>1553</v>
      </c>
      <c r="B215" s="58">
        <f>SUMIF([2]!Table2_23[ETA],'FIS Optimal Model (2)'!A215,[2]!Table2_23[FIS PAX])</f>
        <v>0</v>
      </c>
      <c r="C215" s="44">
        <f t="shared" si="120"/>
        <v>18</v>
      </c>
      <c r="D215" s="52">
        <f t="shared" si="123"/>
        <v>73</v>
      </c>
      <c r="E215" s="26">
        <f t="shared" si="108"/>
        <v>10</v>
      </c>
      <c r="F215" s="26">
        <f t="shared" si="109"/>
        <v>5</v>
      </c>
      <c r="G215" s="26">
        <f t="shared" si="110"/>
        <v>3</v>
      </c>
      <c r="H215" s="26">
        <f t="shared" si="111"/>
        <v>1</v>
      </c>
      <c r="I215" s="27">
        <f t="shared" si="126"/>
        <v>10</v>
      </c>
      <c r="J215" s="27">
        <f t="shared" si="126"/>
        <v>5</v>
      </c>
      <c r="K215" s="27">
        <f t="shared" si="126"/>
        <v>3</v>
      </c>
      <c r="L215" s="27">
        <f t="shared" si="124"/>
        <v>1</v>
      </c>
      <c r="M215" s="28">
        <f t="shared" si="137"/>
        <v>3</v>
      </c>
      <c r="N215" s="29">
        <f t="shared" si="138"/>
        <v>6</v>
      </c>
      <c r="O215" s="28">
        <f t="shared" si="139"/>
        <v>1</v>
      </c>
      <c r="P215" s="28">
        <f t="shared" si="140"/>
        <v>1</v>
      </c>
      <c r="Q215" s="28">
        <f t="shared" si="112"/>
        <v>11</v>
      </c>
      <c r="R215" s="22">
        <f t="shared" si="113"/>
        <v>38.387015302332628</v>
      </c>
      <c r="S215" s="22">
        <f t="shared" si="114"/>
        <v>12.468374946217876</v>
      </c>
      <c r="T215" s="22">
        <f t="shared" si="115"/>
        <v>3.3577510091737754</v>
      </c>
      <c r="U215" s="22">
        <f t="shared" si="116"/>
        <v>0</v>
      </c>
      <c r="V215" s="21">
        <f t="shared" si="131"/>
        <v>5.1676600000000183</v>
      </c>
      <c r="W215" s="21">
        <f t="shared" si="132"/>
        <v>3.5644049999999998</v>
      </c>
      <c r="X215" s="21">
        <f t="shared" si="121"/>
        <v>1.1503889999999997</v>
      </c>
      <c r="Y215" s="21">
        <f t="shared" si="122"/>
        <v>0</v>
      </c>
      <c r="Z215" s="221">
        <f t="shared" si="117"/>
        <v>4</v>
      </c>
      <c r="AA215" s="30">
        <f t="shared" si="104"/>
        <v>6.6854850690833461</v>
      </c>
      <c r="AB215" s="30">
        <f t="shared" si="105"/>
        <v>3.1482217793982699</v>
      </c>
      <c r="AC215" s="30">
        <f t="shared" si="106"/>
        <v>2.6269165545362472</v>
      </c>
      <c r="AD215" s="30">
        <f t="shared" si="107"/>
        <v>0</v>
      </c>
      <c r="AE215" s="32">
        <f t="shared" si="118"/>
        <v>12.460623403017863</v>
      </c>
      <c r="AF215" s="33">
        <f t="shared" si="125"/>
        <v>12.460623403017863</v>
      </c>
      <c r="AG215" s="40">
        <f t="shared" si="119"/>
        <v>19.427891548052173</v>
      </c>
      <c r="AH215" s="224">
        <f>AG215*$P$36</f>
        <v>1.6293910354396464</v>
      </c>
      <c r="AI215" s="226">
        <f>SUM(Z215,IF(Z215&lt;&gt;0,$F$34,0),IF(Z215&lt;&gt;0,$N$36,0),IF(Z215&lt;&gt;0,$T$36,0),IF(Z215=0,AH220,IF(Z215=1,AH221,IF(Z215=2,AH222,IF(Z215=3,AH223,IF(Z215=4,AH224,IF(Z215=5,AH225,IF(Z215=6,AH226,IF(Z215=7,AH227,IF(Z215=8,AH228,IF(Z215=9,AH229,IF(Z215=10,AH230,IF(Z215=11,AH231,IF(Z215=12,AH232,IF(Z215=13,AH233,IF(Z215=14,AH234,IF(Z215=15,AH235,IF(Z215=16,AH236,IF(Z215=17,AH237,IF(Z215=18,AH238,IF(Z215=19,AH239,IF(Z215=20,AH240,IF(Z215=21,AH241,IF(Z215=22,AH242,IF(Z215=23,AH243,IF(Z215=24,AH244,IF(Z215=25,AH245,IF(Z215=26,AH246,IF(Z215=27,AH247,IF(Z215=28,AH248,IF(Z215=29,AH249,IF(Z215=30,AH250))))))))))))))))))))))))))))))))</f>
        <v>27.034891996151011</v>
      </c>
      <c r="AJ215" s="253">
        <f>IF(V215&lt;&gt;0,SUM($F$34,V215,$N$36,MAX($AH$42:$AH$342),$T$36),0)</f>
        <v>34.759148610374467</v>
      </c>
      <c r="AK215" s="253">
        <f>IF(W215&lt;&gt;0,SUM($F$34,W215,$N$36,MAX($AH$42:$AH$342),$T$36),0)</f>
        <v>33.155893610374449</v>
      </c>
      <c r="AL215" s="253">
        <f>IF(X215&lt;&gt;0,SUM($F$34,X215,$N$36,MAX($AH$42:$AH$342),$T$36),0)</f>
        <v>30.741877610374448</v>
      </c>
      <c r="AM215" s="260">
        <f>IF(Y215&lt;&gt;0,SUM($F$34,Y215,$N$36,MAX($AH$42:$AH$342),$T$36),0)</f>
        <v>0</v>
      </c>
    </row>
    <row r="216" spans="1:39" x14ac:dyDescent="0.35">
      <c r="A216" s="259">
        <v>1554</v>
      </c>
      <c r="B216" s="58">
        <f>SUMIF([2]!Table2_23[ETA],'FIS Optimal Model (2)'!A216,[2]!Table2_23[FIS PAX])</f>
        <v>169</v>
      </c>
      <c r="C216" s="44">
        <f t="shared" si="120"/>
        <v>18</v>
      </c>
      <c r="D216" s="52">
        <f t="shared" si="123"/>
        <v>55</v>
      </c>
      <c r="E216" s="26">
        <f t="shared" si="108"/>
        <v>10</v>
      </c>
      <c r="F216" s="26">
        <f t="shared" si="109"/>
        <v>5</v>
      </c>
      <c r="G216" s="26">
        <f t="shared" si="110"/>
        <v>3</v>
      </c>
      <c r="H216" s="26">
        <f t="shared" si="111"/>
        <v>1</v>
      </c>
      <c r="I216" s="27">
        <f t="shared" si="126"/>
        <v>10</v>
      </c>
      <c r="J216" s="27">
        <f t="shared" si="126"/>
        <v>5</v>
      </c>
      <c r="K216" s="27">
        <f t="shared" si="126"/>
        <v>3</v>
      </c>
      <c r="L216" s="27">
        <f t="shared" si="124"/>
        <v>1</v>
      </c>
      <c r="M216" s="28">
        <f t="shared" si="137"/>
        <v>3</v>
      </c>
      <c r="N216" s="29">
        <f t="shared" si="138"/>
        <v>6</v>
      </c>
      <c r="O216" s="28">
        <f t="shared" si="139"/>
        <v>1</v>
      </c>
      <c r="P216" s="28">
        <f t="shared" si="140"/>
        <v>1</v>
      </c>
      <c r="Q216" s="28">
        <f t="shared" si="112"/>
        <v>11</v>
      </c>
      <c r="R216" s="22">
        <f t="shared" si="113"/>
        <v>41.701530233249287</v>
      </c>
      <c r="S216" s="22">
        <f t="shared" si="114"/>
        <v>13.795449536919895</v>
      </c>
      <c r="T216" s="22">
        <f t="shared" si="115"/>
        <v>3.7308344546375283</v>
      </c>
      <c r="U216" s="22">
        <f t="shared" si="116"/>
        <v>0</v>
      </c>
      <c r="V216" s="21">
        <f t="shared" si="131"/>
        <v>5.6138600000000185</v>
      </c>
      <c r="W216" s="21">
        <f t="shared" si="132"/>
        <v>3.9437833333333332</v>
      </c>
      <c r="X216" s="21">
        <f t="shared" si="121"/>
        <v>1.2782099999999996</v>
      </c>
      <c r="Y216" s="21">
        <f t="shared" si="122"/>
        <v>0</v>
      </c>
      <c r="Z216" s="221">
        <f t="shared" si="117"/>
        <v>5</v>
      </c>
      <c r="AA216" s="30">
        <f t="shared" si="104"/>
        <v>6.6854850690833461</v>
      </c>
      <c r="AB216" s="30">
        <f t="shared" si="105"/>
        <v>3.1482217793982699</v>
      </c>
      <c r="AC216" s="30">
        <f t="shared" si="106"/>
        <v>2.6269165545362472</v>
      </c>
      <c r="AD216" s="30">
        <f t="shared" si="107"/>
        <v>0</v>
      </c>
      <c r="AE216" s="32">
        <f t="shared" si="118"/>
        <v>12.460623403017863</v>
      </c>
      <c r="AF216" s="33">
        <f t="shared" si="125"/>
        <v>12.460623403017863</v>
      </c>
      <c r="AG216" s="40">
        <f t="shared" si="119"/>
        <v>19.965108521618255</v>
      </c>
      <c r="AH216" s="224">
        <f>AG216*$P$36</f>
        <v>1.6744466977409089</v>
      </c>
      <c r="AI216" s="226">
        <f>SUM(Z216,IF(Z216&lt;&gt;0,$F$34,0),IF(Z216&lt;&gt;0,$N$36,0),IF(Z216&lt;&gt;0,$T$36,0),IF(Z216=0,AH221,IF(Z216=1,AH222,IF(Z216=2,AH223,IF(Z216=3,AH224,IF(Z216=4,AH225,IF(Z216=5,AH226,IF(Z216=6,AH227,IF(Z216=7,AH228,IF(Z216=8,AH229,IF(Z216=9,AH230,IF(Z216=10,AH231,IF(Z216=11,AH232,IF(Z216=12,AH233,IF(Z216=13,AH234,IF(Z216=14,AH235,IF(Z216=15,AH236,IF(Z216=16,AH237,IF(Z216=17,AH238,IF(Z216=18,AH239,IF(Z216=19,AH240,IF(Z216=20,AH241,IF(Z216=21,AH242,IF(Z216=22,AH243,IF(Z216=23,AH244,IF(Z216=24,AH245,IF(Z216=25,AH246,IF(Z216=26,AH247,IF(Z216=27,AH248,IF(Z216=28,AH249,IF(Z216=29,AH250,IF(Z216=30,AH251))))))))))))))))))))))))))))))))</f>
        <v>28.125003320753535</v>
      </c>
      <c r="AJ216" s="253">
        <f>IF(V216&lt;&gt;0,SUM($F$34,V216,$N$36,MAX($AH$42:$AH$342),$T$36),0)</f>
        <v>35.205348610374465</v>
      </c>
      <c r="AK216" s="253">
        <f>IF(W216&lt;&gt;0,SUM($F$34,W216,$N$36,MAX($AH$42:$AH$342),$T$36),0)</f>
        <v>33.535271943707784</v>
      </c>
      <c r="AL216" s="253">
        <f>IF(X216&lt;&gt;0,SUM($F$34,X216,$N$36,MAX($AH$42:$AH$342),$T$36),0)</f>
        <v>30.869698610374449</v>
      </c>
      <c r="AM216" s="260">
        <f>IF(Y216&lt;&gt;0,SUM($F$34,Y216,$N$36,MAX($AH$42:$AH$342),$T$36),0)</f>
        <v>0</v>
      </c>
    </row>
    <row r="217" spans="1:39" x14ac:dyDescent="0.35">
      <c r="A217" s="259">
        <v>1555</v>
      </c>
      <c r="B217" s="58">
        <f>SUMIF([2]!Table2_23[ETA],'FIS Optimal Model (2)'!A217,[2]!Table2_23[FIS PAX])</f>
        <v>0</v>
      </c>
      <c r="C217" s="44">
        <f t="shared" si="120"/>
        <v>18</v>
      </c>
      <c r="D217" s="52">
        <f t="shared" si="123"/>
        <v>206</v>
      </c>
      <c r="E217" s="26">
        <f t="shared" si="108"/>
        <v>10</v>
      </c>
      <c r="F217" s="26">
        <f t="shared" si="109"/>
        <v>5</v>
      </c>
      <c r="G217" s="26">
        <f t="shared" si="110"/>
        <v>3</v>
      </c>
      <c r="H217" s="26">
        <f t="shared" si="111"/>
        <v>1</v>
      </c>
      <c r="I217" s="27">
        <f t="shared" si="126"/>
        <v>10</v>
      </c>
      <c r="J217" s="27">
        <f t="shared" si="126"/>
        <v>5</v>
      </c>
      <c r="K217" s="27">
        <f t="shared" si="126"/>
        <v>3</v>
      </c>
      <c r="L217" s="27">
        <f t="shared" si="124"/>
        <v>1</v>
      </c>
      <c r="M217" s="28">
        <f t="shared" si="137"/>
        <v>3</v>
      </c>
      <c r="N217" s="29">
        <f t="shared" si="138"/>
        <v>6</v>
      </c>
      <c r="O217" s="28">
        <f t="shared" si="139"/>
        <v>1</v>
      </c>
      <c r="P217" s="28">
        <f t="shared" si="140"/>
        <v>1</v>
      </c>
      <c r="Q217" s="28">
        <f t="shared" si="112"/>
        <v>11</v>
      </c>
      <c r="R217" s="22">
        <f t="shared" si="113"/>
        <v>45.016045164165938</v>
      </c>
      <c r="S217" s="22">
        <f t="shared" si="114"/>
        <v>15.122524127621913</v>
      </c>
      <c r="T217" s="22">
        <f t="shared" si="115"/>
        <v>4.1039179001012815</v>
      </c>
      <c r="U217" s="22">
        <f t="shared" si="116"/>
        <v>0</v>
      </c>
      <c r="V217" s="21">
        <f t="shared" si="131"/>
        <v>6.0600600000000178</v>
      </c>
      <c r="W217" s="21">
        <f t="shared" si="132"/>
        <v>4.3231616666666666</v>
      </c>
      <c r="X217" s="21">
        <f t="shared" si="121"/>
        <v>1.4060309999999998</v>
      </c>
      <c r="Y217" s="21">
        <f t="shared" si="122"/>
        <v>0</v>
      </c>
      <c r="Z217" s="221">
        <f t="shared" si="117"/>
        <v>5</v>
      </c>
      <c r="AA217" s="30">
        <f t="shared" si="104"/>
        <v>6.6854850690833461</v>
      </c>
      <c r="AB217" s="30">
        <f t="shared" si="105"/>
        <v>3.1482217793982699</v>
      </c>
      <c r="AC217" s="30">
        <f t="shared" si="106"/>
        <v>2.6269165545362472</v>
      </c>
      <c r="AD217" s="30">
        <f t="shared" si="107"/>
        <v>0</v>
      </c>
      <c r="AE217" s="32">
        <f t="shared" si="118"/>
        <v>12.460623403017863</v>
      </c>
      <c r="AF217" s="33">
        <f t="shared" si="125"/>
        <v>12.460623403017863</v>
      </c>
      <c r="AG217" s="40">
        <f t="shared" si="119"/>
        <v>20.502325495184337</v>
      </c>
      <c r="AH217" s="224">
        <f>AG217*$P$36</f>
        <v>1.7195023600421715</v>
      </c>
      <c r="AI217" s="226">
        <f>SUM(Z217,IF(Z217&lt;&gt;0,$F$34,0),IF(Z217&lt;&gt;0,$N$36,0),IF(Z217&lt;&gt;0,$T$36,0),IF(Z217=0,AH222,IF(Z217=1,AH223,IF(Z217=2,AH224,IF(Z217=3,AH225,IF(Z217=4,AH226,IF(Z217=5,AH227,IF(Z217=6,AH228,IF(Z217=7,AH229,IF(Z217=8,AH230,IF(Z217=9,AH231,IF(Z217=10,AH232,IF(Z217=11,AH233,IF(Z217=12,AH234,IF(Z217=13,AH235,IF(Z217=14,AH236,IF(Z217=15,AH237,IF(Z217=16,AH238,IF(Z217=17,AH239,IF(Z217=18,AH240,IF(Z217=19,AH241,IF(Z217=20,AH242,IF(Z217=21,AH243,IF(Z217=22,AH244,IF(Z217=23,AH245,IF(Z217=24,AH246,IF(Z217=25,AH247,IF(Z217=26,AH248,IF(Z217=27,AH249,IF(Z217=28,AH250,IF(Z217=29,AH251,IF(Z217=30,AH252))))))))))))))))))))))))))))))))</f>
        <v>28.214065168116445</v>
      </c>
      <c r="AJ217" s="253">
        <f>IF(V217&lt;&gt;0,SUM($F$34,V217,$N$36,MAX($AH$42:$AH$342),$T$36),0)</f>
        <v>35.651548610374462</v>
      </c>
      <c r="AK217" s="253">
        <f>IF(W217&lt;&gt;0,SUM($F$34,W217,$N$36,MAX($AH$42:$AH$342),$T$36),0)</f>
        <v>33.914650277041119</v>
      </c>
      <c r="AL217" s="253">
        <f>IF(X217&lt;&gt;0,SUM($F$34,X217,$N$36,MAX($AH$42:$AH$342),$T$36),0)</f>
        <v>30.997519610374447</v>
      </c>
      <c r="AM217" s="260">
        <f>IF(Y217&lt;&gt;0,SUM($F$34,Y217,$N$36,MAX($AH$42:$AH$342),$T$36),0)</f>
        <v>0</v>
      </c>
    </row>
    <row r="218" spans="1:39" x14ac:dyDescent="0.35">
      <c r="A218" s="259">
        <v>1556</v>
      </c>
      <c r="B218" s="58">
        <f>SUMIF([2]!Table2_23[ETA],'FIS Optimal Model (2)'!A218,[2]!Table2_23[FIS PAX])</f>
        <v>148</v>
      </c>
      <c r="C218" s="44">
        <f t="shared" si="120"/>
        <v>18</v>
      </c>
      <c r="D218" s="52">
        <f t="shared" si="123"/>
        <v>188</v>
      </c>
      <c r="E218" s="26">
        <f t="shared" si="108"/>
        <v>10</v>
      </c>
      <c r="F218" s="26">
        <f t="shared" si="109"/>
        <v>5</v>
      </c>
      <c r="G218" s="26">
        <f t="shared" si="110"/>
        <v>3</v>
      </c>
      <c r="H218" s="26">
        <f t="shared" si="111"/>
        <v>1</v>
      </c>
      <c r="I218" s="27">
        <f t="shared" si="126"/>
        <v>1</v>
      </c>
      <c r="J218" s="27">
        <f t="shared" si="126"/>
        <v>1</v>
      </c>
      <c r="K218" s="27">
        <f t="shared" si="126"/>
        <v>1</v>
      </c>
      <c r="L218" s="27">
        <f t="shared" si="124"/>
        <v>1</v>
      </c>
      <c r="M218" s="28">
        <f t="shared" si="137"/>
        <v>3</v>
      </c>
      <c r="N218" s="29">
        <f t="shared" si="138"/>
        <v>6</v>
      </c>
      <c r="O218" s="28">
        <f t="shared" si="139"/>
        <v>1</v>
      </c>
      <c r="P218" s="28">
        <f t="shared" si="140"/>
        <v>1</v>
      </c>
      <c r="Q218" s="28">
        <f t="shared" si="112"/>
        <v>11</v>
      </c>
      <c r="R218" s="22">
        <f t="shared" si="113"/>
        <v>39.330560095082589</v>
      </c>
      <c r="S218" s="22">
        <f t="shared" si="114"/>
        <v>12.449598718323932</v>
      </c>
      <c r="T218" s="22">
        <f t="shared" si="115"/>
        <v>2.4770013455650344</v>
      </c>
      <c r="U218" s="22">
        <f t="shared" si="116"/>
        <v>0</v>
      </c>
      <c r="V218" s="21">
        <f t="shared" si="131"/>
        <v>5.2946800000000174</v>
      </c>
      <c r="W218" s="21">
        <f t="shared" si="132"/>
        <v>3.5590373333333334</v>
      </c>
      <c r="X218" s="21">
        <f t="shared" si="121"/>
        <v>0.84863799999999967</v>
      </c>
      <c r="Y218" s="21">
        <f t="shared" si="122"/>
        <v>0</v>
      </c>
      <c r="Z218" s="221">
        <f t="shared" si="117"/>
        <v>4</v>
      </c>
      <c r="AA218" s="30">
        <f t="shared" si="104"/>
        <v>6.6854850690833461</v>
      </c>
      <c r="AB218" s="30">
        <f t="shared" si="105"/>
        <v>3.1482217793982699</v>
      </c>
      <c r="AC218" s="30">
        <f t="shared" si="106"/>
        <v>2.6269165545362472</v>
      </c>
      <c r="AD218" s="30">
        <f t="shared" si="107"/>
        <v>0</v>
      </c>
      <c r="AE218" s="32">
        <f t="shared" si="118"/>
        <v>12.460623403017863</v>
      </c>
      <c r="AF218" s="33">
        <f t="shared" si="125"/>
        <v>12.460623403017863</v>
      </c>
      <c r="AG218" s="40">
        <f t="shared" si="119"/>
        <v>21.039542468750419</v>
      </c>
      <c r="AH218" s="224">
        <f>AG218*$P$36</f>
        <v>1.7645580223434341</v>
      </c>
      <c r="AI218" s="226">
        <f>SUM(Z218,IF(Z218&lt;&gt;0,$F$34,0),IF(Z218&lt;&gt;0,$N$36,0),IF(Z218&lt;&gt;0,$T$36,0),IF(Z218=0,AH223,IF(Z218=1,AH224,IF(Z218=2,AH225,IF(Z218=3,AH226,IF(Z218=4,AH227,IF(Z218=5,AH228,IF(Z218=6,AH229,IF(Z218=7,AH230,IF(Z218=8,AH231,IF(Z218=9,AH232,IF(Z218=10,AH233,IF(Z218=11,AH234,IF(Z218=12,AH235,IF(Z218=13,AH236,IF(Z218=14,AH237,IF(Z218=15,AH238,IF(Z218=16,AH239,IF(Z218=17,AH240,IF(Z218=18,AH241,IF(Z218=19,AH242,IF(Z218=20,AH243,IF(Z218=21,AH244,IF(Z218=22,AH245,IF(Z218=23,AH246,IF(Z218=24,AH247,IF(Z218=25,AH248,IF(Z218=26,AH249,IF(Z218=27,AH250,IF(Z218=28,AH251,IF(Z218=29,AH252,IF(Z218=30,AH253))))))))))))))))))))))))))))))))</f>
        <v>27.214065168116445</v>
      </c>
      <c r="AJ218" s="253">
        <f>IF(V218&lt;&gt;0,SUM($F$34,V218,$N$36,MAX($AH$42:$AH$342),$T$36),0)</f>
        <v>34.886168610374469</v>
      </c>
      <c r="AK218" s="253">
        <f>IF(W218&lt;&gt;0,SUM($F$34,W218,$N$36,MAX($AH$42:$AH$342),$T$36),0)</f>
        <v>33.150525943707777</v>
      </c>
      <c r="AL218" s="253">
        <f>IF(X218&lt;&gt;0,SUM($F$34,X218,$N$36,MAX($AH$42:$AH$342),$T$36),0)</f>
        <v>30.440126610374449</v>
      </c>
      <c r="AM218" s="260">
        <f>IF(Y218&lt;&gt;0,SUM($F$34,Y218,$N$36,MAX($AH$42:$AH$342),$T$36),0)</f>
        <v>0</v>
      </c>
    </row>
    <row r="219" spans="1:39" x14ac:dyDescent="0.35">
      <c r="A219" s="259">
        <v>1557</v>
      </c>
      <c r="B219" s="58">
        <f>SUMIF([2]!Table2_23[ETA],'FIS Optimal Model (2)'!A219,[2]!Table2_23[FIS PAX])</f>
        <v>0</v>
      </c>
      <c r="C219" s="44">
        <f t="shared" si="120"/>
        <v>18</v>
      </c>
      <c r="D219" s="52">
        <f t="shared" si="123"/>
        <v>318</v>
      </c>
      <c r="E219" s="26">
        <f t="shared" si="108"/>
        <v>10</v>
      </c>
      <c r="F219" s="26">
        <f t="shared" si="109"/>
        <v>5</v>
      </c>
      <c r="G219" s="26">
        <f t="shared" si="110"/>
        <v>3</v>
      </c>
      <c r="H219" s="26">
        <f t="shared" si="111"/>
        <v>1</v>
      </c>
      <c r="I219" s="27">
        <f t="shared" si="126"/>
        <v>10</v>
      </c>
      <c r="J219" s="27">
        <f t="shared" si="126"/>
        <v>5</v>
      </c>
      <c r="K219" s="27">
        <f t="shared" si="126"/>
        <v>3</v>
      </c>
      <c r="L219" s="27">
        <f t="shared" si="124"/>
        <v>1</v>
      </c>
      <c r="M219" s="28">
        <f t="shared" si="137"/>
        <v>3</v>
      </c>
      <c r="N219" s="29">
        <f t="shared" si="138"/>
        <v>6</v>
      </c>
      <c r="O219" s="28">
        <f t="shared" si="139"/>
        <v>1</v>
      </c>
      <c r="P219" s="28">
        <f t="shared" si="140"/>
        <v>1</v>
      </c>
      <c r="Q219" s="28">
        <f t="shared" si="112"/>
        <v>11</v>
      </c>
      <c r="R219" s="22">
        <f t="shared" si="113"/>
        <v>42.64507502599924</v>
      </c>
      <c r="S219" s="22">
        <f t="shared" si="114"/>
        <v>13.77667330902595</v>
      </c>
      <c r="T219" s="22">
        <f t="shared" si="115"/>
        <v>2.8500847910287872</v>
      </c>
      <c r="U219" s="22">
        <f t="shared" si="116"/>
        <v>0</v>
      </c>
      <c r="V219" s="21">
        <f t="shared" si="131"/>
        <v>5.7408800000000175</v>
      </c>
      <c r="W219" s="21">
        <f t="shared" si="132"/>
        <v>3.9384156666666668</v>
      </c>
      <c r="X219" s="21">
        <f t="shared" si="121"/>
        <v>0.97645899999999963</v>
      </c>
      <c r="Y219" s="21">
        <f t="shared" si="122"/>
        <v>0</v>
      </c>
      <c r="Z219" s="221">
        <f t="shared" si="117"/>
        <v>5</v>
      </c>
      <c r="AA219" s="30">
        <f t="shared" si="104"/>
        <v>6.6854850690833461</v>
      </c>
      <c r="AB219" s="30">
        <f t="shared" si="105"/>
        <v>3.1482217793982699</v>
      </c>
      <c r="AC219" s="30">
        <f t="shared" si="106"/>
        <v>2.6269165545362472</v>
      </c>
      <c r="AD219" s="30">
        <f t="shared" si="107"/>
        <v>0</v>
      </c>
      <c r="AE219" s="32">
        <f t="shared" si="118"/>
        <v>12.460623403017863</v>
      </c>
      <c r="AF219" s="33">
        <f t="shared" si="125"/>
        <v>12.460623403017863</v>
      </c>
      <c r="AG219" s="40">
        <f t="shared" si="119"/>
        <v>21.576759442316501</v>
      </c>
      <c r="AH219" s="224">
        <f>AG219*$P$36</f>
        <v>1.8096136846446966</v>
      </c>
      <c r="AI219" s="226">
        <f>SUM(Z219,IF(Z219&lt;&gt;0,$F$34,0),IF(Z219&lt;&gt;0,$N$36,0),IF(Z219&lt;&gt;0,$T$36,0),IF(Z219=0,AH224,IF(Z219=1,AH225,IF(Z219=2,AH226,IF(Z219=3,AH227,IF(Z219=4,AH228,IF(Z219=5,AH229,IF(Z219=6,AH230,IF(Z219=7,AH231,IF(Z219=8,AH232,IF(Z219=9,AH233,IF(Z219=10,AH234,IF(Z219=11,AH235,IF(Z219=12,AH236,IF(Z219=13,AH237,IF(Z219=14,AH238,IF(Z219=15,AH239,IF(Z219=16,AH240,IF(Z219=17,AH241,IF(Z219=18,AH242,IF(Z219=19,AH243,IF(Z219=20,AH244,IF(Z219=21,AH245,IF(Z219=22,AH246,IF(Z219=23,AH247,IF(Z219=24,AH248,IF(Z219=25,AH249,IF(Z219=26,AH250,IF(Z219=27,AH251,IF(Z219=28,AH252,IF(Z219=29,AH253,IF(Z219=30,AH254))))))))))))))))))))))))))))))))</f>
        <v>28.392188862842268</v>
      </c>
      <c r="AJ219" s="253">
        <f>IF(V219&lt;&gt;0,SUM($F$34,V219,$N$36,MAX($AH$42:$AH$342),$T$36),0)</f>
        <v>35.332368610374466</v>
      </c>
      <c r="AK219" s="253">
        <f>IF(W219&lt;&gt;0,SUM($F$34,W219,$N$36,MAX($AH$42:$AH$342),$T$36),0)</f>
        <v>33.529904277041112</v>
      </c>
      <c r="AL219" s="253">
        <f>IF(X219&lt;&gt;0,SUM($F$34,X219,$N$36,MAX($AH$42:$AH$342),$T$36),0)</f>
        <v>30.567947610374446</v>
      </c>
      <c r="AM219" s="260">
        <f>IF(Y219&lt;&gt;0,SUM($F$34,Y219,$N$36,MAX($AH$42:$AH$342),$T$36),0)</f>
        <v>0</v>
      </c>
    </row>
    <row r="220" spans="1:39" x14ac:dyDescent="0.35">
      <c r="A220" s="259">
        <v>1558</v>
      </c>
      <c r="B220" s="58">
        <f>SUMIF([2]!Table2_23[ETA],'FIS Optimal Model (2)'!A220,[2]!Table2_23[FIS PAX])</f>
        <v>0</v>
      </c>
      <c r="C220" s="44">
        <f t="shared" si="120"/>
        <v>18</v>
      </c>
      <c r="D220" s="52">
        <f t="shared" si="123"/>
        <v>300</v>
      </c>
      <c r="E220" s="26">
        <f t="shared" si="108"/>
        <v>10</v>
      </c>
      <c r="F220" s="26">
        <f t="shared" si="109"/>
        <v>5</v>
      </c>
      <c r="G220" s="26">
        <f t="shared" si="110"/>
        <v>3</v>
      </c>
      <c r="H220" s="26">
        <f t="shared" si="111"/>
        <v>1</v>
      </c>
      <c r="I220" s="27">
        <f t="shared" si="126"/>
        <v>10</v>
      </c>
      <c r="J220" s="27">
        <f t="shared" si="126"/>
        <v>5</v>
      </c>
      <c r="K220" s="27">
        <f t="shared" si="126"/>
        <v>3</v>
      </c>
      <c r="L220" s="27">
        <f t="shared" si="124"/>
        <v>1</v>
      </c>
      <c r="M220" s="28">
        <f t="shared" si="137"/>
        <v>3</v>
      </c>
      <c r="N220" s="29">
        <f t="shared" si="138"/>
        <v>6</v>
      </c>
      <c r="O220" s="28">
        <f t="shared" si="139"/>
        <v>1</v>
      </c>
      <c r="P220" s="28">
        <f t="shared" si="140"/>
        <v>1</v>
      </c>
      <c r="Q220" s="28">
        <f t="shared" si="112"/>
        <v>11</v>
      </c>
      <c r="R220" s="22">
        <f t="shared" si="113"/>
        <v>45.959589956915892</v>
      </c>
      <c r="S220" s="22">
        <f t="shared" si="114"/>
        <v>15.103747899727969</v>
      </c>
      <c r="T220" s="22">
        <f t="shared" si="115"/>
        <v>3.22316823649254</v>
      </c>
      <c r="U220" s="22">
        <f t="shared" si="116"/>
        <v>0</v>
      </c>
      <c r="V220" s="21">
        <f t="shared" si="131"/>
        <v>6.1870800000000168</v>
      </c>
      <c r="W220" s="21">
        <f t="shared" si="132"/>
        <v>4.3177940000000001</v>
      </c>
      <c r="X220" s="21">
        <f t="shared" si="121"/>
        <v>1.1042799999999997</v>
      </c>
      <c r="Y220" s="21">
        <f t="shared" si="122"/>
        <v>0</v>
      </c>
      <c r="Z220" s="221">
        <f t="shared" si="117"/>
        <v>5</v>
      </c>
      <c r="AA220" s="30">
        <f t="shared" si="104"/>
        <v>6.6854850690833461</v>
      </c>
      <c r="AB220" s="30">
        <f t="shared" si="105"/>
        <v>3.1482217793982699</v>
      </c>
      <c r="AC220" s="30">
        <f t="shared" si="106"/>
        <v>2.6269165545362472</v>
      </c>
      <c r="AD220" s="30">
        <f t="shared" si="107"/>
        <v>0</v>
      </c>
      <c r="AE220" s="32">
        <f t="shared" si="118"/>
        <v>12.460623403017863</v>
      </c>
      <c r="AF220" s="33">
        <f t="shared" si="125"/>
        <v>12.460623403017863</v>
      </c>
      <c r="AG220" s="40">
        <f t="shared" si="119"/>
        <v>22.113976415882583</v>
      </c>
      <c r="AH220" s="224">
        <f>AG220*$P$36</f>
        <v>1.854669346945959</v>
      </c>
      <c r="AI220" s="226">
        <f>SUM(Z220,IF(Z220&lt;&gt;0,$F$34,0),IF(Z220&lt;&gt;0,$N$36,0),IF(Z220&lt;&gt;0,$T$36,0),IF(Z220=0,AH225,IF(Z220=1,AH226,IF(Z220=2,AH227,IF(Z220=3,AH228,IF(Z220=4,AH229,IF(Z220=5,AH230,IF(Z220=6,AH231,IF(Z220=7,AH232,IF(Z220=8,AH233,IF(Z220=9,AH234,IF(Z220=10,AH235,IF(Z220=11,AH236,IF(Z220=12,AH237,IF(Z220=13,AH238,IF(Z220=14,AH239,IF(Z220=15,AH240,IF(Z220=16,AH241,IF(Z220=17,AH242,IF(Z220=18,AH243,IF(Z220=19,AH244,IF(Z220=20,AH245,IF(Z220=21,AH246,IF(Z220=22,AH247,IF(Z220=23,AH248,IF(Z220=24,AH249,IF(Z220=25,AH250,IF(Z220=26,AH251,IF(Z220=27,AH252,IF(Z220=28,AH253,IF(Z220=29,AH254,IF(Z220=30,AH255))))))))))))))))))))))))))))))))</f>
        <v>28.481250710205181</v>
      </c>
      <c r="AJ220" s="253">
        <f>IF(V220&lt;&gt;0,SUM($F$34,V220,$N$36,MAX($AH$42:$AH$342),$T$36),0)</f>
        <v>35.778568610374464</v>
      </c>
      <c r="AK220" s="253">
        <f>IF(W220&lt;&gt;0,SUM($F$34,W220,$N$36,MAX($AH$42:$AH$342),$T$36),0)</f>
        <v>33.909282610374447</v>
      </c>
      <c r="AL220" s="253">
        <f>IF(X220&lt;&gt;0,SUM($F$34,X220,$N$36,MAX($AH$42:$AH$342),$T$36),0)</f>
        <v>30.695768610374447</v>
      </c>
      <c r="AM220" s="260">
        <f>IF(Y220&lt;&gt;0,SUM($F$34,Y220,$N$36,MAX($AH$42:$AH$342),$T$36),0)</f>
        <v>0</v>
      </c>
    </row>
    <row r="221" spans="1:39" x14ac:dyDescent="0.35">
      <c r="A221" s="259">
        <v>1559</v>
      </c>
      <c r="B221" s="58">
        <f>SUMIF([2]!Table2_23[ETA],'FIS Optimal Model (2)'!A221,[2]!Table2_23[FIS PAX])</f>
        <v>52</v>
      </c>
      <c r="C221" s="44">
        <f t="shared" si="120"/>
        <v>18</v>
      </c>
      <c r="D221" s="52">
        <f t="shared" si="123"/>
        <v>282</v>
      </c>
      <c r="E221" s="26">
        <f t="shared" si="108"/>
        <v>10</v>
      </c>
      <c r="F221" s="26">
        <f t="shared" si="109"/>
        <v>5</v>
      </c>
      <c r="G221" s="26">
        <f t="shared" si="110"/>
        <v>3</v>
      </c>
      <c r="H221" s="26">
        <f t="shared" si="111"/>
        <v>1</v>
      </c>
      <c r="I221" s="27">
        <f t="shared" si="126"/>
        <v>10</v>
      </c>
      <c r="J221" s="27">
        <f t="shared" si="126"/>
        <v>5</v>
      </c>
      <c r="K221" s="27">
        <f t="shared" si="126"/>
        <v>3</v>
      </c>
      <c r="L221" s="27">
        <f t="shared" si="124"/>
        <v>1</v>
      </c>
      <c r="M221" s="28">
        <f t="shared" si="137"/>
        <v>3</v>
      </c>
      <c r="N221" s="29">
        <f t="shared" si="138"/>
        <v>6</v>
      </c>
      <c r="O221" s="28">
        <f t="shared" si="139"/>
        <v>1</v>
      </c>
      <c r="P221" s="28">
        <f t="shared" si="140"/>
        <v>1</v>
      </c>
      <c r="Q221" s="28">
        <f t="shared" si="112"/>
        <v>11</v>
      </c>
      <c r="R221" s="22">
        <f t="shared" si="113"/>
        <v>49.274104887832543</v>
      </c>
      <c r="S221" s="22">
        <f t="shared" si="114"/>
        <v>16.430822490429989</v>
      </c>
      <c r="T221" s="22">
        <f t="shared" si="115"/>
        <v>3.5962516819562929</v>
      </c>
      <c r="U221" s="22">
        <f t="shared" si="116"/>
        <v>0</v>
      </c>
      <c r="V221" s="21">
        <f t="shared" si="131"/>
        <v>6.6332800000000161</v>
      </c>
      <c r="W221" s="21">
        <f t="shared" si="132"/>
        <v>4.6971723333333335</v>
      </c>
      <c r="X221" s="21">
        <f t="shared" si="121"/>
        <v>1.2321009999999997</v>
      </c>
      <c r="Y221" s="21">
        <f t="shared" si="122"/>
        <v>0</v>
      </c>
      <c r="Z221" s="221">
        <f t="shared" si="117"/>
        <v>5</v>
      </c>
      <c r="AA221" s="30">
        <f t="shared" si="104"/>
        <v>6.6854850690833461</v>
      </c>
      <c r="AB221" s="30">
        <f t="shared" si="105"/>
        <v>3.1482217793982699</v>
      </c>
      <c r="AC221" s="30">
        <f t="shared" si="106"/>
        <v>2.6269165545362472</v>
      </c>
      <c r="AD221" s="30">
        <f t="shared" si="107"/>
        <v>0</v>
      </c>
      <c r="AE221" s="32">
        <f t="shared" si="118"/>
        <v>12.460623403017863</v>
      </c>
      <c r="AF221" s="33">
        <f t="shared" si="125"/>
        <v>12.460623403017863</v>
      </c>
      <c r="AG221" s="40">
        <f t="shared" si="119"/>
        <v>22.651193389448665</v>
      </c>
      <c r="AH221" s="224">
        <f>AG221*$P$36</f>
        <v>1.8997250092472215</v>
      </c>
      <c r="AI221" s="226">
        <f>SUM(Z221,IF(Z221&lt;&gt;0,$F$34,0),IF(Z221&lt;&gt;0,$N$36,0),IF(Z221&lt;&gt;0,$T$36,0),IF(Z221=0,AH226,IF(Z221=1,AH227,IF(Z221=2,AH228,IF(Z221=3,AH229,IF(Z221=4,AH230,IF(Z221=5,AH231,IF(Z221=6,AH232,IF(Z221=7,AH233,IF(Z221=8,AH234,IF(Z221=9,AH235,IF(Z221=10,AH236,IF(Z221=11,AH237,IF(Z221=12,AH238,IF(Z221=13,AH239,IF(Z221=14,AH240,IF(Z221=15,AH241,IF(Z221=16,AH242,IF(Z221=17,AH243,IF(Z221=18,AH244,IF(Z221=19,AH245,IF(Z221=20,AH246,IF(Z221=21,AH247,IF(Z221=22,AH248,IF(Z221=23,AH249,IF(Z221=24,AH250,IF(Z221=25,AH251,IF(Z221=26,AH252,IF(Z221=27,AH253,IF(Z221=28,AH254,IF(Z221=29,AH255,IF(Z221=30,AH256))))))))))))))))))))))))))))))))</f>
        <v>28.570312557568094</v>
      </c>
      <c r="AJ221" s="253">
        <f>IF(V221&lt;&gt;0,SUM($F$34,V221,$N$36,MAX($AH$42:$AH$342),$T$36),0)</f>
        <v>36.224768610374468</v>
      </c>
      <c r="AK221" s="253">
        <f>IF(W221&lt;&gt;0,SUM($F$34,W221,$N$36,MAX($AH$42:$AH$342),$T$36),0)</f>
        <v>34.288660943707782</v>
      </c>
      <c r="AL221" s="253">
        <f>IF(X221&lt;&gt;0,SUM($F$34,X221,$N$36,MAX($AH$42:$AH$342),$T$36),0)</f>
        <v>30.823589610374448</v>
      </c>
      <c r="AM221" s="260">
        <f>IF(Y221&lt;&gt;0,SUM($F$34,Y221,$N$36,MAX($AH$42:$AH$342),$T$36),0)</f>
        <v>0</v>
      </c>
    </row>
    <row r="222" spans="1:39" x14ac:dyDescent="0.35">
      <c r="A222" s="259">
        <v>1600</v>
      </c>
      <c r="B222" s="58">
        <f>SUMIF([2]!Table2_23[ETA],'FIS Optimal Model (2)'!A222,[2]!Table2_23[FIS PAX])</f>
        <v>106</v>
      </c>
      <c r="C222" s="44">
        <f t="shared" si="120"/>
        <v>18</v>
      </c>
      <c r="D222" s="52">
        <f t="shared" si="123"/>
        <v>316</v>
      </c>
      <c r="E222" s="26">
        <f t="shared" si="108"/>
        <v>10</v>
      </c>
      <c r="F222" s="26">
        <f t="shared" si="109"/>
        <v>5</v>
      </c>
      <c r="G222" s="26">
        <f t="shared" si="110"/>
        <v>3</v>
      </c>
      <c r="H222" s="26">
        <f t="shared" si="111"/>
        <v>1</v>
      </c>
      <c r="I222" s="27">
        <f t="shared" si="126"/>
        <v>10</v>
      </c>
      <c r="J222" s="27">
        <f t="shared" si="126"/>
        <v>5</v>
      </c>
      <c r="K222" s="27">
        <f t="shared" si="126"/>
        <v>3</v>
      </c>
      <c r="L222" s="27">
        <f t="shared" si="124"/>
        <v>1</v>
      </c>
      <c r="M222" s="28">
        <f t="shared" si="137"/>
        <v>3</v>
      </c>
      <c r="N222" s="29">
        <f t="shared" si="138"/>
        <v>6</v>
      </c>
      <c r="O222" s="28">
        <f t="shared" si="139"/>
        <v>1</v>
      </c>
      <c r="P222" s="28">
        <f t="shared" si="140"/>
        <v>1</v>
      </c>
      <c r="Q222" s="28">
        <f t="shared" si="112"/>
        <v>11</v>
      </c>
      <c r="R222" s="22">
        <f t="shared" si="113"/>
        <v>52.588619818749194</v>
      </c>
      <c r="S222" s="22">
        <f t="shared" si="114"/>
        <v>17.757897081132008</v>
      </c>
      <c r="T222" s="22">
        <f t="shared" si="115"/>
        <v>3.9693351274200457</v>
      </c>
      <c r="U222" s="22">
        <f t="shared" si="116"/>
        <v>0</v>
      </c>
      <c r="V222" s="21">
        <f t="shared" si="131"/>
        <v>7.0794800000000162</v>
      </c>
      <c r="W222" s="21">
        <f t="shared" si="132"/>
        <v>5.0765506666666669</v>
      </c>
      <c r="X222" s="21">
        <f t="shared" si="121"/>
        <v>1.3599219999999996</v>
      </c>
      <c r="Y222" s="21">
        <f t="shared" si="122"/>
        <v>0</v>
      </c>
      <c r="Z222" s="221">
        <f t="shared" si="117"/>
        <v>6</v>
      </c>
      <c r="AA222" s="30">
        <f t="shared" si="104"/>
        <v>6.6854850690833461</v>
      </c>
      <c r="AB222" s="30">
        <f t="shared" si="105"/>
        <v>3.1482217793982699</v>
      </c>
      <c r="AC222" s="30">
        <f t="shared" si="106"/>
        <v>2.6269165545362472</v>
      </c>
      <c r="AD222" s="30">
        <f t="shared" si="107"/>
        <v>0</v>
      </c>
      <c r="AE222" s="32">
        <f t="shared" si="118"/>
        <v>12.460623403017863</v>
      </c>
      <c r="AF222" s="33">
        <f t="shared" si="125"/>
        <v>12.460623403017863</v>
      </c>
      <c r="AG222" s="40">
        <f t="shared" si="119"/>
        <v>23.188410363014746</v>
      </c>
      <c r="AH222" s="224">
        <f>AG222*$P$36</f>
        <v>1.9447806715484841</v>
      </c>
      <c r="AI222" s="226">
        <f>SUM(Z222,IF(Z222&lt;&gt;0,$F$34,0),IF(Z222&lt;&gt;0,$N$36,0),IF(Z222&lt;&gt;0,$T$36,0),IF(Z222=0,AH227,IF(Z222=1,AH228,IF(Z222=2,AH229,IF(Z222=3,AH230,IF(Z222=4,AH231,IF(Z222=5,AH232,IF(Z222=6,AH233,IF(Z222=7,AH234,IF(Z222=8,AH235,IF(Z222=9,AH236,IF(Z222=10,AH237,IF(Z222=11,AH238,IF(Z222=12,AH239,IF(Z222=13,AH240,IF(Z222=14,AH241,IF(Z222=15,AH242,IF(Z222=16,AH243,IF(Z222=17,AH244,IF(Z222=18,AH245,IF(Z222=19,AH246,IF(Z222=20,AH247,IF(Z222=21,AH248,IF(Z222=22,AH249,IF(Z222=23,AH250,IF(Z222=24,AH251,IF(Z222=25,AH252,IF(Z222=26,AH253,IF(Z222=27,AH254,IF(Z222=28,AH255,IF(Z222=29,AH256,IF(Z222=30,AH257))))))))))))))))))))))))))))))))</f>
        <v>29.748436252293917</v>
      </c>
      <c r="AJ222" s="253">
        <f>IF(V222&lt;&gt;0,SUM($F$34,V222,$N$36,MAX($AH$42:$AH$342),$T$36),0)</f>
        <v>36.670968610374466</v>
      </c>
      <c r="AK222" s="253">
        <f>IF(W222&lt;&gt;0,SUM($F$34,W222,$N$36,MAX($AH$42:$AH$342),$T$36),0)</f>
        <v>34.668039277041117</v>
      </c>
      <c r="AL222" s="253">
        <f>IF(X222&lt;&gt;0,SUM($F$34,X222,$N$36,MAX($AH$42:$AH$342),$T$36),0)</f>
        <v>30.951410610374445</v>
      </c>
      <c r="AM222" s="260">
        <f>IF(Y222&lt;&gt;0,SUM($F$34,Y222,$N$36,MAX($AH$42:$AH$342),$T$36),0)</f>
        <v>0</v>
      </c>
    </row>
    <row r="223" spans="1:39" x14ac:dyDescent="0.35">
      <c r="A223" s="259">
        <v>1601</v>
      </c>
      <c r="B223" s="58">
        <f>SUMIF([2]!Table2_23[ETA],'FIS Optimal Model (2)'!A223,[2]!Table2_23[FIS PAX])</f>
        <v>0</v>
      </c>
      <c r="C223" s="44">
        <f t="shared" si="120"/>
        <v>18</v>
      </c>
      <c r="D223" s="52">
        <f t="shared" si="123"/>
        <v>404</v>
      </c>
      <c r="E223" s="26">
        <f t="shared" si="108"/>
        <v>10</v>
      </c>
      <c r="F223" s="26">
        <f t="shared" si="109"/>
        <v>5</v>
      </c>
      <c r="G223" s="26">
        <f t="shared" si="110"/>
        <v>3</v>
      </c>
      <c r="H223" s="26">
        <f t="shared" si="111"/>
        <v>1</v>
      </c>
      <c r="I223" s="27">
        <f t="shared" si="126"/>
        <v>10</v>
      </c>
      <c r="J223" s="27">
        <f t="shared" si="126"/>
        <v>5</v>
      </c>
      <c r="K223" s="27">
        <f t="shared" si="126"/>
        <v>3</v>
      </c>
      <c r="L223" s="27">
        <f t="shared" si="124"/>
        <v>1</v>
      </c>
      <c r="M223" s="28">
        <f>IF(R222=0,0,$Q$18)</f>
        <v>3</v>
      </c>
      <c r="N223" s="29">
        <f>$U$18-M223-O223-P223</f>
        <v>7</v>
      </c>
      <c r="O223" s="28">
        <f>IF(T222=0,0,$S$18)</f>
        <v>1</v>
      </c>
      <c r="P223" s="28">
        <f>IF(U222=0,0,$T$18)</f>
        <v>0</v>
      </c>
      <c r="Q223" s="28">
        <f t="shared" si="112"/>
        <v>11</v>
      </c>
      <c r="R223" s="22">
        <f t="shared" si="113"/>
        <v>55.903134749665846</v>
      </c>
      <c r="S223" s="22">
        <f t="shared" si="114"/>
        <v>19.084971671834026</v>
      </c>
      <c r="T223" s="22">
        <f t="shared" si="115"/>
        <v>4.3424185728837985</v>
      </c>
      <c r="U223" s="22">
        <f t="shared" si="116"/>
        <v>1</v>
      </c>
      <c r="V223" s="21">
        <f t="shared" si="131"/>
        <v>7.5256800000000155</v>
      </c>
      <c r="W223" s="21">
        <f t="shared" si="132"/>
        <v>4.6765105714285715</v>
      </c>
      <c r="X223" s="21">
        <f t="shared" si="121"/>
        <v>1.4877429999999996</v>
      </c>
      <c r="Y223" s="21">
        <f t="shared" si="122"/>
        <v>0</v>
      </c>
      <c r="Z223" s="221">
        <f t="shared" si="117"/>
        <v>6</v>
      </c>
      <c r="AA223" s="30">
        <f t="shared" si="104"/>
        <v>6.6854850690833461</v>
      </c>
      <c r="AB223" s="30">
        <f t="shared" si="105"/>
        <v>3.6729254092979819</v>
      </c>
      <c r="AC223" s="30">
        <f t="shared" si="106"/>
        <v>2.6269165545362472</v>
      </c>
      <c r="AD223" s="30">
        <f t="shared" si="107"/>
        <v>0</v>
      </c>
      <c r="AE223" s="32">
        <f t="shared" si="118"/>
        <v>12.985327032917576</v>
      </c>
      <c r="AF223" s="33">
        <f t="shared" si="125"/>
        <v>12.460623403017863</v>
      </c>
      <c r="AG223" s="40">
        <f t="shared" si="119"/>
        <v>23.725627336580828</v>
      </c>
      <c r="AH223" s="224">
        <f>AG223*$P$36</f>
        <v>1.9898363338497467</v>
      </c>
      <c r="AI223" s="226">
        <f>SUM(Z223,IF(Z223&lt;&gt;0,$F$34,0),IF(Z223&lt;&gt;0,$N$36,0),IF(Z223&lt;&gt;0,$T$36,0),IF(Z223=0,AH228,IF(Z223=1,AH229,IF(Z223=2,AH230,IF(Z223=3,AH231,IF(Z223=4,AH232,IF(Z223=5,AH233,IF(Z223=6,AH234,IF(Z223=7,AH235,IF(Z223=8,AH236,IF(Z223=9,AH237,IF(Z223=10,AH238,IF(Z223=11,AH239,IF(Z223=12,AH240,IF(Z223=13,AH241,IF(Z223=14,AH242,IF(Z223=15,AH243,IF(Z223=16,AH244,IF(Z223=17,AH245,IF(Z223=18,AH246,IF(Z223=19,AH247,IF(Z223=20,AH248,IF(Z223=21,AH249,IF(Z223=22,AH250,IF(Z223=23,AH251,IF(Z223=24,AH252,IF(Z223=25,AH253,IF(Z223=26,AH254,IF(Z223=27,AH255,IF(Z223=28,AH256,IF(Z223=29,AH257,IF(Z223=30,AH258))))))))))))))))))))))))))))))))</f>
        <v>29.837498099656827</v>
      </c>
      <c r="AJ223" s="253">
        <f>IF(V223&lt;&gt;0,SUM($F$34,V223,$N$36,MAX($AH$42:$AH$342),$T$36),0)</f>
        <v>37.117168610374463</v>
      </c>
      <c r="AK223" s="253">
        <f>IF(W223&lt;&gt;0,SUM($F$34,W223,$N$36,MAX($AH$42:$AH$342),$T$36),0)</f>
        <v>34.26799918180302</v>
      </c>
      <c r="AL223" s="253">
        <f>IF(X223&lt;&gt;0,SUM($F$34,X223,$N$36,MAX($AH$42:$AH$342),$T$36),0)</f>
        <v>31.07923161037445</v>
      </c>
      <c r="AM223" s="260">
        <f>IF(Y223&lt;&gt;0,SUM($F$34,Y223,$N$36,MAX($AH$42:$AH$342),$T$36),0)</f>
        <v>0</v>
      </c>
    </row>
    <row r="224" spans="1:39" x14ac:dyDescent="0.35">
      <c r="A224" s="259">
        <v>1602</v>
      </c>
      <c r="B224" s="58">
        <f>SUMIF([2]!Table2_23[ETA],'FIS Optimal Model (2)'!A224,[2]!Table2_23[FIS PAX])</f>
        <v>0</v>
      </c>
      <c r="C224" s="44">
        <f t="shared" si="120"/>
        <v>18</v>
      </c>
      <c r="D224" s="52">
        <f t="shared" si="123"/>
        <v>386</v>
      </c>
      <c r="E224" s="26">
        <f t="shared" si="108"/>
        <v>10</v>
      </c>
      <c r="F224" s="26">
        <f t="shared" si="109"/>
        <v>5</v>
      </c>
      <c r="G224" s="26">
        <f t="shared" si="110"/>
        <v>3</v>
      </c>
      <c r="H224" s="26">
        <f t="shared" si="111"/>
        <v>1</v>
      </c>
      <c r="I224" s="27">
        <f t="shared" si="126"/>
        <v>10</v>
      </c>
      <c r="J224" s="27">
        <f t="shared" si="126"/>
        <v>5</v>
      </c>
      <c r="K224" s="27">
        <f t="shared" si="126"/>
        <v>3</v>
      </c>
      <c r="L224" s="27">
        <f t="shared" si="124"/>
        <v>1</v>
      </c>
      <c r="M224" s="28">
        <f>$M$223</f>
        <v>3</v>
      </c>
      <c r="N224" s="29">
        <f>$N$223</f>
        <v>7</v>
      </c>
      <c r="O224" s="28">
        <f>$O$223</f>
        <v>1</v>
      </c>
      <c r="P224" s="28">
        <f>$P$223</f>
        <v>0</v>
      </c>
      <c r="Q224" s="28">
        <f t="shared" si="112"/>
        <v>11</v>
      </c>
      <c r="R224" s="22">
        <f t="shared" si="113"/>
        <v>59.217649680582497</v>
      </c>
      <c r="S224" s="22">
        <f t="shared" si="114"/>
        <v>20.412046262536045</v>
      </c>
      <c r="T224" s="22">
        <f t="shared" si="115"/>
        <v>4.7155020183475518</v>
      </c>
      <c r="U224" s="22">
        <f t="shared" si="116"/>
        <v>2</v>
      </c>
      <c r="V224" s="21">
        <f t="shared" si="131"/>
        <v>7.9718800000000147</v>
      </c>
      <c r="W224" s="21">
        <f t="shared" si="132"/>
        <v>5.0016920000000002</v>
      </c>
      <c r="X224" s="21">
        <f t="shared" si="121"/>
        <v>1.6155639999999996</v>
      </c>
      <c r="Y224" s="21">
        <f t="shared" si="122"/>
        <v>0</v>
      </c>
      <c r="Z224" s="221">
        <f t="shared" si="117"/>
        <v>6</v>
      </c>
      <c r="AA224" s="30">
        <f t="shared" si="104"/>
        <v>6.6854850690833461</v>
      </c>
      <c r="AB224" s="30">
        <f t="shared" si="105"/>
        <v>3.6729254092979819</v>
      </c>
      <c r="AC224" s="30">
        <f t="shared" si="106"/>
        <v>2.6269165545362472</v>
      </c>
      <c r="AD224" s="30">
        <f t="shared" si="107"/>
        <v>0</v>
      </c>
      <c r="AE224" s="32">
        <f t="shared" si="118"/>
        <v>12.985327032917576</v>
      </c>
      <c r="AF224" s="33">
        <f t="shared" si="125"/>
        <v>12.460623403017863</v>
      </c>
      <c r="AG224" s="40">
        <f t="shared" si="119"/>
        <v>24.26284431014691</v>
      </c>
      <c r="AH224" s="224">
        <f>AG224*$P$36</f>
        <v>2.0348919961510092</v>
      </c>
      <c r="AI224" s="226">
        <f>SUM(Z224,IF(Z224&lt;&gt;0,$F$34,0),IF(Z224&lt;&gt;0,$N$36,0),IF(Z224&lt;&gt;0,$T$36,0),IF(Z224=0,AH229,IF(Z224=1,AH230,IF(Z224=2,AH231,IF(Z224=3,AH232,IF(Z224=4,AH233,IF(Z224=5,AH234,IF(Z224=6,AH235,IF(Z224=7,AH236,IF(Z224=8,AH237,IF(Z224=9,AH238,IF(Z224=10,AH239,IF(Z224=11,AH240,IF(Z224=12,AH241,IF(Z224=13,AH242,IF(Z224=14,AH243,IF(Z224=15,AH244,IF(Z224=16,AH245,IF(Z224=17,AH246,IF(Z224=18,AH247,IF(Z224=19,AH248,IF(Z224=20,AH249,IF(Z224=21,AH250,IF(Z224=22,AH251,IF(Z224=23,AH252,IF(Z224=24,AH253,IF(Z224=25,AH254,IF(Z224=26,AH255,IF(Z224=27,AH256,IF(Z224=28,AH257,IF(Z224=29,AH258,IF(Z224=30,AH259))))))))))))))))))))))))))))))))</f>
        <v>29.92655994701974</v>
      </c>
      <c r="AJ224" s="253">
        <f>IF(V224&lt;&gt;0,SUM($F$34,V224,$N$36,MAX($AH$42:$AH$342),$T$36),0)</f>
        <v>37.563368610374461</v>
      </c>
      <c r="AK224" s="253">
        <f>IF(W224&lt;&gt;0,SUM($F$34,W224,$N$36,MAX($AH$42:$AH$342),$T$36),0)</f>
        <v>34.593180610374446</v>
      </c>
      <c r="AL224" s="253">
        <f>IF(X224&lt;&gt;0,SUM($F$34,X224,$N$36,MAX($AH$42:$AH$342),$T$36),0)</f>
        <v>31.207052610374447</v>
      </c>
      <c r="AM224" s="260">
        <f>IF(Y224&lt;&gt;0,SUM($F$34,Y224,$N$36,MAX($AH$42:$AH$342),$T$36),0)</f>
        <v>0</v>
      </c>
    </row>
    <row r="225" spans="1:39" x14ac:dyDescent="0.35">
      <c r="A225" s="259">
        <v>1603</v>
      </c>
      <c r="B225" s="58">
        <f>SUMIF([2]!Table2_23[ETA],'FIS Optimal Model (2)'!A225,[2]!Table2_23[FIS PAX])</f>
        <v>0</v>
      </c>
      <c r="C225" s="44">
        <f t="shared" si="120"/>
        <v>18</v>
      </c>
      <c r="D225" s="52">
        <f t="shared" si="123"/>
        <v>368</v>
      </c>
      <c r="E225" s="26">
        <f t="shared" si="108"/>
        <v>10</v>
      </c>
      <c r="F225" s="26">
        <f t="shared" si="109"/>
        <v>5</v>
      </c>
      <c r="G225" s="26">
        <f t="shared" si="110"/>
        <v>3</v>
      </c>
      <c r="H225" s="26">
        <f t="shared" si="111"/>
        <v>1</v>
      </c>
      <c r="I225" s="27">
        <f t="shared" si="126"/>
        <v>10</v>
      </c>
      <c r="J225" s="27">
        <f t="shared" si="126"/>
        <v>5</v>
      </c>
      <c r="K225" s="27">
        <f t="shared" si="126"/>
        <v>3</v>
      </c>
      <c r="L225" s="27">
        <f t="shared" si="124"/>
        <v>1</v>
      </c>
      <c r="M225" s="28">
        <f t="shared" ref="M225:M237" si="141">$M$223</f>
        <v>3</v>
      </c>
      <c r="N225" s="29">
        <f t="shared" ref="N225:N237" si="142">$N$223</f>
        <v>7</v>
      </c>
      <c r="O225" s="28">
        <f t="shared" ref="O225:O237" si="143">$O$223</f>
        <v>1</v>
      </c>
      <c r="P225" s="28">
        <f t="shared" ref="P225:P237" si="144">$P$223</f>
        <v>0</v>
      </c>
      <c r="Q225" s="28">
        <f t="shared" si="112"/>
        <v>11</v>
      </c>
      <c r="R225" s="22">
        <f t="shared" si="113"/>
        <v>62.532164611499148</v>
      </c>
      <c r="S225" s="22">
        <f t="shared" si="114"/>
        <v>21.739120853238063</v>
      </c>
      <c r="T225" s="22">
        <f t="shared" si="115"/>
        <v>5.0885854638113042</v>
      </c>
      <c r="U225" s="22">
        <f t="shared" si="116"/>
        <v>3</v>
      </c>
      <c r="V225" s="21">
        <f t="shared" si="131"/>
        <v>8.418080000000014</v>
      </c>
      <c r="W225" s="21">
        <f t="shared" si="132"/>
        <v>5.326873428571429</v>
      </c>
      <c r="X225" s="21">
        <f t="shared" si="121"/>
        <v>1.7433849999999995</v>
      </c>
      <c r="Y225" s="21">
        <f t="shared" si="122"/>
        <v>0</v>
      </c>
      <c r="Z225" s="221">
        <f t="shared" si="117"/>
        <v>7</v>
      </c>
      <c r="AA225" s="30">
        <f t="shared" si="104"/>
        <v>6.6854850690833461</v>
      </c>
      <c r="AB225" s="30">
        <f t="shared" si="105"/>
        <v>3.6729254092979819</v>
      </c>
      <c r="AC225" s="30">
        <f t="shared" si="106"/>
        <v>2.6269165545362472</v>
      </c>
      <c r="AD225" s="30">
        <f t="shared" si="107"/>
        <v>0</v>
      </c>
      <c r="AE225" s="32">
        <f t="shared" si="118"/>
        <v>12.985327032917576</v>
      </c>
      <c r="AF225" s="33">
        <f t="shared" si="125"/>
        <v>12.460623403017863</v>
      </c>
      <c r="AG225" s="40">
        <f t="shared" si="119"/>
        <v>24.800061283712992</v>
      </c>
      <c r="AH225" s="224">
        <f>AG225*$P$36</f>
        <v>2.0799476584522716</v>
      </c>
      <c r="AI225" s="226">
        <f>SUM(Z225,IF(Z225&lt;&gt;0,$F$34,0),IF(Z225&lt;&gt;0,$N$36,0),IF(Z225&lt;&gt;0,$T$36,0),IF(Z225=0,AH230,IF(Z225=1,AH231,IF(Z225=2,AH232,IF(Z225=3,AH233,IF(Z225=4,AH234,IF(Z225=5,AH235,IF(Z225=6,AH236,IF(Z225=7,AH237,IF(Z225=8,AH238,IF(Z225=9,AH239,IF(Z225=10,AH240,IF(Z225=11,AH241,IF(Z225=12,AH242,IF(Z225=13,AH243,IF(Z225=14,AH244,IF(Z225=15,AH245,IF(Z225=16,AH246,IF(Z225=17,AH247,IF(Z225=18,AH248,IF(Z225=19,AH249,IF(Z225=20,AH250,IF(Z225=21,AH251,IF(Z225=22,AH252,IF(Z225=23,AH253,IF(Z225=24,AH254,IF(Z225=25,AH255,IF(Z225=26,AH256,IF(Z225=27,AH257,IF(Z225=28,AH258,IF(Z225=29,AH259,IF(Z225=30,AH260))))))))))))))))))))))))))))))))</f>
        <v>31.104683641745563</v>
      </c>
      <c r="AJ225" s="253">
        <f>IF(V225&lt;&gt;0,SUM($F$34,V225,$N$36,MAX($AH$42:$AH$342),$T$36),0)</f>
        <v>38.009568610374458</v>
      </c>
      <c r="AK225" s="253">
        <f>IF(W225&lt;&gt;0,SUM($F$34,W225,$N$36,MAX($AH$42:$AH$342),$T$36),0)</f>
        <v>34.918362038945872</v>
      </c>
      <c r="AL225" s="253">
        <f>IF(X225&lt;&gt;0,SUM($F$34,X225,$N$36,MAX($AH$42:$AH$342),$T$36),0)</f>
        <v>31.334873610374448</v>
      </c>
      <c r="AM225" s="260">
        <f>IF(Y225&lt;&gt;0,SUM($F$34,Y225,$N$36,MAX($AH$42:$AH$342),$T$36),0)</f>
        <v>0</v>
      </c>
    </row>
    <row r="226" spans="1:39" x14ac:dyDescent="0.35">
      <c r="A226" s="259">
        <v>1604</v>
      </c>
      <c r="B226" s="58">
        <f>SUMIF([2]!Table2_23[ETA],'FIS Optimal Model (2)'!A226,[2]!Table2_23[FIS PAX])</f>
        <v>0</v>
      </c>
      <c r="C226" s="44">
        <f t="shared" si="120"/>
        <v>18</v>
      </c>
      <c r="D226" s="52">
        <f t="shared" si="123"/>
        <v>350</v>
      </c>
      <c r="E226" s="26">
        <f t="shared" si="108"/>
        <v>10</v>
      </c>
      <c r="F226" s="26">
        <f t="shared" si="109"/>
        <v>5</v>
      </c>
      <c r="G226" s="26">
        <f t="shared" si="110"/>
        <v>3</v>
      </c>
      <c r="H226" s="26">
        <f t="shared" si="111"/>
        <v>1</v>
      </c>
      <c r="I226" s="27">
        <f t="shared" si="126"/>
        <v>10</v>
      </c>
      <c r="J226" s="27">
        <f t="shared" si="126"/>
        <v>5</v>
      </c>
      <c r="K226" s="27">
        <f t="shared" si="126"/>
        <v>3</v>
      </c>
      <c r="L226" s="27">
        <f t="shared" si="124"/>
        <v>1</v>
      </c>
      <c r="M226" s="28">
        <f t="shared" si="141"/>
        <v>3</v>
      </c>
      <c r="N226" s="29">
        <f t="shared" si="142"/>
        <v>7</v>
      </c>
      <c r="O226" s="28">
        <f t="shared" si="143"/>
        <v>1</v>
      </c>
      <c r="P226" s="28">
        <f t="shared" si="144"/>
        <v>0</v>
      </c>
      <c r="Q226" s="28">
        <f t="shared" si="112"/>
        <v>11</v>
      </c>
      <c r="R226" s="22">
        <f t="shared" si="113"/>
        <v>65.846679542415799</v>
      </c>
      <c r="S226" s="22">
        <f t="shared" si="114"/>
        <v>23.066195443940082</v>
      </c>
      <c r="T226" s="22">
        <f t="shared" si="115"/>
        <v>5.4616689092750565</v>
      </c>
      <c r="U226" s="22">
        <f t="shared" si="116"/>
        <v>4</v>
      </c>
      <c r="V226" s="21">
        <f t="shared" si="131"/>
        <v>8.864280000000015</v>
      </c>
      <c r="W226" s="21">
        <f t="shared" si="132"/>
        <v>5.6520548571428577</v>
      </c>
      <c r="X226" s="21">
        <f t="shared" si="121"/>
        <v>1.8712059999999993</v>
      </c>
      <c r="Y226" s="21">
        <f t="shared" si="122"/>
        <v>0</v>
      </c>
      <c r="Z226" s="221">
        <f t="shared" si="117"/>
        <v>7</v>
      </c>
      <c r="AA226" s="30">
        <f t="shared" si="104"/>
        <v>6.6854850690833461</v>
      </c>
      <c r="AB226" s="30">
        <f t="shared" si="105"/>
        <v>3.6729254092979819</v>
      </c>
      <c r="AC226" s="30">
        <f t="shared" si="106"/>
        <v>2.6269165545362472</v>
      </c>
      <c r="AD226" s="30">
        <f t="shared" si="107"/>
        <v>0</v>
      </c>
      <c r="AE226" s="32">
        <f t="shared" si="118"/>
        <v>12.985327032917576</v>
      </c>
      <c r="AF226" s="33">
        <f t="shared" si="125"/>
        <v>12.460623403017863</v>
      </c>
      <c r="AG226" s="40">
        <f t="shared" si="119"/>
        <v>25.337278257279074</v>
      </c>
      <c r="AH226" s="224">
        <f>AG226*$P$36</f>
        <v>2.1250033207535344</v>
      </c>
      <c r="AI226" s="226">
        <f>SUM(Z226,IF(Z226&lt;&gt;0,$F$34,0),IF(Z226&lt;&gt;0,$N$36,0),IF(Z226&lt;&gt;0,$T$36,0),IF(Z226=0,AH231,IF(Z226=1,AH232,IF(Z226=2,AH233,IF(Z226=3,AH234,IF(Z226=4,AH235,IF(Z226=5,AH236,IF(Z226=6,AH237,IF(Z226=7,AH238,IF(Z226=8,AH239,IF(Z226=9,AH240,IF(Z226=10,AH241,IF(Z226=11,AH242,IF(Z226=12,AH243,IF(Z226=13,AH244,IF(Z226=14,AH245,IF(Z226=15,AH246,IF(Z226=16,AH247,IF(Z226=17,AH248,IF(Z226=18,AH249,IF(Z226=19,AH250,IF(Z226=20,AH251,IF(Z226=21,AH252,IF(Z226=22,AH253,IF(Z226=23,AH254,IF(Z226=24,AH255,IF(Z226=25,AH256,IF(Z226=26,AH257,IF(Z226=27,AH258,IF(Z226=28,AH259,IF(Z226=29,AH260,IF(Z226=30,AH261))))))))))))))))))))))))))))))))</f>
        <v>31.193745489108473</v>
      </c>
      <c r="AJ226" s="253">
        <f>IF(V226&lt;&gt;0,SUM($F$34,V226,$N$36,MAX($AH$42:$AH$342),$T$36),0)</f>
        <v>38.455768610374463</v>
      </c>
      <c r="AK226" s="253">
        <f>IF(W226&lt;&gt;0,SUM($F$34,W226,$N$36,MAX($AH$42:$AH$342),$T$36),0)</f>
        <v>35.243543467517306</v>
      </c>
      <c r="AL226" s="253">
        <f>IF(X226&lt;&gt;0,SUM($F$34,X226,$N$36,MAX($AH$42:$AH$342),$T$36),0)</f>
        <v>31.462694610374449</v>
      </c>
      <c r="AM226" s="260">
        <f>IF(Y226&lt;&gt;0,SUM($F$34,Y226,$N$36,MAX($AH$42:$AH$342),$T$36),0)</f>
        <v>0</v>
      </c>
    </row>
    <row r="227" spans="1:39" x14ac:dyDescent="0.35">
      <c r="A227" s="259">
        <v>1605</v>
      </c>
      <c r="B227" s="58">
        <f>SUMIF([2]!Table2_23[ETA],'FIS Optimal Model (2)'!A227,[2]!Table2_23[FIS PAX])</f>
        <v>0</v>
      </c>
      <c r="C227" s="44">
        <f t="shared" si="120"/>
        <v>18</v>
      </c>
      <c r="D227" s="52">
        <f t="shared" si="123"/>
        <v>332</v>
      </c>
      <c r="E227" s="26">
        <f t="shared" si="108"/>
        <v>10</v>
      </c>
      <c r="F227" s="26">
        <f t="shared" si="109"/>
        <v>5</v>
      </c>
      <c r="G227" s="26">
        <f t="shared" si="110"/>
        <v>3</v>
      </c>
      <c r="H227" s="26">
        <f t="shared" si="111"/>
        <v>1</v>
      </c>
      <c r="I227" s="27">
        <f t="shared" si="126"/>
        <v>10</v>
      </c>
      <c r="J227" s="27">
        <f t="shared" si="126"/>
        <v>5</v>
      </c>
      <c r="K227" s="27">
        <f t="shared" si="126"/>
        <v>3</v>
      </c>
      <c r="L227" s="27">
        <f t="shared" si="124"/>
        <v>1</v>
      </c>
      <c r="M227" s="28">
        <f t="shared" si="141"/>
        <v>3</v>
      </c>
      <c r="N227" s="29">
        <f t="shared" si="142"/>
        <v>7</v>
      </c>
      <c r="O227" s="28">
        <f t="shared" si="143"/>
        <v>1</v>
      </c>
      <c r="P227" s="28">
        <f t="shared" si="144"/>
        <v>0</v>
      </c>
      <c r="Q227" s="28">
        <f t="shared" si="112"/>
        <v>11</v>
      </c>
      <c r="R227" s="22">
        <f t="shared" si="113"/>
        <v>69.161194473332444</v>
      </c>
      <c r="S227" s="22">
        <f t="shared" si="114"/>
        <v>24.3932700346421</v>
      </c>
      <c r="T227" s="22">
        <f t="shared" si="115"/>
        <v>5.8347523547388089</v>
      </c>
      <c r="U227" s="22">
        <f t="shared" si="116"/>
        <v>5</v>
      </c>
      <c r="V227" s="21">
        <f t="shared" si="131"/>
        <v>9.3104800000000125</v>
      </c>
      <c r="W227" s="21">
        <f t="shared" si="132"/>
        <v>5.9772362857142864</v>
      </c>
      <c r="X227" s="21">
        <f t="shared" si="121"/>
        <v>1.999026999999999</v>
      </c>
      <c r="Y227" s="21">
        <f t="shared" si="122"/>
        <v>0</v>
      </c>
      <c r="Z227" s="221">
        <f t="shared" si="117"/>
        <v>7</v>
      </c>
      <c r="AA227" s="30">
        <f t="shared" si="104"/>
        <v>6.6854850690833461</v>
      </c>
      <c r="AB227" s="30">
        <f t="shared" si="105"/>
        <v>3.6729254092979819</v>
      </c>
      <c r="AC227" s="30">
        <f t="shared" si="106"/>
        <v>2.6269165545362472</v>
      </c>
      <c r="AD227" s="30">
        <f t="shared" si="107"/>
        <v>0</v>
      </c>
      <c r="AE227" s="32">
        <f t="shared" si="118"/>
        <v>12.985327032917576</v>
      </c>
      <c r="AF227" s="33">
        <f t="shared" si="125"/>
        <v>12.985327032917576</v>
      </c>
      <c r="AG227" s="40">
        <f t="shared" si="119"/>
        <v>26.399198860744868</v>
      </c>
      <c r="AH227" s="224">
        <f>AG227*$P$36</f>
        <v>2.2140651681164458</v>
      </c>
      <c r="AI227" s="226">
        <f>SUM(Z227,IF(Z227&lt;&gt;0,$F$34,0),IF(Z227&lt;&gt;0,$N$36,0),IF(Z227&lt;&gt;0,$T$36,0),IF(Z227=0,AH232,IF(Z227=1,AH233,IF(Z227=2,AH234,IF(Z227=3,AH235,IF(Z227=4,AH236,IF(Z227=5,AH237,IF(Z227=6,AH238,IF(Z227=7,AH239,IF(Z227=8,AH240,IF(Z227=9,AH241,IF(Z227=10,AH242,IF(Z227=11,AH243,IF(Z227=12,AH244,IF(Z227=13,AH245,IF(Z227=14,AH246,IF(Z227=15,AH247,IF(Z227=16,AH248,IF(Z227=17,AH249,IF(Z227=18,AH250,IF(Z227=19,AH251,IF(Z227=20,AH252,IF(Z227=21,AH253,IF(Z227=22,AH254,IF(Z227=23,AH255,IF(Z227=24,AH256,IF(Z227=25,AH257,IF(Z227=26,AH258,IF(Z227=27,AH259,IF(Z227=28,AH260,IF(Z227=29,AH261,IF(Z227=30,AH262))))))))))))))))))))))))))))))))</f>
        <v>31.282807336471386</v>
      </c>
      <c r="AJ227" s="253">
        <f>IF(V227&lt;&gt;0,SUM($F$34,V227,$N$36,MAX($AH$42:$AH$342),$T$36),0)</f>
        <v>38.90196861037446</v>
      </c>
      <c r="AK227" s="253">
        <f>IF(W227&lt;&gt;0,SUM($F$34,W227,$N$36,MAX($AH$42:$AH$342),$T$36),0)</f>
        <v>35.568724896088739</v>
      </c>
      <c r="AL227" s="253">
        <f>IF(X227&lt;&gt;0,SUM($F$34,X227,$N$36,MAX($AH$42:$AH$342),$T$36),0)</f>
        <v>31.590515610374446</v>
      </c>
      <c r="AM227" s="260">
        <f>IF(Y227&lt;&gt;0,SUM($F$34,Y227,$N$36,MAX($AH$42:$AH$342),$T$36),0)</f>
        <v>0</v>
      </c>
    </row>
    <row r="228" spans="1:39" x14ac:dyDescent="0.35">
      <c r="A228" s="259">
        <v>1606</v>
      </c>
      <c r="B228" s="58">
        <f>SUMIF([2]!Table2_23[ETA],'FIS Optimal Model (2)'!A228,[2]!Table2_23[FIS PAX])</f>
        <v>0</v>
      </c>
      <c r="C228" s="44">
        <f t="shared" si="120"/>
        <v>18</v>
      </c>
      <c r="D228" s="52">
        <f t="shared" si="123"/>
        <v>314</v>
      </c>
      <c r="E228" s="26">
        <f t="shared" si="108"/>
        <v>10</v>
      </c>
      <c r="F228" s="26">
        <f t="shared" si="109"/>
        <v>5</v>
      </c>
      <c r="G228" s="26">
        <f t="shared" si="110"/>
        <v>3</v>
      </c>
      <c r="H228" s="26">
        <f t="shared" si="111"/>
        <v>1</v>
      </c>
      <c r="I228" s="27">
        <f t="shared" si="126"/>
        <v>10</v>
      </c>
      <c r="J228" s="27">
        <f t="shared" si="126"/>
        <v>5</v>
      </c>
      <c r="K228" s="27">
        <f t="shared" si="126"/>
        <v>3</v>
      </c>
      <c r="L228" s="27">
        <f t="shared" si="124"/>
        <v>1</v>
      </c>
      <c r="M228" s="28">
        <f t="shared" si="141"/>
        <v>3</v>
      </c>
      <c r="N228" s="29">
        <f t="shared" si="142"/>
        <v>7</v>
      </c>
      <c r="O228" s="28">
        <f t="shared" si="143"/>
        <v>1</v>
      </c>
      <c r="P228" s="28">
        <f t="shared" si="144"/>
        <v>0</v>
      </c>
      <c r="Q228" s="28">
        <f t="shared" si="112"/>
        <v>11</v>
      </c>
      <c r="R228" s="22">
        <f t="shared" si="113"/>
        <v>72.475709404249102</v>
      </c>
      <c r="S228" s="22">
        <f t="shared" si="114"/>
        <v>25.720344625344119</v>
      </c>
      <c r="T228" s="22">
        <f t="shared" si="115"/>
        <v>6.2078358002025613</v>
      </c>
      <c r="U228" s="22">
        <f t="shared" si="116"/>
        <v>6</v>
      </c>
      <c r="V228" s="21">
        <f t="shared" si="131"/>
        <v>9.7566800000000136</v>
      </c>
      <c r="W228" s="21">
        <f t="shared" si="132"/>
        <v>6.3024177142857152</v>
      </c>
      <c r="X228" s="21">
        <f t="shared" si="121"/>
        <v>2.126847999999999</v>
      </c>
      <c r="Y228" s="21">
        <f t="shared" si="122"/>
        <v>0</v>
      </c>
      <c r="Z228" s="221">
        <f t="shared" si="117"/>
        <v>8</v>
      </c>
      <c r="AA228" s="30">
        <f t="shared" si="104"/>
        <v>6.6854850690833461</v>
      </c>
      <c r="AB228" s="30">
        <f t="shared" si="105"/>
        <v>3.6729254092979819</v>
      </c>
      <c r="AC228" s="30">
        <f t="shared" si="106"/>
        <v>2.6269165545362472</v>
      </c>
      <c r="AD228" s="30">
        <f t="shared" si="107"/>
        <v>0</v>
      </c>
      <c r="AE228" s="32">
        <f t="shared" si="118"/>
        <v>12.985327032917576</v>
      </c>
      <c r="AF228" s="33">
        <f t="shared" si="125"/>
        <v>12.985327032917576</v>
      </c>
      <c r="AG228" s="40">
        <f t="shared" si="119"/>
        <v>27.461119464210661</v>
      </c>
      <c r="AH228" s="224">
        <f>AG228*$P$36</f>
        <v>2.3031270154793577</v>
      </c>
      <c r="AI228" s="226">
        <f>SUM(Z228,IF(Z228&lt;&gt;0,$F$34,0),IF(Z228&lt;&gt;0,$N$36,0),IF(Z228&lt;&gt;0,$T$36,0),IF(Z228=0,AH233,IF(Z228=1,AH234,IF(Z228=2,AH235,IF(Z228=3,AH236,IF(Z228=4,AH237,IF(Z228=5,AH238,IF(Z228=6,AH239,IF(Z228=7,AH240,IF(Z228=8,AH241,IF(Z228=9,AH242,IF(Z228=10,AH243,IF(Z228=11,AH244,IF(Z228=12,AH245,IF(Z228=13,AH246,IF(Z228=14,AH247,IF(Z228=15,AH248,IF(Z228=16,AH249,IF(Z228=17,AH250,IF(Z228=18,AH251,IF(Z228=19,AH252,IF(Z228=20,AH253,IF(Z228=21,AH254,IF(Z228=22,AH255,IF(Z228=23,AH256,IF(Z228=24,AH257,IF(Z228=25,AH258,IF(Z228=26,AH259,IF(Z228=27,AH260,IF(Z228=28,AH261,IF(Z228=29,AH262,IF(Z228=30,AH263))))))))))))))))))))))))))))))))</f>
        <v>32.460931031197205</v>
      </c>
      <c r="AJ228" s="253">
        <f>IF(V228&lt;&gt;0,SUM($F$34,V228,$N$36,MAX($AH$42:$AH$342),$T$36),0)</f>
        <v>39.348168610374458</v>
      </c>
      <c r="AK228" s="253">
        <f>IF(W228&lt;&gt;0,SUM($F$34,W228,$N$36,MAX($AH$42:$AH$342),$T$36),0)</f>
        <v>35.893906324660165</v>
      </c>
      <c r="AL228" s="253">
        <f>IF(X228&lt;&gt;0,SUM($F$34,X228,$N$36,MAX($AH$42:$AH$342),$T$36),0)</f>
        <v>31.718336610374447</v>
      </c>
      <c r="AM228" s="260">
        <f>IF(Y228&lt;&gt;0,SUM($F$34,Y228,$N$36,MAX($AH$42:$AH$342),$T$36),0)</f>
        <v>0</v>
      </c>
    </row>
    <row r="229" spans="1:39" x14ac:dyDescent="0.35">
      <c r="A229" s="259">
        <v>1607</v>
      </c>
      <c r="B229" s="58">
        <f>SUMIF([2]!Table2_23[ETA],'FIS Optimal Model (2)'!A229,[2]!Table2_23[FIS PAX])</f>
        <v>0</v>
      </c>
      <c r="C229" s="44">
        <f t="shared" si="120"/>
        <v>18</v>
      </c>
      <c r="D229" s="52">
        <f t="shared" si="123"/>
        <v>296</v>
      </c>
      <c r="E229" s="26">
        <f t="shared" si="108"/>
        <v>10</v>
      </c>
      <c r="F229" s="26">
        <f t="shared" si="109"/>
        <v>5</v>
      </c>
      <c r="G229" s="26">
        <f t="shared" si="110"/>
        <v>3</v>
      </c>
      <c r="H229" s="26">
        <f t="shared" si="111"/>
        <v>1</v>
      </c>
      <c r="I229" s="27">
        <f t="shared" si="126"/>
        <v>10</v>
      </c>
      <c r="J229" s="27">
        <f t="shared" si="126"/>
        <v>5</v>
      </c>
      <c r="K229" s="27">
        <f t="shared" si="126"/>
        <v>3</v>
      </c>
      <c r="L229" s="27">
        <f t="shared" si="124"/>
        <v>1</v>
      </c>
      <c r="M229" s="28">
        <f t="shared" si="141"/>
        <v>3</v>
      </c>
      <c r="N229" s="29">
        <f t="shared" si="142"/>
        <v>7</v>
      </c>
      <c r="O229" s="28">
        <f t="shared" si="143"/>
        <v>1</v>
      </c>
      <c r="P229" s="28">
        <f t="shared" si="144"/>
        <v>0</v>
      </c>
      <c r="Q229" s="28">
        <f t="shared" si="112"/>
        <v>11</v>
      </c>
      <c r="R229" s="22">
        <f t="shared" si="113"/>
        <v>75.79022433516576</v>
      </c>
      <c r="S229" s="22">
        <f t="shared" si="114"/>
        <v>27.047419216046137</v>
      </c>
      <c r="T229" s="22">
        <f t="shared" si="115"/>
        <v>6.5809192456663137</v>
      </c>
      <c r="U229" s="22">
        <f t="shared" si="116"/>
        <v>7</v>
      </c>
      <c r="V229" s="21">
        <f t="shared" si="131"/>
        <v>10.202880000000015</v>
      </c>
      <c r="W229" s="21">
        <f t="shared" si="132"/>
        <v>6.6275991428571439</v>
      </c>
      <c r="X229" s="21">
        <f t="shared" si="121"/>
        <v>2.2546689999999989</v>
      </c>
      <c r="Y229" s="21">
        <f t="shared" si="122"/>
        <v>0</v>
      </c>
      <c r="Z229" s="221">
        <f t="shared" si="117"/>
        <v>8</v>
      </c>
      <c r="AA229" s="30">
        <f t="shared" si="104"/>
        <v>6.6854850690833461</v>
      </c>
      <c r="AB229" s="30">
        <f t="shared" si="105"/>
        <v>3.6729254092979819</v>
      </c>
      <c r="AC229" s="30">
        <f t="shared" si="106"/>
        <v>2.6269165545362472</v>
      </c>
      <c r="AD229" s="30">
        <f t="shared" si="107"/>
        <v>0</v>
      </c>
      <c r="AE229" s="32">
        <f t="shared" si="118"/>
        <v>12.985327032917576</v>
      </c>
      <c r="AF229" s="33">
        <f t="shared" si="125"/>
        <v>12.985327032917576</v>
      </c>
      <c r="AG229" s="40">
        <f t="shared" si="119"/>
        <v>28.523040067676455</v>
      </c>
      <c r="AH229" s="224">
        <f>AG229*$P$36</f>
        <v>2.3921888628422692</v>
      </c>
      <c r="AI229" s="226">
        <f>SUM(Z229,IF(Z229&lt;&gt;0,$F$34,0),IF(Z229&lt;&gt;0,$N$36,0),IF(Z229&lt;&gt;0,$T$36,0),IF(Z229=0,AH234,IF(Z229=1,AH235,IF(Z229=2,AH236,IF(Z229=3,AH237,IF(Z229=4,AH238,IF(Z229=5,AH239,IF(Z229=6,AH240,IF(Z229=7,AH241,IF(Z229=8,AH242,IF(Z229=9,AH243,IF(Z229=10,AH244,IF(Z229=11,AH245,IF(Z229=12,AH246,IF(Z229=13,AH247,IF(Z229=14,AH248,IF(Z229=15,AH249,IF(Z229=16,AH250,IF(Z229=17,AH251,IF(Z229=18,AH252,IF(Z229=19,AH253,IF(Z229=20,AH254,IF(Z229=21,AH255,IF(Z229=22,AH256,IF(Z229=23,AH257,IF(Z229=24,AH258,IF(Z229=25,AH259,IF(Z229=26,AH260,IF(Z229=27,AH261,IF(Z229=28,AH262,IF(Z229=29,AH263,IF(Z229=30,AH264))))))))))))))))))))))))))))))))</f>
        <v>32.669056923411112</v>
      </c>
      <c r="AJ229" s="253">
        <f>IF(V229&lt;&gt;0,SUM($F$34,V229,$N$36,MAX($AH$42:$AH$342),$T$36),0)</f>
        <v>39.794368610374462</v>
      </c>
      <c r="AK229" s="253">
        <f>IF(W229&lt;&gt;0,SUM($F$34,W229,$N$36,MAX($AH$42:$AH$342),$T$36),0)</f>
        <v>36.219087753231591</v>
      </c>
      <c r="AL229" s="253">
        <f>IF(X229&lt;&gt;0,SUM($F$34,X229,$N$36,MAX($AH$42:$AH$342),$T$36),0)</f>
        <v>31.846157610374448</v>
      </c>
      <c r="AM229" s="260">
        <f>IF(Y229&lt;&gt;0,SUM($F$34,Y229,$N$36,MAX($AH$42:$AH$342),$T$36),0)</f>
        <v>0</v>
      </c>
    </row>
    <row r="230" spans="1:39" x14ac:dyDescent="0.35">
      <c r="A230" s="259">
        <v>1608</v>
      </c>
      <c r="B230" s="58">
        <f>SUMIF([2]!Table2_23[ETA],'FIS Optimal Model (2)'!A230,[2]!Table2_23[FIS PAX])</f>
        <v>0</v>
      </c>
      <c r="C230" s="44">
        <f t="shared" si="120"/>
        <v>18</v>
      </c>
      <c r="D230" s="52">
        <f t="shared" si="123"/>
        <v>278</v>
      </c>
      <c r="E230" s="26">
        <f t="shared" si="108"/>
        <v>10</v>
      </c>
      <c r="F230" s="26">
        <f t="shared" si="109"/>
        <v>5</v>
      </c>
      <c r="G230" s="26">
        <f t="shared" si="110"/>
        <v>3</v>
      </c>
      <c r="H230" s="26">
        <f t="shared" si="111"/>
        <v>1</v>
      </c>
      <c r="I230" s="27">
        <f t="shared" si="126"/>
        <v>10</v>
      </c>
      <c r="J230" s="27">
        <f t="shared" si="126"/>
        <v>5</v>
      </c>
      <c r="K230" s="27">
        <f t="shared" si="126"/>
        <v>3</v>
      </c>
      <c r="L230" s="27">
        <f t="shared" si="124"/>
        <v>1</v>
      </c>
      <c r="M230" s="28">
        <f t="shared" si="141"/>
        <v>3</v>
      </c>
      <c r="N230" s="29">
        <f t="shared" si="142"/>
        <v>7</v>
      </c>
      <c r="O230" s="28">
        <f t="shared" si="143"/>
        <v>1</v>
      </c>
      <c r="P230" s="28">
        <f t="shared" si="144"/>
        <v>0</v>
      </c>
      <c r="Q230" s="28">
        <f t="shared" si="112"/>
        <v>11</v>
      </c>
      <c r="R230" s="22">
        <f t="shared" si="113"/>
        <v>79.104739266082419</v>
      </c>
      <c r="S230" s="22">
        <f t="shared" si="114"/>
        <v>28.374493806748156</v>
      </c>
      <c r="T230" s="22">
        <f t="shared" si="115"/>
        <v>6.9540026911300661</v>
      </c>
      <c r="U230" s="22">
        <f t="shared" si="116"/>
        <v>8</v>
      </c>
      <c r="V230" s="21">
        <f t="shared" si="131"/>
        <v>10.649080000000014</v>
      </c>
      <c r="W230" s="21">
        <f t="shared" si="132"/>
        <v>6.9527805714285718</v>
      </c>
      <c r="X230" s="21">
        <f t="shared" si="121"/>
        <v>2.3824899999999984</v>
      </c>
      <c r="Y230" s="21">
        <f t="shared" si="122"/>
        <v>0</v>
      </c>
      <c r="Z230" s="221">
        <f t="shared" si="117"/>
        <v>8</v>
      </c>
      <c r="AA230" s="30">
        <f t="shared" si="104"/>
        <v>6.6854850690833461</v>
      </c>
      <c r="AB230" s="30">
        <f t="shared" si="105"/>
        <v>3.6729254092979819</v>
      </c>
      <c r="AC230" s="30">
        <f t="shared" si="106"/>
        <v>2.6269165545362472</v>
      </c>
      <c r="AD230" s="30">
        <f t="shared" si="107"/>
        <v>0</v>
      </c>
      <c r="AE230" s="32">
        <f t="shared" si="118"/>
        <v>12.985327032917576</v>
      </c>
      <c r="AF230" s="33">
        <f t="shared" si="125"/>
        <v>12.985327032917576</v>
      </c>
      <c r="AG230" s="40">
        <f t="shared" si="119"/>
        <v>29.584960671142248</v>
      </c>
      <c r="AH230" s="224">
        <f>AG230*$P$36</f>
        <v>2.4812507102051806</v>
      </c>
      <c r="AI230" s="226">
        <f>SUM(Z230,IF(Z230&lt;&gt;0,$F$34,0),IF(Z230&lt;&gt;0,$N$36,0),IF(Z230&lt;&gt;0,$T$36,0),IF(Z230=0,AH235,IF(Z230=1,AH236,IF(Z230=2,AH237,IF(Z230=3,AH238,IF(Z230=4,AH239,IF(Z230=5,AH240,IF(Z230=6,AH241,IF(Z230=7,AH242,IF(Z230=8,AH243,IF(Z230=9,AH244,IF(Z230=10,AH245,IF(Z230=11,AH246,IF(Z230=12,AH247,IF(Z230=13,AH248,IF(Z230=14,AH249,IF(Z230=15,AH250,IF(Z230=16,AH251,IF(Z230=17,AH252,IF(Z230=18,AH253,IF(Z230=19,AH254,IF(Z230=20,AH255,IF(Z230=21,AH256,IF(Z230=22,AH257,IF(Z230=23,AH258,IF(Z230=24,AH259,IF(Z230=25,AH260,IF(Z230=26,AH261,IF(Z230=27,AH262,IF(Z230=28,AH263,IF(Z230=29,AH264,IF(Z230=30,AH265))))))))))))))))))))))))))))))))</f>
        <v>32.877182815625019</v>
      </c>
      <c r="AJ230" s="253">
        <f>IF(V230&lt;&gt;0,SUM($F$34,V230,$N$36,MAX($AH$42:$AH$342),$T$36),0)</f>
        <v>40.24056861037446</v>
      </c>
      <c r="AK230" s="253">
        <f>IF(W230&lt;&gt;0,SUM($F$34,W230,$N$36,MAX($AH$42:$AH$342),$T$36),0)</f>
        <v>36.544269181803017</v>
      </c>
      <c r="AL230" s="253">
        <f>IF(X230&lt;&gt;0,SUM($F$34,X230,$N$36,MAX($AH$42:$AH$342),$T$36),0)</f>
        <v>31.973978610374445</v>
      </c>
      <c r="AM230" s="260">
        <f>IF(Y230&lt;&gt;0,SUM($F$34,Y230,$N$36,MAX($AH$42:$AH$342),$T$36),0)</f>
        <v>0</v>
      </c>
    </row>
    <row r="231" spans="1:39" x14ac:dyDescent="0.35">
      <c r="A231" s="259">
        <v>1609</v>
      </c>
      <c r="B231" s="58">
        <f>SUMIF([2]!Table2_23[ETA],'FIS Optimal Model (2)'!A231,[2]!Table2_23[FIS PAX])</f>
        <v>0</v>
      </c>
      <c r="C231" s="44">
        <f t="shared" si="120"/>
        <v>18</v>
      </c>
      <c r="D231" s="52">
        <f t="shared" si="123"/>
        <v>260</v>
      </c>
      <c r="E231" s="26">
        <f t="shared" si="108"/>
        <v>10</v>
      </c>
      <c r="F231" s="26">
        <f t="shared" si="109"/>
        <v>5</v>
      </c>
      <c r="G231" s="26">
        <f t="shared" si="110"/>
        <v>3</v>
      </c>
      <c r="H231" s="26">
        <f t="shared" si="111"/>
        <v>1</v>
      </c>
      <c r="I231" s="27">
        <f t="shared" si="126"/>
        <v>10</v>
      </c>
      <c r="J231" s="27">
        <f t="shared" si="126"/>
        <v>5</v>
      </c>
      <c r="K231" s="27">
        <f t="shared" si="126"/>
        <v>3</v>
      </c>
      <c r="L231" s="27">
        <f t="shared" si="124"/>
        <v>1</v>
      </c>
      <c r="M231" s="28">
        <f t="shared" si="141"/>
        <v>3</v>
      </c>
      <c r="N231" s="29">
        <f t="shared" si="142"/>
        <v>7</v>
      </c>
      <c r="O231" s="28">
        <f t="shared" si="143"/>
        <v>1</v>
      </c>
      <c r="P231" s="28">
        <f t="shared" si="144"/>
        <v>0</v>
      </c>
      <c r="Q231" s="28">
        <f t="shared" si="112"/>
        <v>11</v>
      </c>
      <c r="R231" s="22">
        <f t="shared" si="113"/>
        <v>82.419254196999077</v>
      </c>
      <c r="S231" s="22">
        <f t="shared" si="114"/>
        <v>29.701568397450174</v>
      </c>
      <c r="T231" s="22">
        <f t="shared" si="115"/>
        <v>7.3270861365938185</v>
      </c>
      <c r="U231" s="22">
        <f t="shared" si="116"/>
        <v>9</v>
      </c>
      <c r="V231" s="21">
        <f t="shared" si="131"/>
        <v>11.095280000000015</v>
      </c>
      <c r="W231" s="21">
        <f t="shared" si="132"/>
        <v>7.2779620000000005</v>
      </c>
      <c r="X231" s="21">
        <f t="shared" si="121"/>
        <v>2.5103109999999984</v>
      </c>
      <c r="Y231" s="21">
        <f t="shared" si="122"/>
        <v>0</v>
      </c>
      <c r="Z231" s="221">
        <f t="shared" si="117"/>
        <v>9</v>
      </c>
      <c r="AA231" s="30">
        <f t="shared" si="104"/>
        <v>6.6854850690833461</v>
      </c>
      <c r="AB231" s="30">
        <f t="shared" si="105"/>
        <v>3.6729254092979819</v>
      </c>
      <c r="AC231" s="30">
        <f t="shared" si="106"/>
        <v>2.6269165545362472</v>
      </c>
      <c r="AD231" s="30">
        <f t="shared" si="107"/>
        <v>0</v>
      </c>
      <c r="AE231" s="32">
        <f t="shared" si="118"/>
        <v>12.985327032917576</v>
      </c>
      <c r="AF231" s="33">
        <f t="shared" si="125"/>
        <v>12.985327032917576</v>
      </c>
      <c r="AG231" s="40">
        <f t="shared" si="119"/>
        <v>30.646881274608042</v>
      </c>
      <c r="AH231" s="224">
        <f>AG231*$P$36</f>
        <v>2.5703125575680925</v>
      </c>
      <c r="AI231" s="226">
        <f>SUM(Z231,IF(Z231&lt;&gt;0,$F$34,0),IF(Z231&lt;&gt;0,$N$36,0),IF(Z231&lt;&gt;0,$T$36,0),IF(Z231=0,AH236,IF(Z231=1,AH237,IF(Z231=2,AH238,IF(Z231=3,AH239,IF(Z231=4,AH240,IF(Z231=5,AH241,IF(Z231=6,AH242,IF(Z231=7,AH243,IF(Z231=8,AH244,IF(Z231=9,AH245,IF(Z231=10,AH246,IF(Z231=11,AH247,IF(Z231=12,AH248,IF(Z231=13,AH249,IF(Z231=14,AH250,IF(Z231=15,AH251,IF(Z231=16,AH252,IF(Z231=17,AH253,IF(Z231=18,AH254,IF(Z231=19,AH255,IF(Z231=20,AH256,IF(Z231=21,AH257,IF(Z231=22,AH258,IF(Z231=23,AH259,IF(Z231=24,AH260,IF(Z231=25,AH261,IF(Z231=26,AH262,IF(Z231=27,AH263,IF(Z231=28,AH264,IF(Z231=29,AH265,IF(Z231=30,AH266))))))))))))))))))))))))))))))))</f>
        <v>34.293434600052827</v>
      </c>
      <c r="AJ231" s="253">
        <f>IF(V231&lt;&gt;0,SUM($F$34,V231,$N$36,MAX($AH$42:$AH$342),$T$36),0)</f>
        <v>40.686768610374465</v>
      </c>
      <c r="AK231" s="253">
        <f>IF(W231&lt;&gt;0,SUM($F$34,W231,$N$36,MAX($AH$42:$AH$342),$T$36),0)</f>
        <v>36.86945061037445</v>
      </c>
      <c r="AL231" s="253">
        <f>IF(X231&lt;&gt;0,SUM($F$34,X231,$N$36,MAX($AH$42:$AH$342),$T$36),0)</f>
        <v>32.101799610374442</v>
      </c>
      <c r="AM231" s="260">
        <f>IF(Y231&lt;&gt;0,SUM($F$34,Y231,$N$36,MAX($AH$42:$AH$342),$T$36),0)</f>
        <v>0</v>
      </c>
    </row>
    <row r="232" spans="1:39" x14ac:dyDescent="0.35">
      <c r="A232" s="259">
        <v>1610</v>
      </c>
      <c r="B232" s="58">
        <f>SUMIF([2]!Table2_23[ETA],'FIS Optimal Model (2)'!A232,[2]!Table2_23[FIS PAX])</f>
        <v>0</v>
      </c>
      <c r="C232" s="44">
        <f t="shared" si="120"/>
        <v>18</v>
      </c>
      <c r="D232" s="52">
        <f t="shared" si="123"/>
        <v>242</v>
      </c>
      <c r="E232" s="26">
        <f t="shared" si="108"/>
        <v>10</v>
      </c>
      <c r="F232" s="26">
        <f t="shared" si="109"/>
        <v>5</v>
      </c>
      <c r="G232" s="26">
        <f t="shared" si="110"/>
        <v>3</v>
      </c>
      <c r="H232" s="26">
        <f t="shared" si="111"/>
        <v>1</v>
      </c>
      <c r="I232" s="27">
        <f t="shared" si="126"/>
        <v>10</v>
      </c>
      <c r="J232" s="27">
        <f t="shared" si="126"/>
        <v>5</v>
      </c>
      <c r="K232" s="27">
        <f t="shared" si="126"/>
        <v>3</v>
      </c>
      <c r="L232" s="27">
        <f t="shared" si="124"/>
        <v>1</v>
      </c>
      <c r="M232" s="28">
        <f t="shared" si="141"/>
        <v>3</v>
      </c>
      <c r="N232" s="29">
        <f t="shared" si="142"/>
        <v>7</v>
      </c>
      <c r="O232" s="28">
        <f t="shared" si="143"/>
        <v>1</v>
      </c>
      <c r="P232" s="28">
        <f t="shared" si="144"/>
        <v>0</v>
      </c>
      <c r="Q232" s="28">
        <f t="shared" si="112"/>
        <v>11</v>
      </c>
      <c r="R232" s="22">
        <f t="shared" si="113"/>
        <v>85.733769127915735</v>
      </c>
      <c r="S232" s="22">
        <f t="shared" si="114"/>
        <v>31.028642988152193</v>
      </c>
      <c r="T232" s="22">
        <f t="shared" si="115"/>
        <v>7.7001695820575708</v>
      </c>
      <c r="U232" s="22">
        <f t="shared" si="116"/>
        <v>10</v>
      </c>
      <c r="V232" s="21">
        <f t="shared" si="131"/>
        <v>11.541480000000016</v>
      </c>
      <c r="W232" s="21">
        <f t="shared" si="132"/>
        <v>7.6031434285714292</v>
      </c>
      <c r="X232" s="21">
        <f t="shared" si="121"/>
        <v>2.6381319999999979</v>
      </c>
      <c r="Y232" s="21">
        <f t="shared" si="122"/>
        <v>0</v>
      </c>
      <c r="Z232" s="221">
        <f t="shared" si="117"/>
        <v>9</v>
      </c>
      <c r="AA232" s="30">
        <f t="shared" si="104"/>
        <v>6.6854850690833461</v>
      </c>
      <c r="AB232" s="30">
        <f t="shared" si="105"/>
        <v>3.6729254092979819</v>
      </c>
      <c r="AC232" s="30">
        <f t="shared" si="106"/>
        <v>2.6269165545362472</v>
      </c>
      <c r="AD232" s="30">
        <f t="shared" si="107"/>
        <v>0</v>
      </c>
      <c r="AE232" s="32">
        <f t="shared" si="118"/>
        <v>12.985327032917576</v>
      </c>
      <c r="AF232" s="33">
        <f t="shared" si="125"/>
        <v>12.985327032917576</v>
      </c>
      <c r="AG232" s="40">
        <f t="shared" si="119"/>
        <v>31.708801878073835</v>
      </c>
      <c r="AH232" s="224">
        <f>AG232*$P$36</f>
        <v>2.659374404931004</v>
      </c>
      <c r="AI232" s="226">
        <f>SUM(Z232,IF(Z232&lt;&gt;0,$F$34,0),IF(Z232&lt;&gt;0,$N$36,0),IF(Z232&lt;&gt;0,$T$36,0),IF(Z232=0,AH237,IF(Z232=1,AH238,IF(Z232=2,AH239,IF(Z232=3,AH240,IF(Z232=4,AH241,IF(Z232=5,AH242,IF(Z232=6,AH243,IF(Z232=7,AH244,IF(Z232=8,AH245,IF(Z232=9,AH246,IF(Z232=10,AH247,IF(Z232=11,AH248,IF(Z232=12,AH249,IF(Z232=13,AH250,IF(Z232=14,AH251,IF(Z232=15,AH252,IF(Z232=16,AH253,IF(Z232=17,AH254,IF(Z232=18,AH255,IF(Z232=19,AH256,IF(Z232=20,AH257,IF(Z232=21,AH258,IF(Z232=22,AH259,IF(Z232=23,AH260,IF(Z232=24,AH261,IF(Z232=25,AH262,IF(Z232=26,AH263,IF(Z232=27,AH264,IF(Z232=28,AH265,IF(Z232=29,AH266,IF(Z232=30,AH267))))))))))))))))))))))))))))))))</f>
        <v>34.501560492266734</v>
      </c>
      <c r="AJ232" s="253">
        <f>IF(V232&lt;&gt;0,SUM($F$34,V232,$N$36,MAX($AH$42:$AH$342),$T$36),0)</f>
        <v>41.132968610374462</v>
      </c>
      <c r="AK232" s="253">
        <f>IF(W232&lt;&gt;0,SUM($F$34,W232,$N$36,MAX($AH$42:$AH$342),$T$36),0)</f>
        <v>37.194632038945876</v>
      </c>
      <c r="AL232" s="253">
        <f>IF(X232&lt;&gt;0,SUM($F$34,X232,$N$36,MAX($AH$42:$AH$342),$T$36),0)</f>
        <v>32.229620610374447</v>
      </c>
      <c r="AM232" s="260">
        <f>IF(Y232&lt;&gt;0,SUM($F$34,Y232,$N$36,MAX($AH$42:$AH$342),$T$36),0)</f>
        <v>0</v>
      </c>
    </row>
    <row r="233" spans="1:39" x14ac:dyDescent="0.35">
      <c r="A233" s="259">
        <v>1611</v>
      </c>
      <c r="B233" s="58">
        <f>SUMIF([2]!Table2_23[ETA],'FIS Optimal Model (2)'!A233,[2]!Table2_23[FIS PAX])</f>
        <v>0</v>
      </c>
      <c r="C233" s="44">
        <f t="shared" si="120"/>
        <v>18</v>
      </c>
      <c r="D233" s="52">
        <f t="shared" si="123"/>
        <v>224</v>
      </c>
      <c r="E233" s="26">
        <f t="shared" si="108"/>
        <v>10</v>
      </c>
      <c r="F233" s="26">
        <f t="shared" si="109"/>
        <v>5</v>
      </c>
      <c r="G233" s="26">
        <f t="shared" si="110"/>
        <v>3</v>
      </c>
      <c r="H233" s="26">
        <f t="shared" si="111"/>
        <v>1</v>
      </c>
      <c r="I233" s="27">
        <f t="shared" si="126"/>
        <v>10</v>
      </c>
      <c r="J233" s="27">
        <f t="shared" si="126"/>
        <v>5</v>
      </c>
      <c r="K233" s="27">
        <f t="shared" si="126"/>
        <v>3</v>
      </c>
      <c r="L233" s="27">
        <f t="shared" si="124"/>
        <v>1</v>
      </c>
      <c r="M233" s="28">
        <f t="shared" si="141"/>
        <v>3</v>
      </c>
      <c r="N233" s="29">
        <f t="shared" si="142"/>
        <v>7</v>
      </c>
      <c r="O233" s="28">
        <f t="shared" si="143"/>
        <v>1</v>
      </c>
      <c r="P233" s="28">
        <f t="shared" si="144"/>
        <v>0</v>
      </c>
      <c r="Q233" s="28">
        <f t="shared" si="112"/>
        <v>11</v>
      </c>
      <c r="R233" s="22">
        <f t="shared" si="113"/>
        <v>89.048284058832394</v>
      </c>
      <c r="S233" s="22">
        <f t="shared" si="114"/>
        <v>32.355717578854211</v>
      </c>
      <c r="T233" s="22">
        <f t="shared" si="115"/>
        <v>8.0732530275213232</v>
      </c>
      <c r="U233" s="22">
        <f t="shared" si="116"/>
        <v>11</v>
      </c>
      <c r="V233" s="21">
        <f t="shared" si="131"/>
        <v>11.987680000000015</v>
      </c>
      <c r="W233" s="21">
        <f t="shared" si="132"/>
        <v>7.928324857142858</v>
      </c>
      <c r="X233" s="21">
        <f t="shared" si="121"/>
        <v>2.7659529999999979</v>
      </c>
      <c r="Y233" s="21">
        <f t="shared" si="122"/>
        <v>0</v>
      </c>
      <c r="Z233" s="221">
        <f t="shared" si="117"/>
        <v>9</v>
      </c>
      <c r="AA233" s="30">
        <f t="shared" si="104"/>
        <v>6.6854850690833461</v>
      </c>
      <c r="AB233" s="30">
        <f t="shared" si="105"/>
        <v>3.6729254092979819</v>
      </c>
      <c r="AC233" s="30">
        <f t="shared" si="106"/>
        <v>2.6269165545362472</v>
      </c>
      <c r="AD233" s="30">
        <f t="shared" si="107"/>
        <v>0</v>
      </c>
      <c r="AE233" s="32">
        <f t="shared" si="118"/>
        <v>12.985327032917576</v>
      </c>
      <c r="AF233" s="33">
        <f t="shared" si="125"/>
        <v>12.985327032917576</v>
      </c>
      <c r="AG233" s="40">
        <f t="shared" si="119"/>
        <v>32.770722481539629</v>
      </c>
      <c r="AH233" s="224">
        <f>AG233*$P$36</f>
        <v>2.7484362522939159</v>
      </c>
      <c r="AI233" s="226">
        <f>SUM(Z233,IF(Z233&lt;&gt;0,$F$34,0),IF(Z233&lt;&gt;0,$N$36,0),IF(Z233&lt;&gt;0,$T$36,0),IF(Z233=0,AH238,IF(Z233=1,AH239,IF(Z233=2,AH240,IF(Z233=3,AH241,IF(Z233=4,AH242,IF(Z233=5,AH243,IF(Z233=6,AH244,IF(Z233=7,AH245,IF(Z233=8,AH246,IF(Z233=9,AH247,IF(Z233=10,AH248,IF(Z233=11,AH249,IF(Z233=12,AH250,IF(Z233=13,AH251,IF(Z233=14,AH252,IF(Z233=15,AH253,IF(Z233=16,AH254,IF(Z233=17,AH255,IF(Z233=18,AH256,IF(Z233=19,AH257,IF(Z233=20,AH258,IF(Z233=21,AH259,IF(Z233=22,AH260,IF(Z233=23,AH261,IF(Z233=24,AH262,IF(Z233=25,AH263,IF(Z233=26,AH264,IF(Z233=27,AH265,IF(Z233=28,AH266,IF(Z233=29,AH267,IF(Z233=30,AH268))))))))))))))))))))))))))))))))</f>
        <v>34.709686384480634</v>
      </c>
      <c r="AJ233" s="253">
        <f>IF(V233&lt;&gt;0,SUM($F$34,V233,$N$36,MAX($AH$42:$AH$342),$T$36),0)</f>
        <v>41.579168610374467</v>
      </c>
      <c r="AK233" s="253">
        <f>IF(W233&lt;&gt;0,SUM($F$34,W233,$N$36,MAX($AH$42:$AH$342),$T$36),0)</f>
        <v>37.519813467517309</v>
      </c>
      <c r="AL233" s="253">
        <f>IF(X233&lt;&gt;0,SUM($F$34,X233,$N$36,MAX($AH$42:$AH$342),$T$36),0)</f>
        <v>32.357441610374444</v>
      </c>
      <c r="AM233" s="260">
        <f>IF(Y233&lt;&gt;0,SUM($F$34,Y233,$N$36,MAX($AH$42:$AH$342),$T$36),0)</f>
        <v>0</v>
      </c>
    </row>
    <row r="234" spans="1:39" x14ac:dyDescent="0.35">
      <c r="A234" s="259">
        <v>1612</v>
      </c>
      <c r="B234" s="58">
        <f>SUMIF([2]!Table2_23[ETA],'FIS Optimal Model (2)'!A234,[2]!Table2_23[FIS PAX])</f>
        <v>0</v>
      </c>
      <c r="C234" s="44">
        <f t="shared" si="120"/>
        <v>18</v>
      </c>
      <c r="D234" s="52">
        <f t="shared" si="123"/>
        <v>206</v>
      </c>
      <c r="E234" s="26">
        <f t="shared" si="108"/>
        <v>10</v>
      </c>
      <c r="F234" s="26">
        <f t="shared" si="109"/>
        <v>5</v>
      </c>
      <c r="G234" s="26">
        <f t="shared" si="110"/>
        <v>3</v>
      </c>
      <c r="H234" s="26">
        <f t="shared" si="111"/>
        <v>1</v>
      </c>
      <c r="I234" s="27">
        <f t="shared" si="126"/>
        <v>10</v>
      </c>
      <c r="J234" s="27">
        <f t="shared" si="126"/>
        <v>5</v>
      </c>
      <c r="K234" s="27">
        <f t="shared" si="126"/>
        <v>3</v>
      </c>
      <c r="L234" s="27">
        <f t="shared" si="124"/>
        <v>1</v>
      </c>
      <c r="M234" s="28">
        <f t="shared" si="141"/>
        <v>3</v>
      </c>
      <c r="N234" s="29">
        <f t="shared" si="142"/>
        <v>7</v>
      </c>
      <c r="O234" s="28">
        <f t="shared" si="143"/>
        <v>1</v>
      </c>
      <c r="P234" s="28">
        <f t="shared" si="144"/>
        <v>0</v>
      </c>
      <c r="Q234" s="28">
        <f t="shared" si="112"/>
        <v>11</v>
      </c>
      <c r="R234" s="22">
        <f t="shared" si="113"/>
        <v>92.362798989749052</v>
      </c>
      <c r="S234" s="22">
        <f t="shared" si="114"/>
        <v>33.68279216955623</v>
      </c>
      <c r="T234" s="22">
        <f t="shared" si="115"/>
        <v>8.4463364729850756</v>
      </c>
      <c r="U234" s="22">
        <f t="shared" si="116"/>
        <v>12</v>
      </c>
      <c r="V234" s="21">
        <f t="shared" si="131"/>
        <v>12.433880000000016</v>
      </c>
      <c r="W234" s="21">
        <f t="shared" si="132"/>
        <v>8.2535062857142858</v>
      </c>
      <c r="X234" s="21">
        <f t="shared" si="121"/>
        <v>2.8937739999999978</v>
      </c>
      <c r="Y234" s="21">
        <f t="shared" si="122"/>
        <v>0</v>
      </c>
      <c r="Z234" s="221">
        <f t="shared" si="117"/>
        <v>10</v>
      </c>
      <c r="AA234" s="30">
        <f t="shared" ref="AA234:AA297" si="145">IF(R234&lt;&gt;0,($J$33*M234*$L$36),0)</f>
        <v>6.6854850690833461</v>
      </c>
      <c r="AB234" s="30">
        <f t="shared" ref="AB234:AB297" si="146">IF(W234&lt;&gt;0,($J$34*N234*$L$36),0)</f>
        <v>3.6729254092979819</v>
      </c>
      <c r="AC234" s="30">
        <f t="shared" ref="AC234:AC297" si="147">IF(X234&lt;&gt;0,($J$35*O234*$L$36),0)</f>
        <v>2.6269165545362472</v>
      </c>
      <c r="AD234" s="30">
        <f t="shared" ref="AD234:AD297" si="148">IF(Y234&lt;&gt;0,($J$36*P234*$L$36),0)</f>
        <v>0</v>
      </c>
      <c r="AE234" s="32">
        <f t="shared" si="118"/>
        <v>12.985327032917576</v>
      </c>
      <c r="AF234" s="33">
        <f t="shared" si="125"/>
        <v>12.985327032917576</v>
      </c>
      <c r="AG234" s="40">
        <f t="shared" si="119"/>
        <v>33.832643085005422</v>
      </c>
      <c r="AH234" s="224">
        <f>AG234*$P$36</f>
        <v>2.8374980996568273</v>
      </c>
      <c r="AI234" s="226">
        <f>SUM(Z234,IF(Z234&lt;&gt;0,$F$34,0),IF(Z234&lt;&gt;0,$N$36,0),IF(Z234&lt;&gt;0,$T$36,0),IF(Z234=0,AH239,IF(Z234=1,AH240,IF(Z234=2,AH241,IF(Z234=3,AH242,IF(Z234=4,AH243,IF(Z234=5,AH244,IF(Z234=6,AH245,IF(Z234=7,AH246,IF(Z234=8,AH247,IF(Z234=9,AH248,IF(Z234=10,AH249,IF(Z234=11,AH250,IF(Z234=12,AH251,IF(Z234=13,AH252,IF(Z234=14,AH253,IF(Z234=15,AH254,IF(Z234=16,AH255,IF(Z234=17,AH256,IF(Z234=18,AH257,IF(Z234=19,AH258,IF(Z234=20,AH259,IF(Z234=21,AH260,IF(Z234=22,AH261,IF(Z234=23,AH262,IF(Z234=24,AH263,IF(Z234=25,AH264,IF(Z234=26,AH265,IF(Z234=27,AH266,IF(Z234=28,AH267,IF(Z234=29,AH268,IF(Z234=30,AH269))))))))))))))))))))))))))))))))</f>
        <v>36.125938168908448</v>
      </c>
      <c r="AJ234" s="253">
        <f>IF(V234&lt;&gt;0,SUM($F$34,V234,$N$36,MAX($AH$42:$AH$342),$T$36),0)</f>
        <v>42.025368610374464</v>
      </c>
      <c r="AK234" s="253">
        <f>IF(W234&lt;&gt;0,SUM($F$34,W234,$N$36,MAX($AH$42:$AH$342),$T$36),0)</f>
        <v>37.844994896088735</v>
      </c>
      <c r="AL234" s="253">
        <f>IF(X234&lt;&gt;0,SUM($F$34,X234,$N$36,MAX($AH$42:$AH$342),$T$36),0)</f>
        <v>32.485262610374448</v>
      </c>
      <c r="AM234" s="260">
        <f>IF(Y234&lt;&gt;0,SUM($F$34,Y234,$N$36,MAX($AH$42:$AH$342),$T$36),0)</f>
        <v>0</v>
      </c>
    </row>
    <row r="235" spans="1:39" x14ac:dyDescent="0.35">
      <c r="A235" s="259">
        <v>1613</v>
      </c>
      <c r="B235" s="58">
        <f>SUMIF([2]!Table2_23[ETA],'FIS Optimal Model (2)'!A235,[2]!Table2_23[FIS PAX])</f>
        <v>0</v>
      </c>
      <c r="C235" s="44">
        <f t="shared" si="120"/>
        <v>18</v>
      </c>
      <c r="D235" s="52">
        <f t="shared" si="123"/>
        <v>188</v>
      </c>
      <c r="E235" s="26">
        <f t="shared" ref="E235:E298" si="149">ROUNDUP($C$33*C235,0)</f>
        <v>10</v>
      </c>
      <c r="F235" s="26">
        <f t="shared" ref="F235:F298" si="150">ROUNDUP($C$34*C235,0)</f>
        <v>5</v>
      </c>
      <c r="G235" s="26">
        <f t="shared" ref="G235:G298" si="151">ROUNDUP($C$35*C235,0)</f>
        <v>3</v>
      </c>
      <c r="H235" s="26">
        <f t="shared" ref="H235:H298" si="152">ROUNDUP($C$36*C235,0)</f>
        <v>1</v>
      </c>
      <c r="I235" s="27">
        <f t="shared" si="126"/>
        <v>10</v>
      </c>
      <c r="J235" s="27">
        <f t="shared" si="126"/>
        <v>5</v>
      </c>
      <c r="K235" s="27">
        <f t="shared" si="126"/>
        <v>3</v>
      </c>
      <c r="L235" s="27">
        <f t="shared" si="124"/>
        <v>1</v>
      </c>
      <c r="M235" s="28">
        <f t="shared" si="141"/>
        <v>3</v>
      </c>
      <c r="N235" s="29">
        <f t="shared" si="142"/>
        <v>7</v>
      </c>
      <c r="O235" s="28">
        <f t="shared" si="143"/>
        <v>1</v>
      </c>
      <c r="P235" s="28">
        <f t="shared" si="144"/>
        <v>0</v>
      </c>
      <c r="Q235" s="28">
        <f t="shared" ref="Q235:Q298" si="153">SUM(M235:P235)</f>
        <v>11</v>
      </c>
      <c r="R235" s="22">
        <f t="shared" ref="R235:R298" si="154">MAX(R234-($J$33*M235*$L$36)+I235,0)</f>
        <v>95.677313920665711</v>
      </c>
      <c r="S235" s="22">
        <f t="shared" ref="S235:S298" si="155">IF(U235&lt;&gt;0,(MAX(S234-($J$34*N235*$L$36)+J235,0)),(MAX(S234-($J$34*(N235+P235)*$L$36)+J235,0)))</f>
        <v>35.009866760258248</v>
      </c>
      <c r="T235" s="22">
        <f t="shared" ref="T235:T298" si="156">MAX(T234-($J$35*O235*$L$36)+K235,0)</f>
        <v>8.819419918448828</v>
      </c>
      <c r="U235" s="22">
        <f t="shared" ref="U235:U298" si="157">MAX(U234-($J$36*P235*$L$36)+L235,0)</f>
        <v>13</v>
      </c>
      <c r="V235" s="21">
        <f t="shared" si="131"/>
        <v>12.880080000000017</v>
      </c>
      <c r="W235" s="21">
        <f t="shared" si="132"/>
        <v>8.5786877142857154</v>
      </c>
      <c r="X235" s="21">
        <f t="shared" si="121"/>
        <v>3.0215949999999974</v>
      </c>
      <c r="Y235" s="21">
        <f t="shared" si="122"/>
        <v>0</v>
      </c>
      <c r="Z235" s="221">
        <f t="shared" ref="Z235:Z298" si="158">ROUNDUP(SUM(V235*$C$33,W235*$C$34,X235*$C$35,Y235*$C$36),0)</f>
        <v>10</v>
      </c>
      <c r="AA235" s="30">
        <f t="shared" si="145"/>
        <v>6.6854850690833461</v>
      </c>
      <c r="AB235" s="30">
        <f t="shared" si="146"/>
        <v>3.6729254092979819</v>
      </c>
      <c r="AC235" s="30">
        <f t="shared" si="147"/>
        <v>2.6269165545362472</v>
      </c>
      <c r="AD235" s="30">
        <f t="shared" si="148"/>
        <v>0</v>
      </c>
      <c r="AE235" s="32">
        <f t="shared" ref="AE235:AE298" si="159">SUM(AA235:AD235)</f>
        <v>12.985327032917576</v>
      </c>
      <c r="AF235" s="33">
        <f t="shared" si="125"/>
        <v>12.985327032917576</v>
      </c>
      <c r="AG235" s="40">
        <f t="shared" ref="AG235:AG298" si="160">MAX(AG234-$Q$36+AF235,0)</f>
        <v>34.894563688471216</v>
      </c>
      <c r="AH235" s="224">
        <f>AG235*$P$36</f>
        <v>2.9265599470197388</v>
      </c>
      <c r="AI235" s="226">
        <f>SUM(Z235,IF(Z235&lt;&gt;0,$F$34,0),IF(Z235&lt;&gt;0,$N$36,0),IF(Z235&lt;&gt;0,$T$36,0),IF(Z235=0,AH240,IF(Z235=1,AH241,IF(Z235=2,AH242,IF(Z235=3,AH243,IF(Z235=4,AH244,IF(Z235=5,AH245,IF(Z235=6,AH246,IF(Z235=7,AH247,IF(Z235=8,AH248,IF(Z235=9,AH249,IF(Z235=10,AH250,IF(Z235=11,AH251,IF(Z235=12,AH252,IF(Z235=13,AH253,IF(Z235=14,AH254,IF(Z235=15,AH255,IF(Z235=16,AH256,IF(Z235=17,AH257,IF(Z235=18,AH258,IF(Z235=19,AH259,IF(Z235=20,AH260,IF(Z235=21,AH261,IF(Z235=22,AH262,IF(Z235=23,AH263,IF(Z235=24,AH264,IF(Z235=25,AH265,IF(Z235=26,AH266,IF(Z235=27,AH267,IF(Z235=28,AH268,IF(Z235=29,AH269,IF(Z235=30,AH270))))))))))))))))))))))))))))))))</f>
        <v>36.334064061122348</v>
      </c>
      <c r="AJ235" s="253">
        <f>IF(V235&lt;&gt;0,SUM($F$34,V235,$N$36,MAX($AH$42:$AH$342),$T$36),0)</f>
        <v>42.471568610374462</v>
      </c>
      <c r="AK235" s="253">
        <f>IF(W235&lt;&gt;0,SUM($F$34,W235,$N$36,MAX($AH$42:$AH$342),$T$36),0)</f>
        <v>38.170176324660162</v>
      </c>
      <c r="AL235" s="253">
        <f>IF(X235&lt;&gt;0,SUM($F$34,X235,$N$36,MAX($AH$42:$AH$342),$T$36),0)</f>
        <v>32.613083610374446</v>
      </c>
      <c r="AM235" s="260">
        <f>IF(Y235&lt;&gt;0,SUM($F$34,Y235,$N$36,MAX($AH$42:$AH$342),$T$36),0)</f>
        <v>0</v>
      </c>
    </row>
    <row r="236" spans="1:39" x14ac:dyDescent="0.35">
      <c r="A236" s="259">
        <v>1614</v>
      </c>
      <c r="B236" s="58">
        <f>SUMIF([2]!Table2_23[ETA],'FIS Optimal Model (2)'!A236,[2]!Table2_23[FIS PAX])</f>
        <v>0</v>
      </c>
      <c r="C236" s="44">
        <f t="shared" ref="C236:C299" si="161">IF((D235-D236)&gt;-1,(D235-D236),18)</f>
        <v>18</v>
      </c>
      <c r="D236" s="52">
        <f t="shared" si="123"/>
        <v>170</v>
      </c>
      <c r="E236" s="26">
        <f t="shared" si="149"/>
        <v>10</v>
      </c>
      <c r="F236" s="26">
        <f t="shared" si="150"/>
        <v>5</v>
      </c>
      <c r="G236" s="26">
        <f t="shared" si="151"/>
        <v>3</v>
      </c>
      <c r="H236" s="26">
        <f t="shared" si="152"/>
        <v>1</v>
      </c>
      <c r="I236" s="27">
        <f t="shared" si="126"/>
        <v>10</v>
      </c>
      <c r="J236" s="27">
        <f t="shared" si="126"/>
        <v>5</v>
      </c>
      <c r="K236" s="27">
        <f t="shared" si="126"/>
        <v>3</v>
      </c>
      <c r="L236" s="27">
        <f t="shared" si="124"/>
        <v>1</v>
      </c>
      <c r="M236" s="28">
        <f t="shared" si="141"/>
        <v>3</v>
      </c>
      <c r="N236" s="29">
        <f t="shared" si="142"/>
        <v>7</v>
      </c>
      <c r="O236" s="28">
        <f t="shared" si="143"/>
        <v>1</v>
      </c>
      <c r="P236" s="28">
        <f t="shared" si="144"/>
        <v>0</v>
      </c>
      <c r="Q236" s="28">
        <f t="shared" si="153"/>
        <v>11</v>
      </c>
      <c r="R236" s="22">
        <f t="shared" si="154"/>
        <v>98.991828851582369</v>
      </c>
      <c r="S236" s="22">
        <f t="shared" si="155"/>
        <v>36.336941350960267</v>
      </c>
      <c r="T236" s="22">
        <f t="shared" si="156"/>
        <v>9.1925033639125804</v>
      </c>
      <c r="U236" s="22">
        <f t="shared" si="157"/>
        <v>14</v>
      </c>
      <c r="V236" s="21">
        <f t="shared" si="131"/>
        <v>13.326280000000018</v>
      </c>
      <c r="W236" s="21">
        <f t="shared" si="132"/>
        <v>8.9038691428571433</v>
      </c>
      <c r="X236" s="21">
        <f t="shared" ref="X236:X299" si="162">IFERROR(T236*($I$35/O236),0)</f>
        <v>3.1494159999999973</v>
      </c>
      <c r="Y236" s="21">
        <f t="shared" ref="Y236:Y299" si="163">IFERROR(U236*($I$36/P236),0)</f>
        <v>0</v>
      </c>
      <c r="Z236" s="221">
        <f t="shared" si="158"/>
        <v>10</v>
      </c>
      <c r="AA236" s="30">
        <f t="shared" si="145"/>
        <v>6.6854850690833461</v>
      </c>
      <c r="AB236" s="30">
        <f t="shared" si="146"/>
        <v>3.6729254092979819</v>
      </c>
      <c r="AC236" s="30">
        <f t="shared" si="147"/>
        <v>2.6269165545362472</v>
      </c>
      <c r="AD236" s="30">
        <f t="shared" si="148"/>
        <v>0</v>
      </c>
      <c r="AE236" s="32">
        <f t="shared" si="159"/>
        <v>12.985327032917576</v>
      </c>
      <c r="AF236" s="33">
        <f t="shared" si="125"/>
        <v>12.985327032917576</v>
      </c>
      <c r="AG236" s="40">
        <f t="shared" si="160"/>
        <v>35.956484291937009</v>
      </c>
      <c r="AH236" s="224">
        <f>AG236*$P$36</f>
        <v>3.0156217943826507</v>
      </c>
      <c r="AI236" s="226">
        <f>SUM(Z236,IF(Z236&lt;&gt;0,$F$34,0),IF(Z236&lt;&gt;0,$N$36,0),IF(Z236&lt;&gt;0,$T$36,0),IF(Z236=0,AH241,IF(Z236=1,AH242,IF(Z236=2,AH243,IF(Z236=3,AH244,IF(Z236=4,AH245,IF(Z236=5,AH246,IF(Z236=6,AH247,IF(Z236=7,AH248,IF(Z236=8,AH249,IF(Z236=9,AH250,IF(Z236=10,AH251,IF(Z236=11,AH252,IF(Z236=12,AH253,IF(Z236=13,AH254,IF(Z236=14,AH255,IF(Z236=15,AH256,IF(Z236=16,AH257,IF(Z236=17,AH258,IF(Z236=18,AH259,IF(Z236=19,AH260,IF(Z236=20,AH261,IF(Z236=21,AH262,IF(Z236=22,AH263,IF(Z236=23,AH264,IF(Z236=24,AH265,IF(Z236=25,AH266,IF(Z236=26,AH267,IF(Z236=27,AH268,IF(Z236=28,AH269,IF(Z236=29,AH270,IF(Z236=30,AH271))))))))))))))))))))))))))))))))</f>
        <v>36.542189953336255</v>
      </c>
      <c r="AJ236" s="253">
        <f>IF(V236&lt;&gt;0,SUM($F$34,V236,$N$36,MAX($AH$42:$AH$342),$T$36),0)</f>
        <v>42.917768610374466</v>
      </c>
      <c r="AK236" s="253">
        <f>IF(W236&lt;&gt;0,SUM($F$34,W236,$N$36,MAX($AH$42:$AH$342),$T$36),0)</f>
        <v>38.495357753231588</v>
      </c>
      <c r="AL236" s="253">
        <f>IF(X236&lt;&gt;0,SUM($F$34,X236,$N$36,MAX($AH$42:$AH$342),$T$36),0)</f>
        <v>32.740904610374443</v>
      </c>
      <c r="AM236" s="260">
        <f>IF(Y236&lt;&gt;0,SUM($F$34,Y236,$N$36,MAX($AH$42:$AH$342),$T$36),0)</f>
        <v>0</v>
      </c>
    </row>
    <row r="237" spans="1:39" x14ac:dyDescent="0.35">
      <c r="A237" s="259">
        <v>1615</v>
      </c>
      <c r="B237" s="58">
        <f>SUMIF([2]!Table2_23[ETA],'FIS Optimal Model (2)'!A237,[2]!Table2_23[FIS PAX])</f>
        <v>0</v>
      </c>
      <c r="C237" s="44">
        <f t="shared" si="161"/>
        <v>18</v>
      </c>
      <c r="D237" s="52">
        <f t="shared" ref="D237:D300" si="164">MAX(D236-$E$34+B236,0)</f>
        <v>152</v>
      </c>
      <c r="E237" s="26">
        <f t="shared" si="149"/>
        <v>10</v>
      </c>
      <c r="F237" s="26">
        <f t="shared" si="150"/>
        <v>5</v>
      </c>
      <c r="G237" s="26">
        <f t="shared" si="151"/>
        <v>3</v>
      </c>
      <c r="H237" s="26">
        <f t="shared" si="152"/>
        <v>1</v>
      </c>
      <c r="I237" s="27">
        <f t="shared" si="126"/>
        <v>10</v>
      </c>
      <c r="J237" s="27">
        <f t="shared" si="126"/>
        <v>5</v>
      </c>
      <c r="K237" s="27">
        <f t="shared" si="126"/>
        <v>3</v>
      </c>
      <c r="L237" s="27">
        <f t="shared" si="124"/>
        <v>1</v>
      </c>
      <c r="M237" s="28">
        <f t="shared" si="141"/>
        <v>3</v>
      </c>
      <c r="N237" s="29">
        <f t="shared" si="142"/>
        <v>7</v>
      </c>
      <c r="O237" s="28">
        <f t="shared" si="143"/>
        <v>1</v>
      </c>
      <c r="P237" s="28">
        <f t="shared" si="144"/>
        <v>0</v>
      </c>
      <c r="Q237" s="28">
        <f t="shared" si="153"/>
        <v>11</v>
      </c>
      <c r="R237" s="22">
        <f t="shared" si="154"/>
        <v>102.30634378249903</v>
      </c>
      <c r="S237" s="22">
        <f t="shared" si="155"/>
        <v>37.664015941662285</v>
      </c>
      <c r="T237" s="22">
        <f t="shared" si="156"/>
        <v>9.5655868093763328</v>
      </c>
      <c r="U237" s="22">
        <f t="shared" si="157"/>
        <v>15</v>
      </c>
      <c r="V237" s="21">
        <f t="shared" si="131"/>
        <v>13.772480000000018</v>
      </c>
      <c r="W237" s="21">
        <f t="shared" si="132"/>
        <v>9.2290505714285729</v>
      </c>
      <c r="X237" s="21">
        <f t="shared" si="162"/>
        <v>3.2772369999999973</v>
      </c>
      <c r="Y237" s="21">
        <f t="shared" si="163"/>
        <v>0</v>
      </c>
      <c r="Z237" s="221">
        <f t="shared" si="158"/>
        <v>11</v>
      </c>
      <c r="AA237" s="30">
        <f t="shared" si="145"/>
        <v>6.6854850690833461</v>
      </c>
      <c r="AB237" s="30">
        <f t="shared" si="146"/>
        <v>3.6729254092979819</v>
      </c>
      <c r="AC237" s="30">
        <f t="shared" si="147"/>
        <v>2.6269165545362472</v>
      </c>
      <c r="AD237" s="30">
        <f t="shared" si="148"/>
        <v>0</v>
      </c>
      <c r="AE237" s="32">
        <f t="shared" si="159"/>
        <v>12.985327032917576</v>
      </c>
      <c r="AF237" s="33">
        <f t="shared" si="125"/>
        <v>12.985327032917576</v>
      </c>
      <c r="AG237" s="40">
        <f t="shared" si="160"/>
        <v>37.018404895402803</v>
      </c>
      <c r="AH237" s="224">
        <f>AG237*$P$36</f>
        <v>3.1046836417455621</v>
      </c>
      <c r="AI237" s="226">
        <f>SUM(Z237,IF(Z237&lt;&gt;0,$F$34,0),IF(Z237&lt;&gt;0,$N$36,0),IF(Z237&lt;&gt;0,$T$36,0),IF(Z237=0,AH242,IF(Z237=1,AH243,IF(Z237=2,AH244,IF(Z237=3,AH245,IF(Z237=4,AH246,IF(Z237=5,AH247,IF(Z237=6,AH248,IF(Z237=7,AH249,IF(Z237=8,AH250,IF(Z237=9,AH251,IF(Z237=10,AH252,IF(Z237=11,AH253,IF(Z237=12,AH254,IF(Z237=13,AH255,IF(Z237=14,AH256,IF(Z237=15,AH257,IF(Z237=16,AH258,IF(Z237=17,AH259,IF(Z237=18,AH260,IF(Z237=19,AH261,IF(Z237=20,AH262,IF(Z237=21,AH263,IF(Z237=22,AH264,IF(Z237=23,AH265,IF(Z237=24,AH266,IF(Z237=25,AH267,IF(Z237=26,AH268,IF(Z237=27,AH269,IF(Z237=28,AH270,IF(Z237=29,AH271,IF(Z237=30,AH272))))))))))))))))))))))))))))))))</f>
        <v>37.958441737764062</v>
      </c>
      <c r="AJ237" s="253">
        <f>IF(V237&lt;&gt;0,SUM($F$34,V237,$N$36,MAX($AH$42:$AH$342),$T$36),0)</f>
        <v>43.363968610374464</v>
      </c>
      <c r="AK237" s="253">
        <f>IF(W237&lt;&gt;0,SUM($F$34,W237,$N$36,MAX($AH$42:$AH$342),$T$36),0)</f>
        <v>38.820539181803021</v>
      </c>
      <c r="AL237" s="253">
        <f>IF(X237&lt;&gt;0,SUM($F$34,X237,$N$36,MAX($AH$42:$AH$342),$T$36),0)</f>
        <v>32.868725610374447</v>
      </c>
      <c r="AM237" s="260">
        <f>IF(Y237&lt;&gt;0,SUM($F$34,Y237,$N$36,MAX($AH$42:$AH$342),$T$36),0)</f>
        <v>0</v>
      </c>
    </row>
    <row r="238" spans="1:39" x14ac:dyDescent="0.35">
      <c r="A238" s="259">
        <v>1616</v>
      </c>
      <c r="B238" s="58">
        <f>SUMIF([2]!Table2_23[ETA],'FIS Optimal Model (2)'!A238,[2]!Table2_23[FIS PAX])</f>
        <v>0</v>
      </c>
      <c r="C238" s="44">
        <f t="shared" si="161"/>
        <v>18</v>
      </c>
      <c r="D238" s="52">
        <f t="shared" si="164"/>
        <v>134</v>
      </c>
      <c r="E238" s="26">
        <f t="shared" si="149"/>
        <v>10</v>
      </c>
      <c r="F238" s="26">
        <f t="shared" si="150"/>
        <v>5</v>
      </c>
      <c r="G238" s="26">
        <f t="shared" si="151"/>
        <v>3</v>
      </c>
      <c r="H238" s="26">
        <f t="shared" si="152"/>
        <v>1</v>
      </c>
      <c r="I238" s="27">
        <f t="shared" si="126"/>
        <v>10</v>
      </c>
      <c r="J238" s="27">
        <f t="shared" si="126"/>
        <v>5</v>
      </c>
      <c r="K238" s="27">
        <f t="shared" si="126"/>
        <v>3</v>
      </c>
      <c r="L238" s="27">
        <f t="shared" si="124"/>
        <v>1</v>
      </c>
      <c r="M238" s="28">
        <f>IF(R237=0,0,$Q$19)</f>
        <v>3</v>
      </c>
      <c r="N238" s="29">
        <f>$U$19-M238-O238-P238</f>
        <v>6</v>
      </c>
      <c r="O238" s="28">
        <f>IF(T237=0,0,$S$19)</f>
        <v>1</v>
      </c>
      <c r="P238" s="28">
        <f>IF(U237=0,0,$T$19)</f>
        <v>1</v>
      </c>
      <c r="Q238" s="28">
        <f t="shared" si="153"/>
        <v>11</v>
      </c>
      <c r="R238" s="22">
        <f t="shared" si="154"/>
        <v>105.62085871341569</v>
      </c>
      <c r="S238" s="22">
        <f t="shared" si="155"/>
        <v>39.515794162264015</v>
      </c>
      <c r="T238" s="22">
        <f t="shared" si="156"/>
        <v>9.9386702548400851</v>
      </c>
      <c r="U238" s="22">
        <f t="shared" si="157"/>
        <v>14.055647372207424</v>
      </c>
      <c r="V238" s="21">
        <f t="shared" si="131"/>
        <v>14.218680000000019</v>
      </c>
      <c r="W238" s="21">
        <f t="shared" si="132"/>
        <v>11.296604000000002</v>
      </c>
      <c r="X238" s="21">
        <f t="shared" si="162"/>
        <v>3.4050579999999968</v>
      </c>
      <c r="Y238" s="21">
        <f t="shared" si="163"/>
        <v>6.5060640000000003</v>
      </c>
      <c r="Z238" s="221">
        <f t="shared" si="158"/>
        <v>12</v>
      </c>
      <c r="AA238" s="30">
        <f t="shared" si="145"/>
        <v>6.6854850690833461</v>
      </c>
      <c r="AB238" s="30">
        <f t="shared" si="146"/>
        <v>3.1482217793982699</v>
      </c>
      <c r="AC238" s="30">
        <f t="shared" si="147"/>
        <v>2.6269165545362472</v>
      </c>
      <c r="AD238" s="30">
        <f t="shared" si="148"/>
        <v>1.9443526277925764</v>
      </c>
      <c r="AE238" s="32">
        <f t="shared" si="159"/>
        <v>14.404976030810438</v>
      </c>
      <c r="AF238" s="33">
        <f t="shared" si="125"/>
        <v>12.985327032917576</v>
      </c>
      <c r="AG238" s="40">
        <f t="shared" si="160"/>
        <v>38.080325498868596</v>
      </c>
      <c r="AH238" s="224">
        <f>AG238*$P$36</f>
        <v>3.1937454891084736</v>
      </c>
      <c r="AI238" s="226">
        <f>SUM(Z238,IF(Z238&lt;&gt;0,$F$34,0),IF(Z238&lt;&gt;0,$N$36,0),IF(Z238&lt;&gt;0,$T$36,0),IF(Z238=0,AH243,IF(Z238=1,AH244,IF(Z238=2,AH245,IF(Z238=3,AH246,IF(Z238=4,AH247,IF(Z238=5,AH248,IF(Z238=6,AH249,IF(Z238=7,AH250,IF(Z238=8,AH251,IF(Z238=9,AH252,IF(Z238=10,AH253,IF(Z238=11,AH254,IF(Z238=12,AH255,IF(Z238=13,AH256,IF(Z238=14,AH257,IF(Z238=15,AH258,IF(Z238=16,AH259,IF(Z238=17,AH260,IF(Z238=18,AH261,IF(Z238=19,AH262,IF(Z238=20,AH263,IF(Z238=21,AH264,IF(Z238=22,AH265,IF(Z238=23,AH266,IF(Z238=24,AH267,IF(Z238=25,AH268,IF(Z238=26,AH269,IF(Z238=27,AH270,IF(Z238=28,AH271,IF(Z238=29,AH272,IF(Z238=30,AH273))))))))))))))))))))))))))))))))</f>
        <v>39.374693522191869</v>
      </c>
      <c r="AJ238" s="253">
        <f>IF(V238&lt;&gt;0,SUM($F$34,V238,$N$36,MAX($AH$42:$AH$342),$T$36),0)</f>
        <v>43.810168610374468</v>
      </c>
      <c r="AK238" s="253">
        <f>IF(W238&lt;&gt;0,SUM($F$34,W238,$N$36,MAX($AH$42:$AH$342),$T$36),0)</f>
        <v>40.88809261037445</v>
      </c>
      <c r="AL238" s="253">
        <f>IF(X238&lt;&gt;0,SUM($F$34,X238,$N$36,MAX($AH$42:$AH$342),$T$36),0)</f>
        <v>32.996546610374445</v>
      </c>
      <c r="AM238" s="260">
        <f>IF(Y238&lt;&gt;0,SUM($F$34,Y238,$N$36,MAX($AH$42:$AH$342),$T$36),0)</f>
        <v>36.09755261037445</v>
      </c>
    </row>
    <row r="239" spans="1:39" x14ac:dyDescent="0.35">
      <c r="A239" s="259">
        <v>1617</v>
      </c>
      <c r="B239" s="58">
        <f>SUMIF([2]!Table2_23[ETA],'FIS Optimal Model (2)'!A239,[2]!Table2_23[FIS PAX])</f>
        <v>0</v>
      </c>
      <c r="C239" s="44">
        <f t="shared" si="161"/>
        <v>18</v>
      </c>
      <c r="D239" s="52">
        <f t="shared" si="164"/>
        <v>116</v>
      </c>
      <c r="E239" s="26">
        <f t="shared" si="149"/>
        <v>10</v>
      </c>
      <c r="F239" s="26">
        <f t="shared" si="150"/>
        <v>5</v>
      </c>
      <c r="G239" s="26">
        <f t="shared" si="151"/>
        <v>3</v>
      </c>
      <c r="H239" s="26">
        <f t="shared" si="152"/>
        <v>1</v>
      </c>
      <c r="I239" s="27">
        <f t="shared" si="126"/>
        <v>10</v>
      </c>
      <c r="J239" s="27">
        <f t="shared" si="126"/>
        <v>5</v>
      </c>
      <c r="K239" s="27">
        <f t="shared" si="126"/>
        <v>3</v>
      </c>
      <c r="L239" s="27">
        <f t="shared" si="126"/>
        <v>1</v>
      </c>
      <c r="M239" s="28">
        <f>$M$238</f>
        <v>3</v>
      </c>
      <c r="N239" s="29">
        <f>$N$238</f>
        <v>6</v>
      </c>
      <c r="O239" s="28">
        <f>$O$238</f>
        <v>1</v>
      </c>
      <c r="P239" s="28">
        <f>$P$238</f>
        <v>1</v>
      </c>
      <c r="Q239" s="28">
        <f t="shared" si="153"/>
        <v>11</v>
      </c>
      <c r="R239" s="22">
        <f t="shared" si="154"/>
        <v>108.93537364433234</v>
      </c>
      <c r="S239" s="22">
        <f t="shared" si="155"/>
        <v>41.367572382865745</v>
      </c>
      <c r="T239" s="22">
        <f t="shared" si="156"/>
        <v>10.311753700303838</v>
      </c>
      <c r="U239" s="22">
        <f t="shared" si="157"/>
        <v>13.111294744414849</v>
      </c>
      <c r="V239" s="21">
        <f t="shared" si="131"/>
        <v>14.66488000000002</v>
      </c>
      <c r="W239" s="21">
        <f t="shared" si="132"/>
        <v>11.825982333333334</v>
      </c>
      <c r="X239" s="21">
        <f t="shared" si="162"/>
        <v>3.5328789999999968</v>
      </c>
      <c r="Y239" s="21">
        <f t="shared" si="163"/>
        <v>6.0689430000000009</v>
      </c>
      <c r="Z239" s="221">
        <f t="shared" si="158"/>
        <v>12</v>
      </c>
      <c r="AA239" s="30">
        <f t="shared" si="145"/>
        <v>6.6854850690833461</v>
      </c>
      <c r="AB239" s="30">
        <f t="shared" si="146"/>
        <v>3.1482217793982699</v>
      </c>
      <c r="AC239" s="30">
        <f t="shared" si="147"/>
        <v>2.6269165545362472</v>
      </c>
      <c r="AD239" s="30">
        <f t="shared" si="148"/>
        <v>1.9443526277925764</v>
      </c>
      <c r="AE239" s="32">
        <f t="shared" si="159"/>
        <v>14.404976030810438</v>
      </c>
      <c r="AF239" s="33">
        <f t="shared" ref="AF239:AF302" si="165">AE235</f>
        <v>12.985327032917576</v>
      </c>
      <c r="AG239" s="40">
        <f t="shared" si="160"/>
        <v>39.14224610233439</v>
      </c>
      <c r="AH239" s="224">
        <f>AG239*$P$36</f>
        <v>3.2828073364713855</v>
      </c>
      <c r="AI239" s="226">
        <f>SUM(Z239,IF(Z239&lt;&gt;0,$F$34,0),IF(Z239&lt;&gt;0,$N$36,0),IF(Z239&lt;&gt;0,$T$36,0),IF(Z239=0,AH244,IF(Z239=1,AH245,IF(Z239=2,AH246,IF(Z239=3,AH247,IF(Z239=4,AH248,IF(Z239=5,AH249,IF(Z239=6,AH250,IF(Z239=7,AH251,IF(Z239=8,AH252,IF(Z239=9,AH253,IF(Z239=10,AH254,IF(Z239=11,AH255,IF(Z239=12,AH256,IF(Z239=13,AH257,IF(Z239=14,AH258,IF(Z239=15,AH259,IF(Z239=16,AH260,IF(Z239=17,AH261,IF(Z239=18,AH262,IF(Z239=19,AH263,IF(Z239=20,AH264,IF(Z239=21,AH265,IF(Z239=22,AH266,IF(Z239=23,AH267,IF(Z239=24,AH268,IF(Z239=25,AH269,IF(Z239=26,AH270,IF(Z239=27,AH271,IF(Z239=28,AH272,IF(Z239=29,AH273,IF(Z239=30,AH274))))))))))))))))))))))))))))))))</f>
        <v>39.419749184493135</v>
      </c>
      <c r="AJ239" s="253">
        <f>IF(V239&lt;&gt;0,SUM($F$34,V239,$N$36,MAX($AH$42:$AH$342),$T$36),0)</f>
        <v>44.256368610374466</v>
      </c>
      <c r="AK239" s="253">
        <f>IF(W239&lt;&gt;0,SUM($F$34,W239,$N$36,MAX($AH$42:$AH$342),$T$36),0)</f>
        <v>41.417470943707784</v>
      </c>
      <c r="AL239" s="253">
        <f>IF(X239&lt;&gt;0,SUM($F$34,X239,$N$36,MAX($AH$42:$AH$342),$T$36),0)</f>
        <v>33.124367610374449</v>
      </c>
      <c r="AM239" s="260">
        <f>IF(Y239&lt;&gt;0,SUM($F$34,Y239,$N$36,MAX($AH$42:$AH$342),$T$36),0)</f>
        <v>35.660431610374445</v>
      </c>
    </row>
    <row r="240" spans="1:39" x14ac:dyDescent="0.35">
      <c r="A240" s="259">
        <v>1618</v>
      </c>
      <c r="B240" s="58">
        <f>SUMIF([2]!Table2_23[ETA],'FIS Optimal Model (2)'!A240,[2]!Table2_23[FIS PAX])</f>
        <v>0</v>
      </c>
      <c r="C240" s="44">
        <f t="shared" si="161"/>
        <v>18</v>
      </c>
      <c r="D240" s="52">
        <f t="shared" si="164"/>
        <v>98</v>
      </c>
      <c r="E240" s="26">
        <f t="shared" si="149"/>
        <v>10</v>
      </c>
      <c r="F240" s="26">
        <f t="shared" si="150"/>
        <v>5</v>
      </c>
      <c r="G240" s="26">
        <f t="shared" si="151"/>
        <v>3</v>
      </c>
      <c r="H240" s="26">
        <f t="shared" si="152"/>
        <v>1</v>
      </c>
      <c r="I240" s="27">
        <f t="shared" ref="I240:L303" si="166">E235</f>
        <v>10</v>
      </c>
      <c r="J240" s="27">
        <f t="shared" si="166"/>
        <v>5</v>
      </c>
      <c r="K240" s="27">
        <f t="shared" si="166"/>
        <v>3</v>
      </c>
      <c r="L240" s="27">
        <f t="shared" si="166"/>
        <v>1</v>
      </c>
      <c r="M240" s="28">
        <f t="shared" ref="M240:M252" si="167">$M$238</f>
        <v>3</v>
      </c>
      <c r="N240" s="29">
        <f t="shared" ref="N240:N252" si="168">$N$238</f>
        <v>6</v>
      </c>
      <c r="O240" s="28">
        <f t="shared" ref="O240:O252" si="169">$O$238</f>
        <v>1</v>
      </c>
      <c r="P240" s="28">
        <f t="shared" ref="P240:P252" si="170">$P$238</f>
        <v>1</v>
      </c>
      <c r="Q240" s="28">
        <f t="shared" si="153"/>
        <v>11</v>
      </c>
      <c r="R240" s="22">
        <f t="shared" si="154"/>
        <v>112.249888575249</v>
      </c>
      <c r="S240" s="22">
        <f t="shared" si="155"/>
        <v>43.219350603467475</v>
      </c>
      <c r="T240" s="22">
        <f t="shared" si="156"/>
        <v>10.68483714576759</v>
      </c>
      <c r="U240" s="22">
        <f t="shared" si="157"/>
        <v>12.166942116622273</v>
      </c>
      <c r="V240" s="21">
        <f t="shared" si="131"/>
        <v>15.111080000000019</v>
      </c>
      <c r="W240" s="21">
        <f t="shared" si="132"/>
        <v>12.355360666666668</v>
      </c>
      <c r="X240" s="21">
        <f t="shared" si="162"/>
        <v>3.6606999999999967</v>
      </c>
      <c r="Y240" s="21">
        <f t="shared" si="163"/>
        <v>5.6318220000000014</v>
      </c>
      <c r="Z240" s="221">
        <f t="shared" si="158"/>
        <v>13</v>
      </c>
      <c r="AA240" s="30">
        <f t="shared" si="145"/>
        <v>6.6854850690833461</v>
      </c>
      <c r="AB240" s="30">
        <f t="shared" si="146"/>
        <v>3.1482217793982699</v>
      </c>
      <c r="AC240" s="30">
        <f t="shared" si="147"/>
        <v>2.6269165545362472</v>
      </c>
      <c r="AD240" s="30">
        <f t="shared" si="148"/>
        <v>1.9443526277925764</v>
      </c>
      <c r="AE240" s="32">
        <f t="shared" si="159"/>
        <v>14.404976030810438</v>
      </c>
      <c r="AF240" s="33">
        <f t="shared" si="165"/>
        <v>12.985327032917576</v>
      </c>
      <c r="AG240" s="40">
        <f t="shared" si="160"/>
        <v>40.204166705800183</v>
      </c>
      <c r="AH240" s="224">
        <f>AG240*$P$36</f>
        <v>3.3718691838342969</v>
      </c>
      <c r="AI240" s="226">
        <f>SUM(Z240,IF(Z240&lt;&gt;0,$F$34,0),IF(Z240&lt;&gt;0,$N$36,0),IF(Z240&lt;&gt;0,$T$36,0),IF(Z240=0,AH245,IF(Z240=1,AH246,IF(Z240=2,AH247,IF(Z240=3,AH248,IF(Z240=4,AH249,IF(Z240=5,AH250,IF(Z240=6,AH251,IF(Z240=7,AH252,IF(Z240=8,AH253,IF(Z240=9,AH254,IF(Z240=10,AH255,IF(Z240=11,AH256,IF(Z240=12,AH257,IF(Z240=13,AH258,IF(Z240=14,AH259,IF(Z240=15,AH260,IF(Z240=16,AH261,IF(Z240=17,AH262,IF(Z240=18,AH263,IF(Z240=19,AH264,IF(Z240=20,AH265,IF(Z240=21,AH266,IF(Z240=22,AH267,IF(Z240=23,AH268,IF(Z240=24,AH269,IF(Z240=25,AH270,IF(Z240=26,AH271,IF(Z240=27,AH272,IF(Z240=28,AH273,IF(Z240=29,AH274,IF(Z240=30,AH275))))))))))))))))))))))))))))))))</f>
        <v>40.597872879218961</v>
      </c>
      <c r="AJ240" s="253">
        <f>IF(V240&lt;&gt;0,SUM($F$34,V240,$N$36,MAX($AH$42:$AH$342),$T$36),0)</f>
        <v>44.70256861037447</v>
      </c>
      <c r="AK240" s="253">
        <f>IF(W240&lt;&gt;0,SUM($F$34,W240,$N$36,MAX($AH$42:$AH$342),$T$36),0)</f>
        <v>41.946849277041117</v>
      </c>
      <c r="AL240" s="253">
        <f>IF(X240&lt;&gt;0,SUM($F$34,X240,$N$36,MAX($AH$42:$AH$342),$T$36),0)</f>
        <v>33.252188610374446</v>
      </c>
      <c r="AM240" s="260">
        <f>IF(Y240&lt;&gt;0,SUM($F$34,Y240,$N$36,MAX($AH$42:$AH$342),$T$36),0)</f>
        <v>35.223310610374448</v>
      </c>
    </row>
    <row r="241" spans="1:39" x14ac:dyDescent="0.35">
      <c r="A241" s="259">
        <v>1619</v>
      </c>
      <c r="B241" s="58">
        <f>SUMIF([2]!Table2_23[ETA],'FIS Optimal Model (2)'!A241,[2]!Table2_23[FIS PAX])</f>
        <v>0</v>
      </c>
      <c r="C241" s="44">
        <f t="shared" si="161"/>
        <v>18</v>
      </c>
      <c r="D241" s="52">
        <f t="shared" si="164"/>
        <v>80</v>
      </c>
      <c r="E241" s="26">
        <f t="shared" si="149"/>
        <v>10</v>
      </c>
      <c r="F241" s="26">
        <f t="shared" si="150"/>
        <v>5</v>
      </c>
      <c r="G241" s="26">
        <f t="shared" si="151"/>
        <v>3</v>
      </c>
      <c r="H241" s="26">
        <f t="shared" si="152"/>
        <v>1</v>
      </c>
      <c r="I241" s="27">
        <f t="shared" si="166"/>
        <v>10</v>
      </c>
      <c r="J241" s="27">
        <f t="shared" si="166"/>
        <v>5</v>
      </c>
      <c r="K241" s="27">
        <f t="shared" si="166"/>
        <v>3</v>
      </c>
      <c r="L241" s="27">
        <f t="shared" si="166"/>
        <v>1</v>
      </c>
      <c r="M241" s="28">
        <f t="shared" si="167"/>
        <v>3</v>
      </c>
      <c r="N241" s="29">
        <f t="shared" si="168"/>
        <v>6</v>
      </c>
      <c r="O241" s="28">
        <f t="shared" si="169"/>
        <v>1</v>
      </c>
      <c r="P241" s="28">
        <f t="shared" si="170"/>
        <v>1</v>
      </c>
      <c r="Q241" s="28">
        <f t="shared" si="153"/>
        <v>11</v>
      </c>
      <c r="R241" s="22">
        <f t="shared" si="154"/>
        <v>115.56440350616566</v>
      </c>
      <c r="S241" s="22">
        <f t="shared" si="155"/>
        <v>45.071128824069206</v>
      </c>
      <c r="T241" s="22">
        <f t="shared" si="156"/>
        <v>11.057920591231342</v>
      </c>
      <c r="U241" s="22">
        <f t="shared" si="157"/>
        <v>11.222589488829698</v>
      </c>
      <c r="V241" s="21">
        <f t="shared" si="131"/>
        <v>15.55728000000002</v>
      </c>
      <c r="W241" s="21">
        <f t="shared" si="132"/>
        <v>12.884739000000001</v>
      </c>
      <c r="X241" s="21">
        <f t="shared" si="162"/>
        <v>3.7885209999999963</v>
      </c>
      <c r="Y241" s="21">
        <f t="shared" si="163"/>
        <v>5.1947010000000011</v>
      </c>
      <c r="Z241" s="221">
        <f t="shared" si="158"/>
        <v>13</v>
      </c>
      <c r="AA241" s="30">
        <f t="shared" si="145"/>
        <v>6.6854850690833461</v>
      </c>
      <c r="AB241" s="30">
        <f t="shared" si="146"/>
        <v>3.1482217793982699</v>
      </c>
      <c r="AC241" s="30">
        <f t="shared" si="147"/>
        <v>2.6269165545362472</v>
      </c>
      <c r="AD241" s="30">
        <f t="shared" si="148"/>
        <v>1.9443526277925764</v>
      </c>
      <c r="AE241" s="32">
        <f t="shared" si="159"/>
        <v>14.404976030810438</v>
      </c>
      <c r="AF241" s="33">
        <f t="shared" si="165"/>
        <v>12.985327032917576</v>
      </c>
      <c r="AG241" s="40">
        <f t="shared" si="160"/>
        <v>41.266087309265977</v>
      </c>
      <c r="AH241" s="224">
        <f>AG241*$P$36</f>
        <v>3.4609310311972088</v>
      </c>
      <c r="AI241" s="226">
        <f>SUM(Z241,IF(Z241&lt;&gt;0,$F$34,0),IF(Z241&lt;&gt;0,$N$36,0),IF(Z241&lt;&gt;0,$T$36,0),IF(Z241=0,AH246,IF(Z241=1,AH247,IF(Z241=2,AH248,IF(Z241=3,AH249,IF(Z241=4,AH250,IF(Z241=5,AH251,IF(Z241=6,AH252,IF(Z241=7,AH253,IF(Z241=8,AH254,IF(Z241=9,AH255,IF(Z241=10,AH256,IF(Z241=11,AH257,IF(Z241=12,AH258,IF(Z241=13,AH259,IF(Z241=14,AH260,IF(Z241=15,AH261,IF(Z241=16,AH262,IF(Z241=17,AH263,IF(Z241=18,AH264,IF(Z241=19,AH265,IF(Z241=20,AH266,IF(Z241=21,AH267,IF(Z241=22,AH268,IF(Z241=23,AH269,IF(Z241=24,AH270,IF(Z241=25,AH271,IF(Z241=26,AH272,IF(Z241=27,AH273,IF(Z241=28,AH274,IF(Z241=29,AH275,IF(Z241=30,AH276))))))))))))))))))))))))))))))))</f>
        <v>40.686934726581875</v>
      </c>
      <c r="AJ241" s="253">
        <f>IF(V241&lt;&gt;0,SUM($F$34,V241,$N$36,MAX($AH$42:$AH$342),$T$36),0)</f>
        <v>45.148768610374468</v>
      </c>
      <c r="AK241" s="253">
        <f>IF(W241&lt;&gt;0,SUM($F$34,W241,$N$36,MAX($AH$42:$AH$342),$T$36),0)</f>
        <v>42.476227610374451</v>
      </c>
      <c r="AL241" s="253">
        <f>IF(X241&lt;&gt;0,SUM($F$34,X241,$N$36,MAX($AH$42:$AH$342),$T$36),0)</f>
        <v>33.380009610374444</v>
      </c>
      <c r="AM241" s="260">
        <f>IF(Y241&lt;&gt;0,SUM($F$34,Y241,$N$36,MAX($AH$42:$AH$342),$T$36),0)</f>
        <v>34.78618961037445</v>
      </c>
    </row>
    <row r="242" spans="1:39" x14ac:dyDescent="0.35">
      <c r="A242" s="259">
        <v>1620</v>
      </c>
      <c r="B242" s="58">
        <f>SUMIF([2]!Table2_23[ETA],'FIS Optimal Model (2)'!A242,[2]!Table2_23[FIS PAX])</f>
        <v>0</v>
      </c>
      <c r="C242" s="44">
        <f t="shared" si="161"/>
        <v>18</v>
      </c>
      <c r="D242" s="52">
        <f t="shared" si="164"/>
        <v>62</v>
      </c>
      <c r="E242" s="26">
        <f t="shared" si="149"/>
        <v>10</v>
      </c>
      <c r="F242" s="26">
        <f t="shared" si="150"/>
        <v>5</v>
      </c>
      <c r="G242" s="26">
        <f t="shared" si="151"/>
        <v>3</v>
      </c>
      <c r="H242" s="26">
        <f t="shared" si="152"/>
        <v>1</v>
      </c>
      <c r="I242" s="27">
        <f t="shared" si="166"/>
        <v>10</v>
      </c>
      <c r="J242" s="27">
        <f t="shared" si="166"/>
        <v>5</v>
      </c>
      <c r="K242" s="27">
        <f t="shared" si="166"/>
        <v>3</v>
      </c>
      <c r="L242" s="27">
        <f t="shared" si="166"/>
        <v>1</v>
      </c>
      <c r="M242" s="28">
        <f t="shared" si="167"/>
        <v>3</v>
      </c>
      <c r="N242" s="29">
        <f t="shared" si="168"/>
        <v>6</v>
      </c>
      <c r="O242" s="28">
        <f t="shared" si="169"/>
        <v>1</v>
      </c>
      <c r="P242" s="28">
        <f t="shared" si="170"/>
        <v>1</v>
      </c>
      <c r="Q242" s="28">
        <f t="shared" si="153"/>
        <v>11</v>
      </c>
      <c r="R242" s="22">
        <f t="shared" si="154"/>
        <v>118.87891843708232</v>
      </c>
      <c r="S242" s="22">
        <f t="shared" si="155"/>
        <v>46.922907044670936</v>
      </c>
      <c r="T242" s="22">
        <f t="shared" si="156"/>
        <v>11.431004036695095</v>
      </c>
      <c r="U242" s="22">
        <f t="shared" si="157"/>
        <v>10.278236861037122</v>
      </c>
      <c r="V242" s="21">
        <f t="shared" si="131"/>
        <v>16.003480000000021</v>
      </c>
      <c r="W242" s="21">
        <f t="shared" si="132"/>
        <v>13.414117333333335</v>
      </c>
      <c r="X242" s="21">
        <f t="shared" si="162"/>
        <v>3.9163419999999962</v>
      </c>
      <c r="Y242" s="21">
        <f t="shared" si="163"/>
        <v>4.7575800000000017</v>
      </c>
      <c r="Z242" s="221">
        <f t="shared" si="158"/>
        <v>13</v>
      </c>
      <c r="AA242" s="30">
        <f t="shared" si="145"/>
        <v>6.6854850690833461</v>
      </c>
      <c r="AB242" s="30">
        <f t="shared" si="146"/>
        <v>3.1482217793982699</v>
      </c>
      <c r="AC242" s="30">
        <f t="shared" si="147"/>
        <v>2.6269165545362472</v>
      </c>
      <c r="AD242" s="30">
        <f t="shared" si="148"/>
        <v>1.9443526277925764</v>
      </c>
      <c r="AE242" s="32">
        <f t="shared" si="159"/>
        <v>14.404976030810438</v>
      </c>
      <c r="AF242" s="33">
        <f t="shared" si="165"/>
        <v>14.404976030810438</v>
      </c>
      <c r="AG242" s="40">
        <f>MAX(AG241-$Q$36+AF242,0)</f>
        <v>43.747656910624634</v>
      </c>
      <c r="AH242" s="224">
        <f>AG242*$P$36</f>
        <v>3.6690569234111132</v>
      </c>
      <c r="AI242" s="226">
        <f>SUM(Z242,IF(Z242&lt;&gt;0,$F$34,0),IF(Z242&lt;&gt;0,$N$36,0),IF(Z242&lt;&gt;0,$T$36,0),IF(Z242=0,AH247,IF(Z242=1,AH248,IF(Z242=2,AH249,IF(Z242=3,AH250,IF(Z242=4,AH251,IF(Z242=5,AH252,IF(Z242=6,AH253,IF(Z242=7,AH254,IF(Z242=8,AH255,IF(Z242=9,AH256,IF(Z242=10,AH257,IF(Z242=11,AH258,IF(Z242=12,AH259,IF(Z242=13,AH260,IF(Z242=14,AH261,IF(Z242=15,AH262,IF(Z242=16,AH263,IF(Z242=17,AH264,IF(Z242=18,AH265,IF(Z242=19,AH266,IF(Z242=20,AH267,IF(Z242=21,AH268,IF(Z242=22,AH269,IF(Z242=23,AH270,IF(Z242=24,AH271,IF(Z242=25,AH272,IF(Z242=26,AH273,IF(Z242=27,AH274,IF(Z242=28,AH275,IF(Z242=29,AH276,IF(Z242=30,AH277))))))))))))))))))))))))))))))))</f>
        <v>40.775996573944781</v>
      </c>
      <c r="AJ242" s="253">
        <f>IF(V242&lt;&gt;0,SUM($F$34,V242,$N$36,MAX($AH$42:$AH$342),$T$36),0)</f>
        <v>45.594968610374465</v>
      </c>
      <c r="AK242" s="253">
        <f>IF(W242&lt;&gt;0,SUM($F$34,W242,$N$36,MAX($AH$42:$AH$342),$T$36),0)</f>
        <v>43.005605943707785</v>
      </c>
      <c r="AL242" s="253">
        <f>IF(X242&lt;&gt;0,SUM($F$34,X242,$N$36,MAX($AH$42:$AH$342),$T$36),0)</f>
        <v>33.507830610374441</v>
      </c>
      <c r="AM242" s="260">
        <f>IF(Y242&lt;&gt;0,SUM($F$34,Y242,$N$36,MAX($AH$42:$AH$342),$T$36),0)</f>
        <v>34.349068610374445</v>
      </c>
    </row>
    <row r="243" spans="1:39" x14ac:dyDescent="0.35">
      <c r="A243" s="259">
        <v>1621</v>
      </c>
      <c r="B243" s="58">
        <f>SUMIF([2]!Table2_23[ETA],'FIS Optimal Model (2)'!A243,[2]!Table2_23[FIS PAX])</f>
        <v>0</v>
      </c>
      <c r="C243" s="44">
        <f t="shared" si="161"/>
        <v>18</v>
      </c>
      <c r="D243" s="52">
        <f t="shared" si="164"/>
        <v>44</v>
      </c>
      <c r="E243" s="26">
        <f t="shared" si="149"/>
        <v>10</v>
      </c>
      <c r="F243" s="26">
        <f t="shared" si="150"/>
        <v>5</v>
      </c>
      <c r="G243" s="26">
        <f t="shared" si="151"/>
        <v>3</v>
      </c>
      <c r="H243" s="26">
        <f t="shared" si="152"/>
        <v>1</v>
      </c>
      <c r="I243" s="27">
        <f t="shared" si="166"/>
        <v>10</v>
      </c>
      <c r="J243" s="27">
        <f t="shared" si="166"/>
        <v>5</v>
      </c>
      <c r="K243" s="27">
        <f t="shared" si="166"/>
        <v>3</v>
      </c>
      <c r="L243" s="27">
        <f t="shared" si="166"/>
        <v>1</v>
      </c>
      <c r="M243" s="28">
        <f t="shared" si="167"/>
        <v>3</v>
      </c>
      <c r="N243" s="29">
        <f t="shared" si="168"/>
        <v>6</v>
      </c>
      <c r="O243" s="28">
        <f t="shared" si="169"/>
        <v>1</v>
      </c>
      <c r="P243" s="28">
        <f t="shared" si="170"/>
        <v>1</v>
      </c>
      <c r="Q243" s="28">
        <f t="shared" si="153"/>
        <v>11</v>
      </c>
      <c r="R243" s="22">
        <f t="shared" si="154"/>
        <v>122.19343336799898</v>
      </c>
      <c r="S243" s="22">
        <f t="shared" si="155"/>
        <v>48.774685265272666</v>
      </c>
      <c r="T243" s="22">
        <f t="shared" si="156"/>
        <v>11.804087482158847</v>
      </c>
      <c r="U243" s="22">
        <f t="shared" si="157"/>
        <v>9.3338842332445466</v>
      </c>
      <c r="V243" s="21">
        <f t="shared" si="131"/>
        <v>16.449680000000022</v>
      </c>
      <c r="W243" s="21">
        <f t="shared" si="132"/>
        <v>13.943495666666669</v>
      </c>
      <c r="X243" s="21">
        <f t="shared" si="162"/>
        <v>4.0441629999999957</v>
      </c>
      <c r="Y243" s="21">
        <f t="shared" si="163"/>
        <v>4.3204590000000023</v>
      </c>
      <c r="Z243" s="221">
        <f t="shared" si="158"/>
        <v>14</v>
      </c>
      <c r="AA243" s="30">
        <f t="shared" si="145"/>
        <v>6.6854850690833461</v>
      </c>
      <c r="AB243" s="30">
        <f t="shared" si="146"/>
        <v>3.1482217793982699</v>
      </c>
      <c r="AC243" s="30">
        <f t="shared" si="147"/>
        <v>2.6269165545362472</v>
      </c>
      <c r="AD243" s="30">
        <f t="shared" si="148"/>
        <v>1.9443526277925764</v>
      </c>
      <c r="AE243" s="32">
        <f t="shared" si="159"/>
        <v>14.404976030810438</v>
      </c>
      <c r="AF243" s="33">
        <f t="shared" si="165"/>
        <v>14.404976030810438</v>
      </c>
      <c r="AG243" s="40">
        <f t="shared" si="160"/>
        <v>46.229226511983292</v>
      </c>
      <c r="AH243" s="224">
        <f>AG243*$P$36</f>
        <v>3.8771828156250177</v>
      </c>
      <c r="AI243" s="226">
        <f>SUM(Z243,IF(Z243&lt;&gt;0,$F$34,0),IF(Z243&lt;&gt;0,$N$36,0),IF(Z243&lt;&gt;0,$T$36,0),IF(Z243=0,AH248,IF(Z243=1,AH249,IF(Z243=2,AH250,IF(Z243=3,AH251,IF(Z243=4,AH252,IF(Z243=5,AH253,IF(Z243=6,AH254,IF(Z243=7,AH255,IF(Z243=8,AH256,IF(Z243=9,AH257,IF(Z243=10,AH258,IF(Z243=11,AH259,IF(Z243=12,AH260,IF(Z243=13,AH261,IF(Z243=14,AH262,IF(Z243=15,AH263,IF(Z243=16,AH264,IF(Z243=17,AH265,IF(Z243=18,AH266,IF(Z243=19,AH267,IF(Z243=20,AH268,IF(Z243=21,AH269,IF(Z243=22,AH270,IF(Z243=23,AH271,IF(Z243=24,AH272,IF(Z243=25,AH273,IF(Z243=26,AH274,IF(Z243=27,AH275,IF(Z243=28,AH276,IF(Z243=29,AH277,IF(Z243=30,AH278))))))))))))))))))))))))))))))))</f>
        <v>41.954120268670607</v>
      </c>
      <c r="AJ243" s="253">
        <f>IF(V243&lt;&gt;0,SUM($F$34,V243,$N$36,MAX($AH$42:$AH$342),$T$36),0)</f>
        <v>46.04116861037447</v>
      </c>
      <c r="AK243" s="253">
        <f>IF(W243&lt;&gt;0,SUM($F$34,W243,$N$36,MAX($AH$42:$AH$342),$T$36),0)</f>
        <v>43.534984277041119</v>
      </c>
      <c r="AL243" s="253">
        <f>IF(X243&lt;&gt;0,SUM($F$34,X243,$N$36,MAX($AH$42:$AH$342),$T$36),0)</f>
        <v>33.635651610374445</v>
      </c>
      <c r="AM243" s="260">
        <f>IF(Y243&lt;&gt;0,SUM($F$34,Y243,$N$36,MAX($AH$42:$AH$342),$T$36),0)</f>
        <v>33.911947610374455</v>
      </c>
    </row>
    <row r="244" spans="1:39" x14ac:dyDescent="0.35">
      <c r="A244" s="259">
        <v>1622</v>
      </c>
      <c r="B244" s="58">
        <f>SUMIF([2]!Table2_23[ETA],'FIS Optimal Model (2)'!A244,[2]!Table2_23[FIS PAX])</f>
        <v>0</v>
      </c>
      <c r="C244" s="44">
        <f t="shared" si="161"/>
        <v>18</v>
      </c>
      <c r="D244" s="52">
        <f t="shared" si="164"/>
        <v>26</v>
      </c>
      <c r="E244" s="26">
        <f t="shared" si="149"/>
        <v>10</v>
      </c>
      <c r="F244" s="26">
        <f t="shared" si="150"/>
        <v>5</v>
      </c>
      <c r="G244" s="26">
        <f t="shared" si="151"/>
        <v>3</v>
      </c>
      <c r="H244" s="26">
        <f t="shared" si="152"/>
        <v>1</v>
      </c>
      <c r="I244" s="27">
        <f t="shared" si="166"/>
        <v>10</v>
      </c>
      <c r="J244" s="27">
        <f t="shared" si="166"/>
        <v>5</v>
      </c>
      <c r="K244" s="27">
        <f t="shared" si="166"/>
        <v>3</v>
      </c>
      <c r="L244" s="27">
        <f t="shared" si="166"/>
        <v>1</v>
      </c>
      <c r="M244" s="28">
        <f t="shared" si="167"/>
        <v>3</v>
      </c>
      <c r="N244" s="29">
        <f t="shared" si="168"/>
        <v>6</v>
      </c>
      <c r="O244" s="28">
        <f t="shared" si="169"/>
        <v>1</v>
      </c>
      <c r="P244" s="28">
        <f t="shared" si="170"/>
        <v>1</v>
      </c>
      <c r="Q244" s="28">
        <f t="shared" si="153"/>
        <v>11</v>
      </c>
      <c r="R244" s="22">
        <f t="shared" si="154"/>
        <v>125.50794829891564</v>
      </c>
      <c r="S244" s="22">
        <f t="shared" si="155"/>
        <v>50.626463485874396</v>
      </c>
      <c r="T244" s="22">
        <f t="shared" si="156"/>
        <v>12.177170927622599</v>
      </c>
      <c r="U244" s="22">
        <f t="shared" si="157"/>
        <v>8.3895316054519711</v>
      </c>
      <c r="V244" s="21">
        <f t="shared" si="131"/>
        <v>16.895880000000023</v>
      </c>
      <c r="W244" s="21">
        <f t="shared" si="132"/>
        <v>14.472874000000001</v>
      </c>
      <c r="X244" s="21">
        <f t="shared" si="162"/>
        <v>4.1719839999999957</v>
      </c>
      <c r="Y244" s="21">
        <f t="shared" si="163"/>
        <v>3.8833380000000028</v>
      </c>
      <c r="Z244" s="221">
        <f t="shared" si="158"/>
        <v>14</v>
      </c>
      <c r="AA244" s="30">
        <f t="shared" si="145"/>
        <v>6.6854850690833461</v>
      </c>
      <c r="AB244" s="30">
        <f t="shared" si="146"/>
        <v>3.1482217793982699</v>
      </c>
      <c r="AC244" s="30">
        <f t="shared" si="147"/>
        <v>2.6269165545362472</v>
      </c>
      <c r="AD244" s="30">
        <f t="shared" si="148"/>
        <v>1.9443526277925764</v>
      </c>
      <c r="AE244" s="32">
        <f t="shared" si="159"/>
        <v>14.404976030810438</v>
      </c>
      <c r="AF244" s="33">
        <f t="shared" si="165"/>
        <v>14.404976030810438</v>
      </c>
      <c r="AG244" s="40">
        <f t="shared" si="160"/>
        <v>48.710796113341949</v>
      </c>
      <c r="AH244" s="224">
        <f>AG244*$P$36</f>
        <v>4.0853087078389221</v>
      </c>
      <c r="AI244" s="226">
        <f>SUM(Z244,IF(Z244&lt;&gt;0,$F$34,0),IF(Z244&lt;&gt;0,$N$36,0),IF(Z244&lt;&gt;0,$T$36,0),IF(Z244=0,AH249,IF(Z244=1,AH250,IF(Z244=2,AH251,IF(Z244=3,AH252,IF(Z244=4,AH253,IF(Z244=5,AH254,IF(Z244=6,AH255,IF(Z244=7,AH256,IF(Z244=8,AH257,IF(Z244=9,AH258,IF(Z244=10,AH259,IF(Z244=11,AH260,IF(Z244=12,AH261,IF(Z244=13,AH262,IF(Z244=14,AH263,IF(Z244=15,AH264,IF(Z244=16,AH265,IF(Z244=17,AH266,IF(Z244=18,AH267,IF(Z244=19,AH268,IF(Z244=20,AH269,IF(Z244=21,AH270,IF(Z244=22,AH271,IF(Z244=23,AH272,IF(Z244=24,AH273,IF(Z244=25,AH274,IF(Z244=26,AH275,IF(Z244=27,AH276,IF(Z244=28,AH277,IF(Z244=29,AH278,IF(Z244=30,AH279))))))))))))))))))))))))))))))))</f>
        <v>42.04318211603352</v>
      </c>
      <c r="AJ244" s="253">
        <f>IF(V244&lt;&gt;0,SUM($F$34,V244,$N$36,MAX($AH$42:$AH$342),$T$36),0)</f>
        <v>46.487368610374475</v>
      </c>
      <c r="AK244" s="253">
        <f>IF(W244&lt;&gt;0,SUM($F$34,W244,$N$36,MAX($AH$42:$AH$342),$T$36),0)</f>
        <v>44.064362610374445</v>
      </c>
      <c r="AL244" s="253">
        <f>IF(X244&lt;&gt;0,SUM($F$34,X244,$N$36,MAX($AH$42:$AH$342),$T$36),0)</f>
        <v>33.763472610374443</v>
      </c>
      <c r="AM244" s="260">
        <f>IF(Y244&lt;&gt;0,SUM($F$34,Y244,$N$36,MAX($AH$42:$AH$342),$T$36),0)</f>
        <v>33.47482661037445</v>
      </c>
    </row>
    <row r="245" spans="1:39" x14ac:dyDescent="0.35">
      <c r="A245" s="259">
        <v>1623</v>
      </c>
      <c r="B245" s="58">
        <f>SUMIF([2]!Table2_23[ETA],'FIS Optimal Model (2)'!A245,[2]!Table2_23[FIS PAX])</f>
        <v>0</v>
      </c>
      <c r="C245" s="44">
        <f t="shared" si="161"/>
        <v>18</v>
      </c>
      <c r="D245" s="52">
        <f t="shared" si="164"/>
        <v>8</v>
      </c>
      <c r="E245" s="26">
        <f t="shared" si="149"/>
        <v>10</v>
      </c>
      <c r="F245" s="26">
        <f t="shared" si="150"/>
        <v>5</v>
      </c>
      <c r="G245" s="26">
        <f t="shared" si="151"/>
        <v>3</v>
      </c>
      <c r="H245" s="26">
        <f t="shared" si="152"/>
        <v>1</v>
      </c>
      <c r="I245" s="27">
        <f t="shared" si="166"/>
        <v>10</v>
      </c>
      <c r="J245" s="27">
        <f t="shared" si="166"/>
        <v>5</v>
      </c>
      <c r="K245" s="27">
        <f t="shared" si="166"/>
        <v>3</v>
      </c>
      <c r="L245" s="27">
        <f t="shared" si="166"/>
        <v>1</v>
      </c>
      <c r="M245" s="28">
        <f t="shared" si="167"/>
        <v>3</v>
      </c>
      <c r="N245" s="29">
        <f t="shared" si="168"/>
        <v>6</v>
      </c>
      <c r="O245" s="28">
        <f t="shared" si="169"/>
        <v>1</v>
      </c>
      <c r="P245" s="28">
        <f t="shared" si="170"/>
        <v>1</v>
      </c>
      <c r="Q245" s="28">
        <f t="shared" si="153"/>
        <v>11</v>
      </c>
      <c r="R245" s="22">
        <f t="shared" si="154"/>
        <v>128.82246322983229</v>
      </c>
      <c r="S245" s="22">
        <f t="shared" si="155"/>
        <v>52.478241706476126</v>
      </c>
      <c r="T245" s="22">
        <f t="shared" si="156"/>
        <v>12.550254373086352</v>
      </c>
      <c r="U245" s="22">
        <f t="shared" si="157"/>
        <v>7.4451789776593946</v>
      </c>
      <c r="V245" s="21">
        <f t="shared" si="131"/>
        <v>17.342080000000021</v>
      </c>
      <c r="W245" s="21">
        <f t="shared" si="132"/>
        <v>15.002252333333335</v>
      </c>
      <c r="X245" s="21">
        <f t="shared" si="162"/>
        <v>4.2998049999999957</v>
      </c>
      <c r="Y245" s="21">
        <f t="shared" si="163"/>
        <v>3.446217000000003</v>
      </c>
      <c r="Z245" s="221">
        <f t="shared" si="158"/>
        <v>15</v>
      </c>
      <c r="AA245" s="30">
        <f t="shared" si="145"/>
        <v>6.6854850690833461</v>
      </c>
      <c r="AB245" s="30">
        <f t="shared" si="146"/>
        <v>3.1482217793982699</v>
      </c>
      <c r="AC245" s="30">
        <f t="shared" si="147"/>
        <v>2.6269165545362472</v>
      </c>
      <c r="AD245" s="30">
        <f t="shared" si="148"/>
        <v>1.9443526277925764</v>
      </c>
      <c r="AE245" s="32">
        <f t="shared" si="159"/>
        <v>14.404976030810438</v>
      </c>
      <c r="AF245" s="33">
        <f t="shared" si="165"/>
        <v>14.404976030810438</v>
      </c>
      <c r="AG245" s="40">
        <f t="shared" si="160"/>
        <v>51.192365714700607</v>
      </c>
      <c r="AH245" s="224">
        <f>AG245*$P$36</f>
        <v>4.2934346000528265</v>
      </c>
      <c r="AI245" s="226">
        <f>SUM(Z245,IF(Z245&lt;&gt;0,$F$34,0),IF(Z245&lt;&gt;0,$N$36,0),IF(Z245&lt;&gt;0,$T$36,0),IF(Z245=0,AH250,IF(Z245=1,AH251,IF(Z245=2,AH252,IF(Z245=3,AH253,IF(Z245=4,AH254,IF(Z245=5,AH255,IF(Z245=6,AH256,IF(Z245=7,AH257,IF(Z245=8,AH258,IF(Z245=9,AH259,IF(Z245=10,AH260,IF(Z245=11,AH261,IF(Z245=12,AH262,IF(Z245=13,AH263,IF(Z245=14,AH264,IF(Z245=15,AH265,IF(Z245=16,AH266,IF(Z245=17,AH267,IF(Z245=18,AH268,IF(Z245=19,AH269,IF(Z245=20,AH270,IF(Z245=21,AH271,IF(Z245=22,AH272,IF(Z245=23,AH273,IF(Z245=24,AH274,IF(Z245=25,AH275,IF(Z245=26,AH276,IF(Z245=27,AH277,IF(Z245=28,AH278,IF(Z245=29,AH279,IF(Z245=30,AH280))))))))))))))))))))))))))))))))</f>
        <v>43.221305810759347</v>
      </c>
      <c r="AJ245" s="253">
        <f>IF(V245&lt;&gt;0,SUM($F$34,V245,$N$36,MAX($AH$42:$AH$342),$T$36),0)</f>
        <v>46.933568610374465</v>
      </c>
      <c r="AK245" s="253">
        <f>IF(W245&lt;&gt;0,SUM($F$34,W245,$N$36,MAX($AH$42:$AH$342),$T$36),0)</f>
        <v>44.593740943707786</v>
      </c>
      <c r="AL245" s="253">
        <f>IF(X245&lt;&gt;0,SUM($F$34,X245,$N$36,MAX($AH$42:$AH$342),$T$36),0)</f>
        <v>33.891293610374447</v>
      </c>
      <c r="AM245" s="260">
        <f>IF(Y245&lt;&gt;0,SUM($F$34,Y245,$N$36,MAX($AH$42:$AH$342),$T$36),0)</f>
        <v>33.037705610374452</v>
      </c>
    </row>
    <row r="246" spans="1:39" x14ac:dyDescent="0.35">
      <c r="A246" s="259">
        <v>1624</v>
      </c>
      <c r="B246" s="58">
        <f>SUMIF([2]!Table2_23[ETA],'FIS Optimal Model (2)'!A246,[2]!Table2_23[FIS PAX])</f>
        <v>0</v>
      </c>
      <c r="C246" s="44">
        <f t="shared" si="161"/>
        <v>8</v>
      </c>
      <c r="D246" s="52">
        <f t="shared" si="164"/>
        <v>0</v>
      </c>
      <c r="E246" s="26">
        <f t="shared" si="149"/>
        <v>5</v>
      </c>
      <c r="F246" s="26">
        <f t="shared" si="150"/>
        <v>2</v>
      </c>
      <c r="G246" s="26">
        <f t="shared" si="151"/>
        <v>2</v>
      </c>
      <c r="H246" s="26">
        <f t="shared" si="152"/>
        <v>1</v>
      </c>
      <c r="I246" s="27">
        <f t="shared" si="166"/>
        <v>10</v>
      </c>
      <c r="J246" s="27">
        <f t="shared" si="166"/>
        <v>5</v>
      </c>
      <c r="K246" s="27">
        <f t="shared" si="166"/>
        <v>3</v>
      </c>
      <c r="L246" s="27">
        <f t="shared" si="166"/>
        <v>1</v>
      </c>
      <c r="M246" s="28">
        <f t="shared" si="167"/>
        <v>3</v>
      </c>
      <c r="N246" s="29">
        <f t="shared" si="168"/>
        <v>6</v>
      </c>
      <c r="O246" s="28">
        <f t="shared" si="169"/>
        <v>1</v>
      </c>
      <c r="P246" s="28">
        <f t="shared" si="170"/>
        <v>1</v>
      </c>
      <c r="Q246" s="28">
        <f t="shared" si="153"/>
        <v>11</v>
      </c>
      <c r="R246" s="22">
        <f t="shared" si="154"/>
        <v>132.13697816074895</v>
      </c>
      <c r="S246" s="22">
        <f t="shared" si="155"/>
        <v>54.330019927077856</v>
      </c>
      <c r="T246" s="22">
        <f t="shared" si="156"/>
        <v>12.923337818550104</v>
      </c>
      <c r="U246" s="22">
        <f t="shared" si="157"/>
        <v>6.5008263498668182</v>
      </c>
      <c r="V246" s="21">
        <f t="shared" si="131"/>
        <v>17.788280000000022</v>
      </c>
      <c r="W246" s="21">
        <f t="shared" si="132"/>
        <v>15.531630666666668</v>
      </c>
      <c r="X246" s="21">
        <f t="shared" si="162"/>
        <v>4.4276259999999956</v>
      </c>
      <c r="Y246" s="21">
        <f t="shared" si="163"/>
        <v>3.0090960000000027</v>
      </c>
      <c r="Z246" s="221">
        <f t="shared" si="158"/>
        <v>15</v>
      </c>
      <c r="AA246" s="30">
        <f t="shared" si="145"/>
        <v>6.6854850690833461</v>
      </c>
      <c r="AB246" s="30">
        <f t="shared" si="146"/>
        <v>3.1482217793982699</v>
      </c>
      <c r="AC246" s="30">
        <f t="shared" si="147"/>
        <v>2.6269165545362472</v>
      </c>
      <c r="AD246" s="30">
        <f t="shared" si="148"/>
        <v>1.9443526277925764</v>
      </c>
      <c r="AE246" s="32">
        <f t="shared" si="159"/>
        <v>14.404976030810438</v>
      </c>
      <c r="AF246" s="33">
        <f t="shared" si="165"/>
        <v>14.404976030810438</v>
      </c>
      <c r="AG246" s="40">
        <f t="shared" si="160"/>
        <v>53.673935316059264</v>
      </c>
      <c r="AH246" s="224">
        <f>AG246*$P$36</f>
        <v>4.5015604922667309</v>
      </c>
      <c r="AI246" s="226">
        <f>SUM(Z246,IF(Z246&lt;&gt;0,$F$34,0),IF(Z246&lt;&gt;0,$N$36,0),IF(Z246&lt;&gt;0,$T$36,0),IF(Z246=0,AH251,IF(Z246=1,AH252,IF(Z246=2,AH253,IF(Z246=3,AH254,IF(Z246=4,AH255,IF(Z246=5,AH256,IF(Z246=6,AH257,IF(Z246=7,AH258,IF(Z246=8,AH259,IF(Z246=9,AH260,IF(Z246=10,AH261,IF(Z246=11,AH262,IF(Z246=12,AH263,IF(Z246=13,AH264,IF(Z246=14,AH265,IF(Z246=15,AH266,IF(Z246=16,AH267,IF(Z246=17,AH268,IF(Z246=18,AH269,IF(Z246=19,AH270,IF(Z246=20,AH271,IF(Z246=21,AH272,IF(Z246=22,AH273,IF(Z246=23,AH274,IF(Z246=24,AH275,IF(Z246=25,AH276,IF(Z246=26,AH277,IF(Z246=27,AH278,IF(Z246=28,AH279,IF(Z246=29,AH280,IF(Z246=30,AH281))))))))))))))))))))))))))))))))</f>
        <v>43.31036765812226</v>
      </c>
      <c r="AJ246" s="253">
        <f>IF(V246&lt;&gt;0,SUM($F$34,V246,$N$36,MAX($AH$42:$AH$342),$T$36),0)</f>
        <v>47.37976861037447</v>
      </c>
      <c r="AK246" s="253">
        <f>IF(W246&lt;&gt;0,SUM($F$34,W246,$N$36,MAX($AH$42:$AH$342),$T$36),0)</f>
        <v>45.123119277041113</v>
      </c>
      <c r="AL246" s="253">
        <f>IF(X246&lt;&gt;0,SUM($F$34,X246,$N$36,MAX($AH$42:$AH$342),$T$36),0)</f>
        <v>34.019114610374444</v>
      </c>
      <c r="AM246" s="260">
        <f>IF(Y246&lt;&gt;0,SUM($F$34,Y246,$N$36,MAX($AH$42:$AH$342),$T$36),0)</f>
        <v>32.600584610374455</v>
      </c>
    </row>
    <row r="247" spans="1:39" x14ac:dyDescent="0.35">
      <c r="A247" s="259">
        <v>1625</v>
      </c>
      <c r="B247" s="58">
        <f>SUMIF([2]!Table2_23[ETA],'FIS Optimal Model (2)'!A247,[2]!Table2_23[FIS PAX])</f>
        <v>0</v>
      </c>
      <c r="C247" s="44">
        <f t="shared" si="161"/>
        <v>0</v>
      </c>
      <c r="D247" s="52">
        <f t="shared" si="164"/>
        <v>0</v>
      </c>
      <c r="E247" s="26">
        <f t="shared" si="149"/>
        <v>0</v>
      </c>
      <c r="F247" s="26">
        <f t="shared" si="150"/>
        <v>0</v>
      </c>
      <c r="G247" s="26">
        <f t="shared" si="151"/>
        <v>0</v>
      </c>
      <c r="H247" s="26">
        <f t="shared" si="152"/>
        <v>0</v>
      </c>
      <c r="I247" s="27">
        <f t="shared" si="166"/>
        <v>10</v>
      </c>
      <c r="J247" s="27">
        <f t="shared" si="166"/>
        <v>5</v>
      </c>
      <c r="K247" s="27">
        <f t="shared" si="166"/>
        <v>3</v>
      </c>
      <c r="L247" s="27">
        <f t="shared" si="166"/>
        <v>1</v>
      </c>
      <c r="M247" s="28">
        <f t="shared" si="167"/>
        <v>3</v>
      </c>
      <c r="N247" s="29">
        <f t="shared" si="168"/>
        <v>6</v>
      </c>
      <c r="O247" s="28">
        <f t="shared" si="169"/>
        <v>1</v>
      </c>
      <c r="P247" s="28">
        <f t="shared" si="170"/>
        <v>1</v>
      </c>
      <c r="Q247" s="28">
        <f t="shared" si="153"/>
        <v>11</v>
      </c>
      <c r="R247" s="22">
        <f t="shared" si="154"/>
        <v>135.45149309166561</v>
      </c>
      <c r="S247" s="22">
        <f t="shared" si="155"/>
        <v>56.181798147679586</v>
      </c>
      <c r="T247" s="22">
        <f t="shared" si="156"/>
        <v>13.296421264013857</v>
      </c>
      <c r="U247" s="22">
        <f t="shared" si="157"/>
        <v>5.5564737220742417</v>
      </c>
      <c r="V247" s="21">
        <f t="shared" ref="V247:V310" si="171">IFERROR(R247*($I$33/M247),0)</f>
        <v>18.234480000000023</v>
      </c>
      <c r="W247" s="21">
        <f t="shared" si="132"/>
        <v>16.061009000000002</v>
      </c>
      <c r="X247" s="21">
        <f t="shared" si="162"/>
        <v>4.5554469999999956</v>
      </c>
      <c r="Y247" s="21">
        <f t="shared" si="163"/>
        <v>2.5719750000000028</v>
      </c>
      <c r="Z247" s="221">
        <f t="shared" si="158"/>
        <v>15</v>
      </c>
      <c r="AA247" s="30">
        <f t="shared" si="145"/>
        <v>6.6854850690833461</v>
      </c>
      <c r="AB247" s="30">
        <f t="shared" si="146"/>
        <v>3.1482217793982699</v>
      </c>
      <c r="AC247" s="30">
        <f t="shared" si="147"/>
        <v>2.6269165545362472</v>
      </c>
      <c r="AD247" s="30">
        <f t="shared" si="148"/>
        <v>1.9443526277925764</v>
      </c>
      <c r="AE247" s="32">
        <f t="shared" si="159"/>
        <v>14.404976030810438</v>
      </c>
      <c r="AF247" s="33">
        <f t="shared" si="165"/>
        <v>14.404976030810438</v>
      </c>
      <c r="AG247" s="40">
        <f t="shared" si="160"/>
        <v>56.155504917417922</v>
      </c>
      <c r="AH247" s="224">
        <f>AG247*$P$36</f>
        <v>4.7096863844806363</v>
      </c>
      <c r="AI247" s="226">
        <f>SUM(Z247,IF(Z247&lt;&gt;0,$F$34,0),IF(Z247&lt;&gt;0,$N$36,0),IF(Z247&lt;&gt;0,$T$36,0),IF(Z247=0,AH252,IF(Z247=1,AH253,IF(Z247=2,AH254,IF(Z247=3,AH255,IF(Z247=4,AH256,IF(Z247=5,AH257,IF(Z247=6,AH258,IF(Z247=7,AH259,IF(Z247=8,AH260,IF(Z247=9,AH261,IF(Z247=10,AH262,IF(Z247=11,AH263,IF(Z247=12,AH264,IF(Z247=13,AH265,IF(Z247=14,AH266,IF(Z247=15,AH267,IF(Z247=16,AH268,IF(Z247=17,AH269,IF(Z247=18,AH270,IF(Z247=19,AH271,IF(Z247=20,AH272,IF(Z247=21,AH273,IF(Z247=22,AH274,IF(Z247=23,AH275,IF(Z247=24,AH276,IF(Z247=25,AH277,IF(Z247=26,AH278,IF(Z247=27,AH279,IF(Z247=28,AH280,IF(Z247=29,AH281,IF(Z247=30,AH282))))))))))))))))))))))))))))))))</f>
        <v>43.399429505485173</v>
      </c>
      <c r="AJ247" s="253">
        <f>IF(V247&lt;&gt;0,SUM($F$34,V247,$N$36,MAX($AH$42:$AH$342),$T$36),0)</f>
        <v>47.825968610374474</v>
      </c>
      <c r="AK247" s="253">
        <f>IF(W247&lt;&gt;0,SUM($F$34,W247,$N$36,MAX($AH$42:$AH$342),$T$36),0)</f>
        <v>45.652497610374454</v>
      </c>
      <c r="AL247" s="253">
        <f>IF(X247&lt;&gt;0,SUM($F$34,X247,$N$36,MAX($AH$42:$AH$342),$T$36),0)</f>
        <v>34.146935610374442</v>
      </c>
      <c r="AM247" s="260">
        <f>IF(Y247&lt;&gt;0,SUM($F$34,Y247,$N$36,MAX($AH$42:$AH$342),$T$36),0)</f>
        <v>32.16346361037445</v>
      </c>
    </row>
    <row r="248" spans="1:39" x14ac:dyDescent="0.35">
      <c r="A248" s="259">
        <v>1626</v>
      </c>
      <c r="B248" s="58">
        <f>SUMIF([2]!Table2_23[ETA],'FIS Optimal Model (2)'!A248,[2]!Table2_23[FIS PAX])</f>
        <v>0</v>
      </c>
      <c r="C248" s="44">
        <f t="shared" si="161"/>
        <v>0</v>
      </c>
      <c r="D248" s="52">
        <f t="shared" si="164"/>
        <v>0</v>
      </c>
      <c r="E248" s="26">
        <f t="shared" si="149"/>
        <v>0</v>
      </c>
      <c r="F248" s="26">
        <f t="shared" si="150"/>
        <v>0</v>
      </c>
      <c r="G248" s="26">
        <f t="shared" si="151"/>
        <v>0</v>
      </c>
      <c r="H248" s="26">
        <f t="shared" si="152"/>
        <v>0</v>
      </c>
      <c r="I248" s="27">
        <f t="shared" si="166"/>
        <v>10</v>
      </c>
      <c r="J248" s="27">
        <f t="shared" si="166"/>
        <v>5</v>
      </c>
      <c r="K248" s="27">
        <f t="shared" si="166"/>
        <v>3</v>
      </c>
      <c r="L248" s="27">
        <f t="shared" si="166"/>
        <v>1</v>
      </c>
      <c r="M248" s="28">
        <f t="shared" si="167"/>
        <v>3</v>
      </c>
      <c r="N248" s="29">
        <f t="shared" si="168"/>
        <v>6</v>
      </c>
      <c r="O248" s="28">
        <f t="shared" si="169"/>
        <v>1</v>
      </c>
      <c r="P248" s="28">
        <f t="shared" si="170"/>
        <v>1</v>
      </c>
      <c r="Q248" s="28">
        <f t="shared" si="153"/>
        <v>11</v>
      </c>
      <c r="R248" s="22">
        <f t="shared" si="154"/>
        <v>138.76600802258227</v>
      </c>
      <c r="S248" s="22">
        <f t="shared" si="155"/>
        <v>58.033576368281317</v>
      </c>
      <c r="T248" s="22">
        <f t="shared" si="156"/>
        <v>13.669504709477609</v>
      </c>
      <c r="U248" s="22">
        <f t="shared" si="157"/>
        <v>4.6121210942816653</v>
      </c>
      <c r="V248" s="21">
        <f t="shared" si="171"/>
        <v>18.680680000000024</v>
      </c>
      <c r="W248" s="21">
        <f t="shared" ref="W248:W311" si="172">IFERROR(S248*($I$34/N248),0)</f>
        <v>16.590387333333336</v>
      </c>
      <c r="X248" s="21">
        <f t="shared" si="162"/>
        <v>4.6832679999999955</v>
      </c>
      <c r="Y248" s="21">
        <f t="shared" si="163"/>
        <v>2.1348540000000029</v>
      </c>
      <c r="Z248" s="221">
        <f t="shared" si="158"/>
        <v>16</v>
      </c>
      <c r="AA248" s="30">
        <f t="shared" si="145"/>
        <v>6.6854850690833461</v>
      </c>
      <c r="AB248" s="30">
        <f t="shared" si="146"/>
        <v>3.1482217793982699</v>
      </c>
      <c r="AC248" s="30">
        <f t="shared" si="147"/>
        <v>2.6269165545362472</v>
      </c>
      <c r="AD248" s="30">
        <f t="shared" si="148"/>
        <v>1.9443526277925764</v>
      </c>
      <c r="AE248" s="32">
        <f t="shared" si="159"/>
        <v>14.404976030810438</v>
      </c>
      <c r="AF248" s="33">
        <f t="shared" si="165"/>
        <v>14.404976030810438</v>
      </c>
      <c r="AG248" s="40">
        <f t="shared" si="160"/>
        <v>58.637074518776579</v>
      </c>
      <c r="AH248" s="224">
        <f>AG248*$P$36</f>
        <v>4.9178122766945407</v>
      </c>
      <c r="AI248" s="226">
        <f>SUM(Z248,IF(Z248&lt;&gt;0,$F$34,0),IF(Z248&lt;&gt;0,$N$36,0),IF(Z248&lt;&gt;0,$T$36,0),IF(Z248=0,AH253,IF(Z248=1,AH254,IF(Z248=2,AH255,IF(Z248=3,AH256,IF(Z248=4,AH257,IF(Z248=5,AH258,IF(Z248=6,AH259,IF(Z248=7,AH260,IF(Z248=8,AH261,IF(Z248=9,AH262,IF(Z248=10,AH263,IF(Z248=11,AH264,IF(Z248=12,AH265,IF(Z248=13,AH266,IF(Z248=14,AH267,IF(Z248=15,AH268,IF(Z248=16,AH269,IF(Z248=17,AH270,IF(Z248=18,AH271,IF(Z248=19,AH272,IF(Z248=20,AH273,IF(Z248=21,AH274,IF(Z248=22,AH275,IF(Z248=23,AH276,IF(Z248=24,AH277,IF(Z248=25,AH278,IF(Z248=26,AH279,IF(Z248=27,AH280,IF(Z248=28,AH281,IF(Z248=29,AH282,IF(Z248=30,AH283))))))))))))))))))))))))))))))))</f>
        <v>44.577553200211</v>
      </c>
      <c r="AJ248" s="253">
        <f>IF(V248&lt;&gt;0,SUM($F$34,V248,$N$36,MAX($AH$42:$AH$342),$T$36),0)</f>
        <v>48.272168610374472</v>
      </c>
      <c r="AK248" s="253">
        <f>IF(W248&lt;&gt;0,SUM($F$34,W248,$N$36,MAX($AH$42:$AH$342),$T$36),0)</f>
        <v>46.18187594370778</v>
      </c>
      <c r="AL248" s="253">
        <f>IF(X248&lt;&gt;0,SUM($F$34,X248,$N$36,MAX($AH$42:$AH$342),$T$36),0)</f>
        <v>34.274756610374439</v>
      </c>
      <c r="AM248" s="260">
        <f>IF(Y248&lt;&gt;0,SUM($F$34,Y248,$N$36,MAX($AH$42:$AH$342),$T$36),0)</f>
        <v>31.726342610374452</v>
      </c>
    </row>
    <row r="249" spans="1:39" x14ac:dyDescent="0.35">
      <c r="A249" s="259">
        <v>1627</v>
      </c>
      <c r="B249" s="58">
        <f>SUMIF([2]!Table2_23[ETA],'FIS Optimal Model (2)'!A249,[2]!Table2_23[FIS PAX])</f>
        <v>0</v>
      </c>
      <c r="C249" s="44">
        <f t="shared" si="161"/>
        <v>0</v>
      </c>
      <c r="D249" s="52">
        <f t="shared" si="164"/>
        <v>0</v>
      </c>
      <c r="E249" s="26">
        <f t="shared" si="149"/>
        <v>0</v>
      </c>
      <c r="F249" s="26">
        <f t="shared" si="150"/>
        <v>0</v>
      </c>
      <c r="G249" s="26">
        <f t="shared" si="151"/>
        <v>0</v>
      </c>
      <c r="H249" s="26">
        <f t="shared" si="152"/>
        <v>0</v>
      </c>
      <c r="I249" s="27">
        <f t="shared" si="166"/>
        <v>10</v>
      </c>
      <c r="J249" s="27">
        <f t="shared" si="166"/>
        <v>5</v>
      </c>
      <c r="K249" s="27">
        <f t="shared" si="166"/>
        <v>3</v>
      </c>
      <c r="L249" s="27">
        <f t="shared" si="166"/>
        <v>1</v>
      </c>
      <c r="M249" s="28">
        <f t="shared" si="167"/>
        <v>3</v>
      </c>
      <c r="N249" s="29">
        <f t="shared" si="168"/>
        <v>6</v>
      </c>
      <c r="O249" s="28">
        <f t="shared" si="169"/>
        <v>1</v>
      </c>
      <c r="P249" s="28">
        <f t="shared" si="170"/>
        <v>1</v>
      </c>
      <c r="Q249" s="28">
        <f t="shared" si="153"/>
        <v>11</v>
      </c>
      <c r="R249" s="22">
        <f t="shared" si="154"/>
        <v>142.08052295349893</v>
      </c>
      <c r="S249" s="22">
        <f t="shared" si="155"/>
        <v>59.885354588883047</v>
      </c>
      <c r="T249" s="22">
        <f t="shared" si="156"/>
        <v>14.042588154941361</v>
      </c>
      <c r="U249" s="22">
        <f t="shared" si="157"/>
        <v>3.6677684664890888</v>
      </c>
      <c r="V249" s="21">
        <f t="shared" si="171"/>
        <v>19.126880000000025</v>
      </c>
      <c r="W249" s="21">
        <f t="shared" si="172"/>
        <v>17.11976566666667</v>
      </c>
      <c r="X249" s="21">
        <f t="shared" si="162"/>
        <v>4.8110889999999946</v>
      </c>
      <c r="Y249" s="21">
        <f t="shared" si="163"/>
        <v>1.6977330000000028</v>
      </c>
      <c r="Z249" s="221">
        <f t="shared" si="158"/>
        <v>16</v>
      </c>
      <c r="AA249" s="30">
        <f t="shared" si="145"/>
        <v>6.6854850690833461</v>
      </c>
      <c r="AB249" s="30">
        <f t="shared" si="146"/>
        <v>3.1482217793982699</v>
      </c>
      <c r="AC249" s="30">
        <f t="shared" si="147"/>
        <v>2.6269165545362472</v>
      </c>
      <c r="AD249" s="30">
        <f t="shared" si="148"/>
        <v>1.9443526277925764</v>
      </c>
      <c r="AE249" s="32">
        <f t="shared" si="159"/>
        <v>14.404976030810438</v>
      </c>
      <c r="AF249" s="33">
        <f t="shared" si="165"/>
        <v>14.404976030810438</v>
      </c>
      <c r="AG249" s="40">
        <f t="shared" si="160"/>
        <v>61.118644120135237</v>
      </c>
      <c r="AH249" s="224">
        <f>AG249*$P$36</f>
        <v>5.1259381689084451</v>
      </c>
      <c r="AI249" s="226">
        <f>SUM(Z249,IF(Z249&lt;&gt;0,$F$34,0),IF(Z249&lt;&gt;0,$N$36,0),IF(Z249&lt;&gt;0,$T$36,0),IF(Z249=0,AH254,IF(Z249=1,AH255,IF(Z249=2,AH256,IF(Z249=3,AH257,IF(Z249=4,AH258,IF(Z249=5,AH259,IF(Z249=6,AH260,IF(Z249=7,AH261,IF(Z249=8,AH262,IF(Z249=9,AH263,IF(Z249=10,AH264,IF(Z249=11,AH265,IF(Z249=12,AH266,IF(Z249=13,AH267,IF(Z249=14,AH268,IF(Z249=15,AH269,IF(Z249=16,AH270,IF(Z249=17,AH271,IF(Z249=18,AH272,IF(Z249=19,AH273,IF(Z249=20,AH274,IF(Z249=21,AH275,IF(Z249=22,AH276,IF(Z249=23,AH277,IF(Z249=24,AH278,IF(Z249=25,AH279,IF(Z249=26,AH280,IF(Z249=27,AH281,IF(Z249=28,AH282,IF(Z249=29,AH283,IF(Z249=30,AH284))))))))))))))))))))))))))))))))</f>
        <v>44.446299102623186</v>
      </c>
      <c r="AJ249" s="253">
        <f>IF(V249&lt;&gt;0,SUM($F$34,V249,$N$36,MAX($AH$42:$AH$342),$T$36),0)</f>
        <v>48.718368610374469</v>
      </c>
      <c r="AK249" s="253">
        <f>IF(W249&lt;&gt;0,SUM($F$34,W249,$N$36,MAX($AH$42:$AH$342),$T$36),0)</f>
        <v>46.711254277041121</v>
      </c>
      <c r="AL249" s="253">
        <f>IF(X249&lt;&gt;0,SUM($F$34,X249,$N$36,MAX($AH$42:$AH$342),$T$36),0)</f>
        <v>34.402577610374443</v>
      </c>
      <c r="AM249" s="260">
        <f>IF(Y249&lt;&gt;0,SUM($F$34,Y249,$N$36,MAX($AH$42:$AH$342),$T$36),0)</f>
        <v>31.289221610374451</v>
      </c>
    </row>
    <row r="250" spans="1:39" x14ac:dyDescent="0.35">
      <c r="A250" s="259">
        <v>1628</v>
      </c>
      <c r="B250" s="58">
        <f>SUMIF([2]!Table2_23[ETA],'FIS Optimal Model (2)'!A250,[2]!Table2_23[FIS PAX])</f>
        <v>139</v>
      </c>
      <c r="C250" s="44">
        <f t="shared" si="161"/>
        <v>0</v>
      </c>
      <c r="D250" s="52">
        <f t="shared" si="164"/>
        <v>0</v>
      </c>
      <c r="E250" s="26">
        <f t="shared" si="149"/>
        <v>0</v>
      </c>
      <c r="F250" s="26">
        <f t="shared" si="150"/>
        <v>0</v>
      </c>
      <c r="G250" s="26">
        <f t="shared" si="151"/>
        <v>0</v>
      </c>
      <c r="H250" s="26">
        <f t="shared" si="152"/>
        <v>0</v>
      </c>
      <c r="I250" s="27">
        <f t="shared" si="166"/>
        <v>10</v>
      </c>
      <c r="J250" s="27">
        <f t="shared" si="166"/>
        <v>5</v>
      </c>
      <c r="K250" s="27">
        <f t="shared" si="166"/>
        <v>3</v>
      </c>
      <c r="L250" s="27">
        <f t="shared" si="166"/>
        <v>1</v>
      </c>
      <c r="M250" s="28">
        <f t="shared" si="167"/>
        <v>3</v>
      </c>
      <c r="N250" s="29">
        <f t="shared" si="168"/>
        <v>6</v>
      </c>
      <c r="O250" s="28">
        <f t="shared" si="169"/>
        <v>1</v>
      </c>
      <c r="P250" s="28">
        <f t="shared" si="170"/>
        <v>1</v>
      </c>
      <c r="Q250" s="28">
        <f t="shared" si="153"/>
        <v>11</v>
      </c>
      <c r="R250" s="22">
        <f t="shared" si="154"/>
        <v>145.39503788441559</v>
      </c>
      <c r="S250" s="22">
        <f t="shared" si="155"/>
        <v>61.737132809484777</v>
      </c>
      <c r="T250" s="22">
        <f t="shared" si="156"/>
        <v>14.415671600405114</v>
      </c>
      <c r="U250" s="22">
        <f t="shared" si="157"/>
        <v>2.7234158386965124</v>
      </c>
      <c r="V250" s="21">
        <f t="shared" si="171"/>
        <v>19.573080000000026</v>
      </c>
      <c r="W250" s="21">
        <f t="shared" si="172"/>
        <v>17.649144000000003</v>
      </c>
      <c r="X250" s="21">
        <f t="shared" si="162"/>
        <v>4.9389099999999946</v>
      </c>
      <c r="Y250" s="21">
        <f t="shared" si="163"/>
        <v>1.260612000000003</v>
      </c>
      <c r="Z250" s="221">
        <f t="shared" si="158"/>
        <v>16</v>
      </c>
      <c r="AA250" s="30">
        <f t="shared" si="145"/>
        <v>6.6854850690833461</v>
      </c>
      <c r="AB250" s="30">
        <f t="shared" si="146"/>
        <v>3.1482217793982699</v>
      </c>
      <c r="AC250" s="30">
        <f t="shared" si="147"/>
        <v>2.6269165545362472</v>
      </c>
      <c r="AD250" s="30">
        <f t="shared" si="148"/>
        <v>1.9443526277925764</v>
      </c>
      <c r="AE250" s="32">
        <f t="shared" si="159"/>
        <v>14.404976030810438</v>
      </c>
      <c r="AF250" s="33">
        <f t="shared" si="165"/>
        <v>14.404976030810438</v>
      </c>
      <c r="AG250" s="40">
        <f t="shared" si="160"/>
        <v>63.600213721493894</v>
      </c>
      <c r="AH250" s="224">
        <f>AG250*$P$36</f>
        <v>5.3340640611223495</v>
      </c>
      <c r="AI250" s="226">
        <f>SUM(Z250,IF(Z250&lt;&gt;0,$F$34,0),IF(Z250&lt;&gt;0,$N$36,0),IF(Z250&lt;&gt;0,$T$36,0),IF(Z250=0,AH255,IF(Z250=1,AH256,IF(Z250=2,AH257,IF(Z250=3,AH258,IF(Z250=4,AH259,IF(Z250=5,AH260,IF(Z250=6,AH261,IF(Z250=7,AH262,IF(Z250=8,AH263,IF(Z250=9,AH264,IF(Z250=10,AH265,IF(Z250=11,AH266,IF(Z250=12,AH267,IF(Z250=13,AH268,IF(Z250=14,AH269,IF(Z250=15,AH270,IF(Z250=16,AH271,IF(Z250=17,AH272,IF(Z250=18,AH273,IF(Z250=19,AH274,IF(Z250=20,AH275,IF(Z250=21,AH276,IF(Z250=22,AH277,IF(Z250=23,AH278,IF(Z250=24,AH279,IF(Z250=25,AH280,IF(Z250=26,AH281,IF(Z250=27,AH282,IF(Z250=28,AH283,IF(Z250=29,AH284,IF(Z250=30,AH285))))))))))))))))))))))))))))))))</f>
        <v>44.315045005035373</v>
      </c>
      <c r="AJ250" s="253">
        <f>IF(V250&lt;&gt;0,SUM($F$34,V250,$N$36,MAX($AH$42:$AH$342),$T$36),0)</f>
        <v>49.164568610374474</v>
      </c>
      <c r="AK250" s="253">
        <f>IF(W250&lt;&gt;0,SUM($F$34,W250,$N$36,MAX($AH$42:$AH$342),$T$36),0)</f>
        <v>47.240632610374448</v>
      </c>
      <c r="AL250" s="253">
        <f>IF(X250&lt;&gt;0,SUM($F$34,X250,$N$36,MAX($AH$42:$AH$342),$T$36),0)</f>
        <v>34.530398610374441</v>
      </c>
      <c r="AM250" s="260">
        <f>IF(Y250&lt;&gt;0,SUM($F$34,Y250,$N$36,MAX($AH$42:$AH$342),$T$36),0)</f>
        <v>30.85210061037445</v>
      </c>
    </row>
    <row r="251" spans="1:39" x14ac:dyDescent="0.35">
      <c r="A251" s="259">
        <v>1629</v>
      </c>
      <c r="B251" s="58">
        <f>SUMIF([2]!Table2_23[ETA],'FIS Optimal Model (2)'!A251,[2]!Table2_23[FIS PAX])</f>
        <v>0</v>
      </c>
      <c r="C251" s="44">
        <f t="shared" si="161"/>
        <v>18</v>
      </c>
      <c r="D251" s="52">
        <f t="shared" si="164"/>
        <v>121</v>
      </c>
      <c r="E251" s="26">
        <f t="shared" si="149"/>
        <v>10</v>
      </c>
      <c r="F251" s="26">
        <f t="shared" si="150"/>
        <v>5</v>
      </c>
      <c r="G251" s="26">
        <f t="shared" si="151"/>
        <v>3</v>
      </c>
      <c r="H251" s="26">
        <f t="shared" si="152"/>
        <v>1</v>
      </c>
      <c r="I251" s="27">
        <f t="shared" si="166"/>
        <v>5</v>
      </c>
      <c r="J251" s="27">
        <f t="shared" si="166"/>
        <v>2</v>
      </c>
      <c r="K251" s="27">
        <f t="shared" si="166"/>
        <v>2</v>
      </c>
      <c r="L251" s="27">
        <f t="shared" si="166"/>
        <v>1</v>
      </c>
      <c r="M251" s="28">
        <f t="shared" si="167"/>
        <v>3</v>
      </c>
      <c r="N251" s="29">
        <f t="shared" si="168"/>
        <v>6</v>
      </c>
      <c r="O251" s="28">
        <f t="shared" si="169"/>
        <v>1</v>
      </c>
      <c r="P251" s="28">
        <f t="shared" si="170"/>
        <v>1</v>
      </c>
      <c r="Q251" s="28">
        <f t="shared" si="153"/>
        <v>11</v>
      </c>
      <c r="R251" s="22">
        <f t="shared" si="154"/>
        <v>143.70955281533224</v>
      </c>
      <c r="S251" s="22">
        <f t="shared" si="155"/>
        <v>60.588911030086507</v>
      </c>
      <c r="T251" s="22">
        <f t="shared" si="156"/>
        <v>13.788755045868866</v>
      </c>
      <c r="U251" s="22">
        <f t="shared" si="157"/>
        <v>1.7790632109039359</v>
      </c>
      <c r="V251" s="21">
        <f t="shared" si="171"/>
        <v>19.346180000000025</v>
      </c>
      <c r="W251" s="21">
        <f t="shared" si="172"/>
        <v>17.320895333333336</v>
      </c>
      <c r="X251" s="21">
        <f t="shared" si="162"/>
        <v>4.7241239999999944</v>
      </c>
      <c r="Y251" s="21">
        <f t="shared" si="163"/>
        <v>0.82349100000000297</v>
      </c>
      <c r="Z251" s="221">
        <f t="shared" si="158"/>
        <v>16</v>
      </c>
      <c r="AA251" s="30">
        <f t="shared" si="145"/>
        <v>6.6854850690833461</v>
      </c>
      <c r="AB251" s="30">
        <f t="shared" si="146"/>
        <v>3.1482217793982699</v>
      </c>
      <c r="AC251" s="30">
        <f t="shared" si="147"/>
        <v>2.6269165545362472</v>
      </c>
      <c r="AD251" s="30">
        <f t="shared" si="148"/>
        <v>1.9443526277925764</v>
      </c>
      <c r="AE251" s="32">
        <f t="shared" si="159"/>
        <v>14.404976030810438</v>
      </c>
      <c r="AF251" s="33">
        <f t="shared" si="165"/>
        <v>14.404976030810438</v>
      </c>
      <c r="AG251" s="40">
        <f t="shared" si="160"/>
        <v>66.081783322852544</v>
      </c>
      <c r="AH251" s="224">
        <f>AG251*$P$36</f>
        <v>5.5421899533362531</v>
      </c>
      <c r="AI251" s="226">
        <f>SUM(Z251,IF(Z251&lt;&gt;0,$F$34,0),IF(Z251&lt;&gt;0,$N$36,0),IF(Z251&lt;&gt;0,$T$36,0),IF(Z251=0,AH256,IF(Z251=1,AH257,IF(Z251=2,AH258,IF(Z251=3,AH259,IF(Z251=4,AH260,IF(Z251=5,AH261,IF(Z251=6,AH262,IF(Z251=7,AH263,IF(Z251=8,AH264,IF(Z251=9,AH265,IF(Z251=10,AH266,IF(Z251=11,AH267,IF(Z251=12,AH268,IF(Z251=13,AH269,IF(Z251=14,AH270,IF(Z251=15,AH271,IF(Z251=16,AH272,IF(Z251=17,AH273,IF(Z251=18,AH274,IF(Z251=19,AH275,IF(Z251=20,AH276,IF(Z251=21,AH277,IF(Z251=22,AH278,IF(Z251=23,AH279,IF(Z251=24,AH280,IF(Z251=25,AH281,IF(Z251=26,AH282,IF(Z251=27,AH283,IF(Z251=28,AH284,IF(Z251=29,AH285,IF(Z251=30,AH286))))))))))))))))))))))))))))))))</f>
        <v>44.346861137360193</v>
      </c>
      <c r="AJ251" s="253">
        <f>IF(V251&lt;&gt;0,SUM($F$34,V251,$N$36,MAX($AH$42:$AH$342),$T$36),0)</f>
        <v>48.937668610374473</v>
      </c>
      <c r="AK251" s="253">
        <f>IF(W251&lt;&gt;0,SUM($F$34,W251,$N$36,MAX($AH$42:$AH$342),$T$36),0)</f>
        <v>46.912383943707781</v>
      </c>
      <c r="AL251" s="253">
        <f>IF(X251&lt;&gt;0,SUM($F$34,X251,$N$36,MAX($AH$42:$AH$342),$T$36),0)</f>
        <v>34.315612610374444</v>
      </c>
      <c r="AM251" s="260">
        <f>IF(Y251&lt;&gt;0,SUM($F$34,Y251,$N$36,MAX($AH$42:$AH$342),$T$36),0)</f>
        <v>30.414979610374452</v>
      </c>
    </row>
    <row r="252" spans="1:39" x14ac:dyDescent="0.35">
      <c r="A252" s="259">
        <v>1630</v>
      </c>
      <c r="B252" s="58">
        <f>SUMIF([2]!Table2_23[ETA],'FIS Optimal Model (2)'!A252,[2]!Table2_23[FIS PAX])</f>
        <v>0</v>
      </c>
      <c r="C252" s="44">
        <f t="shared" si="161"/>
        <v>18</v>
      </c>
      <c r="D252" s="52">
        <f t="shared" si="164"/>
        <v>103</v>
      </c>
      <c r="E252" s="26">
        <f t="shared" si="149"/>
        <v>10</v>
      </c>
      <c r="F252" s="26">
        <f t="shared" si="150"/>
        <v>5</v>
      </c>
      <c r="G252" s="26">
        <f t="shared" si="151"/>
        <v>3</v>
      </c>
      <c r="H252" s="26">
        <f t="shared" si="152"/>
        <v>1</v>
      </c>
      <c r="I252" s="27">
        <f t="shared" si="166"/>
        <v>0</v>
      </c>
      <c r="J252" s="27">
        <f t="shared" si="166"/>
        <v>0</v>
      </c>
      <c r="K252" s="27">
        <f t="shared" si="166"/>
        <v>0</v>
      </c>
      <c r="L252" s="27">
        <f t="shared" si="166"/>
        <v>0</v>
      </c>
      <c r="M252" s="28">
        <f t="shared" si="167"/>
        <v>3</v>
      </c>
      <c r="N252" s="29">
        <f t="shared" si="168"/>
        <v>6</v>
      </c>
      <c r="O252" s="28">
        <f t="shared" si="169"/>
        <v>1</v>
      </c>
      <c r="P252" s="28">
        <f t="shared" si="170"/>
        <v>1</v>
      </c>
      <c r="Q252" s="28">
        <f t="shared" si="153"/>
        <v>11</v>
      </c>
      <c r="R252" s="22">
        <f t="shared" si="154"/>
        <v>137.0240677462489</v>
      </c>
      <c r="S252" s="22">
        <f t="shared" si="155"/>
        <v>56.915985620788526</v>
      </c>
      <c r="T252" s="22">
        <f t="shared" si="156"/>
        <v>11.161838491332619</v>
      </c>
      <c r="U252" s="22">
        <f t="shared" si="157"/>
        <v>0</v>
      </c>
      <c r="V252" s="21">
        <f t="shared" si="171"/>
        <v>18.446180000000027</v>
      </c>
      <c r="W252" s="21">
        <f t="shared" si="172"/>
        <v>16.270895333333335</v>
      </c>
      <c r="X252" s="21">
        <f t="shared" si="162"/>
        <v>3.8241239999999945</v>
      </c>
      <c r="Y252" s="21">
        <f t="shared" si="163"/>
        <v>0</v>
      </c>
      <c r="Z252" s="221">
        <f t="shared" si="158"/>
        <v>15</v>
      </c>
      <c r="AA252" s="30">
        <f t="shared" si="145"/>
        <v>6.6854850690833461</v>
      </c>
      <c r="AB252" s="30">
        <f t="shared" si="146"/>
        <v>3.1482217793982699</v>
      </c>
      <c r="AC252" s="30">
        <f t="shared" si="147"/>
        <v>2.6269165545362472</v>
      </c>
      <c r="AD252" s="30">
        <f t="shared" si="148"/>
        <v>0</v>
      </c>
      <c r="AE252" s="32">
        <f t="shared" si="159"/>
        <v>12.460623403017863</v>
      </c>
      <c r="AF252" s="33">
        <f t="shared" si="165"/>
        <v>14.404976030810438</v>
      </c>
      <c r="AG252" s="40">
        <f t="shared" si="160"/>
        <v>68.563352924211202</v>
      </c>
      <c r="AH252" s="224">
        <f>AG252*$P$36</f>
        <v>5.7503158455501575</v>
      </c>
      <c r="AI252" s="226">
        <f>SUM(Z252,IF(Z252&lt;&gt;0,$F$34,0),IF(Z252&lt;&gt;0,$N$36,0),IF(Z252&lt;&gt;0,$T$36,0),IF(Z252=0,AH257,IF(Z252=1,AH258,IF(Z252=2,AH259,IF(Z252=3,AH260,IF(Z252=4,AH261,IF(Z252=5,AH262,IF(Z252=6,AH263,IF(Z252=7,AH264,IF(Z252=8,AH265,IF(Z252=9,AH266,IF(Z252=10,AH267,IF(Z252=11,AH268,IF(Z252=12,AH269,IF(Z252=13,AH270,IF(Z252=14,AH271,IF(Z252=15,AH272,IF(Z252=16,AH273,IF(Z252=17,AH274,IF(Z252=18,AH275,IF(Z252=19,AH276,IF(Z252=20,AH277,IF(Z252=21,AH278,IF(Z252=22,AH279,IF(Z252=23,AH280,IF(Z252=24,AH281,IF(Z252=25,AH282,IF(Z252=26,AH283,IF(Z252=27,AH284,IF(Z252=28,AH285,IF(Z252=29,AH286,IF(Z252=30,AH287))))))))))))))))))))))))))))))))</f>
        <v>43.346861137360193</v>
      </c>
      <c r="AJ252" s="253">
        <f>IF(V252&lt;&gt;0,SUM($F$34,V252,$N$36,MAX($AH$42:$AH$342),$T$36),0)</f>
        <v>48.037668610374475</v>
      </c>
      <c r="AK252" s="253">
        <f>IF(W252&lt;&gt;0,SUM($F$34,W252,$N$36,MAX($AH$42:$AH$342),$T$36),0)</f>
        <v>45.862383943707783</v>
      </c>
      <c r="AL252" s="253">
        <f>IF(X252&lt;&gt;0,SUM($F$34,X252,$N$36,MAX($AH$42:$AH$342),$T$36),0)</f>
        <v>33.415612610374438</v>
      </c>
      <c r="AM252" s="260">
        <f>IF(Y252&lt;&gt;0,SUM($F$34,Y252,$N$36,MAX($AH$42:$AH$342),$T$36),0)</f>
        <v>0</v>
      </c>
    </row>
    <row r="253" spans="1:39" x14ac:dyDescent="0.35">
      <c r="A253" s="259">
        <v>1631</v>
      </c>
      <c r="B253" s="58">
        <f>SUMIF([2]!Table2_23[ETA],'FIS Optimal Model (2)'!A253,[2]!Table2_23[FIS PAX])</f>
        <v>0</v>
      </c>
      <c r="C253" s="44">
        <f t="shared" si="161"/>
        <v>18</v>
      </c>
      <c r="D253" s="52">
        <f t="shared" si="164"/>
        <v>85</v>
      </c>
      <c r="E253" s="26">
        <f t="shared" si="149"/>
        <v>10</v>
      </c>
      <c r="F253" s="26">
        <f t="shared" si="150"/>
        <v>5</v>
      </c>
      <c r="G253" s="26">
        <f t="shared" si="151"/>
        <v>3</v>
      </c>
      <c r="H253" s="26">
        <f t="shared" si="152"/>
        <v>1</v>
      </c>
      <c r="I253" s="27">
        <f t="shared" si="166"/>
        <v>0</v>
      </c>
      <c r="J253" s="27">
        <f t="shared" si="166"/>
        <v>0</v>
      </c>
      <c r="K253" s="27">
        <f t="shared" si="166"/>
        <v>0</v>
      </c>
      <c r="L253" s="27">
        <f t="shared" si="166"/>
        <v>0</v>
      </c>
      <c r="M253" s="28">
        <f>IF(R252=0,0,$Q$20)</f>
        <v>3</v>
      </c>
      <c r="N253" s="29">
        <f>$U$20-M253-O253-P253</f>
        <v>7</v>
      </c>
      <c r="O253" s="28">
        <f>IF(T252=0,0,$S$20)</f>
        <v>1</v>
      </c>
      <c r="P253" s="28">
        <f>IF(U252=0,0,$T$20)</f>
        <v>0</v>
      </c>
      <c r="Q253" s="28">
        <f t="shared" si="153"/>
        <v>11</v>
      </c>
      <c r="R253" s="22">
        <f t="shared" si="154"/>
        <v>130.33858267716556</v>
      </c>
      <c r="S253" s="22">
        <f t="shared" si="155"/>
        <v>53.243060211490544</v>
      </c>
      <c r="T253" s="22">
        <f t="shared" si="156"/>
        <v>8.5349219367963709</v>
      </c>
      <c r="U253" s="22">
        <f t="shared" si="157"/>
        <v>0</v>
      </c>
      <c r="V253" s="21">
        <f t="shared" si="171"/>
        <v>17.546180000000028</v>
      </c>
      <c r="W253" s="21">
        <f t="shared" si="172"/>
        <v>13.046481714285715</v>
      </c>
      <c r="X253" s="21">
        <f t="shared" si="162"/>
        <v>2.9241239999999942</v>
      </c>
      <c r="Y253" s="21">
        <f t="shared" si="163"/>
        <v>0</v>
      </c>
      <c r="Z253" s="221">
        <f t="shared" si="158"/>
        <v>14</v>
      </c>
      <c r="AA253" s="30">
        <f t="shared" si="145"/>
        <v>6.6854850690833461</v>
      </c>
      <c r="AB253" s="30">
        <f t="shared" si="146"/>
        <v>3.6729254092979819</v>
      </c>
      <c r="AC253" s="30">
        <f t="shared" si="147"/>
        <v>2.6269165545362472</v>
      </c>
      <c r="AD253" s="30">
        <f t="shared" si="148"/>
        <v>0</v>
      </c>
      <c r="AE253" s="32">
        <f t="shared" si="159"/>
        <v>12.985327032917576</v>
      </c>
      <c r="AF253" s="33">
        <f t="shared" si="165"/>
        <v>14.404976030810438</v>
      </c>
      <c r="AG253" s="40">
        <f t="shared" si="160"/>
        <v>71.044922525569859</v>
      </c>
      <c r="AH253" s="224">
        <f>AG253*$P$36</f>
        <v>5.9584417377640628</v>
      </c>
      <c r="AI253" s="226">
        <f>SUM(Z253,IF(Z253&lt;&gt;0,$F$34,0),IF(Z253&lt;&gt;0,$N$36,0),IF(Z253&lt;&gt;0,$T$36,0),IF(Z253=0,AH258,IF(Z253=1,AH259,IF(Z253=2,AH260,IF(Z253=3,AH261,IF(Z253=4,AH262,IF(Z253=5,AH263,IF(Z253=6,AH264,IF(Z253=7,AH265,IF(Z253=8,AH266,IF(Z253=9,AH267,IF(Z253=10,AH268,IF(Z253=11,AH269,IF(Z253=12,AH270,IF(Z253=13,AH271,IF(Z253=14,AH272,IF(Z253=15,AH273,IF(Z253=16,AH274,IF(Z253=17,AH275,IF(Z253=18,AH276,IF(Z253=19,AH277,IF(Z253=20,AH278,IF(Z253=21,AH279,IF(Z253=22,AH280,IF(Z253=23,AH281,IF(Z253=24,AH282,IF(Z253=25,AH283,IF(Z253=26,AH284,IF(Z253=27,AH285,IF(Z253=28,AH286,IF(Z253=29,AH287,IF(Z253=30,AH288))))))))))))))))))))))))))))))))</f>
        <v>42.346861137360193</v>
      </c>
      <c r="AJ253" s="253">
        <f>IF(V253&lt;&gt;0,SUM($F$34,V253,$N$36,MAX($AH$42:$AH$342),$T$36),0)</f>
        <v>47.137668610374476</v>
      </c>
      <c r="AK253" s="253">
        <f>IF(W253&lt;&gt;0,SUM($F$34,W253,$N$36,MAX($AH$42:$AH$342),$T$36),0)</f>
        <v>42.637970324660159</v>
      </c>
      <c r="AL253" s="253">
        <f>IF(X253&lt;&gt;0,SUM($F$34,X253,$N$36,MAX($AH$42:$AH$342),$T$36),0)</f>
        <v>32.51561261037444</v>
      </c>
      <c r="AM253" s="260">
        <f>IF(Y253&lt;&gt;0,SUM($F$34,Y253,$N$36,MAX($AH$42:$AH$342),$T$36),0)</f>
        <v>0</v>
      </c>
    </row>
    <row r="254" spans="1:39" x14ac:dyDescent="0.35">
      <c r="A254" s="259">
        <v>1632</v>
      </c>
      <c r="B254" s="58">
        <f>SUMIF([2]!Table2_23[ETA],'FIS Optimal Model (2)'!A254,[2]!Table2_23[FIS PAX])</f>
        <v>0</v>
      </c>
      <c r="C254" s="44">
        <f t="shared" si="161"/>
        <v>18</v>
      </c>
      <c r="D254" s="52">
        <f t="shared" si="164"/>
        <v>67</v>
      </c>
      <c r="E254" s="26">
        <f t="shared" si="149"/>
        <v>10</v>
      </c>
      <c r="F254" s="26">
        <f t="shared" si="150"/>
        <v>5</v>
      </c>
      <c r="G254" s="26">
        <f t="shared" si="151"/>
        <v>3</v>
      </c>
      <c r="H254" s="26">
        <f t="shared" si="152"/>
        <v>1</v>
      </c>
      <c r="I254" s="27">
        <f t="shared" si="166"/>
        <v>0</v>
      </c>
      <c r="J254" s="27">
        <f t="shared" si="166"/>
        <v>0</v>
      </c>
      <c r="K254" s="27">
        <f t="shared" si="166"/>
        <v>0</v>
      </c>
      <c r="L254" s="27">
        <f t="shared" si="166"/>
        <v>0</v>
      </c>
      <c r="M254" s="28">
        <f>$M$253</f>
        <v>3</v>
      </c>
      <c r="N254" s="29">
        <f>$N$253</f>
        <v>7</v>
      </c>
      <c r="O254" s="28">
        <f>$O$253</f>
        <v>1</v>
      </c>
      <c r="P254" s="28">
        <f>$P$253</f>
        <v>0</v>
      </c>
      <c r="Q254" s="28">
        <f t="shared" si="153"/>
        <v>11</v>
      </c>
      <c r="R254" s="22">
        <f t="shared" si="154"/>
        <v>123.65309760808222</v>
      </c>
      <c r="S254" s="22">
        <f t="shared" si="155"/>
        <v>49.570134802192563</v>
      </c>
      <c r="T254" s="22">
        <f t="shared" si="156"/>
        <v>5.9080053822601233</v>
      </c>
      <c r="U254" s="22">
        <f t="shared" si="157"/>
        <v>0</v>
      </c>
      <c r="V254" s="21">
        <f t="shared" si="171"/>
        <v>16.646180000000026</v>
      </c>
      <c r="W254" s="21">
        <f t="shared" si="172"/>
        <v>12.146481714285715</v>
      </c>
      <c r="X254" s="21">
        <f t="shared" si="162"/>
        <v>2.0241239999999938</v>
      </c>
      <c r="Y254" s="21">
        <f t="shared" si="163"/>
        <v>0</v>
      </c>
      <c r="Z254" s="221">
        <f t="shared" si="158"/>
        <v>13</v>
      </c>
      <c r="AA254" s="30">
        <f t="shared" si="145"/>
        <v>6.6854850690833461</v>
      </c>
      <c r="AB254" s="30">
        <f t="shared" si="146"/>
        <v>3.6729254092979819</v>
      </c>
      <c r="AC254" s="30">
        <f t="shared" si="147"/>
        <v>2.6269165545362472</v>
      </c>
      <c r="AD254" s="30">
        <f t="shared" si="148"/>
        <v>0</v>
      </c>
      <c r="AE254" s="32">
        <f t="shared" si="159"/>
        <v>12.985327032917576</v>
      </c>
      <c r="AF254" s="33">
        <f t="shared" si="165"/>
        <v>14.404976030810438</v>
      </c>
      <c r="AG254" s="40">
        <f t="shared" si="160"/>
        <v>73.526492126928517</v>
      </c>
      <c r="AH254" s="224">
        <f>AG254*$P$36</f>
        <v>6.1665676299779673</v>
      </c>
      <c r="AI254" s="226">
        <f>SUM(Z254,IF(Z254&lt;&gt;0,$F$34,0),IF(Z254&lt;&gt;0,$N$36,0),IF(Z254&lt;&gt;0,$T$36,0),IF(Z254=0,AH259,IF(Z254=1,AH260,IF(Z254=2,AH261,IF(Z254=3,AH262,IF(Z254=4,AH263,IF(Z254=5,AH264,IF(Z254=6,AH265,IF(Z254=7,AH266,IF(Z254=8,AH267,IF(Z254=9,AH268,IF(Z254=10,AH269,IF(Z254=11,AH270,IF(Z254=12,AH271,IF(Z254=13,AH272,IF(Z254=14,AH273,IF(Z254=15,AH274,IF(Z254=16,AH275,IF(Z254=17,AH276,IF(Z254=18,AH277,IF(Z254=19,AH278,IF(Z254=20,AH279,IF(Z254=21,AH280,IF(Z254=22,AH281,IF(Z254=23,AH282,IF(Z254=24,AH283,IF(Z254=25,AH284,IF(Z254=26,AH285,IF(Z254=27,AH286,IF(Z254=28,AH287,IF(Z254=29,AH288,IF(Z254=30,AH289))))))))))))))))))))))))))))))))</f>
        <v>41.346861137360193</v>
      </c>
      <c r="AJ254" s="253">
        <f>IF(V254&lt;&gt;0,SUM($F$34,V254,$N$36,MAX($AH$42:$AH$342),$T$36),0)</f>
        <v>46.23766861037447</v>
      </c>
      <c r="AK254" s="253">
        <f>IF(W254&lt;&gt;0,SUM($F$34,W254,$N$36,MAX($AH$42:$AH$342),$T$36),0)</f>
        <v>41.737970324660161</v>
      </c>
      <c r="AL254" s="253">
        <f>IF(X254&lt;&gt;0,SUM($F$34,X254,$N$36,MAX($AH$42:$AH$342),$T$36),0)</f>
        <v>31.615612610374441</v>
      </c>
      <c r="AM254" s="260">
        <f>IF(Y254&lt;&gt;0,SUM($F$34,Y254,$N$36,MAX($AH$42:$AH$342),$T$36),0)</f>
        <v>0</v>
      </c>
    </row>
    <row r="255" spans="1:39" x14ac:dyDescent="0.35">
      <c r="A255" s="259">
        <v>1633</v>
      </c>
      <c r="B255" s="58">
        <f>SUMIF([2]!Table2_23[ETA],'FIS Optimal Model (2)'!A255,[2]!Table2_23[FIS PAX])</f>
        <v>0</v>
      </c>
      <c r="C255" s="44">
        <f t="shared" si="161"/>
        <v>18</v>
      </c>
      <c r="D255" s="52">
        <f t="shared" si="164"/>
        <v>49</v>
      </c>
      <c r="E255" s="26">
        <f t="shared" si="149"/>
        <v>10</v>
      </c>
      <c r="F255" s="26">
        <f t="shared" si="150"/>
        <v>5</v>
      </c>
      <c r="G255" s="26">
        <f t="shared" si="151"/>
        <v>3</v>
      </c>
      <c r="H255" s="26">
        <f t="shared" si="152"/>
        <v>1</v>
      </c>
      <c r="I255" s="27">
        <f t="shared" si="166"/>
        <v>0</v>
      </c>
      <c r="J255" s="27">
        <f t="shared" si="166"/>
        <v>0</v>
      </c>
      <c r="K255" s="27">
        <f t="shared" si="166"/>
        <v>0</v>
      </c>
      <c r="L255" s="27">
        <f t="shared" si="166"/>
        <v>0</v>
      </c>
      <c r="M255" s="28">
        <f t="shared" ref="M255:M267" si="173">$M$253</f>
        <v>3</v>
      </c>
      <c r="N255" s="29">
        <f t="shared" ref="N255:N267" si="174">$N$253</f>
        <v>7</v>
      </c>
      <c r="O255" s="28">
        <f t="shared" ref="O255:O267" si="175">$O$253</f>
        <v>1</v>
      </c>
      <c r="P255" s="28">
        <f t="shared" ref="P255:P267" si="176">$P$253</f>
        <v>0</v>
      </c>
      <c r="Q255" s="28">
        <f t="shared" si="153"/>
        <v>11</v>
      </c>
      <c r="R255" s="22">
        <f t="shared" si="154"/>
        <v>116.96761253899888</v>
      </c>
      <c r="S255" s="22">
        <f t="shared" si="155"/>
        <v>45.897209392894581</v>
      </c>
      <c r="T255" s="22">
        <f t="shared" si="156"/>
        <v>3.2810888277238761</v>
      </c>
      <c r="U255" s="22">
        <f t="shared" si="157"/>
        <v>0</v>
      </c>
      <c r="V255" s="21">
        <f t="shared" si="171"/>
        <v>15.746180000000027</v>
      </c>
      <c r="W255" s="21">
        <f t="shared" si="172"/>
        <v>11.246481714285716</v>
      </c>
      <c r="X255" s="21">
        <f t="shared" si="162"/>
        <v>1.1241239999999939</v>
      </c>
      <c r="Y255" s="21">
        <f t="shared" si="163"/>
        <v>0</v>
      </c>
      <c r="Z255" s="221">
        <f t="shared" si="158"/>
        <v>12</v>
      </c>
      <c r="AA255" s="30">
        <f t="shared" si="145"/>
        <v>6.6854850690833461</v>
      </c>
      <c r="AB255" s="30">
        <f t="shared" si="146"/>
        <v>3.6729254092979819</v>
      </c>
      <c r="AC255" s="30">
        <f t="shared" si="147"/>
        <v>2.6269165545362472</v>
      </c>
      <c r="AD255" s="30">
        <f t="shared" si="148"/>
        <v>0</v>
      </c>
      <c r="AE255" s="32">
        <f t="shared" si="159"/>
        <v>12.985327032917576</v>
      </c>
      <c r="AF255" s="33">
        <f t="shared" si="165"/>
        <v>14.404976030810438</v>
      </c>
      <c r="AG255" s="40">
        <f t="shared" si="160"/>
        <v>76.008061728287174</v>
      </c>
      <c r="AH255" s="224">
        <f>AG255*$P$36</f>
        <v>6.3746935221918717</v>
      </c>
      <c r="AI255" s="226">
        <f>SUM(Z255,IF(Z255&lt;&gt;0,$F$34,0),IF(Z255&lt;&gt;0,$N$36,0),IF(Z255&lt;&gt;0,$T$36,0),IF(Z255=0,AH260,IF(Z255=1,AH261,IF(Z255=2,AH262,IF(Z255=3,AH263,IF(Z255=4,AH264,IF(Z255=5,AH265,IF(Z255=6,AH266,IF(Z255=7,AH267,IF(Z255=8,AH268,IF(Z255=9,AH269,IF(Z255=10,AH270,IF(Z255=11,AH271,IF(Z255=12,AH272,IF(Z255=13,AH273,IF(Z255=14,AH274,IF(Z255=15,AH275,IF(Z255=16,AH276,IF(Z255=17,AH277,IF(Z255=18,AH278,IF(Z255=19,AH279,IF(Z255=20,AH280,IF(Z255=21,AH281,IF(Z255=22,AH282,IF(Z255=23,AH283,IF(Z255=24,AH284,IF(Z255=25,AH285,IF(Z255=26,AH286,IF(Z255=27,AH287,IF(Z255=28,AH288,IF(Z255=29,AH289,IF(Z255=30,AH290))))))))))))))))))))))))))))))))</f>
        <v>40.346861137360193</v>
      </c>
      <c r="AJ255" s="253">
        <f>IF(V255&lt;&gt;0,SUM($F$34,V255,$N$36,MAX($AH$42:$AH$342),$T$36),0)</f>
        <v>45.337668610374479</v>
      </c>
      <c r="AK255" s="253">
        <f>IF(W255&lt;&gt;0,SUM($F$34,W255,$N$36,MAX($AH$42:$AH$342),$T$36),0)</f>
        <v>40.837970324660162</v>
      </c>
      <c r="AL255" s="253">
        <f>IF(X255&lt;&gt;0,SUM($F$34,X255,$N$36,MAX($AH$42:$AH$342),$T$36),0)</f>
        <v>30.715612610374443</v>
      </c>
      <c r="AM255" s="260">
        <f>IF(Y255&lt;&gt;0,SUM($F$34,Y255,$N$36,MAX($AH$42:$AH$342),$T$36),0)</f>
        <v>0</v>
      </c>
    </row>
    <row r="256" spans="1:39" x14ac:dyDescent="0.35">
      <c r="A256" s="259">
        <v>1634</v>
      </c>
      <c r="B256" s="58">
        <f>SUMIF([2]!Table2_23[ETA],'FIS Optimal Model (2)'!A256,[2]!Table2_23[FIS PAX])</f>
        <v>0</v>
      </c>
      <c r="C256" s="44">
        <f t="shared" si="161"/>
        <v>18</v>
      </c>
      <c r="D256" s="52">
        <f t="shared" si="164"/>
        <v>31</v>
      </c>
      <c r="E256" s="26">
        <f t="shared" si="149"/>
        <v>10</v>
      </c>
      <c r="F256" s="26">
        <f t="shared" si="150"/>
        <v>5</v>
      </c>
      <c r="G256" s="26">
        <f t="shared" si="151"/>
        <v>3</v>
      </c>
      <c r="H256" s="26">
        <f t="shared" si="152"/>
        <v>1</v>
      </c>
      <c r="I256" s="27">
        <f t="shared" si="166"/>
        <v>10</v>
      </c>
      <c r="J256" s="27">
        <f t="shared" si="166"/>
        <v>5</v>
      </c>
      <c r="K256" s="27">
        <f t="shared" si="166"/>
        <v>3</v>
      </c>
      <c r="L256" s="27">
        <f t="shared" si="166"/>
        <v>1</v>
      </c>
      <c r="M256" s="28">
        <f t="shared" si="173"/>
        <v>3</v>
      </c>
      <c r="N256" s="29">
        <f t="shared" si="174"/>
        <v>7</v>
      </c>
      <c r="O256" s="28">
        <f t="shared" si="175"/>
        <v>1</v>
      </c>
      <c r="P256" s="28">
        <f t="shared" si="176"/>
        <v>0</v>
      </c>
      <c r="Q256" s="28">
        <f t="shared" si="153"/>
        <v>11</v>
      </c>
      <c r="R256" s="22">
        <f t="shared" si="154"/>
        <v>120.28212746991554</v>
      </c>
      <c r="S256" s="22">
        <f t="shared" si="155"/>
        <v>47.2242839835966</v>
      </c>
      <c r="T256" s="22">
        <f t="shared" si="156"/>
        <v>3.6541722731876289</v>
      </c>
      <c r="U256" s="22">
        <f t="shared" si="157"/>
        <v>1</v>
      </c>
      <c r="V256" s="21">
        <f t="shared" si="171"/>
        <v>16.192380000000028</v>
      </c>
      <c r="W256" s="21">
        <f t="shared" si="172"/>
        <v>11.571663142857144</v>
      </c>
      <c r="X256" s="21">
        <f t="shared" si="162"/>
        <v>1.2519449999999939</v>
      </c>
      <c r="Y256" s="21">
        <f t="shared" si="163"/>
        <v>0</v>
      </c>
      <c r="Z256" s="221">
        <f t="shared" si="158"/>
        <v>12</v>
      </c>
      <c r="AA256" s="30">
        <f t="shared" si="145"/>
        <v>6.6854850690833461</v>
      </c>
      <c r="AB256" s="30">
        <f t="shared" si="146"/>
        <v>3.6729254092979819</v>
      </c>
      <c r="AC256" s="30">
        <f t="shared" si="147"/>
        <v>2.6269165545362472</v>
      </c>
      <c r="AD256" s="30">
        <f t="shared" si="148"/>
        <v>0</v>
      </c>
      <c r="AE256" s="32">
        <f t="shared" si="159"/>
        <v>12.985327032917576</v>
      </c>
      <c r="AF256" s="33">
        <f t="shared" si="165"/>
        <v>12.460623403017863</v>
      </c>
      <c r="AG256" s="40">
        <f t="shared" si="160"/>
        <v>76.545278701853263</v>
      </c>
      <c r="AH256" s="224">
        <f>AG256*$P$36</f>
        <v>6.4197491844931349</v>
      </c>
      <c r="AI256" s="226">
        <f>SUM(Z256,IF(Z256&lt;&gt;0,$F$34,0),IF(Z256&lt;&gt;0,$N$36,0),IF(Z256&lt;&gt;0,$T$36,0),IF(Z256=0,AH261,IF(Z256=1,AH262,IF(Z256=2,AH263,IF(Z256=3,AH264,IF(Z256=4,AH265,IF(Z256=5,AH266,IF(Z256=6,AH267,IF(Z256=7,AH268,IF(Z256=8,AH269,IF(Z256=9,AH270,IF(Z256=10,AH271,IF(Z256=11,AH272,IF(Z256=12,AH273,IF(Z256=13,AH274,IF(Z256=14,AH275,IF(Z256=15,AH276,IF(Z256=16,AH277,IF(Z256=17,AH278,IF(Z256=18,AH279,IF(Z256=19,AH280,IF(Z256=20,AH281,IF(Z256=21,AH282,IF(Z256=22,AH283,IF(Z256=23,AH284,IF(Z256=24,AH285,IF(Z256=25,AH286,IF(Z256=26,AH287,IF(Z256=27,AH288,IF(Z256=28,AH289,IF(Z256=29,AH290,IF(Z256=30,AH291))))))))))))))))))))))))))))))))</f>
        <v>40.378677269685021</v>
      </c>
      <c r="AJ256" s="253">
        <f>IF(V256&lt;&gt;0,SUM($F$34,V256,$N$36,MAX($AH$42:$AH$342),$T$36),0)</f>
        <v>45.783868610374476</v>
      </c>
      <c r="AK256" s="253">
        <f>IF(W256&lt;&gt;0,SUM($F$34,W256,$N$36,MAX($AH$42:$AH$342),$T$36),0)</f>
        <v>41.163151753231588</v>
      </c>
      <c r="AL256" s="253">
        <f>IF(X256&lt;&gt;0,SUM($F$34,X256,$N$36,MAX($AH$42:$AH$342),$T$36),0)</f>
        <v>30.84343361037444</v>
      </c>
      <c r="AM256" s="260">
        <f>IF(Y256&lt;&gt;0,SUM($F$34,Y256,$N$36,MAX($AH$42:$AH$342),$T$36),0)</f>
        <v>0</v>
      </c>
    </row>
    <row r="257" spans="1:39" x14ac:dyDescent="0.35">
      <c r="A257" s="259">
        <v>1635</v>
      </c>
      <c r="B257" s="58">
        <f>SUMIF([2]!Table2_23[ETA],'FIS Optimal Model (2)'!A257,[2]!Table2_23[FIS PAX])</f>
        <v>0</v>
      </c>
      <c r="C257" s="44">
        <f t="shared" si="161"/>
        <v>18</v>
      </c>
      <c r="D257" s="52">
        <f t="shared" si="164"/>
        <v>13</v>
      </c>
      <c r="E257" s="26">
        <f t="shared" si="149"/>
        <v>10</v>
      </c>
      <c r="F257" s="26">
        <f t="shared" si="150"/>
        <v>5</v>
      </c>
      <c r="G257" s="26">
        <f t="shared" si="151"/>
        <v>3</v>
      </c>
      <c r="H257" s="26">
        <f t="shared" si="152"/>
        <v>1</v>
      </c>
      <c r="I257" s="27">
        <f t="shared" si="166"/>
        <v>10</v>
      </c>
      <c r="J257" s="27">
        <f t="shared" si="166"/>
        <v>5</v>
      </c>
      <c r="K257" s="27">
        <f t="shared" si="166"/>
        <v>3</v>
      </c>
      <c r="L257" s="27">
        <f t="shared" si="166"/>
        <v>1</v>
      </c>
      <c r="M257" s="28">
        <f t="shared" si="173"/>
        <v>3</v>
      </c>
      <c r="N257" s="29">
        <f t="shared" si="174"/>
        <v>7</v>
      </c>
      <c r="O257" s="28">
        <f t="shared" si="175"/>
        <v>1</v>
      </c>
      <c r="P257" s="28">
        <f t="shared" si="176"/>
        <v>0</v>
      </c>
      <c r="Q257" s="28">
        <f t="shared" si="153"/>
        <v>11</v>
      </c>
      <c r="R257" s="22">
        <f t="shared" si="154"/>
        <v>123.5966424008322</v>
      </c>
      <c r="S257" s="22">
        <f t="shared" si="155"/>
        <v>48.551358574298618</v>
      </c>
      <c r="T257" s="22">
        <f t="shared" si="156"/>
        <v>4.0272557186513822</v>
      </c>
      <c r="U257" s="22">
        <f t="shared" si="157"/>
        <v>2</v>
      </c>
      <c r="V257" s="21">
        <f t="shared" si="171"/>
        <v>16.638580000000029</v>
      </c>
      <c r="W257" s="21">
        <f t="shared" si="172"/>
        <v>11.896844571428572</v>
      </c>
      <c r="X257" s="21">
        <f t="shared" si="162"/>
        <v>1.3797659999999941</v>
      </c>
      <c r="Y257" s="21">
        <f t="shared" si="163"/>
        <v>0</v>
      </c>
      <c r="Z257" s="221">
        <f t="shared" si="158"/>
        <v>13</v>
      </c>
      <c r="AA257" s="30">
        <f t="shared" si="145"/>
        <v>6.6854850690833461</v>
      </c>
      <c r="AB257" s="30">
        <f t="shared" si="146"/>
        <v>3.6729254092979819</v>
      </c>
      <c r="AC257" s="30">
        <f t="shared" si="147"/>
        <v>2.6269165545362472</v>
      </c>
      <c r="AD257" s="30">
        <f t="shared" si="148"/>
        <v>0</v>
      </c>
      <c r="AE257" s="32">
        <f t="shared" si="159"/>
        <v>12.985327032917576</v>
      </c>
      <c r="AF257" s="33">
        <f t="shared" si="165"/>
        <v>12.985327032917576</v>
      </c>
      <c r="AG257" s="40">
        <f t="shared" si="160"/>
        <v>77.607199305319057</v>
      </c>
      <c r="AH257" s="224">
        <f>AG257*$P$36</f>
        <v>6.5088110318560464</v>
      </c>
      <c r="AI257" s="226">
        <f>SUM(Z257,IF(Z257&lt;&gt;0,$F$34,0),IF(Z257&lt;&gt;0,$N$36,0),IF(Z257&lt;&gt;0,$T$36,0),IF(Z257=0,AH262,IF(Z257=1,AH263,IF(Z257=2,AH264,IF(Z257=3,AH265,IF(Z257=4,AH266,IF(Z257=5,AH267,IF(Z257=6,AH268,IF(Z257=7,AH269,IF(Z257=8,AH270,IF(Z257=9,AH271,IF(Z257=10,AH272,IF(Z257=11,AH273,IF(Z257=12,AH274,IF(Z257=13,AH275,IF(Z257=14,AH276,IF(Z257=15,AH277,IF(Z257=16,AH278,IF(Z257=17,AH279,IF(Z257=18,AH280,IF(Z257=19,AH281,IF(Z257=20,AH282,IF(Z257=21,AH283,IF(Z257=22,AH284,IF(Z257=23,AH285,IF(Z257=24,AH286,IF(Z257=25,AH287,IF(Z257=26,AH288,IF(Z257=27,AH289,IF(Z257=28,AH290,IF(Z257=29,AH291,IF(Z257=30,AH292))))))))))))))))))))))))))))))))</f>
        <v>41.442309534334676</v>
      </c>
      <c r="AJ257" s="253">
        <f>IF(V257&lt;&gt;0,SUM($F$34,V257,$N$36,MAX($AH$42:$AH$342),$T$36),0)</f>
        <v>46.230068610374474</v>
      </c>
      <c r="AK257" s="253">
        <f>IF(W257&lt;&gt;0,SUM($F$34,W257,$N$36,MAX($AH$42:$AH$342),$T$36),0)</f>
        <v>41.488333181803021</v>
      </c>
      <c r="AL257" s="253">
        <f>IF(X257&lt;&gt;0,SUM($F$34,X257,$N$36,MAX($AH$42:$AH$342),$T$36),0)</f>
        <v>30.971254610374441</v>
      </c>
      <c r="AM257" s="260">
        <f>IF(Y257&lt;&gt;0,SUM($F$34,Y257,$N$36,MAX($AH$42:$AH$342),$T$36),0)</f>
        <v>0</v>
      </c>
    </row>
    <row r="258" spans="1:39" x14ac:dyDescent="0.35">
      <c r="A258" s="259">
        <v>1636</v>
      </c>
      <c r="B258" s="58">
        <f>SUMIF([2]!Table2_23[ETA],'FIS Optimal Model (2)'!A258,[2]!Table2_23[FIS PAX])</f>
        <v>0</v>
      </c>
      <c r="C258" s="44">
        <f t="shared" si="161"/>
        <v>13</v>
      </c>
      <c r="D258" s="52">
        <f t="shared" si="164"/>
        <v>0</v>
      </c>
      <c r="E258" s="26">
        <f t="shared" si="149"/>
        <v>8</v>
      </c>
      <c r="F258" s="26">
        <f t="shared" si="150"/>
        <v>4</v>
      </c>
      <c r="G258" s="26">
        <f t="shared" si="151"/>
        <v>3</v>
      </c>
      <c r="H258" s="26">
        <f t="shared" si="152"/>
        <v>1</v>
      </c>
      <c r="I258" s="27">
        <f t="shared" si="166"/>
        <v>10</v>
      </c>
      <c r="J258" s="27">
        <f t="shared" si="166"/>
        <v>5</v>
      </c>
      <c r="K258" s="27">
        <f t="shared" si="166"/>
        <v>3</v>
      </c>
      <c r="L258" s="27">
        <f t="shared" si="166"/>
        <v>1</v>
      </c>
      <c r="M258" s="28">
        <f t="shared" si="173"/>
        <v>3</v>
      </c>
      <c r="N258" s="29">
        <f t="shared" si="174"/>
        <v>7</v>
      </c>
      <c r="O258" s="28">
        <f t="shared" si="175"/>
        <v>1</v>
      </c>
      <c r="P258" s="28">
        <f t="shared" si="176"/>
        <v>0</v>
      </c>
      <c r="Q258" s="28">
        <f t="shared" si="153"/>
        <v>11</v>
      </c>
      <c r="R258" s="22">
        <f t="shared" si="154"/>
        <v>126.91115733174885</v>
      </c>
      <c r="S258" s="22">
        <f t="shared" si="155"/>
        <v>49.878433165000637</v>
      </c>
      <c r="T258" s="22">
        <f t="shared" si="156"/>
        <v>4.4003391641151346</v>
      </c>
      <c r="U258" s="22">
        <f t="shared" si="157"/>
        <v>3</v>
      </c>
      <c r="V258" s="21">
        <f t="shared" si="171"/>
        <v>17.08478000000003</v>
      </c>
      <c r="W258" s="21">
        <f t="shared" si="172"/>
        <v>12.222026000000001</v>
      </c>
      <c r="X258" s="21">
        <f t="shared" si="162"/>
        <v>1.5075869999999938</v>
      </c>
      <c r="Y258" s="21">
        <f t="shared" si="163"/>
        <v>0</v>
      </c>
      <c r="Z258" s="221">
        <f t="shared" si="158"/>
        <v>13</v>
      </c>
      <c r="AA258" s="30">
        <f t="shared" si="145"/>
        <v>6.6854850690833461</v>
      </c>
      <c r="AB258" s="30">
        <f t="shared" si="146"/>
        <v>3.6729254092979819</v>
      </c>
      <c r="AC258" s="30">
        <f t="shared" si="147"/>
        <v>2.6269165545362472</v>
      </c>
      <c r="AD258" s="30">
        <f t="shared" si="148"/>
        <v>0</v>
      </c>
      <c r="AE258" s="32">
        <f t="shared" si="159"/>
        <v>12.985327032917576</v>
      </c>
      <c r="AF258" s="33">
        <f t="shared" si="165"/>
        <v>12.985327032917576</v>
      </c>
      <c r="AG258" s="40">
        <f t="shared" si="160"/>
        <v>78.669119908784864</v>
      </c>
      <c r="AH258" s="224">
        <f>AG258*$P$36</f>
        <v>6.5978728792189587</v>
      </c>
      <c r="AI258" s="226">
        <f>SUM(Z258,IF(Z258&lt;&gt;0,$F$34,0),IF(Z258&lt;&gt;0,$N$36,0),IF(Z258&lt;&gt;0,$T$36,0),IF(Z258=0,AH263,IF(Z258=1,AH264,IF(Z258=2,AH265,IF(Z258=3,AH266,IF(Z258=4,AH267,IF(Z258=5,AH268,IF(Z258=6,AH269,IF(Z258=7,AH270,IF(Z258=8,AH271,IF(Z258=9,AH272,IF(Z258=10,AH273,IF(Z258=11,AH274,IF(Z258=12,AH275,IF(Z258=13,AH276,IF(Z258=14,AH277,IF(Z258=15,AH278,IF(Z258=16,AH279,IF(Z258=17,AH280,IF(Z258=18,AH281,IF(Z258=19,AH282,IF(Z258=20,AH283,IF(Z258=21,AH284,IF(Z258=22,AH285,IF(Z258=23,AH286,IF(Z258=24,AH287,IF(Z258=25,AH288,IF(Z258=26,AH289,IF(Z258=27,AH290,IF(Z258=28,AH291,IF(Z258=29,AH292,IF(Z258=30,AH293))))))))))))))))))))))))))))))))</f>
        <v>41.311055436746862</v>
      </c>
      <c r="AJ258" s="253">
        <f>IF(V258&lt;&gt;0,SUM($F$34,V258,$N$36,MAX($AH$42:$AH$342),$T$36),0)</f>
        <v>46.676268610374478</v>
      </c>
      <c r="AK258" s="253">
        <f>IF(W258&lt;&gt;0,SUM($F$34,W258,$N$36,MAX($AH$42:$AH$342),$T$36),0)</f>
        <v>41.813514610374447</v>
      </c>
      <c r="AL258" s="253">
        <f>IF(X258&lt;&gt;0,SUM($F$34,X258,$N$36,MAX($AH$42:$AH$342),$T$36),0)</f>
        <v>31.099075610374442</v>
      </c>
      <c r="AM258" s="260">
        <f>IF(Y258&lt;&gt;0,SUM($F$34,Y258,$N$36,MAX($AH$42:$AH$342),$T$36),0)</f>
        <v>0</v>
      </c>
    </row>
    <row r="259" spans="1:39" x14ac:dyDescent="0.35">
      <c r="A259" s="259">
        <v>1637</v>
      </c>
      <c r="B259" s="58">
        <f>SUMIF([2]!Table2_23[ETA],'FIS Optimal Model (2)'!A259,[2]!Table2_23[FIS PAX])</f>
        <v>0</v>
      </c>
      <c r="C259" s="44">
        <f t="shared" si="161"/>
        <v>0</v>
      </c>
      <c r="D259" s="52">
        <f t="shared" si="164"/>
        <v>0</v>
      </c>
      <c r="E259" s="26">
        <f t="shared" si="149"/>
        <v>0</v>
      </c>
      <c r="F259" s="26">
        <f t="shared" si="150"/>
        <v>0</v>
      </c>
      <c r="G259" s="26">
        <f t="shared" si="151"/>
        <v>0</v>
      </c>
      <c r="H259" s="26">
        <f t="shared" si="152"/>
        <v>0</v>
      </c>
      <c r="I259" s="27">
        <f t="shared" si="166"/>
        <v>10</v>
      </c>
      <c r="J259" s="27">
        <f t="shared" si="166"/>
        <v>5</v>
      </c>
      <c r="K259" s="27">
        <f t="shared" si="166"/>
        <v>3</v>
      </c>
      <c r="L259" s="27">
        <f t="shared" si="166"/>
        <v>1</v>
      </c>
      <c r="M259" s="28">
        <f t="shared" si="173"/>
        <v>3</v>
      </c>
      <c r="N259" s="29">
        <f t="shared" si="174"/>
        <v>7</v>
      </c>
      <c r="O259" s="28">
        <f t="shared" si="175"/>
        <v>1</v>
      </c>
      <c r="P259" s="28">
        <f t="shared" si="176"/>
        <v>0</v>
      </c>
      <c r="Q259" s="28">
        <f t="shared" si="153"/>
        <v>11</v>
      </c>
      <c r="R259" s="22">
        <f t="shared" si="154"/>
        <v>130.22567226266551</v>
      </c>
      <c r="S259" s="22">
        <f t="shared" si="155"/>
        <v>51.205507755702655</v>
      </c>
      <c r="T259" s="22">
        <f t="shared" si="156"/>
        <v>4.773422609578887</v>
      </c>
      <c r="U259" s="22">
        <f t="shared" si="157"/>
        <v>4</v>
      </c>
      <c r="V259" s="21">
        <f t="shared" si="171"/>
        <v>17.530980000000032</v>
      </c>
      <c r="W259" s="21">
        <f t="shared" si="172"/>
        <v>12.547207428571429</v>
      </c>
      <c r="X259" s="21">
        <f t="shared" si="162"/>
        <v>1.6354079999999938</v>
      </c>
      <c r="Y259" s="21">
        <f t="shared" si="163"/>
        <v>0</v>
      </c>
      <c r="Z259" s="221">
        <f t="shared" si="158"/>
        <v>13</v>
      </c>
      <c r="AA259" s="30">
        <f t="shared" si="145"/>
        <v>6.6854850690833461</v>
      </c>
      <c r="AB259" s="30">
        <f t="shared" si="146"/>
        <v>3.6729254092979819</v>
      </c>
      <c r="AC259" s="30">
        <f t="shared" si="147"/>
        <v>2.6269165545362472</v>
      </c>
      <c r="AD259" s="30">
        <f t="shared" si="148"/>
        <v>0</v>
      </c>
      <c r="AE259" s="32">
        <f t="shared" si="159"/>
        <v>12.985327032917576</v>
      </c>
      <c r="AF259" s="33">
        <f t="shared" si="165"/>
        <v>12.985327032917576</v>
      </c>
      <c r="AG259" s="40">
        <f t="shared" si="160"/>
        <v>79.731040512250672</v>
      </c>
      <c r="AH259" s="224">
        <f>AG259*$P$36</f>
        <v>6.6869347265818719</v>
      </c>
      <c r="AI259" s="226">
        <f>SUM(Z259,IF(Z259&lt;&gt;0,$F$34,0),IF(Z259&lt;&gt;0,$N$36,0),IF(Z259&lt;&gt;0,$T$36,0),IF(Z259=0,AH264,IF(Z259=1,AH265,IF(Z259=2,AH266,IF(Z259=3,AH267,IF(Z259=4,AH268,IF(Z259=5,AH269,IF(Z259=6,AH270,IF(Z259=7,AH271,IF(Z259=8,AH272,IF(Z259=9,AH273,IF(Z259=10,AH274,IF(Z259=11,AH275,IF(Z259=12,AH276,IF(Z259=13,AH277,IF(Z259=14,AH278,IF(Z259=15,AH279,IF(Z259=16,AH280,IF(Z259=17,AH281,IF(Z259=18,AH282,IF(Z259=19,AH283,IF(Z259=20,AH284,IF(Z259=21,AH285,IF(Z259=22,AH286,IF(Z259=23,AH287,IF(Z259=24,AH288,IF(Z259=25,AH289,IF(Z259=26,AH290,IF(Z259=27,AH291,IF(Z259=28,AH292,IF(Z259=29,AH293,IF(Z259=30,AH294))))))))))))))))))))))))))))))))</f>
        <v>41.179801339159049</v>
      </c>
      <c r="AJ259" s="253">
        <f>IF(V259&lt;&gt;0,SUM($F$34,V259,$N$36,MAX($AH$42:$AH$342),$T$36),0)</f>
        <v>47.122468610374483</v>
      </c>
      <c r="AK259" s="253">
        <f>IF(W259&lt;&gt;0,SUM($F$34,W259,$N$36,MAX($AH$42:$AH$342),$T$36),0)</f>
        <v>42.138696038945881</v>
      </c>
      <c r="AL259" s="253">
        <f>IF(X259&lt;&gt;0,SUM($F$34,X259,$N$36,MAX($AH$42:$AH$342),$T$36),0)</f>
        <v>31.226896610374443</v>
      </c>
      <c r="AM259" s="260">
        <f>IF(Y259&lt;&gt;0,SUM($F$34,Y259,$N$36,MAX($AH$42:$AH$342),$T$36),0)</f>
        <v>0</v>
      </c>
    </row>
    <row r="260" spans="1:39" x14ac:dyDescent="0.35">
      <c r="A260" s="259">
        <v>1638</v>
      </c>
      <c r="B260" s="58">
        <f>SUMIF([2]!Table2_23[ETA],'FIS Optimal Model (2)'!A260,[2]!Table2_23[FIS PAX])</f>
        <v>0</v>
      </c>
      <c r="C260" s="44">
        <f t="shared" si="161"/>
        <v>0</v>
      </c>
      <c r="D260" s="52">
        <f t="shared" si="164"/>
        <v>0</v>
      </c>
      <c r="E260" s="26">
        <f t="shared" si="149"/>
        <v>0</v>
      </c>
      <c r="F260" s="26">
        <f t="shared" si="150"/>
        <v>0</v>
      </c>
      <c r="G260" s="26">
        <f t="shared" si="151"/>
        <v>0</v>
      </c>
      <c r="H260" s="26">
        <f t="shared" si="152"/>
        <v>0</v>
      </c>
      <c r="I260" s="27">
        <f t="shared" si="166"/>
        <v>10</v>
      </c>
      <c r="J260" s="27">
        <f t="shared" si="166"/>
        <v>5</v>
      </c>
      <c r="K260" s="27">
        <f t="shared" si="166"/>
        <v>3</v>
      </c>
      <c r="L260" s="27">
        <f t="shared" si="166"/>
        <v>1</v>
      </c>
      <c r="M260" s="28">
        <f t="shared" si="173"/>
        <v>3</v>
      </c>
      <c r="N260" s="29">
        <f t="shared" si="174"/>
        <v>7</v>
      </c>
      <c r="O260" s="28">
        <f t="shared" si="175"/>
        <v>1</v>
      </c>
      <c r="P260" s="28">
        <f t="shared" si="176"/>
        <v>0</v>
      </c>
      <c r="Q260" s="28">
        <f t="shared" si="153"/>
        <v>11</v>
      </c>
      <c r="R260" s="22">
        <f t="shared" si="154"/>
        <v>133.54018719358217</v>
      </c>
      <c r="S260" s="22">
        <f t="shared" si="155"/>
        <v>52.532582346404674</v>
      </c>
      <c r="T260" s="22">
        <f t="shared" si="156"/>
        <v>5.1465060550426394</v>
      </c>
      <c r="U260" s="22">
        <f t="shared" si="157"/>
        <v>5</v>
      </c>
      <c r="V260" s="21">
        <f t="shared" si="171"/>
        <v>17.977180000000029</v>
      </c>
      <c r="W260" s="21">
        <f t="shared" si="172"/>
        <v>12.872388857142859</v>
      </c>
      <c r="X260" s="21">
        <f t="shared" si="162"/>
        <v>1.7632289999999935</v>
      </c>
      <c r="Y260" s="21">
        <f t="shared" si="163"/>
        <v>0</v>
      </c>
      <c r="Z260" s="221">
        <f t="shared" si="158"/>
        <v>14</v>
      </c>
      <c r="AA260" s="30">
        <f t="shared" si="145"/>
        <v>6.6854850690833461</v>
      </c>
      <c r="AB260" s="30">
        <f t="shared" si="146"/>
        <v>3.6729254092979819</v>
      </c>
      <c r="AC260" s="30">
        <f t="shared" si="147"/>
        <v>2.6269165545362472</v>
      </c>
      <c r="AD260" s="30">
        <f t="shared" si="148"/>
        <v>0</v>
      </c>
      <c r="AE260" s="32">
        <f t="shared" si="159"/>
        <v>12.985327032917576</v>
      </c>
      <c r="AF260" s="33">
        <f t="shared" si="165"/>
        <v>12.985327032917576</v>
      </c>
      <c r="AG260" s="40">
        <f t="shared" si="160"/>
        <v>80.79296111571648</v>
      </c>
      <c r="AH260" s="224">
        <f>AG260*$P$36</f>
        <v>6.7759965739447843</v>
      </c>
      <c r="AI260" s="226">
        <f>SUM(Z260,IF(Z260&lt;&gt;0,$F$34,0),IF(Z260&lt;&gt;0,$N$36,0),IF(Z260&lt;&gt;0,$T$36,0),IF(Z260=0,AH265,IF(Z260=1,AH266,IF(Z260=2,AH267,IF(Z260=3,AH268,IF(Z260=4,AH269,IF(Z260=5,AH270,IF(Z260=6,AH271,IF(Z260=7,AH272,IF(Z260=8,AH273,IF(Z260=9,AH274,IF(Z260=10,AH275,IF(Z260=11,AH276,IF(Z260=12,AH277,IF(Z260=13,AH278,IF(Z260=14,AH279,IF(Z260=15,AH280,IF(Z260=16,AH281,IF(Z260=17,AH282,IF(Z260=18,AH283,IF(Z260=19,AH284,IF(Z260=20,AH285,IF(Z260=21,AH286,IF(Z260=22,AH287,IF(Z260=23,AH288,IF(Z260=24,AH289,IF(Z260=25,AH290,IF(Z260=26,AH291,IF(Z260=27,AH292,IF(Z260=28,AH293,IF(Z260=29,AH294,IF(Z260=30,AH295))))))))))))))))))))))))))))))))</f>
        <v>41.917293143983414</v>
      </c>
      <c r="AJ260" s="253">
        <f>IF(V260&lt;&gt;0,SUM($F$34,V260,$N$36,MAX($AH$42:$AH$342),$T$36),0)</f>
        <v>47.568668610374473</v>
      </c>
      <c r="AK260" s="253">
        <f>IF(W260&lt;&gt;0,SUM($F$34,W260,$N$36,MAX($AH$42:$AH$342),$T$36),0)</f>
        <v>42.463877467517307</v>
      </c>
      <c r="AL260" s="253">
        <f>IF(X260&lt;&gt;0,SUM($F$34,X260,$N$36,MAX($AH$42:$AH$342),$T$36),0)</f>
        <v>31.354717610374443</v>
      </c>
      <c r="AM260" s="260">
        <f>IF(Y260&lt;&gt;0,SUM($F$34,Y260,$N$36,MAX($AH$42:$AH$342),$T$36),0)</f>
        <v>0</v>
      </c>
    </row>
    <row r="261" spans="1:39" x14ac:dyDescent="0.35">
      <c r="A261" s="259">
        <v>1639</v>
      </c>
      <c r="B261" s="58">
        <f>SUMIF([2]!Table2_23[ETA],'FIS Optimal Model (2)'!A261,[2]!Table2_23[FIS PAX])</f>
        <v>0</v>
      </c>
      <c r="C261" s="44">
        <f t="shared" si="161"/>
        <v>0</v>
      </c>
      <c r="D261" s="52">
        <f t="shared" si="164"/>
        <v>0</v>
      </c>
      <c r="E261" s="26">
        <f t="shared" si="149"/>
        <v>0</v>
      </c>
      <c r="F261" s="26">
        <f t="shared" si="150"/>
        <v>0</v>
      </c>
      <c r="G261" s="26">
        <f t="shared" si="151"/>
        <v>0</v>
      </c>
      <c r="H261" s="26">
        <f t="shared" si="152"/>
        <v>0</v>
      </c>
      <c r="I261" s="27">
        <f t="shared" si="166"/>
        <v>10</v>
      </c>
      <c r="J261" s="27">
        <f t="shared" si="166"/>
        <v>5</v>
      </c>
      <c r="K261" s="27">
        <f t="shared" si="166"/>
        <v>3</v>
      </c>
      <c r="L261" s="27">
        <f t="shared" si="166"/>
        <v>1</v>
      </c>
      <c r="M261" s="28">
        <f t="shared" si="173"/>
        <v>3</v>
      </c>
      <c r="N261" s="29">
        <f t="shared" si="174"/>
        <v>7</v>
      </c>
      <c r="O261" s="28">
        <f t="shared" si="175"/>
        <v>1</v>
      </c>
      <c r="P261" s="28">
        <f t="shared" si="176"/>
        <v>0</v>
      </c>
      <c r="Q261" s="28">
        <f t="shared" si="153"/>
        <v>11</v>
      </c>
      <c r="R261" s="22">
        <f t="shared" si="154"/>
        <v>136.85470212449883</v>
      </c>
      <c r="S261" s="22">
        <f t="shared" si="155"/>
        <v>53.859656937106692</v>
      </c>
      <c r="T261" s="22">
        <f t="shared" si="156"/>
        <v>5.5195895005063917</v>
      </c>
      <c r="U261" s="22">
        <f t="shared" si="157"/>
        <v>6</v>
      </c>
      <c r="V261" s="21">
        <f t="shared" si="171"/>
        <v>18.42338000000003</v>
      </c>
      <c r="W261" s="21">
        <f t="shared" si="172"/>
        <v>13.197570285714287</v>
      </c>
      <c r="X261" s="21">
        <f t="shared" si="162"/>
        <v>1.8910499999999932</v>
      </c>
      <c r="Y261" s="21">
        <f t="shared" si="163"/>
        <v>0</v>
      </c>
      <c r="Z261" s="221">
        <f t="shared" si="158"/>
        <v>14</v>
      </c>
      <c r="AA261" s="30">
        <f t="shared" si="145"/>
        <v>6.6854850690833461</v>
      </c>
      <c r="AB261" s="30">
        <f t="shared" si="146"/>
        <v>3.6729254092979819</v>
      </c>
      <c r="AC261" s="30">
        <f t="shared" si="147"/>
        <v>2.6269165545362472</v>
      </c>
      <c r="AD261" s="30">
        <f t="shared" si="148"/>
        <v>0</v>
      </c>
      <c r="AE261" s="32">
        <f t="shared" si="159"/>
        <v>12.985327032917576</v>
      </c>
      <c r="AF261" s="33">
        <f t="shared" si="165"/>
        <v>12.985327032917576</v>
      </c>
      <c r="AG261" s="40">
        <f t="shared" si="160"/>
        <v>81.854881719182288</v>
      </c>
      <c r="AH261" s="224">
        <f>AG261*$P$36</f>
        <v>6.8650584213076975</v>
      </c>
      <c r="AI261" s="226">
        <f>SUM(Z261,IF(Z261&lt;&gt;0,$F$34,0),IF(Z261&lt;&gt;0,$N$36,0),IF(Z261&lt;&gt;0,$T$36,0),IF(Z261=0,AH266,IF(Z261=1,AH267,IF(Z261=2,AH268,IF(Z261=3,AH269,IF(Z261=4,AH270,IF(Z261=5,AH271,IF(Z261=6,AH272,IF(Z261=7,AH273,IF(Z261=8,AH274,IF(Z261=9,AH275,IF(Z261=10,AH276,IF(Z261=11,AH277,IF(Z261=12,AH278,IF(Z261=13,AH279,IF(Z261=14,AH280,IF(Z261=15,AH281,IF(Z261=16,AH282,IF(Z261=17,AH283,IF(Z261=18,AH284,IF(Z261=19,AH285,IF(Z261=20,AH286,IF(Z261=21,AH287,IF(Z261=22,AH288,IF(Z261=23,AH289,IF(Z261=24,AH290,IF(Z261=25,AH291,IF(Z261=26,AH292,IF(Z261=27,AH293,IF(Z261=28,AH294,IF(Z261=29,AH295,IF(Z261=30,AH296))))))))))))))))))))))))))))))))</f>
        <v>41.786039046395601</v>
      </c>
      <c r="AJ261" s="253">
        <f>IF(V261&lt;&gt;0,SUM($F$34,V261,$N$36,MAX($AH$42:$AH$342),$T$36),0)</f>
        <v>48.014868610374478</v>
      </c>
      <c r="AK261" s="253">
        <f>IF(W261&lt;&gt;0,SUM($F$34,W261,$N$36,MAX($AH$42:$AH$342),$T$36),0)</f>
        <v>42.789058896088733</v>
      </c>
      <c r="AL261" s="253">
        <f>IF(X261&lt;&gt;0,SUM($F$34,X261,$N$36,MAX($AH$42:$AH$342),$T$36),0)</f>
        <v>31.482538610374441</v>
      </c>
      <c r="AM261" s="260">
        <f>IF(Y261&lt;&gt;0,SUM($F$34,Y261,$N$36,MAX($AH$42:$AH$342),$T$36),0)</f>
        <v>0</v>
      </c>
    </row>
    <row r="262" spans="1:39" x14ac:dyDescent="0.35">
      <c r="A262" s="259">
        <v>1640</v>
      </c>
      <c r="B262" s="58">
        <f>SUMIF([2]!Table2_23[ETA],'FIS Optimal Model (2)'!A262,[2]!Table2_23[FIS PAX])</f>
        <v>0</v>
      </c>
      <c r="C262" s="44">
        <f t="shared" si="161"/>
        <v>0</v>
      </c>
      <c r="D262" s="52">
        <f t="shared" si="164"/>
        <v>0</v>
      </c>
      <c r="E262" s="26">
        <f t="shared" si="149"/>
        <v>0</v>
      </c>
      <c r="F262" s="26">
        <f t="shared" si="150"/>
        <v>0</v>
      </c>
      <c r="G262" s="26">
        <f t="shared" si="151"/>
        <v>0</v>
      </c>
      <c r="H262" s="26">
        <f t="shared" si="152"/>
        <v>0</v>
      </c>
      <c r="I262" s="27">
        <f t="shared" si="166"/>
        <v>10</v>
      </c>
      <c r="J262" s="27">
        <f t="shared" si="166"/>
        <v>5</v>
      </c>
      <c r="K262" s="27">
        <f t="shared" si="166"/>
        <v>3</v>
      </c>
      <c r="L262" s="27">
        <f t="shared" si="166"/>
        <v>1</v>
      </c>
      <c r="M262" s="28">
        <f t="shared" si="173"/>
        <v>3</v>
      </c>
      <c r="N262" s="29">
        <f t="shared" si="174"/>
        <v>7</v>
      </c>
      <c r="O262" s="28">
        <f t="shared" si="175"/>
        <v>1</v>
      </c>
      <c r="P262" s="28">
        <f t="shared" si="176"/>
        <v>0</v>
      </c>
      <c r="Q262" s="28">
        <f t="shared" si="153"/>
        <v>11</v>
      </c>
      <c r="R262" s="22">
        <f t="shared" si="154"/>
        <v>140.16921705541549</v>
      </c>
      <c r="S262" s="22">
        <f t="shared" si="155"/>
        <v>55.18673152780871</v>
      </c>
      <c r="T262" s="22">
        <f t="shared" si="156"/>
        <v>5.8926729459701441</v>
      </c>
      <c r="U262" s="22">
        <f t="shared" si="157"/>
        <v>7</v>
      </c>
      <c r="V262" s="21">
        <f t="shared" si="171"/>
        <v>18.869580000000031</v>
      </c>
      <c r="W262" s="21">
        <f t="shared" si="172"/>
        <v>13.522751714285716</v>
      </c>
      <c r="X262" s="21">
        <f t="shared" si="162"/>
        <v>2.0188709999999932</v>
      </c>
      <c r="Y262" s="21">
        <f t="shared" si="163"/>
        <v>0</v>
      </c>
      <c r="Z262" s="221">
        <f t="shared" si="158"/>
        <v>14</v>
      </c>
      <c r="AA262" s="30">
        <f t="shared" si="145"/>
        <v>6.6854850690833461</v>
      </c>
      <c r="AB262" s="30">
        <f t="shared" si="146"/>
        <v>3.6729254092979819</v>
      </c>
      <c r="AC262" s="30">
        <f t="shared" si="147"/>
        <v>2.6269165545362472</v>
      </c>
      <c r="AD262" s="30">
        <f t="shared" si="148"/>
        <v>0</v>
      </c>
      <c r="AE262" s="32">
        <f t="shared" si="159"/>
        <v>12.985327032917576</v>
      </c>
      <c r="AF262" s="33">
        <f t="shared" si="165"/>
        <v>12.985327032917576</v>
      </c>
      <c r="AG262" s="40">
        <f t="shared" si="160"/>
        <v>82.916802322648095</v>
      </c>
      <c r="AH262" s="224">
        <f>AG262*$P$36</f>
        <v>6.9541202686706107</v>
      </c>
      <c r="AI262" s="226">
        <f>SUM(Z262,IF(Z262&lt;&gt;0,$F$34,0),IF(Z262&lt;&gt;0,$N$36,0),IF(Z262&lt;&gt;0,$T$36,0),IF(Z262=0,AH267,IF(Z262=1,AH268,IF(Z262=2,AH269,IF(Z262=3,AH270,IF(Z262=4,AH271,IF(Z262=5,AH272,IF(Z262=6,AH273,IF(Z262=7,AH274,IF(Z262=8,AH275,IF(Z262=9,AH276,IF(Z262=10,AH277,IF(Z262=11,AH278,IF(Z262=12,AH279,IF(Z262=13,AH280,IF(Z262=14,AH281,IF(Z262=15,AH282,IF(Z262=16,AH283,IF(Z262=17,AH284,IF(Z262=18,AH285,IF(Z262=19,AH286,IF(Z262=20,AH287,IF(Z262=21,AH288,IF(Z262=22,AH289,IF(Z262=23,AH290,IF(Z262=24,AH291,IF(Z262=25,AH292,IF(Z262=26,AH293,IF(Z262=27,AH294,IF(Z262=28,AH295,IF(Z262=29,AH296,IF(Z262=30,AH297))))))))))))))))))))))))))))))))</f>
        <v>41.654784948807787</v>
      </c>
      <c r="AJ262" s="253">
        <f>IF(V262&lt;&gt;0,SUM($F$34,V262,$N$36,MAX($AH$42:$AH$342),$T$36),0)</f>
        <v>48.461068610374483</v>
      </c>
      <c r="AK262" s="253">
        <f>IF(W262&lt;&gt;0,SUM($F$34,W262,$N$36,MAX($AH$42:$AH$342),$T$36),0)</f>
        <v>43.114240324660166</v>
      </c>
      <c r="AL262" s="253">
        <f>IF(X262&lt;&gt;0,SUM($F$34,X262,$N$36,MAX($AH$42:$AH$342),$T$36),0)</f>
        <v>31.610359610374442</v>
      </c>
      <c r="AM262" s="260">
        <f>IF(Y262&lt;&gt;0,SUM($F$34,Y262,$N$36,MAX($AH$42:$AH$342),$T$36),0)</f>
        <v>0</v>
      </c>
    </row>
    <row r="263" spans="1:39" x14ac:dyDescent="0.35">
      <c r="A263" s="259">
        <v>1641</v>
      </c>
      <c r="B263" s="58">
        <f>SUMIF([2]!Table2_23[ETA],'FIS Optimal Model (2)'!A263,[2]!Table2_23[FIS PAX])</f>
        <v>0</v>
      </c>
      <c r="C263" s="44">
        <f t="shared" si="161"/>
        <v>0</v>
      </c>
      <c r="D263" s="52">
        <f t="shared" si="164"/>
        <v>0</v>
      </c>
      <c r="E263" s="26">
        <f t="shared" si="149"/>
        <v>0</v>
      </c>
      <c r="F263" s="26">
        <f t="shared" si="150"/>
        <v>0</v>
      </c>
      <c r="G263" s="26">
        <f t="shared" si="151"/>
        <v>0</v>
      </c>
      <c r="H263" s="26">
        <f t="shared" si="152"/>
        <v>0</v>
      </c>
      <c r="I263" s="27">
        <f t="shared" si="166"/>
        <v>8</v>
      </c>
      <c r="J263" s="27">
        <f t="shared" si="166"/>
        <v>4</v>
      </c>
      <c r="K263" s="27">
        <f t="shared" si="166"/>
        <v>3</v>
      </c>
      <c r="L263" s="27">
        <f t="shared" si="166"/>
        <v>1</v>
      </c>
      <c r="M263" s="28">
        <f t="shared" si="173"/>
        <v>3</v>
      </c>
      <c r="N263" s="29">
        <f t="shared" si="174"/>
        <v>7</v>
      </c>
      <c r="O263" s="28">
        <f t="shared" si="175"/>
        <v>1</v>
      </c>
      <c r="P263" s="28">
        <f t="shared" si="176"/>
        <v>0</v>
      </c>
      <c r="Q263" s="28">
        <f t="shared" si="153"/>
        <v>11</v>
      </c>
      <c r="R263" s="22">
        <f t="shared" si="154"/>
        <v>141.48373198633215</v>
      </c>
      <c r="S263" s="22">
        <f t="shared" si="155"/>
        <v>55.513806118510729</v>
      </c>
      <c r="T263" s="22">
        <f t="shared" si="156"/>
        <v>6.2657563914338965</v>
      </c>
      <c r="U263" s="22">
        <f t="shared" si="157"/>
        <v>8</v>
      </c>
      <c r="V263" s="21">
        <f t="shared" si="171"/>
        <v>19.046540000000032</v>
      </c>
      <c r="W263" s="21">
        <f t="shared" si="172"/>
        <v>13.602896857142859</v>
      </c>
      <c r="X263" s="21">
        <f t="shared" si="162"/>
        <v>2.1466919999999932</v>
      </c>
      <c r="Y263" s="21">
        <f t="shared" si="163"/>
        <v>0</v>
      </c>
      <c r="Z263" s="221">
        <f t="shared" si="158"/>
        <v>15</v>
      </c>
      <c r="AA263" s="30">
        <f t="shared" si="145"/>
        <v>6.6854850690833461</v>
      </c>
      <c r="AB263" s="30">
        <f t="shared" si="146"/>
        <v>3.6729254092979819</v>
      </c>
      <c r="AC263" s="30">
        <f t="shared" si="147"/>
        <v>2.6269165545362472</v>
      </c>
      <c r="AD263" s="30">
        <f t="shared" si="148"/>
        <v>0</v>
      </c>
      <c r="AE263" s="32">
        <f t="shared" si="159"/>
        <v>12.985327032917576</v>
      </c>
      <c r="AF263" s="33">
        <f t="shared" si="165"/>
        <v>12.985327032917576</v>
      </c>
      <c r="AG263" s="40">
        <f t="shared" si="160"/>
        <v>83.978722926113903</v>
      </c>
      <c r="AH263" s="224">
        <f>AG263*$P$36</f>
        <v>7.0431821160335231</v>
      </c>
      <c r="AI263" s="226">
        <f>SUM(Z263,IF(Z263&lt;&gt;0,$F$34,0),IF(Z263&lt;&gt;0,$N$36,0),IF(Z263&lt;&gt;0,$T$36,0),IF(Z263=0,AH268,IF(Z263=1,AH269,IF(Z263=2,AH270,IF(Z263=3,AH271,IF(Z263=4,AH272,IF(Z263=5,AH273,IF(Z263=6,AH274,IF(Z263=7,AH275,IF(Z263=8,AH276,IF(Z263=9,AH277,IF(Z263=10,AH278,IF(Z263=11,AH279,IF(Z263=12,AH280,IF(Z263=13,AH281,IF(Z263=14,AH282,IF(Z263=15,AH283,IF(Z263=16,AH284,IF(Z263=17,AH285,IF(Z263=18,AH286,IF(Z263=19,AH287,IF(Z263=20,AH288,IF(Z263=21,AH289,IF(Z263=22,AH290,IF(Z263=23,AH291,IF(Z263=24,AH292,IF(Z263=25,AH293,IF(Z263=26,AH294,IF(Z263=27,AH295,IF(Z263=28,AH296,IF(Z263=29,AH297,IF(Z263=30,AH298))))))))))))))))))))))))))))))))</f>
        <v>41.776190162769069</v>
      </c>
      <c r="AJ263" s="253">
        <f>IF(V263&lt;&gt;0,SUM($F$34,V263,$N$36,MAX($AH$42:$AH$342),$T$36),0)</f>
        <v>48.638028610374477</v>
      </c>
      <c r="AK263" s="253">
        <f>IF(W263&lt;&gt;0,SUM($F$34,W263,$N$36,MAX($AH$42:$AH$342),$T$36),0)</f>
        <v>43.194385467517307</v>
      </c>
      <c r="AL263" s="253">
        <f>IF(X263&lt;&gt;0,SUM($F$34,X263,$N$36,MAX($AH$42:$AH$342),$T$36),0)</f>
        <v>31.738180610374442</v>
      </c>
      <c r="AM263" s="260">
        <f>IF(Y263&lt;&gt;0,SUM($F$34,Y263,$N$36,MAX($AH$42:$AH$342),$T$36),0)</f>
        <v>0</v>
      </c>
    </row>
    <row r="264" spans="1:39" x14ac:dyDescent="0.35">
      <c r="A264" s="259">
        <v>1642</v>
      </c>
      <c r="B264" s="58">
        <f>SUMIF([2]!Table2_23[ETA],'FIS Optimal Model (2)'!A264,[2]!Table2_23[FIS PAX])</f>
        <v>0</v>
      </c>
      <c r="C264" s="44">
        <f t="shared" si="161"/>
        <v>0</v>
      </c>
      <c r="D264" s="52">
        <f t="shared" si="164"/>
        <v>0</v>
      </c>
      <c r="E264" s="26">
        <f t="shared" si="149"/>
        <v>0</v>
      </c>
      <c r="F264" s="26">
        <f t="shared" si="150"/>
        <v>0</v>
      </c>
      <c r="G264" s="26">
        <f t="shared" si="151"/>
        <v>0</v>
      </c>
      <c r="H264" s="26">
        <f t="shared" si="152"/>
        <v>0</v>
      </c>
      <c r="I264" s="27">
        <f t="shared" si="166"/>
        <v>0</v>
      </c>
      <c r="J264" s="27">
        <f t="shared" si="166"/>
        <v>0</v>
      </c>
      <c r="K264" s="27">
        <f t="shared" si="166"/>
        <v>0</v>
      </c>
      <c r="L264" s="27">
        <f t="shared" si="166"/>
        <v>0</v>
      </c>
      <c r="M264" s="28">
        <f t="shared" si="173"/>
        <v>3</v>
      </c>
      <c r="N264" s="29">
        <f t="shared" si="174"/>
        <v>7</v>
      </c>
      <c r="O264" s="28">
        <f t="shared" si="175"/>
        <v>1</v>
      </c>
      <c r="P264" s="28">
        <f t="shared" si="176"/>
        <v>0</v>
      </c>
      <c r="Q264" s="28">
        <f t="shared" si="153"/>
        <v>11</v>
      </c>
      <c r="R264" s="22">
        <f t="shared" si="154"/>
        <v>134.7982469172488</v>
      </c>
      <c r="S264" s="22">
        <f t="shared" si="155"/>
        <v>51.840880709212747</v>
      </c>
      <c r="T264" s="22">
        <f t="shared" si="156"/>
        <v>3.6388398368976493</v>
      </c>
      <c r="U264" s="22">
        <f t="shared" si="157"/>
        <v>8</v>
      </c>
      <c r="V264" s="21">
        <f t="shared" si="171"/>
        <v>18.146540000000034</v>
      </c>
      <c r="W264" s="21">
        <f t="shared" si="172"/>
        <v>12.702896857142859</v>
      </c>
      <c r="X264" s="21">
        <f t="shared" si="162"/>
        <v>1.246691999999993</v>
      </c>
      <c r="Y264" s="21">
        <f t="shared" si="163"/>
        <v>0</v>
      </c>
      <c r="Z264" s="221">
        <f t="shared" si="158"/>
        <v>14</v>
      </c>
      <c r="AA264" s="30">
        <f t="shared" si="145"/>
        <v>6.6854850690833461</v>
      </c>
      <c r="AB264" s="30">
        <f t="shared" si="146"/>
        <v>3.6729254092979819</v>
      </c>
      <c r="AC264" s="30">
        <f t="shared" si="147"/>
        <v>2.6269165545362472</v>
      </c>
      <c r="AD264" s="30">
        <f t="shared" si="148"/>
        <v>0</v>
      </c>
      <c r="AE264" s="32">
        <f t="shared" si="159"/>
        <v>12.985327032917576</v>
      </c>
      <c r="AF264" s="33">
        <f t="shared" si="165"/>
        <v>12.985327032917576</v>
      </c>
      <c r="AG264" s="40">
        <f t="shared" si="160"/>
        <v>85.040643529579711</v>
      </c>
      <c r="AH264" s="224">
        <f>AG264*$P$36</f>
        <v>7.1322439633964363</v>
      </c>
      <c r="AI264" s="226">
        <f>SUM(Z264,IF(Z264&lt;&gt;0,$F$34,0),IF(Z264&lt;&gt;0,$N$36,0),IF(Z264&lt;&gt;0,$T$36,0),IF(Z264=0,AH269,IF(Z264=1,AH270,IF(Z264=2,AH271,IF(Z264=3,AH272,IF(Z264=4,AH273,IF(Z264=5,AH274,IF(Z264=6,AH275,IF(Z264=7,AH276,IF(Z264=8,AH277,IF(Z264=9,AH278,IF(Z264=10,AH279,IF(Z264=11,AH280,IF(Z264=12,AH281,IF(Z264=13,AH282,IF(Z264=14,AH283,IF(Z264=15,AH284,IF(Z264=16,AH285,IF(Z264=17,AH286,IF(Z264=18,AH287,IF(Z264=19,AH288,IF(Z264=20,AH289,IF(Z264=21,AH290,IF(Z264=22,AH291,IF(Z264=23,AH292,IF(Z264=24,AH293,IF(Z264=25,AH294,IF(Z264=26,AH295,IF(Z264=27,AH296,IF(Z264=28,AH297,IF(Z264=29,AH298,IF(Z264=30,AH299))))))))))))))))))))))))))))))))</f>
        <v>40.776190162769069</v>
      </c>
      <c r="AJ264" s="253">
        <f>IF(V264&lt;&gt;0,SUM($F$34,V264,$N$36,MAX($AH$42:$AH$342),$T$36),0)</f>
        <v>47.738028610374485</v>
      </c>
      <c r="AK264" s="253">
        <f>IF(W264&lt;&gt;0,SUM($F$34,W264,$N$36,MAX($AH$42:$AH$342),$T$36),0)</f>
        <v>42.294385467517309</v>
      </c>
      <c r="AL264" s="253">
        <f>IF(X264&lt;&gt;0,SUM($F$34,X264,$N$36,MAX($AH$42:$AH$342),$T$36),0)</f>
        <v>30.83818061037444</v>
      </c>
      <c r="AM264" s="260">
        <f>IF(Y264&lt;&gt;0,SUM($F$34,Y264,$N$36,MAX($AH$42:$AH$342),$T$36),0)</f>
        <v>0</v>
      </c>
    </row>
    <row r="265" spans="1:39" x14ac:dyDescent="0.35">
      <c r="A265" s="259">
        <v>1643</v>
      </c>
      <c r="B265" s="58">
        <f>SUMIF([2]!Table2_23[ETA],'FIS Optimal Model (2)'!A265,[2]!Table2_23[FIS PAX])</f>
        <v>0</v>
      </c>
      <c r="C265" s="44">
        <f t="shared" si="161"/>
        <v>0</v>
      </c>
      <c r="D265" s="52">
        <f t="shared" si="164"/>
        <v>0</v>
      </c>
      <c r="E265" s="26">
        <f t="shared" si="149"/>
        <v>0</v>
      </c>
      <c r="F265" s="26">
        <f t="shared" si="150"/>
        <v>0</v>
      </c>
      <c r="G265" s="26">
        <f t="shared" si="151"/>
        <v>0</v>
      </c>
      <c r="H265" s="26">
        <f t="shared" si="152"/>
        <v>0</v>
      </c>
      <c r="I265" s="27">
        <f t="shared" si="166"/>
        <v>0</v>
      </c>
      <c r="J265" s="27">
        <f t="shared" si="166"/>
        <v>0</v>
      </c>
      <c r="K265" s="27">
        <f t="shared" si="166"/>
        <v>0</v>
      </c>
      <c r="L265" s="27">
        <f t="shared" si="166"/>
        <v>0</v>
      </c>
      <c r="M265" s="28">
        <f t="shared" si="173"/>
        <v>3</v>
      </c>
      <c r="N265" s="29">
        <f t="shared" si="174"/>
        <v>7</v>
      </c>
      <c r="O265" s="28">
        <f t="shared" si="175"/>
        <v>1</v>
      </c>
      <c r="P265" s="28">
        <f t="shared" si="176"/>
        <v>0</v>
      </c>
      <c r="Q265" s="28">
        <f t="shared" si="153"/>
        <v>11</v>
      </c>
      <c r="R265" s="22">
        <f t="shared" si="154"/>
        <v>128.11276184816546</v>
      </c>
      <c r="S265" s="22">
        <f t="shared" si="155"/>
        <v>48.167955299914766</v>
      </c>
      <c r="T265" s="22">
        <f t="shared" si="156"/>
        <v>1.0119232823614022</v>
      </c>
      <c r="U265" s="22">
        <f t="shared" si="157"/>
        <v>8</v>
      </c>
      <c r="V265" s="21">
        <f t="shared" si="171"/>
        <v>17.246540000000032</v>
      </c>
      <c r="W265" s="21">
        <f t="shared" si="172"/>
        <v>11.802896857142859</v>
      </c>
      <c r="X265" s="21">
        <f t="shared" si="162"/>
        <v>0.34669199999999289</v>
      </c>
      <c r="Y265" s="21">
        <f t="shared" si="163"/>
        <v>0</v>
      </c>
      <c r="Z265" s="221">
        <f t="shared" si="158"/>
        <v>13</v>
      </c>
      <c r="AA265" s="30">
        <f t="shared" si="145"/>
        <v>6.6854850690833461</v>
      </c>
      <c r="AB265" s="30">
        <f t="shared" si="146"/>
        <v>3.6729254092979819</v>
      </c>
      <c r="AC265" s="30">
        <f t="shared" si="147"/>
        <v>2.6269165545362472</v>
      </c>
      <c r="AD265" s="30">
        <f t="shared" si="148"/>
        <v>0</v>
      </c>
      <c r="AE265" s="32">
        <f t="shared" si="159"/>
        <v>12.985327032917576</v>
      </c>
      <c r="AF265" s="33">
        <f t="shared" si="165"/>
        <v>12.985327032917576</v>
      </c>
      <c r="AG265" s="40">
        <f t="shared" si="160"/>
        <v>86.102564133045519</v>
      </c>
      <c r="AH265" s="224">
        <f>AG265*$P$36</f>
        <v>7.2213058107593486</v>
      </c>
      <c r="AI265" s="226">
        <f>SUM(Z265,IF(Z265&lt;&gt;0,$F$34,0),IF(Z265&lt;&gt;0,$N$36,0),IF(Z265&lt;&gt;0,$T$36,0),IF(Z265=0,AH270,IF(Z265=1,AH271,IF(Z265=2,AH272,IF(Z265=3,AH273,IF(Z265=4,AH274,IF(Z265=5,AH275,IF(Z265=6,AH276,IF(Z265=7,AH277,IF(Z265=8,AH278,IF(Z265=9,AH279,IF(Z265=10,AH280,IF(Z265=11,AH281,IF(Z265=12,AH282,IF(Z265=13,AH283,IF(Z265=14,AH284,IF(Z265=15,AH285,IF(Z265=16,AH286,IF(Z265=17,AH287,IF(Z265=18,AH288,IF(Z265=19,AH289,IF(Z265=20,AH290,IF(Z265=21,AH291,IF(Z265=22,AH292,IF(Z265=23,AH293,IF(Z265=24,AH294,IF(Z265=25,AH295,IF(Z265=26,AH296,IF(Z265=27,AH297,IF(Z265=28,AH298,IF(Z265=29,AH299,IF(Z265=30,AH300))))))))))))))))))))))))))))))))</f>
        <v>39.776190162769069</v>
      </c>
      <c r="AJ265" s="253">
        <f>IF(V265&lt;&gt;0,SUM($F$34,V265,$N$36,MAX($AH$42:$AH$342),$T$36),0)</f>
        <v>46.838028610374479</v>
      </c>
      <c r="AK265" s="253">
        <f>IF(W265&lt;&gt;0,SUM($F$34,W265,$N$36,MAX($AH$42:$AH$342),$T$36),0)</f>
        <v>41.39438546751731</v>
      </c>
      <c r="AL265" s="253">
        <f>IF(X265&lt;&gt;0,SUM($F$34,X265,$N$36,MAX($AH$42:$AH$342),$T$36),0)</f>
        <v>29.938180610374442</v>
      </c>
      <c r="AM265" s="260">
        <f>IF(Y265&lt;&gt;0,SUM($F$34,Y265,$N$36,MAX($AH$42:$AH$342),$T$36),0)</f>
        <v>0</v>
      </c>
    </row>
    <row r="266" spans="1:39" x14ac:dyDescent="0.35">
      <c r="A266" s="259">
        <v>1644</v>
      </c>
      <c r="B266" s="58">
        <f>SUMIF([2]!Table2_23[ETA],'FIS Optimal Model (2)'!A266,[2]!Table2_23[FIS PAX])</f>
        <v>0</v>
      </c>
      <c r="C266" s="44">
        <f t="shared" si="161"/>
        <v>0</v>
      </c>
      <c r="D266" s="52">
        <f t="shared" si="164"/>
        <v>0</v>
      </c>
      <c r="E266" s="26">
        <f t="shared" si="149"/>
        <v>0</v>
      </c>
      <c r="F266" s="26">
        <f t="shared" si="150"/>
        <v>0</v>
      </c>
      <c r="G266" s="26">
        <f t="shared" si="151"/>
        <v>0</v>
      </c>
      <c r="H266" s="26">
        <f t="shared" si="152"/>
        <v>0</v>
      </c>
      <c r="I266" s="27">
        <f t="shared" si="166"/>
        <v>0</v>
      </c>
      <c r="J266" s="27">
        <f t="shared" si="166"/>
        <v>0</v>
      </c>
      <c r="K266" s="27">
        <f t="shared" si="166"/>
        <v>0</v>
      </c>
      <c r="L266" s="27">
        <f t="shared" si="166"/>
        <v>0</v>
      </c>
      <c r="M266" s="28">
        <f t="shared" si="173"/>
        <v>3</v>
      </c>
      <c r="N266" s="29">
        <f t="shared" si="174"/>
        <v>7</v>
      </c>
      <c r="O266" s="28">
        <f t="shared" si="175"/>
        <v>1</v>
      </c>
      <c r="P266" s="28">
        <f t="shared" si="176"/>
        <v>0</v>
      </c>
      <c r="Q266" s="28">
        <f t="shared" si="153"/>
        <v>11</v>
      </c>
      <c r="R266" s="22">
        <f t="shared" si="154"/>
        <v>121.42727677908212</v>
      </c>
      <c r="S266" s="22">
        <f t="shared" si="155"/>
        <v>44.495029890616784</v>
      </c>
      <c r="T266" s="22">
        <f t="shared" si="156"/>
        <v>0</v>
      </c>
      <c r="U266" s="22">
        <f t="shared" si="157"/>
        <v>8</v>
      </c>
      <c r="V266" s="21">
        <f t="shared" si="171"/>
        <v>16.346540000000033</v>
      </c>
      <c r="W266" s="21">
        <f t="shared" si="172"/>
        <v>10.902896857142858</v>
      </c>
      <c r="X266" s="21">
        <f t="shared" si="162"/>
        <v>0</v>
      </c>
      <c r="Y266" s="21">
        <f t="shared" si="163"/>
        <v>0</v>
      </c>
      <c r="Z266" s="221">
        <f t="shared" si="158"/>
        <v>12</v>
      </c>
      <c r="AA266" s="30">
        <f t="shared" si="145"/>
        <v>6.6854850690833461</v>
      </c>
      <c r="AB266" s="30">
        <f t="shared" si="146"/>
        <v>3.6729254092979819</v>
      </c>
      <c r="AC266" s="30">
        <f t="shared" si="147"/>
        <v>0</v>
      </c>
      <c r="AD266" s="30">
        <f t="shared" si="148"/>
        <v>0</v>
      </c>
      <c r="AE266" s="32">
        <f t="shared" si="159"/>
        <v>10.358410478381328</v>
      </c>
      <c r="AF266" s="33">
        <f t="shared" si="165"/>
        <v>12.985327032917576</v>
      </c>
      <c r="AG266" s="40">
        <f t="shared" si="160"/>
        <v>87.164484736511326</v>
      </c>
      <c r="AH266" s="224">
        <f>AG266*$P$36</f>
        <v>7.3103676581222619</v>
      </c>
      <c r="AI266" s="226">
        <f>SUM(Z266,IF(Z266&lt;&gt;0,$F$34,0),IF(Z266&lt;&gt;0,$N$36,0),IF(Z266&lt;&gt;0,$T$36,0),IF(Z266=0,AH271,IF(Z266=1,AH272,IF(Z266=2,AH273,IF(Z266=3,AH274,IF(Z266=4,AH275,IF(Z266=5,AH276,IF(Z266=6,AH277,IF(Z266=7,AH278,IF(Z266=8,AH279,IF(Z266=9,AH280,IF(Z266=10,AH281,IF(Z266=11,AH282,IF(Z266=12,AH283,IF(Z266=13,AH284,IF(Z266=14,AH285,IF(Z266=15,AH286,IF(Z266=16,AH287,IF(Z266=17,AH288,IF(Z266=18,AH289,IF(Z266=19,AH290,IF(Z266=20,AH291,IF(Z266=21,AH292,IF(Z266=22,AH293,IF(Z266=23,AH294,IF(Z266=24,AH295,IF(Z266=25,AH296,IF(Z266=26,AH297,IF(Z266=27,AH298,IF(Z266=28,AH299,IF(Z266=29,AH300,IF(Z266=30,AH301))))))))))))))))))))))))))))))))</f>
        <v>38.776190162769069</v>
      </c>
      <c r="AJ266" s="253">
        <f>IF(V266&lt;&gt;0,SUM($F$34,V266,$N$36,MAX($AH$42:$AH$342),$T$36),0)</f>
        <v>45.938028610374481</v>
      </c>
      <c r="AK266" s="253">
        <f>IF(W266&lt;&gt;0,SUM($F$34,W266,$N$36,MAX($AH$42:$AH$342),$T$36),0)</f>
        <v>40.494385467517304</v>
      </c>
      <c r="AL266" s="253">
        <f>IF(X266&lt;&gt;0,SUM($F$34,X266,$N$36,MAX($AH$42:$AH$342),$T$36),0)</f>
        <v>0</v>
      </c>
      <c r="AM266" s="260">
        <f>IF(Y266&lt;&gt;0,SUM($F$34,Y266,$N$36,MAX($AH$42:$AH$342),$T$36),0)</f>
        <v>0</v>
      </c>
    </row>
    <row r="267" spans="1:39" x14ac:dyDescent="0.35">
      <c r="A267" s="259">
        <v>1645</v>
      </c>
      <c r="B267" s="58">
        <f>SUMIF([2]!Table2_23[ETA],'FIS Optimal Model (2)'!A267,[2]!Table2_23[FIS PAX])</f>
        <v>0</v>
      </c>
      <c r="C267" s="44">
        <f t="shared" si="161"/>
        <v>0</v>
      </c>
      <c r="D267" s="52">
        <f t="shared" si="164"/>
        <v>0</v>
      </c>
      <c r="E267" s="26">
        <f t="shared" si="149"/>
        <v>0</v>
      </c>
      <c r="F267" s="26">
        <f t="shared" si="150"/>
        <v>0</v>
      </c>
      <c r="G267" s="26">
        <f t="shared" si="151"/>
        <v>0</v>
      </c>
      <c r="H267" s="26">
        <f t="shared" si="152"/>
        <v>0</v>
      </c>
      <c r="I267" s="27">
        <f t="shared" si="166"/>
        <v>0</v>
      </c>
      <c r="J267" s="27">
        <f t="shared" si="166"/>
        <v>0</v>
      </c>
      <c r="K267" s="27">
        <f t="shared" si="166"/>
        <v>0</v>
      </c>
      <c r="L267" s="27">
        <f t="shared" si="166"/>
        <v>0</v>
      </c>
      <c r="M267" s="28">
        <f t="shared" si="173"/>
        <v>3</v>
      </c>
      <c r="N267" s="29">
        <f t="shared" si="174"/>
        <v>7</v>
      </c>
      <c r="O267" s="28">
        <f t="shared" si="175"/>
        <v>1</v>
      </c>
      <c r="P267" s="28">
        <f t="shared" si="176"/>
        <v>0</v>
      </c>
      <c r="Q267" s="28">
        <f t="shared" si="153"/>
        <v>11</v>
      </c>
      <c r="R267" s="22">
        <f t="shared" si="154"/>
        <v>114.74179170999878</v>
      </c>
      <c r="S267" s="22">
        <f t="shared" si="155"/>
        <v>40.822104481318803</v>
      </c>
      <c r="T267" s="22">
        <f t="shared" si="156"/>
        <v>0</v>
      </c>
      <c r="U267" s="22">
        <f t="shared" si="157"/>
        <v>8</v>
      </c>
      <c r="V267" s="21">
        <f t="shared" si="171"/>
        <v>15.446540000000034</v>
      </c>
      <c r="W267" s="21">
        <f t="shared" si="172"/>
        <v>10.002896857142858</v>
      </c>
      <c r="X267" s="21">
        <f t="shared" si="162"/>
        <v>0</v>
      </c>
      <c r="Y267" s="21">
        <f t="shared" si="163"/>
        <v>0</v>
      </c>
      <c r="Z267" s="221">
        <f t="shared" si="158"/>
        <v>11</v>
      </c>
      <c r="AA267" s="30">
        <f t="shared" si="145"/>
        <v>6.6854850690833461</v>
      </c>
      <c r="AB267" s="30">
        <f t="shared" si="146"/>
        <v>3.6729254092979819</v>
      </c>
      <c r="AC267" s="30">
        <f t="shared" si="147"/>
        <v>0</v>
      </c>
      <c r="AD267" s="30">
        <f t="shared" si="148"/>
        <v>0</v>
      </c>
      <c r="AE267" s="32">
        <f t="shared" si="159"/>
        <v>10.358410478381328</v>
      </c>
      <c r="AF267" s="33">
        <f t="shared" si="165"/>
        <v>12.985327032917576</v>
      </c>
      <c r="AG267" s="40">
        <f t="shared" si="160"/>
        <v>88.226405339977134</v>
      </c>
      <c r="AH267" s="224">
        <f>AG267*$P$36</f>
        <v>7.3994295054851742</v>
      </c>
      <c r="AI267" s="226">
        <f>SUM(Z267,IF(Z267&lt;&gt;0,$F$34,0),IF(Z267&lt;&gt;0,$N$36,0),IF(Z267&lt;&gt;0,$T$36,0),IF(Z267=0,AH272,IF(Z267=1,AH273,IF(Z267=2,AH274,IF(Z267=3,AH275,IF(Z267=4,AH276,IF(Z267=5,AH277,IF(Z267=6,AH278,IF(Z267=7,AH279,IF(Z267=8,AH280,IF(Z267=9,AH281,IF(Z267=10,AH282,IF(Z267=11,AH283,IF(Z267=12,AH284,IF(Z267=13,AH285,IF(Z267=14,AH286,IF(Z267=15,AH287,IF(Z267=16,AH288,IF(Z267=17,AH289,IF(Z267=18,AH290,IF(Z267=19,AH291,IF(Z267=20,AH292,IF(Z267=21,AH293,IF(Z267=22,AH294,IF(Z267=23,AH295,IF(Z267=24,AH296,IF(Z267=25,AH297,IF(Z267=26,AH298,IF(Z267=27,AH299,IF(Z267=28,AH300,IF(Z267=29,AH301,IF(Z267=30,AH302))))))))))))))))))))))))))))))))</f>
        <v>37.776190162769069</v>
      </c>
      <c r="AJ267" s="253">
        <f>IF(V267&lt;&gt;0,SUM($F$34,V267,$N$36,MAX($AH$42:$AH$342),$T$36),0)</f>
        <v>45.038028610374482</v>
      </c>
      <c r="AK267" s="253">
        <f>IF(W267&lt;&gt;0,SUM($F$34,W267,$N$36,MAX($AH$42:$AH$342),$T$36),0)</f>
        <v>39.594385467517306</v>
      </c>
      <c r="AL267" s="253">
        <f>IF(X267&lt;&gt;0,SUM($F$34,X267,$N$36,MAX($AH$42:$AH$342),$T$36),0)</f>
        <v>0</v>
      </c>
      <c r="AM267" s="260">
        <f>IF(Y267&lt;&gt;0,SUM($F$34,Y267,$N$36,MAX($AH$42:$AH$342),$T$36),0)</f>
        <v>0</v>
      </c>
    </row>
    <row r="268" spans="1:39" x14ac:dyDescent="0.35">
      <c r="A268" s="259">
        <v>1646</v>
      </c>
      <c r="B268" s="58">
        <f>SUMIF([2]!Table2_23[ETA],'FIS Optimal Model (2)'!A268,[2]!Table2_23[FIS PAX])</f>
        <v>0</v>
      </c>
      <c r="C268" s="44">
        <f t="shared" si="161"/>
        <v>0</v>
      </c>
      <c r="D268" s="52">
        <f t="shared" si="164"/>
        <v>0</v>
      </c>
      <c r="E268" s="26">
        <f t="shared" si="149"/>
        <v>0</v>
      </c>
      <c r="F268" s="26">
        <f t="shared" si="150"/>
        <v>0</v>
      </c>
      <c r="G268" s="26">
        <f t="shared" si="151"/>
        <v>0</v>
      </c>
      <c r="H268" s="26">
        <f t="shared" si="152"/>
        <v>0</v>
      </c>
      <c r="I268" s="27">
        <f t="shared" si="166"/>
        <v>0</v>
      </c>
      <c r="J268" s="27">
        <f t="shared" si="166"/>
        <v>0</v>
      </c>
      <c r="K268" s="27">
        <f t="shared" si="166"/>
        <v>0</v>
      </c>
      <c r="L268" s="27">
        <f t="shared" si="166"/>
        <v>0</v>
      </c>
      <c r="M268" s="28">
        <f>IF(R267=0,0,$Q$21)</f>
        <v>3</v>
      </c>
      <c r="N268" s="29">
        <f>$U$21-M268-O268-P268</f>
        <v>7</v>
      </c>
      <c r="O268" s="28">
        <f>IF(T267=0,0,$S$21)</f>
        <v>0</v>
      </c>
      <c r="P268" s="28">
        <f>IF(U267=0,0,$T$21)</f>
        <v>1</v>
      </c>
      <c r="Q268" s="28">
        <f t="shared" si="153"/>
        <v>11</v>
      </c>
      <c r="R268" s="22">
        <f t="shared" si="154"/>
        <v>108.05630664091544</v>
      </c>
      <c r="S268" s="22">
        <f t="shared" si="155"/>
        <v>37.149179072020821</v>
      </c>
      <c r="T268" s="22">
        <f t="shared" si="156"/>
        <v>0</v>
      </c>
      <c r="U268" s="22">
        <f t="shared" si="157"/>
        <v>6.0556473722074236</v>
      </c>
      <c r="V268" s="21">
        <f t="shared" si="171"/>
        <v>14.546540000000036</v>
      </c>
      <c r="W268" s="21">
        <f t="shared" si="172"/>
        <v>9.1028968571428575</v>
      </c>
      <c r="X268" s="21">
        <f t="shared" si="162"/>
        <v>0</v>
      </c>
      <c r="Y268" s="21">
        <f t="shared" si="163"/>
        <v>2.803032</v>
      </c>
      <c r="Z268" s="221">
        <f t="shared" si="158"/>
        <v>11</v>
      </c>
      <c r="AA268" s="30">
        <f t="shared" si="145"/>
        <v>6.6854850690833461</v>
      </c>
      <c r="AB268" s="30">
        <f t="shared" si="146"/>
        <v>3.6729254092979819</v>
      </c>
      <c r="AC268" s="30">
        <f t="shared" si="147"/>
        <v>0</v>
      </c>
      <c r="AD268" s="30">
        <f t="shared" si="148"/>
        <v>1.9443526277925764</v>
      </c>
      <c r="AE268" s="32">
        <f t="shared" si="159"/>
        <v>12.302763106173906</v>
      </c>
      <c r="AF268" s="33">
        <f t="shared" si="165"/>
        <v>12.985327032917576</v>
      </c>
      <c r="AG268" s="40">
        <f t="shared" si="160"/>
        <v>89.288325943442942</v>
      </c>
      <c r="AH268" s="224">
        <f>AG268*$P$36</f>
        <v>7.4884913528480874</v>
      </c>
      <c r="AI268" s="226">
        <f>SUM(Z268,IF(Z268&lt;&gt;0,$F$34,0),IF(Z268&lt;&gt;0,$N$36,0),IF(Z268&lt;&gt;0,$T$36,0),IF(Z268=0,AH273,IF(Z268=1,AH274,IF(Z268=2,AH275,IF(Z268=3,AH276,IF(Z268=4,AH277,IF(Z268=5,AH278,IF(Z268=6,AH279,IF(Z268=7,AH280,IF(Z268=8,AH281,IF(Z268=9,AH282,IF(Z268=10,AH283,IF(Z268=11,AH284,IF(Z268=12,AH285,IF(Z268=13,AH286,IF(Z268=14,AH287,IF(Z268=15,AH288,IF(Z268=16,AH289,IF(Z268=17,AH290,IF(Z268=18,AH291,IF(Z268=19,AH292,IF(Z268=20,AH293,IF(Z268=21,AH294,IF(Z268=22,AH295,IF(Z268=23,AH296,IF(Z268=24,AH297,IF(Z268=25,AH298,IF(Z268=26,AH299,IF(Z268=27,AH300,IF(Z268=28,AH301,IF(Z268=29,AH302,IF(Z268=30,AH303))))))))))))))))))))))))))))))))</f>
        <v>37.644936065181255</v>
      </c>
      <c r="AJ268" s="253">
        <f>IF(V268&lt;&gt;0,SUM($F$34,V268,$N$36,MAX($AH$42:$AH$342),$T$36),0)</f>
        <v>44.138028610374484</v>
      </c>
      <c r="AK268" s="253">
        <f>IF(W268&lt;&gt;0,SUM($F$34,W268,$N$36,MAX($AH$42:$AH$342),$T$36),0)</f>
        <v>38.694385467517307</v>
      </c>
      <c r="AL268" s="253">
        <f>IF(X268&lt;&gt;0,SUM($F$34,X268,$N$36,MAX($AH$42:$AH$342),$T$36),0)</f>
        <v>0</v>
      </c>
      <c r="AM268" s="260">
        <f>IF(Y268&lt;&gt;0,SUM($F$34,Y268,$N$36,MAX($AH$42:$AH$342),$T$36),0)</f>
        <v>32.39452061037445</v>
      </c>
    </row>
    <row r="269" spans="1:39" x14ac:dyDescent="0.35">
      <c r="A269" s="259">
        <v>1647</v>
      </c>
      <c r="B269" s="58">
        <f>SUMIF([2]!Table2_23[ETA],'FIS Optimal Model (2)'!A269,[2]!Table2_23[FIS PAX])</f>
        <v>0</v>
      </c>
      <c r="C269" s="44">
        <f t="shared" si="161"/>
        <v>0</v>
      </c>
      <c r="D269" s="52">
        <f t="shared" si="164"/>
        <v>0</v>
      </c>
      <c r="E269" s="26">
        <f t="shared" si="149"/>
        <v>0</v>
      </c>
      <c r="F269" s="26">
        <f t="shared" si="150"/>
        <v>0</v>
      </c>
      <c r="G269" s="26">
        <f t="shared" si="151"/>
        <v>0</v>
      </c>
      <c r="H269" s="26">
        <f t="shared" si="152"/>
        <v>0</v>
      </c>
      <c r="I269" s="27">
        <f t="shared" si="166"/>
        <v>0</v>
      </c>
      <c r="J269" s="27">
        <f t="shared" si="166"/>
        <v>0</v>
      </c>
      <c r="K269" s="27">
        <f t="shared" si="166"/>
        <v>0</v>
      </c>
      <c r="L269" s="27">
        <f t="shared" si="166"/>
        <v>0</v>
      </c>
      <c r="M269" s="28">
        <f>$M$268</f>
        <v>3</v>
      </c>
      <c r="N269" s="29">
        <f>$N$268</f>
        <v>7</v>
      </c>
      <c r="O269" s="28">
        <f>$O$268</f>
        <v>0</v>
      </c>
      <c r="P269" s="28">
        <f>$P$268</f>
        <v>1</v>
      </c>
      <c r="Q269" s="28">
        <f t="shared" si="153"/>
        <v>11</v>
      </c>
      <c r="R269" s="22">
        <f t="shared" si="154"/>
        <v>101.3708215718321</v>
      </c>
      <c r="S269" s="22">
        <f t="shared" si="155"/>
        <v>33.47625366272284</v>
      </c>
      <c r="T269" s="22">
        <f t="shared" si="156"/>
        <v>0</v>
      </c>
      <c r="U269" s="22">
        <f t="shared" si="157"/>
        <v>4.1112947444148471</v>
      </c>
      <c r="V269" s="21">
        <f t="shared" si="171"/>
        <v>13.646540000000035</v>
      </c>
      <c r="W269" s="21">
        <f t="shared" si="172"/>
        <v>8.2028968571428589</v>
      </c>
      <c r="X269" s="21">
        <f t="shared" si="162"/>
        <v>0</v>
      </c>
      <c r="Y269" s="21">
        <f t="shared" si="163"/>
        <v>1.9030320000000001</v>
      </c>
      <c r="Z269" s="221">
        <f t="shared" si="158"/>
        <v>10</v>
      </c>
      <c r="AA269" s="30">
        <f t="shared" si="145"/>
        <v>6.6854850690833461</v>
      </c>
      <c r="AB269" s="30">
        <f t="shared" si="146"/>
        <v>3.6729254092979819</v>
      </c>
      <c r="AC269" s="30">
        <f t="shared" si="147"/>
        <v>0</v>
      </c>
      <c r="AD269" s="30">
        <f t="shared" si="148"/>
        <v>1.9443526277925764</v>
      </c>
      <c r="AE269" s="32">
        <f t="shared" si="159"/>
        <v>12.302763106173906</v>
      </c>
      <c r="AF269" s="33">
        <f t="shared" si="165"/>
        <v>12.985327032917576</v>
      </c>
      <c r="AG269" s="40">
        <f t="shared" si="160"/>
        <v>90.35024654690875</v>
      </c>
      <c r="AH269" s="224">
        <f>AG269*$P$36</f>
        <v>7.5775532002109998</v>
      </c>
      <c r="AI269" s="226">
        <f>SUM(Z269,IF(Z269&lt;&gt;0,$F$34,0),IF(Z269&lt;&gt;0,$N$36,0),IF(Z269&lt;&gt;0,$T$36,0),IF(Z269=0,AH274,IF(Z269=1,AH275,IF(Z269=2,AH276,IF(Z269=3,AH277,IF(Z269=4,AH278,IF(Z269=5,AH279,IF(Z269=6,AH280,IF(Z269=7,AH281,IF(Z269=8,AH282,IF(Z269=9,AH283,IF(Z269=10,AH284,IF(Z269=11,AH285,IF(Z269=12,AH286,IF(Z269=13,AH287,IF(Z269=14,AH288,IF(Z269=15,AH289,IF(Z269=16,AH290,IF(Z269=17,AH291,IF(Z269=18,AH292,IF(Z269=19,AH293,IF(Z269=20,AH294,IF(Z269=21,AH295,IF(Z269=22,AH296,IF(Z269=23,AH297,IF(Z269=24,AH298,IF(Z269=25,AH299,IF(Z269=26,AH300,IF(Z269=27,AH301,IF(Z269=28,AH302,IF(Z269=29,AH303,IF(Z269=30,AH304))))))))))))))))))))))))))))))))</f>
        <v>36.644936065181255</v>
      </c>
      <c r="AJ269" s="253">
        <f>IF(V269&lt;&gt;0,SUM($F$34,V269,$N$36,MAX($AH$42:$AH$342),$T$36),0)</f>
        <v>43.238028610374485</v>
      </c>
      <c r="AK269" s="253">
        <f>IF(W269&lt;&gt;0,SUM($F$34,W269,$N$36,MAX($AH$42:$AH$342),$T$36),0)</f>
        <v>37.794385467517309</v>
      </c>
      <c r="AL269" s="253">
        <f>IF(X269&lt;&gt;0,SUM($F$34,X269,$N$36,MAX($AH$42:$AH$342),$T$36),0)</f>
        <v>0</v>
      </c>
      <c r="AM269" s="260">
        <f>IF(Y269&lt;&gt;0,SUM($F$34,Y269,$N$36,MAX($AH$42:$AH$342),$T$36),0)</f>
        <v>31.494520610374448</v>
      </c>
    </row>
    <row r="270" spans="1:39" x14ac:dyDescent="0.35">
      <c r="A270" s="259">
        <v>1648</v>
      </c>
      <c r="B270" s="58">
        <f>SUMIF([2]!Table2_23[ETA],'FIS Optimal Model (2)'!A270,[2]!Table2_23[FIS PAX])</f>
        <v>0</v>
      </c>
      <c r="C270" s="44">
        <f t="shared" si="161"/>
        <v>0</v>
      </c>
      <c r="D270" s="52">
        <f t="shared" si="164"/>
        <v>0</v>
      </c>
      <c r="E270" s="26">
        <f t="shared" si="149"/>
        <v>0</v>
      </c>
      <c r="F270" s="26">
        <f t="shared" si="150"/>
        <v>0</v>
      </c>
      <c r="G270" s="26">
        <f t="shared" si="151"/>
        <v>0</v>
      </c>
      <c r="H270" s="26">
        <f t="shared" si="152"/>
        <v>0</v>
      </c>
      <c r="I270" s="27">
        <f t="shared" si="166"/>
        <v>0</v>
      </c>
      <c r="J270" s="27">
        <f t="shared" si="166"/>
        <v>0</v>
      </c>
      <c r="K270" s="27">
        <f t="shared" si="166"/>
        <v>0</v>
      </c>
      <c r="L270" s="27">
        <f t="shared" si="166"/>
        <v>0</v>
      </c>
      <c r="M270" s="28">
        <f t="shared" ref="M270:M282" si="177">$M$268</f>
        <v>3</v>
      </c>
      <c r="N270" s="29">
        <f t="shared" ref="N270:N282" si="178">$N$268</f>
        <v>7</v>
      </c>
      <c r="O270" s="28">
        <f t="shared" ref="O270:O282" si="179">$O$268</f>
        <v>0</v>
      </c>
      <c r="P270" s="28">
        <f t="shared" ref="P270:P282" si="180">$P$268</f>
        <v>1</v>
      </c>
      <c r="Q270" s="28">
        <f t="shared" si="153"/>
        <v>11</v>
      </c>
      <c r="R270" s="22">
        <f t="shared" si="154"/>
        <v>94.685336502748754</v>
      </c>
      <c r="S270" s="22">
        <f t="shared" si="155"/>
        <v>29.803328253424858</v>
      </c>
      <c r="T270" s="22">
        <f t="shared" si="156"/>
        <v>0</v>
      </c>
      <c r="U270" s="22">
        <f t="shared" si="157"/>
        <v>2.1669421166222707</v>
      </c>
      <c r="V270" s="21">
        <f t="shared" si="171"/>
        <v>12.746540000000037</v>
      </c>
      <c r="W270" s="21">
        <f t="shared" si="172"/>
        <v>7.3028968571428576</v>
      </c>
      <c r="X270" s="21">
        <f t="shared" si="162"/>
        <v>0</v>
      </c>
      <c r="Y270" s="21">
        <f t="shared" si="163"/>
        <v>1.0030319999999999</v>
      </c>
      <c r="Z270" s="221">
        <f t="shared" si="158"/>
        <v>9</v>
      </c>
      <c r="AA270" s="30">
        <f t="shared" si="145"/>
        <v>6.6854850690833461</v>
      </c>
      <c r="AB270" s="30">
        <f t="shared" si="146"/>
        <v>3.6729254092979819</v>
      </c>
      <c r="AC270" s="30">
        <f t="shared" si="147"/>
        <v>0</v>
      </c>
      <c r="AD270" s="30">
        <f t="shared" si="148"/>
        <v>1.9443526277925764</v>
      </c>
      <c r="AE270" s="32">
        <f t="shared" si="159"/>
        <v>12.302763106173906</v>
      </c>
      <c r="AF270" s="33">
        <f t="shared" si="165"/>
        <v>10.358410478381328</v>
      </c>
      <c r="AG270" s="40">
        <f t="shared" si="160"/>
        <v>88.785250595838306</v>
      </c>
      <c r="AH270" s="224">
        <f>AG270*$P$36</f>
        <v>7.4462991026231853</v>
      </c>
      <c r="AI270" s="226">
        <f>SUM(Z270,IF(Z270&lt;&gt;0,$F$34,0),IF(Z270&lt;&gt;0,$N$36,0),IF(Z270&lt;&gt;0,$T$36,0),IF(Z270=0,AH275,IF(Z270=1,AH276,IF(Z270=2,AH277,IF(Z270=3,AH278,IF(Z270=4,AH279,IF(Z270=5,AH280,IF(Z270=6,AH281,IF(Z270=7,AH282,IF(Z270=8,AH283,IF(Z270=9,AH284,IF(Z270=10,AH285,IF(Z270=11,AH286,IF(Z270=12,AH287,IF(Z270=13,AH288,IF(Z270=14,AH289,IF(Z270=15,AH290,IF(Z270=16,AH291,IF(Z270=17,AH292,IF(Z270=18,AH293,IF(Z270=19,AH294,IF(Z270=20,AH295,IF(Z270=21,AH296,IF(Z270=22,AH297,IF(Z270=23,AH298,IF(Z270=24,AH299,IF(Z270=25,AH300,IF(Z270=26,AH301,IF(Z270=27,AH302,IF(Z270=28,AH303,IF(Z270=29,AH304,IF(Z270=30,AH305))))))))))))))))))))))))))))))))</f>
        <v>35.644936065181255</v>
      </c>
      <c r="AJ270" s="253">
        <f>IF(V270&lt;&gt;0,SUM($F$34,V270,$N$36,MAX($AH$42:$AH$342),$T$36),0)</f>
        <v>42.338028610374487</v>
      </c>
      <c r="AK270" s="253">
        <f>IF(W270&lt;&gt;0,SUM($F$34,W270,$N$36,MAX($AH$42:$AH$342),$T$36),0)</f>
        <v>36.89438546751731</v>
      </c>
      <c r="AL270" s="253">
        <f>IF(X270&lt;&gt;0,SUM($F$34,X270,$N$36,MAX($AH$42:$AH$342),$T$36),0)</f>
        <v>0</v>
      </c>
      <c r="AM270" s="260">
        <f>IF(Y270&lt;&gt;0,SUM($F$34,Y270,$N$36,MAX($AH$42:$AH$342),$T$36),0)</f>
        <v>30.594520610374449</v>
      </c>
    </row>
    <row r="271" spans="1:39" x14ac:dyDescent="0.35">
      <c r="A271" s="259">
        <v>1649</v>
      </c>
      <c r="B271" s="58">
        <f>SUMIF([2]!Table2_23[ETA],'FIS Optimal Model (2)'!A271,[2]!Table2_23[FIS PAX])</f>
        <v>0</v>
      </c>
      <c r="C271" s="44">
        <f t="shared" si="161"/>
        <v>0</v>
      </c>
      <c r="D271" s="52">
        <f t="shared" si="164"/>
        <v>0</v>
      </c>
      <c r="E271" s="26">
        <f t="shared" si="149"/>
        <v>0</v>
      </c>
      <c r="F271" s="26">
        <f t="shared" si="150"/>
        <v>0</v>
      </c>
      <c r="G271" s="26">
        <f t="shared" si="151"/>
        <v>0</v>
      </c>
      <c r="H271" s="26">
        <f t="shared" si="152"/>
        <v>0</v>
      </c>
      <c r="I271" s="27">
        <f t="shared" si="166"/>
        <v>0</v>
      </c>
      <c r="J271" s="27">
        <f t="shared" si="166"/>
        <v>0</v>
      </c>
      <c r="K271" s="27">
        <f t="shared" si="166"/>
        <v>0</v>
      </c>
      <c r="L271" s="27">
        <f t="shared" si="166"/>
        <v>0</v>
      </c>
      <c r="M271" s="28">
        <f t="shared" si="177"/>
        <v>3</v>
      </c>
      <c r="N271" s="29">
        <f t="shared" si="178"/>
        <v>7</v>
      </c>
      <c r="O271" s="28">
        <f t="shared" si="179"/>
        <v>0</v>
      </c>
      <c r="P271" s="28">
        <f t="shared" si="180"/>
        <v>1</v>
      </c>
      <c r="Q271" s="28">
        <f t="shared" si="153"/>
        <v>11</v>
      </c>
      <c r="R271" s="22">
        <f t="shared" si="154"/>
        <v>87.999851433665413</v>
      </c>
      <c r="S271" s="22">
        <f t="shared" si="155"/>
        <v>26.130402844126877</v>
      </c>
      <c r="T271" s="22">
        <f t="shared" si="156"/>
        <v>0</v>
      </c>
      <c r="U271" s="22">
        <f t="shared" si="157"/>
        <v>0.2225894888296942</v>
      </c>
      <c r="V271" s="21">
        <f t="shared" si="171"/>
        <v>11.846540000000036</v>
      </c>
      <c r="W271" s="21">
        <f t="shared" si="172"/>
        <v>6.4028968571428582</v>
      </c>
      <c r="X271" s="21">
        <f t="shared" si="162"/>
        <v>0</v>
      </c>
      <c r="Y271" s="21">
        <f t="shared" si="163"/>
        <v>0.10303200000000003</v>
      </c>
      <c r="Z271" s="221">
        <f t="shared" si="158"/>
        <v>9</v>
      </c>
      <c r="AA271" s="30">
        <f t="shared" si="145"/>
        <v>6.6854850690833461</v>
      </c>
      <c r="AB271" s="30">
        <f t="shared" si="146"/>
        <v>3.6729254092979819</v>
      </c>
      <c r="AC271" s="30">
        <f t="shared" si="147"/>
        <v>0</v>
      </c>
      <c r="AD271" s="30">
        <f t="shared" si="148"/>
        <v>1.9443526277925764</v>
      </c>
      <c r="AE271" s="32">
        <f t="shared" si="159"/>
        <v>12.302763106173906</v>
      </c>
      <c r="AF271" s="33">
        <f t="shared" si="165"/>
        <v>10.358410478381328</v>
      </c>
      <c r="AG271" s="40">
        <f t="shared" si="160"/>
        <v>87.220254644767863</v>
      </c>
      <c r="AH271" s="224">
        <f>AG271*$P$36</f>
        <v>7.3150450050353699</v>
      </c>
      <c r="AI271" s="226">
        <f>SUM(Z271,IF(Z271&lt;&gt;0,$F$34,0),IF(Z271&lt;&gt;0,$N$36,0),IF(Z271&lt;&gt;0,$T$36,0),IF(Z271=0,AH276,IF(Z271=1,AH277,IF(Z271=2,AH278,IF(Z271=3,AH279,IF(Z271=4,AH280,IF(Z271=5,AH281,IF(Z271=6,AH282,IF(Z271=7,AH283,IF(Z271=8,AH284,IF(Z271=9,AH285,IF(Z271=10,AH286,IF(Z271=11,AH287,IF(Z271=12,AH288,IF(Z271=13,AH289,IF(Z271=14,AH290,IF(Z271=15,AH291,IF(Z271=16,AH292,IF(Z271=17,AH293,IF(Z271=18,AH294,IF(Z271=19,AH295,IF(Z271=20,AH296,IF(Z271=21,AH297,IF(Z271=22,AH298,IF(Z271=23,AH299,IF(Z271=24,AH300,IF(Z271=25,AH301,IF(Z271=26,AH302,IF(Z271=27,AH303,IF(Z271=28,AH304,IF(Z271=29,AH305,IF(Z271=30,AH306))))))))))))))))))))))))))))))))</f>
        <v>35.513681967593435</v>
      </c>
      <c r="AJ271" s="253">
        <f>IF(V271&lt;&gt;0,SUM($F$34,V271,$N$36,MAX($AH$42:$AH$342),$T$36),0)</f>
        <v>41.438028610374488</v>
      </c>
      <c r="AK271" s="253">
        <f>IF(W271&lt;&gt;0,SUM($F$34,W271,$N$36,MAX($AH$42:$AH$342),$T$36),0)</f>
        <v>35.994385467517304</v>
      </c>
      <c r="AL271" s="253">
        <f>IF(X271&lt;&gt;0,SUM($F$34,X271,$N$36,MAX($AH$42:$AH$342),$T$36),0)</f>
        <v>0</v>
      </c>
      <c r="AM271" s="260">
        <f>IF(Y271&lt;&gt;0,SUM($F$34,Y271,$N$36,MAX($AH$42:$AH$342),$T$36),0)</f>
        <v>29.694520610374447</v>
      </c>
    </row>
    <row r="272" spans="1:39" x14ac:dyDescent="0.35">
      <c r="A272" s="259">
        <v>1650</v>
      </c>
      <c r="B272" s="58">
        <f>SUMIF([2]!Table2_23[ETA],'FIS Optimal Model (2)'!A272,[2]!Table2_23[FIS PAX])</f>
        <v>0</v>
      </c>
      <c r="C272" s="44">
        <f t="shared" si="161"/>
        <v>0</v>
      </c>
      <c r="D272" s="52">
        <f t="shared" si="164"/>
        <v>0</v>
      </c>
      <c r="E272" s="26">
        <f t="shared" si="149"/>
        <v>0</v>
      </c>
      <c r="F272" s="26">
        <f t="shared" si="150"/>
        <v>0</v>
      </c>
      <c r="G272" s="26">
        <f t="shared" si="151"/>
        <v>0</v>
      </c>
      <c r="H272" s="26">
        <f t="shared" si="152"/>
        <v>0</v>
      </c>
      <c r="I272" s="27">
        <f t="shared" si="166"/>
        <v>0</v>
      </c>
      <c r="J272" s="27">
        <f t="shared" si="166"/>
        <v>0</v>
      </c>
      <c r="K272" s="27">
        <f t="shared" si="166"/>
        <v>0</v>
      </c>
      <c r="L272" s="27">
        <f t="shared" si="166"/>
        <v>0</v>
      </c>
      <c r="M272" s="28">
        <f t="shared" si="177"/>
        <v>3</v>
      </c>
      <c r="N272" s="29">
        <f t="shared" si="178"/>
        <v>7</v>
      </c>
      <c r="O272" s="28">
        <f t="shared" si="179"/>
        <v>0</v>
      </c>
      <c r="P272" s="28">
        <f t="shared" si="180"/>
        <v>1</v>
      </c>
      <c r="Q272" s="28">
        <f t="shared" si="153"/>
        <v>11</v>
      </c>
      <c r="R272" s="22">
        <f t="shared" si="154"/>
        <v>81.314366364582071</v>
      </c>
      <c r="S272" s="22">
        <f t="shared" si="155"/>
        <v>21.932773804929184</v>
      </c>
      <c r="T272" s="22">
        <f t="shared" si="156"/>
        <v>0</v>
      </c>
      <c r="U272" s="22">
        <f t="shared" si="157"/>
        <v>0</v>
      </c>
      <c r="V272" s="21">
        <f t="shared" si="171"/>
        <v>10.946540000000038</v>
      </c>
      <c r="W272" s="21">
        <f t="shared" si="172"/>
        <v>5.3743254285714297</v>
      </c>
      <c r="X272" s="21">
        <f t="shared" si="162"/>
        <v>0</v>
      </c>
      <c r="Y272" s="21">
        <f t="shared" si="163"/>
        <v>0</v>
      </c>
      <c r="Z272" s="221">
        <f t="shared" si="158"/>
        <v>8</v>
      </c>
      <c r="AA272" s="30">
        <f t="shared" si="145"/>
        <v>6.6854850690833461</v>
      </c>
      <c r="AB272" s="30">
        <f t="shared" si="146"/>
        <v>3.6729254092979819</v>
      </c>
      <c r="AC272" s="30">
        <f t="shared" si="147"/>
        <v>0</v>
      </c>
      <c r="AD272" s="30">
        <f t="shared" si="148"/>
        <v>0</v>
      </c>
      <c r="AE272" s="32">
        <f t="shared" si="159"/>
        <v>10.358410478381328</v>
      </c>
      <c r="AF272" s="33">
        <f t="shared" si="165"/>
        <v>12.302763106173906</v>
      </c>
      <c r="AG272" s="40">
        <f t="shared" si="160"/>
        <v>87.599611321489988</v>
      </c>
      <c r="AH272" s="224">
        <f>AG272*$P$36</f>
        <v>7.3468611373601966</v>
      </c>
      <c r="AI272" s="226">
        <f>SUM(Z272,IF(Z272&lt;&gt;0,$F$34,0),IF(Z272&lt;&gt;0,$N$36,0),IF(Z272&lt;&gt;0,$T$36,0),IF(Z272=0,AH277,IF(Z272=1,AH278,IF(Z272=2,AH279,IF(Z272=3,AH280,IF(Z272=4,AH281,IF(Z272=5,AH282,IF(Z272=6,AH283,IF(Z272=7,AH284,IF(Z272=8,AH285,IF(Z272=9,AH286,IF(Z272=10,AH287,IF(Z272=11,AH288,IF(Z272=12,AH289,IF(Z272=13,AH290,IF(Z272=14,AH291,IF(Z272=15,AH292,IF(Z272=16,AH293,IF(Z272=17,AH294,IF(Z272=18,AH295,IF(Z272=19,AH296,IF(Z272=20,AH297,IF(Z272=21,AH298,IF(Z272=22,AH299,IF(Z272=23,AH300,IF(Z272=24,AH301,IF(Z272=25,AH302,IF(Z272=26,AH303,IF(Z272=27,AH304,IF(Z272=28,AH305,IF(Z272=29,AH306,IF(Z272=30,AH307))))))))))))))))))))))))))))))))</f>
        <v>34.513681967593435</v>
      </c>
      <c r="AJ272" s="253">
        <f>IF(V272&lt;&gt;0,SUM($F$34,V272,$N$36,MAX($AH$42:$AH$342),$T$36),0)</f>
        <v>40.538028610374482</v>
      </c>
      <c r="AK272" s="253">
        <f>IF(W272&lt;&gt;0,SUM($F$34,W272,$N$36,MAX($AH$42:$AH$342),$T$36),0)</f>
        <v>34.965814038945879</v>
      </c>
      <c r="AL272" s="253">
        <f>IF(X272&lt;&gt;0,SUM($F$34,X272,$N$36,MAX($AH$42:$AH$342),$T$36),0)</f>
        <v>0</v>
      </c>
      <c r="AM272" s="260">
        <f>IF(Y272&lt;&gt;0,SUM($F$34,Y272,$N$36,MAX($AH$42:$AH$342),$T$36),0)</f>
        <v>0</v>
      </c>
    </row>
    <row r="273" spans="1:39" x14ac:dyDescent="0.35">
      <c r="A273" s="259">
        <v>1651</v>
      </c>
      <c r="B273" s="58">
        <f>SUMIF([2]!Table2_23[ETA],'FIS Optimal Model (2)'!A273,[2]!Table2_23[FIS PAX])</f>
        <v>0</v>
      </c>
      <c r="C273" s="44">
        <f t="shared" si="161"/>
        <v>0</v>
      </c>
      <c r="D273" s="52">
        <f t="shared" si="164"/>
        <v>0</v>
      </c>
      <c r="E273" s="26">
        <f t="shared" si="149"/>
        <v>0</v>
      </c>
      <c r="F273" s="26">
        <f t="shared" si="150"/>
        <v>0</v>
      </c>
      <c r="G273" s="26">
        <f t="shared" si="151"/>
        <v>0</v>
      </c>
      <c r="H273" s="26">
        <f t="shared" si="152"/>
        <v>0</v>
      </c>
      <c r="I273" s="27">
        <f t="shared" si="166"/>
        <v>0</v>
      </c>
      <c r="J273" s="27">
        <f t="shared" si="166"/>
        <v>0</v>
      </c>
      <c r="K273" s="27">
        <f t="shared" si="166"/>
        <v>0</v>
      </c>
      <c r="L273" s="27">
        <f t="shared" si="166"/>
        <v>0</v>
      </c>
      <c r="M273" s="28">
        <f t="shared" si="177"/>
        <v>3</v>
      </c>
      <c r="N273" s="29">
        <f t="shared" si="178"/>
        <v>7</v>
      </c>
      <c r="O273" s="28">
        <f t="shared" si="179"/>
        <v>0</v>
      </c>
      <c r="P273" s="28">
        <f t="shared" si="180"/>
        <v>1</v>
      </c>
      <c r="Q273" s="28">
        <f t="shared" si="153"/>
        <v>11</v>
      </c>
      <c r="R273" s="22">
        <f t="shared" si="154"/>
        <v>74.628881295498729</v>
      </c>
      <c r="S273" s="22">
        <f t="shared" si="155"/>
        <v>17.735144765731491</v>
      </c>
      <c r="T273" s="22">
        <f t="shared" si="156"/>
        <v>0</v>
      </c>
      <c r="U273" s="22">
        <f t="shared" si="157"/>
        <v>0</v>
      </c>
      <c r="V273" s="21">
        <f t="shared" si="171"/>
        <v>10.046540000000038</v>
      </c>
      <c r="W273" s="21">
        <f t="shared" si="172"/>
        <v>4.3457540000000003</v>
      </c>
      <c r="X273" s="21">
        <f t="shared" si="162"/>
        <v>0</v>
      </c>
      <c r="Y273" s="21">
        <f t="shared" si="163"/>
        <v>0</v>
      </c>
      <c r="Z273" s="221">
        <f t="shared" si="158"/>
        <v>7</v>
      </c>
      <c r="AA273" s="30">
        <f t="shared" si="145"/>
        <v>6.6854850690833461</v>
      </c>
      <c r="AB273" s="30">
        <f t="shared" si="146"/>
        <v>3.6729254092979819</v>
      </c>
      <c r="AC273" s="30">
        <f t="shared" si="147"/>
        <v>0</v>
      </c>
      <c r="AD273" s="30">
        <f t="shared" si="148"/>
        <v>0</v>
      </c>
      <c r="AE273" s="32">
        <f t="shared" si="159"/>
        <v>10.358410478381328</v>
      </c>
      <c r="AF273" s="33">
        <f t="shared" si="165"/>
        <v>12.302763106173906</v>
      </c>
      <c r="AG273" s="40">
        <f t="shared" si="160"/>
        <v>87.978967998212113</v>
      </c>
      <c r="AH273" s="224">
        <f>AG273*$P$36</f>
        <v>7.3786772696850234</v>
      </c>
      <c r="AI273" s="226">
        <f>SUM(Z273,IF(Z273&lt;&gt;0,$F$34,0),IF(Z273&lt;&gt;0,$N$36,0),IF(Z273&lt;&gt;0,$T$36,0),IF(Z273=0,AH278,IF(Z273=1,AH279,IF(Z273=2,AH280,IF(Z273=3,AH281,IF(Z273=4,AH282,IF(Z273=5,AH283,IF(Z273=6,AH284,IF(Z273=7,AH285,IF(Z273=8,AH286,IF(Z273=9,AH287,IF(Z273=10,AH288,IF(Z273=11,AH289,IF(Z273=12,AH290,IF(Z273=13,AH291,IF(Z273=14,AH292,IF(Z273=15,AH293,IF(Z273=16,AH294,IF(Z273=17,AH295,IF(Z273=18,AH296,IF(Z273=19,AH297,IF(Z273=20,AH298,IF(Z273=21,AH299,IF(Z273=22,AH300,IF(Z273=23,AH301,IF(Z273=24,AH302,IF(Z273=25,AH303,IF(Z273=26,AH304,IF(Z273=27,AH305,IF(Z273=28,AH306,IF(Z273=29,AH307,IF(Z273=30,AH308))))))))))))))))))))))))))))))))</f>
        <v>33.513681967593435</v>
      </c>
      <c r="AJ273" s="253">
        <f>IF(V273&lt;&gt;0,SUM($F$34,V273,$N$36,MAX($AH$42:$AH$342),$T$36),0)</f>
        <v>39.638028610374484</v>
      </c>
      <c r="AK273" s="253">
        <f>IF(W273&lt;&gt;0,SUM($F$34,W273,$N$36,MAX($AH$42:$AH$342),$T$36),0)</f>
        <v>33.937242610374447</v>
      </c>
      <c r="AL273" s="253">
        <f>IF(X273&lt;&gt;0,SUM($F$34,X273,$N$36,MAX($AH$42:$AH$342),$T$36),0)</f>
        <v>0</v>
      </c>
      <c r="AM273" s="260">
        <f>IF(Y273&lt;&gt;0,SUM($F$34,Y273,$N$36,MAX($AH$42:$AH$342),$T$36),0)</f>
        <v>0</v>
      </c>
    </row>
    <row r="274" spans="1:39" x14ac:dyDescent="0.35">
      <c r="A274" s="259">
        <v>1652</v>
      </c>
      <c r="B274" s="58">
        <f>SUMIF([2]!Table2_23[ETA],'FIS Optimal Model (2)'!A274,[2]!Table2_23[FIS PAX])</f>
        <v>62</v>
      </c>
      <c r="C274" s="44">
        <f t="shared" si="161"/>
        <v>0</v>
      </c>
      <c r="D274" s="52">
        <f t="shared" si="164"/>
        <v>0</v>
      </c>
      <c r="E274" s="26">
        <f t="shared" si="149"/>
        <v>0</v>
      </c>
      <c r="F274" s="26">
        <f t="shared" si="150"/>
        <v>0</v>
      </c>
      <c r="G274" s="26">
        <f t="shared" si="151"/>
        <v>0</v>
      </c>
      <c r="H274" s="26">
        <f t="shared" si="152"/>
        <v>0</v>
      </c>
      <c r="I274" s="27">
        <f t="shared" si="166"/>
        <v>0</v>
      </c>
      <c r="J274" s="27">
        <f t="shared" si="166"/>
        <v>0</v>
      </c>
      <c r="K274" s="27">
        <f t="shared" si="166"/>
        <v>0</v>
      </c>
      <c r="L274" s="27">
        <f t="shared" si="166"/>
        <v>0</v>
      </c>
      <c r="M274" s="28">
        <f t="shared" si="177"/>
        <v>3</v>
      </c>
      <c r="N274" s="29">
        <f t="shared" si="178"/>
        <v>7</v>
      </c>
      <c r="O274" s="28">
        <f t="shared" si="179"/>
        <v>0</v>
      </c>
      <c r="P274" s="28">
        <f t="shared" si="180"/>
        <v>1</v>
      </c>
      <c r="Q274" s="28">
        <f t="shared" si="153"/>
        <v>11</v>
      </c>
      <c r="R274" s="22">
        <f t="shared" si="154"/>
        <v>67.943396226415388</v>
      </c>
      <c r="S274" s="22">
        <f t="shared" si="155"/>
        <v>13.537515726533798</v>
      </c>
      <c r="T274" s="22">
        <f t="shared" si="156"/>
        <v>0</v>
      </c>
      <c r="U274" s="22">
        <f t="shared" si="157"/>
        <v>0</v>
      </c>
      <c r="V274" s="21">
        <f t="shared" si="171"/>
        <v>9.146540000000039</v>
      </c>
      <c r="W274" s="21">
        <f t="shared" si="172"/>
        <v>3.3171825714285719</v>
      </c>
      <c r="X274" s="21">
        <f t="shared" si="162"/>
        <v>0</v>
      </c>
      <c r="Y274" s="21">
        <f t="shared" si="163"/>
        <v>0</v>
      </c>
      <c r="Z274" s="221">
        <f t="shared" si="158"/>
        <v>6</v>
      </c>
      <c r="AA274" s="30">
        <f t="shared" si="145"/>
        <v>6.6854850690833461</v>
      </c>
      <c r="AB274" s="30">
        <f t="shared" si="146"/>
        <v>3.6729254092979819</v>
      </c>
      <c r="AC274" s="30">
        <f t="shared" si="147"/>
        <v>0</v>
      </c>
      <c r="AD274" s="30">
        <f t="shared" si="148"/>
        <v>0</v>
      </c>
      <c r="AE274" s="32">
        <f t="shared" si="159"/>
        <v>10.358410478381328</v>
      </c>
      <c r="AF274" s="33">
        <f t="shared" si="165"/>
        <v>12.302763106173906</v>
      </c>
      <c r="AG274" s="40">
        <f t="shared" si="160"/>
        <v>88.358324674934238</v>
      </c>
      <c r="AH274" s="224">
        <f>AG274*$P$36</f>
        <v>7.4104934020098501</v>
      </c>
      <c r="AI274" s="226">
        <f>SUM(Z274,IF(Z274&lt;&gt;0,$F$34,0),IF(Z274&lt;&gt;0,$N$36,0),IF(Z274&lt;&gt;0,$T$36,0),IF(Z274=0,AH279,IF(Z274=1,AH280,IF(Z274=2,AH281,IF(Z274=3,AH282,IF(Z274=4,AH283,IF(Z274=5,AH284,IF(Z274=6,AH285,IF(Z274=7,AH286,IF(Z274=8,AH287,IF(Z274=9,AH288,IF(Z274=10,AH289,IF(Z274=11,AH290,IF(Z274=12,AH291,IF(Z274=13,AH292,IF(Z274=14,AH293,IF(Z274=15,AH294,IF(Z274=16,AH295,IF(Z274=17,AH296,IF(Z274=18,AH297,IF(Z274=19,AH298,IF(Z274=20,AH299,IF(Z274=21,AH300,IF(Z274=22,AH301,IF(Z274=23,AH302,IF(Z274=24,AH303,IF(Z274=25,AH304,IF(Z274=26,AH305,IF(Z274=27,AH306,IF(Z274=28,AH307,IF(Z274=29,AH308,IF(Z274=30,AH309))))))))))))))))))))))))))))))))</f>
        <v>32.513681967593435</v>
      </c>
      <c r="AJ274" s="253">
        <f>IF(V274&lt;&gt;0,SUM($F$34,V274,$N$36,MAX($AH$42:$AH$342),$T$36),0)</f>
        <v>38.738028610374485</v>
      </c>
      <c r="AK274" s="253">
        <f>IF(W274&lt;&gt;0,SUM($F$34,W274,$N$36,MAX($AH$42:$AH$342),$T$36),0)</f>
        <v>32.908671181803015</v>
      </c>
      <c r="AL274" s="253">
        <f>IF(X274&lt;&gt;0,SUM($F$34,X274,$N$36,MAX($AH$42:$AH$342),$T$36),0)</f>
        <v>0</v>
      </c>
      <c r="AM274" s="260">
        <f>IF(Y274&lt;&gt;0,SUM($F$34,Y274,$N$36,MAX($AH$42:$AH$342),$T$36),0)</f>
        <v>0</v>
      </c>
    </row>
    <row r="275" spans="1:39" x14ac:dyDescent="0.35">
      <c r="A275" s="259">
        <v>1653</v>
      </c>
      <c r="B275" s="58">
        <f>SUMIF([2]!Table2_23[ETA],'FIS Optimal Model (2)'!A275,[2]!Table2_23[FIS PAX])</f>
        <v>0</v>
      </c>
      <c r="C275" s="44">
        <f t="shared" si="161"/>
        <v>18</v>
      </c>
      <c r="D275" s="52">
        <f t="shared" si="164"/>
        <v>44</v>
      </c>
      <c r="E275" s="26">
        <f t="shared" si="149"/>
        <v>10</v>
      </c>
      <c r="F275" s="26">
        <f t="shared" si="150"/>
        <v>5</v>
      </c>
      <c r="G275" s="26">
        <f t="shared" si="151"/>
        <v>3</v>
      </c>
      <c r="H275" s="26">
        <f t="shared" si="152"/>
        <v>1</v>
      </c>
      <c r="I275" s="27">
        <f t="shared" si="166"/>
        <v>0</v>
      </c>
      <c r="J275" s="27">
        <f t="shared" si="166"/>
        <v>0</v>
      </c>
      <c r="K275" s="27">
        <f t="shared" si="166"/>
        <v>0</v>
      </c>
      <c r="L275" s="27">
        <f t="shared" si="166"/>
        <v>0</v>
      </c>
      <c r="M275" s="28">
        <f t="shared" si="177"/>
        <v>3</v>
      </c>
      <c r="N275" s="29">
        <f t="shared" si="178"/>
        <v>7</v>
      </c>
      <c r="O275" s="28">
        <f t="shared" si="179"/>
        <v>0</v>
      </c>
      <c r="P275" s="28">
        <f t="shared" si="180"/>
        <v>1</v>
      </c>
      <c r="Q275" s="28">
        <f t="shared" si="153"/>
        <v>11</v>
      </c>
      <c r="R275" s="22">
        <f t="shared" si="154"/>
        <v>61.257911157332039</v>
      </c>
      <c r="S275" s="22">
        <f t="shared" si="155"/>
        <v>9.3398866873361044</v>
      </c>
      <c r="T275" s="22">
        <f t="shared" si="156"/>
        <v>0</v>
      </c>
      <c r="U275" s="22">
        <f t="shared" si="157"/>
        <v>0</v>
      </c>
      <c r="V275" s="21">
        <f t="shared" si="171"/>
        <v>8.2465400000000386</v>
      </c>
      <c r="W275" s="21">
        <f t="shared" si="172"/>
        <v>2.2886111428571434</v>
      </c>
      <c r="X275" s="21">
        <f t="shared" si="162"/>
        <v>0</v>
      </c>
      <c r="Y275" s="21">
        <f t="shared" si="163"/>
        <v>0</v>
      </c>
      <c r="Z275" s="221">
        <f t="shared" si="158"/>
        <v>6</v>
      </c>
      <c r="AA275" s="30">
        <f t="shared" si="145"/>
        <v>6.6854850690833461</v>
      </c>
      <c r="AB275" s="30">
        <f t="shared" si="146"/>
        <v>3.6729254092979819</v>
      </c>
      <c r="AC275" s="30">
        <f t="shared" si="147"/>
        <v>0</v>
      </c>
      <c r="AD275" s="30">
        <f t="shared" si="148"/>
        <v>0</v>
      </c>
      <c r="AE275" s="32">
        <f t="shared" si="159"/>
        <v>10.358410478381328</v>
      </c>
      <c r="AF275" s="33">
        <f t="shared" si="165"/>
        <v>12.302763106173906</v>
      </c>
      <c r="AG275" s="40">
        <f t="shared" si="160"/>
        <v>88.737681351656363</v>
      </c>
      <c r="AH275" s="224">
        <f>AG275*$P$36</f>
        <v>7.4423095343346759</v>
      </c>
      <c r="AI275" s="226">
        <f>SUM(Z275,IF(Z275&lt;&gt;0,$F$34,0),IF(Z275&lt;&gt;0,$N$36,0),IF(Z275&lt;&gt;0,$T$36,0),IF(Z275=0,AH280,IF(Z275=1,AH281,IF(Z275=2,AH282,IF(Z275=3,AH283,IF(Z275=4,AH284,IF(Z275=5,AH285,IF(Z275=6,AH286,IF(Z275=7,AH287,IF(Z275=8,AH288,IF(Z275=9,AH289,IF(Z275=10,AH290,IF(Z275=11,AH291,IF(Z275=12,AH292,IF(Z275=13,AH293,IF(Z275=14,AH294,IF(Z275=15,AH295,IF(Z275=16,AH296,IF(Z275=17,AH297,IF(Z275=18,AH298,IF(Z275=19,AH299,IF(Z275=20,AH300,IF(Z275=21,AH301,IF(Z275=22,AH302,IF(Z275=23,AH303,IF(Z275=24,AH304,IF(Z275=25,AH305,IF(Z275=26,AH306,IF(Z275=27,AH307,IF(Z275=28,AH308,IF(Z275=29,AH309,IF(Z275=30,AH310))))))))))))))))))))))))))))))))</f>
        <v>32.382427870005621</v>
      </c>
      <c r="AJ275" s="253">
        <f>IF(V275&lt;&gt;0,SUM($F$34,V275,$N$36,MAX($AH$42:$AH$342),$T$36),0)</f>
        <v>37.838028610374487</v>
      </c>
      <c r="AK275" s="253">
        <f>IF(W275&lt;&gt;0,SUM($F$34,W275,$N$36,MAX($AH$42:$AH$342),$T$36),0)</f>
        <v>31.88009975323159</v>
      </c>
      <c r="AL275" s="253">
        <f>IF(X275&lt;&gt;0,SUM($F$34,X275,$N$36,MAX($AH$42:$AH$342),$T$36),0)</f>
        <v>0</v>
      </c>
      <c r="AM275" s="260">
        <f>IF(Y275&lt;&gt;0,SUM($F$34,Y275,$N$36,MAX($AH$42:$AH$342),$T$36),0)</f>
        <v>0</v>
      </c>
    </row>
    <row r="276" spans="1:39" x14ac:dyDescent="0.35">
      <c r="A276" s="259">
        <v>1654</v>
      </c>
      <c r="B276" s="58">
        <f>SUMIF([2]!Table2_23[ETA],'FIS Optimal Model (2)'!A276,[2]!Table2_23[FIS PAX])</f>
        <v>104</v>
      </c>
      <c r="C276" s="44">
        <f t="shared" si="161"/>
        <v>18</v>
      </c>
      <c r="D276" s="52">
        <f t="shared" si="164"/>
        <v>26</v>
      </c>
      <c r="E276" s="26">
        <f t="shared" si="149"/>
        <v>10</v>
      </c>
      <c r="F276" s="26">
        <f t="shared" si="150"/>
        <v>5</v>
      </c>
      <c r="G276" s="26">
        <f t="shared" si="151"/>
        <v>3</v>
      </c>
      <c r="H276" s="26">
        <f t="shared" si="152"/>
        <v>1</v>
      </c>
      <c r="I276" s="27">
        <f t="shared" si="166"/>
        <v>0</v>
      </c>
      <c r="J276" s="27">
        <f t="shared" si="166"/>
        <v>0</v>
      </c>
      <c r="K276" s="27">
        <f t="shared" si="166"/>
        <v>0</v>
      </c>
      <c r="L276" s="27">
        <f t="shared" si="166"/>
        <v>0</v>
      </c>
      <c r="M276" s="28">
        <f t="shared" si="177"/>
        <v>3</v>
      </c>
      <c r="N276" s="29">
        <f t="shared" si="178"/>
        <v>7</v>
      </c>
      <c r="O276" s="28">
        <f t="shared" si="179"/>
        <v>0</v>
      </c>
      <c r="P276" s="28">
        <f t="shared" si="180"/>
        <v>1</v>
      </c>
      <c r="Q276" s="28">
        <f t="shared" si="153"/>
        <v>11</v>
      </c>
      <c r="R276" s="22">
        <f t="shared" si="154"/>
        <v>54.57242608824869</v>
      </c>
      <c r="S276" s="22">
        <f t="shared" si="155"/>
        <v>5.1422576481384112</v>
      </c>
      <c r="T276" s="22">
        <f t="shared" si="156"/>
        <v>0</v>
      </c>
      <c r="U276" s="22">
        <f t="shared" si="157"/>
        <v>0</v>
      </c>
      <c r="V276" s="21">
        <f t="shared" si="171"/>
        <v>7.3465400000000383</v>
      </c>
      <c r="W276" s="21">
        <f t="shared" si="172"/>
        <v>1.2600397142857147</v>
      </c>
      <c r="X276" s="21">
        <f t="shared" si="162"/>
        <v>0</v>
      </c>
      <c r="Y276" s="21">
        <f t="shared" si="163"/>
        <v>0</v>
      </c>
      <c r="Z276" s="221">
        <f t="shared" si="158"/>
        <v>5</v>
      </c>
      <c r="AA276" s="30">
        <f t="shared" si="145"/>
        <v>6.6854850690833461</v>
      </c>
      <c r="AB276" s="30">
        <f t="shared" si="146"/>
        <v>3.6729254092979819</v>
      </c>
      <c r="AC276" s="30">
        <f t="shared" si="147"/>
        <v>0</v>
      </c>
      <c r="AD276" s="30">
        <f t="shared" si="148"/>
        <v>0</v>
      </c>
      <c r="AE276" s="32">
        <f t="shared" si="159"/>
        <v>10.358410478381328</v>
      </c>
      <c r="AF276" s="33">
        <f t="shared" si="165"/>
        <v>10.358410478381328</v>
      </c>
      <c r="AG276" s="40">
        <f t="shared" si="160"/>
        <v>87.17268540058592</v>
      </c>
      <c r="AH276" s="224">
        <f>AG276*$P$36</f>
        <v>7.3110554367468614</v>
      </c>
      <c r="AI276" s="226">
        <f>SUM(Z276,IF(Z276&lt;&gt;0,$F$34,0),IF(Z276&lt;&gt;0,$N$36,0),IF(Z276&lt;&gt;0,$T$36,0),IF(Z276=0,AH281,IF(Z276=1,AH282,IF(Z276=2,AH283,IF(Z276=3,AH284,IF(Z276=4,AH285,IF(Z276=5,AH286,IF(Z276=6,AH287,IF(Z276=7,AH288,IF(Z276=8,AH289,IF(Z276=9,AH290,IF(Z276=10,AH291,IF(Z276=11,AH292,IF(Z276=12,AH293,IF(Z276=13,AH294,IF(Z276=14,AH295,IF(Z276=15,AH296,IF(Z276=16,AH297,IF(Z276=17,AH298,IF(Z276=18,AH299,IF(Z276=19,AH300,IF(Z276=20,AH301,IF(Z276=21,AH302,IF(Z276=22,AH303,IF(Z276=23,AH304,IF(Z276=24,AH305,IF(Z276=25,AH306,IF(Z276=26,AH307,IF(Z276=27,AH308,IF(Z276=28,AH309,IF(Z276=29,AH310,IF(Z276=30,AH311))))))))))))))))))))))))))))))))</f>
        <v>31.382427870005621</v>
      </c>
      <c r="AJ276" s="253">
        <f>IF(V276&lt;&gt;0,SUM($F$34,V276,$N$36,MAX($AH$42:$AH$342),$T$36),0)</f>
        <v>36.938028610374488</v>
      </c>
      <c r="AK276" s="253">
        <f>IF(W276&lt;&gt;0,SUM($F$34,W276,$N$36,MAX($AH$42:$AH$342),$T$36),0)</f>
        <v>30.851528324660162</v>
      </c>
      <c r="AL276" s="253">
        <f>IF(X276&lt;&gt;0,SUM($F$34,X276,$N$36,MAX($AH$42:$AH$342),$T$36),0)</f>
        <v>0</v>
      </c>
      <c r="AM276" s="260">
        <f>IF(Y276&lt;&gt;0,SUM($F$34,Y276,$N$36,MAX($AH$42:$AH$342),$T$36),0)</f>
        <v>0</v>
      </c>
    </row>
    <row r="277" spans="1:39" x14ac:dyDescent="0.35">
      <c r="A277" s="259">
        <v>1655</v>
      </c>
      <c r="B277" s="58">
        <f>SUMIF([2]!Table2_23[ETA],'FIS Optimal Model (2)'!A277,[2]!Table2_23[FIS PAX])</f>
        <v>0</v>
      </c>
      <c r="C277" s="44">
        <f t="shared" si="161"/>
        <v>18</v>
      </c>
      <c r="D277" s="52">
        <f t="shared" si="164"/>
        <v>112</v>
      </c>
      <c r="E277" s="26">
        <f t="shared" si="149"/>
        <v>10</v>
      </c>
      <c r="F277" s="26">
        <f t="shared" si="150"/>
        <v>5</v>
      </c>
      <c r="G277" s="26">
        <f t="shared" si="151"/>
        <v>3</v>
      </c>
      <c r="H277" s="26">
        <f t="shared" si="152"/>
        <v>1</v>
      </c>
      <c r="I277" s="27">
        <f t="shared" si="166"/>
        <v>0</v>
      </c>
      <c r="J277" s="27">
        <f t="shared" si="166"/>
        <v>0</v>
      </c>
      <c r="K277" s="27">
        <f t="shared" si="166"/>
        <v>0</v>
      </c>
      <c r="L277" s="27">
        <f t="shared" si="166"/>
        <v>0</v>
      </c>
      <c r="M277" s="28">
        <f t="shared" si="177"/>
        <v>3</v>
      </c>
      <c r="N277" s="29">
        <f>$N$268</f>
        <v>7</v>
      </c>
      <c r="O277" s="28">
        <f t="shared" si="179"/>
        <v>0</v>
      </c>
      <c r="P277" s="28">
        <f t="shared" si="180"/>
        <v>1</v>
      </c>
      <c r="Q277" s="28">
        <f t="shared" si="153"/>
        <v>11</v>
      </c>
      <c r="R277" s="22">
        <f t="shared" si="154"/>
        <v>47.886941019165342</v>
      </c>
      <c r="S277" s="22">
        <f t="shared" si="155"/>
        <v>0.9446286089407181</v>
      </c>
      <c r="T277" s="22">
        <f t="shared" si="156"/>
        <v>0</v>
      </c>
      <c r="U277" s="22">
        <f t="shared" si="157"/>
        <v>0</v>
      </c>
      <c r="V277" s="21">
        <f t="shared" si="171"/>
        <v>6.4465400000000379</v>
      </c>
      <c r="W277" s="21">
        <f t="shared" si="172"/>
        <v>0.2314682857142861</v>
      </c>
      <c r="X277" s="21">
        <f t="shared" si="162"/>
        <v>0</v>
      </c>
      <c r="Y277" s="21">
        <f t="shared" si="163"/>
        <v>0</v>
      </c>
      <c r="Z277" s="221">
        <f t="shared" si="158"/>
        <v>4</v>
      </c>
      <c r="AA277" s="30">
        <f t="shared" si="145"/>
        <v>6.6854850690833461</v>
      </c>
      <c r="AB277" s="30">
        <f t="shared" si="146"/>
        <v>3.6729254092979819</v>
      </c>
      <c r="AC277" s="30">
        <f t="shared" si="147"/>
        <v>0</v>
      </c>
      <c r="AD277" s="30">
        <f t="shared" si="148"/>
        <v>0</v>
      </c>
      <c r="AE277" s="32">
        <f t="shared" si="159"/>
        <v>10.358410478381328</v>
      </c>
      <c r="AF277" s="33">
        <f t="shared" si="165"/>
        <v>10.358410478381328</v>
      </c>
      <c r="AG277" s="40">
        <f t="shared" si="160"/>
        <v>85.607689449515476</v>
      </c>
      <c r="AH277" s="224">
        <f>AG277*$P$36</f>
        <v>7.1798013391590469</v>
      </c>
      <c r="AI277" s="226">
        <f>SUM(Z277,IF(Z277&lt;&gt;0,$F$34,0),IF(Z277&lt;&gt;0,$N$36,0),IF(Z277&lt;&gt;0,$T$36,0),IF(Z277=0,AH282,IF(Z277=1,AH283,IF(Z277=2,AH284,IF(Z277=3,AH285,IF(Z277=4,AH286,IF(Z277=5,AH287,IF(Z277=6,AH288,IF(Z277=7,AH289,IF(Z277=8,AH290,IF(Z277=9,AH291,IF(Z277=10,AH292,IF(Z277=11,AH293,IF(Z277=12,AH294,IF(Z277=13,AH295,IF(Z277=14,AH296,IF(Z277=15,AH297,IF(Z277=16,AH298,IF(Z277=17,AH299,IF(Z277=18,AH300,IF(Z277=19,AH301,IF(Z277=20,AH302,IF(Z277=21,AH303,IF(Z277=22,AH304,IF(Z277=23,AH305,IF(Z277=24,AH306,IF(Z277=25,AH307,IF(Z277=26,AH308,IF(Z277=27,AH309,IF(Z277=28,AH310,IF(Z277=29,AH311,IF(Z277=30,AH312))))))))))))))))))))))))))))))))</f>
        <v>30.382427870005621</v>
      </c>
      <c r="AJ277" s="253">
        <f>IF(V277&lt;&gt;0,SUM($F$34,V277,$N$36,MAX($AH$42:$AH$342),$T$36),0)</f>
        <v>36.038028610374482</v>
      </c>
      <c r="AK277" s="253">
        <f>IF(W277&lt;&gt;0,SUM($F$34,W277,$N$36,MAX($AH$42:$AH$342),$T$36),0)</f>
        <v>29.822956896088733</v>
      </c>
      <c r="AL277" s="253">
        <f>IF(X277&lt;&gt;0,SUM($F$34,X277,$N$36,MAX($AH$42:$AH$342),$T$36),0)</f>
        <v>0</v>
      </c>
      <c r="AM277" s="260">
        <f>IF(Y277&lt;&gt;0,SUM($F$34,Y277,$N$36,MAX($AH$42:$AH$342),$T$36),0)</f>
        <v>0</v>
      </c>
    </row>
    <row r="278" spans="1:39" x14ac:dyDescent="0.35">
      <c r="A278" s="259">
        <v>1656</v>
      </c>
      <c r="B278" s="58">
        <f>SUMIF([2]!Table2_23[ETA],'FIS Optimal Model (2)'!A278,[2]!Table2_23[FIS PAX])</f>
        <v>0</v>
      </c>
      <c r="C278" s="44">
        <f t="shared" si="161"/>
        <v>18</v>
      </c>
      <c r="D278" s="52">
        <f t="shared" si="164"/>
        <v>94</v>
      </c>
      <c r="E278" s="26">
        <f t="shared" si="149"/>
        <v>10</v>
      </c>
      <c r="F278" s="26">
        <f t="shared" si="150"/>
        <v>5</v>
      </c>
      <c r="G278" s="26">
        <f t="shared" si="151"/>
        <v>3</v>
      </c>
      <c r="H278" s="26">
        <f t="shared" si="152"/>
        <v>1</v>
      </c>
      <c r="I278" s="27">
        <f t="shared" si="166"/>
        <v>0</v>
      </c>
      <c r="J278" s="27">
        <f t="shared" si="166"/>
        <v>0</v>
      </c>
      <c r="K278" s="27">
        <f t="shared" si="166"/>
        <v>0</v>
      </c>
      <c r="L278" s="27">
        <f t="shared" si="166"/>
        <v>0</v>
      </c>
      <c r="M278" s="28">
        <f t="shared" si="177"/>
        <v>3</v>
      </c>
      <c r="N278" s="29">
        <f t="shared" si="178"/>
        <v>7</v>
      </c>
      <c r="O278" s="28">
        <f t="shared" si="179"/>
        <v>0</v>
      </c>
      <c r="P278" s="28">
        <f t="shared" si="180"/>
        <v>1</v>
      </c>
      <c r="Q278" s="28">
        <f t="shared" si="153"/>
        <v>11</v>
      </c>
      <c r="R278" s="22">
        <f t="shared" si="154"/>
        <v>41.201455950081993</v>
      </c>
      <c r="S278" s="22">
        <f t="shared" si="155"/>
        <v>0</v>
      </c>
      <c r="T278" s="22">
        <f t="shared" si="156"/>
        <v>0</v>
      </c>
      <c r="U278" s="22">
        <f t="shared" si="157"/>
        <v>0</v>
      </c>
      <c r="V278" s="21">
        <f t="shared" si="171"/>
        <v>5.5465400000000376</v>
      </c>
      <c r="W278" s="21">
        <f t="shared" si="172"/>
        <v>0</v>
      </c>
      <c r="X278" s="21">
        <f t="shared" si="162"/>
        <v>0</v>
      </c>
      <c r="Y278" s="21">
        <f t="shared" si="163"/>
        <v>0</v>
      </c>
      <c r="Z278" s="221">
        <f t="shared" si="158"/>
        <v>4</v>
      </c>
      <c r="AA278" s="30">
        <f t="shared" si="145"/>
        <v>6.6854850690833461</v>
      </c>
      <c r="AB278" s="30">
        <f t="shared" si="146"/>
        <v>0</v>
      </c>
      <c r="AC278" s="30">
        <f t="shared" si="147"/>
        <v>0</v>
      </c>
      <c r="AD278" s="30">
        <f t="shared" si="148"/>
        <v>0</v>
      </c>
      <c r="AE278" s="32">
        <f t="shared" si="159"/>
        <v>6.6854850690833461</v>
      </c>
      <c r="AF278" s="33">
        <f t="shared" si="165"/>
        <v>10.358410478381328</v>
      </c>
      <c r="AG278" s="40">
        <f t="shared" si="160"/>
        <v>84.042693498445033</v>
      </c>
      <c r="AH278" s="224">
        <f>AG278*$P$36</f>
        <v>7.0485472415712316</v>
      </c>
      <c r="AI278" s="226">
        <f>SUM(Z278,IF(Z278&lt;&gt;0,$F$34,0),IF(Z278&lt;&gt;0,$N$36,0),IF(Z278&lt;&gt;0,$T$36,0),IF(Z278=0,AH283,IF(Z278=1,AH284,IF(Z278=2,AH285,IF(Z278=3,AH286,IF(Z278=4,AH287,IF(Z278=5,AH288,IF(Z278=6,AH289,IF(Z278=7,AH290,IF(Z278=8,AH291,IF(Z278=9,AH292,IF(Z278=10,AH293,IF(Z278=11,AH294,IF(Z278=12,AH295,IF(Z278=13,AH296,IF(Z278=14,AH297,IF(Z278=15,AH298,IF(Z278=16,AH299,IF(Z278=17,AH300,IF(Z278=18,AH301,IF(Z278=19,AH302,IF(Z278=20,AH303,IF(Z278=21,AH304,IF(Z278=22,AH305,IF(Z278=23,AH306,IF(Z278=24,AH307,IF(Z278=25,AH308,IF(Z278=26,AH309,IF(Z278=27,AH310,IF(Z278=28,AH311,IF(Z278=29,AH312,IF(Z278=30,AH313))))))))))))))))))))))))))))))))</f>
        <v>30.471489717368531</v>
      </c>
      <c r="AJ278" s="253">
        <f>IF(V278&lt;&gt;0,SUM($F$34,V278,$N$36,MAX($AH$42:$AH$342),$T$36),0)</f>
        <v>35.138028610374484</v>
      </c>
      <c r="AK278" s="253">
        <f>IF(W278&lt;&gt;0,SUM($F$34,W278,$N$36,MAX($AH$42:$AH$342),$T$36),0)</f>
        <v>0</v>
      </c>
      <c r="AL278" s="253">
        <f>IF(X278&lt;&gt;0,SUM($F$34,X278,$N$36,MAX($AH$42:$AH$342),$T$36),0)</f>
        <v>0</v>
      </c>
      <c r="AM278" s="260">
        <f>IF(Y278&lt;&gt;0,SUM($F$34,Y278,$N$36,MAX($AH$42:$AH$342),$T$36),0)</f>
        <v>0</v>
      </c>
    </row>
    <row r="279" spans="1:39" x14ac:dyDescent="0.35">
      <c r="A279" s="259">
        <v>1657</v>
      </c>
      <c r="B279" s="58">
        <f>SUMIF([2]!Table2_23[ETA],'FIS Optimal Model (2)'!A279,[2]!Table2_23[FIS PAX])</f>
        <v>0</v>
      </c>
      <c r="C279" s="44">
        <f t="shared" si="161"/>
        <v>18</v>
      </c>
      <c r="D279" s="52">
        <f t="shared" si="164"/>
        <v>76</v>
      </c>
      <c r="E279" s="26">
        <f t="shared" si="149"/>
        <v>10</v>
      </c>
      <c r="F279" s="26">
        <f t="shared" si="150"/>
        <v>5</v>
      </c>
      <c r="G279" s="26">
        <f t="shared" si="151"/>
        <v>3</v>
      </c>
      <c r="H279" s="26">
        <f t="shared" si="152"/>
        <v>1</v>
      </c>
      <c r="I279" s="27">
        <f t="shared" si="166"/>
        <v>0</v>
      </c>
      <c r="J279" s="27">
        <f t="shared" si="166"/>
        <v>0</v>
      </c>
      <c r="K279" s="27">
        <f t="shared" si="166"/>
        <v>0</v>
      </c>
      <c r="L279" s="27">
        <f t="shared" si="166"/>
        <v>0</v>
      </c>
      <c r="M279" s="28">
        <f t="shared" si="177"/>
        <v>3</v>
      </c>
      <c r="N279" s="29">
        <f t="shared" si="178"/>
        <v>7</v>
      </c>
      <c r="O279" s="28">
        <f t="shared" si="179"/>
        <v>0</v>
      </c>
      <c r="P279" s="28">
        <f t="shared" si="180"/>
        <v>1</v>
      </c>
      <c r="Q279" s="28">
        <f t="shared" si="153"/>
        <v>11</v>
      </c>
      <c r="R279" s="22">
        <f t="shared" si="154"/>
        <v>34.515970880998644</v>
      </c>
      <c r="S279" s="22">
        <f t="shared" si="155"/>
        <v>0</v>
      </c>
      <c r="T279" s="22">
        <f t="shared" si="156"/>
        <v>0</v>
      </c>
      <c r="U279" s="22">
        <f t="shared" si="157"/>
        <v>0</v>
      </c>
      <c r="V279" s="21">
        <f t="shared" si="171"/>
        <v>4.6465400000000372</v>
      </c>
      <c r="W279" s="21">
        <f t="shared" si="172"/>
        <v>0</v>
      </c>
      <c r="X279" s="21">
        <f t="shared" si="162"/>
        <v>0</v>
      </c>
      <c r="Y279" s="21">
        <f t="shared" si="163"/>
        <v>0</v>
      </c>
      <c r="Z279" s="221">
        <f t="shared" si="158"/>
        <v>3</v>
      </c>
      <c r="AA279" s="30">
        <f t="shared" si="145"/>
        <v>6.6854850690833461</v>
      </c>
      <c r="AB279" s="30">
        <f t="shared" si="146"/>
        <v>0</v>
      </c>
      <c r="AC279" s="30">
        <f t="shared" si="147"/>
        <v>0</v>
      </c>
      <c r="AD279" s="30">
        <f t="shared" si="148"/>
        <v>0</v>
      </c>
      <c r="AE279" s="32">
        <f t="shared" si="159"/>
        <v>6.6854850690833461</v>
      </c>
      <c r="AF279" s="33">
        <f t="shared" si="165"/>
        <v>10.358410478381328</v>
      </c>
      <c r="AG279" s="40">
        <f t="shared" si="160"/>
        <v>82.477697547374589</v>
      </c>
      <c r="AH279" s="224">
        <f>AG279*$P$36</f>
        <v>6.9172931439834171</v>
      </c>
      <c r="AI279" s="226">
        <f>SUM(Z279,IF(Z279&lt;&gt;0,$F$34,0),IF(Z279&lt;&gt;0,$N$36,0),IF(Z279&lt;&gt;0,$T$36,0),IF(Z279=0,AH284,IF(Z279=1,AH285,IF(Z279=2,AH286,IF(Z279=3,AH287,IF(Z279=4,AH288,IF(Z279=5,AH289,IF(Z279=6,AH290,IF(Z279=7,AH291,IF(Z279=8,AH292,IF(Z279=9,AH293,IF(Z279=10,AH294,IF(Z279=11,AH295,IF(Z279=12,AH296,IF(Z279=13,AH297,IF(Z279=14,AH298,IF(Z279=15,AH299,IF(Z279=16,AH300,IF(Z279=17,AH301,IF(Z279=18,AH302,IF(Z279=19,AH303,IF(Z279=20,AH304,IF(Z279=21,AH305,IF(Z279=22,AH306,IF(Z279=23,AH307,IF(Z279=24,AH308,IF(Z279=25,AH309,IF(Z279=26,AH310,IF(Z279=27,AH311,IF(Z279=28,AH312,IF(Z279=29,AH313,IF(Z279=30,AH314))))))))))))))))))))))))))))))))</f>
        <v>29.471489717368531</v>
      </c>
      <c r="AJ279" s="253">
        <f>IF(V279&lt;&gt;0,SUM($F$34,V279,$N$36,MAX($AH$42:$AH$342),$T$36),0)</f>
        <v>34.238028610374485</v>
      </c>
      <c r="AK279" s="253">
        <f>IF(W279&lt;&gt;0,SUM($F$34,W279,$N$36,MAX($AH$42:$AH$342),$T$36),0)</f>
        <v>0</v>
      </c>
      <c r="AL279" s="253">
        <f>IF(X279&lt;&gt;0,SUM($F$34,X279,$N$36,MAX($AH$42:$AH$342),$T$36),0)</f>
        <v>0</v>
      </c>
      <c r="AM279" s="260">
        <f>IF(Y279&lt;&gt;0,SUM($F$34,Y279,$N$36,MAX($AH$42:$AH$342),$T$36),0)</f>
        <v>0</v>
      </c>
    </row>
    <row r="280" spans="1:39" x14ac:dyDescent="0.35">
      <c r="A280" s="259">
        <v>1658</v>
      </c>
      <c r="B280" s="58">
        <f>SUMIF([2]!Table2_23[ETA],'FIS Optimal Model (2)'!A280,[2]!Table2_23[FIS PAX])</f>
        <v>0</v>
      </c>
      <c r="C280" s="44">
        <f t="shared" si="161"/>
        <v>18</v>
      </c>
      <c r="D280" s="52">
        <f t="shared" si="164"/>
        <v>58</v>
      </c>
      <c r="E280" s="26">
        <f t="shared" si="149"/>
        <v>10</v>
      </c>
      <c r="F280" s="26">
        <f t="shared" si="150"/>
        <v>5</v>
      </c>
      <c r="G280" s="26">
        <f t="shared" si="151"/>
        <v>3</v>
      </c>
      <c r="H280" s="26">
        <f t="shared" si="152"/>
        <v>1</v>
      </c>
      <c r="I280" s="27">
        <f t="shared" si="166"/>
        <v>10</v>
      </c>
      <c r="J280" s="27">
        <f t="shared" si="166"/>
        <v>5</v>
      </c>
      <c r="K280" s="27">
        <f t="shared" si="166"/>
        <v>3</v>
      </c>
      <c r="L280" s="27">
        <f t="shared" si="166"/>
        <v>1</v>
      </c>
      <c r="M280" s="28">
        <f t="shared" si="177"/>
        <v>3</v>
      </c>
      <c r="N280" s="29">
        <f t="shared" si="178"/>
        <v>7</v>
      </c>
      <c r="O280" s="28">
        <f t="shared" si="179"/>
        <v>0</v>
      </c>
      <c r="P280" s="28">
        <f t="shared" si="180"/>
        <v>1</v>
      </c>
      <c r="Q280" s="28">
        <f t="shared" si="153"/>
        <v>11</v>
      </c>
      <c r="R280" s="22">
        <f t="shared" si="154"/>
        <v>37.830485811915295</v>
      </c>
      <c r="S280" s="22">
        <f t="shared" si="155"/>
        <v>0.80237096080230685</v>
      </c>
      <c r="T280" s="22">
        <f t="shared" si="156"/>
        <v>3</v>
      </c>
      <c r="U280" s="22">
        <f t="shared" si="157"/>
        <v>0</v>
      </c>
      <c r="V280" s="21">
        <f t="shared" si="171"/>
        <v>5.0927400000000365</v>
      </c>
      <c r="W280" s="21">
        <f t="shared" si="172"/>
        <v>0.19661000000000003</v>
      </c>
      <c r="X280" s="21">
        <f t="shared" si="162"/>
        <v>0</v>
      </c>
      <c r="Y280" s="21">
        <f t="shared" si="163"/>
        <v>0</v>
      </c>
      <c r="Z280" s="221">
        <f t="shared" si="158"/>
        <v>3</v>
      </c>
      <c r="AA280" s="30">
        <f t="shared" si="145"/>
        <v>6.6854850690833461</v>
      </c>
      <c r="AB280" s="30">
        <f t="shared" si="146"/>
        <v>3.6729254092979819</v>
      </c>
      <c r="AC280" s="30">
        <f t="shared" si="147"/>
        <v>0</v>
      </c>
      <c r="AD280" s="30">
        <f t="shared" si="148"/>
        <v>0</v>
      </c>
      <c r="AE280" s="32">
        <f t="shared" si="159"/>
        <v>10.358410478381328</v>
      </c>
      <c r="AF280" s="33">
        <f t="shared" si="165"/>
        <v>10.358410478381328</v>
      </c>
      <c r="AG280" s="40">
        <f t="shared" si="160"/>
        <v>80.912701596304146</v>
      </c>
      <c r="AH280" s="224">
        <f>AG280*$P$36</f>
        <v>6.7860390463956017</v>
      </c>
      <c r="AI280" s="226">
        <f>SUM(Z280,IF(Z280&lt;&gt;0,$F$34,0),IF(Z280&lt;&gt;0,$N$36,0),IF(Z280&lt;&gt;0,$T$36,0),IF(Z280=0,AH285,IF(Z280=1,AH286,IF(Z280=2,AH287,IF(Z280=3,AH288,IF(Z280=4,AH289,IF(Z280=5,AH290,IF(Z280=6,AH291,IF(Z280=7,AH292,IF(Z280=8,AH293,IF(Z280=9,AH294,IF(Z280=10,AH295,IF(Z280=11,AH296,IF(Z280=12,AH297,IF(Z280=13,AH298,IF(Z280=14,AH299,IF(Z280=15,AH300,IF(Z280=16,AH301,IF(Z280=17,AH302,IF(Z280=18,AH303,IF(Z280=19,AH304,IF(Z280=20,AH305,IF(Z280=21,AH306,IF(Z280=22,AH307,IF(Z280=23,AH308,IF(Z280=24,AH309,IF(Z280=25,AH310,IF(Z280=26,AH311,IF(Z280=27,AH312,IF(Z280=28,AH313,IF(Z280=29,AH314,IF(Z280=30,AH315))))))))))))))))))))))))))))))))</f>
        <v>29.560551564731444</v>
      </c>
      <c r="AJ280" s="253">
        <f>IF(V280&lt;&gt;0,SUM($F$34,V280,$N$36,MAX($AH$42:$AH$342),$T$36),0)</f>
        <v>34.684228610374483</v>
      </c>
      <c r="AK280" s="253">
        <f>IF(W280&lt;&gt;0,SUM($F$34,W280,$N$36,MAX($AH$42:$AH$342),$T$36),0)</f>
        <v>29.788098610374448</v>
      </c>
      <c r="AL280" s="253">
        <f>IF(X280&lt;&gt;0,SUM($F$34,X280,$N$36,MAX($AH$42:$AH$342),$T$36),0)</f>
        <v>0</v>
      </c>
      <c r="AM280" s="260">
        <f>IF(Y280&lt;&gt;0,SUM($F$34,Y280,$N$36,MAX($AH$42:$AH$342),$T$36),0)</f>
        <v>0</v>
      </c>
    </row>
    <row r="281" spans="1:39" x14ac:dyDescent="0.35">
      <c r="A281" s="259">
        <v>1659</v>
      </c>
      <c r="B281" s="58">
        <f>SUMIF([2]!Table2_23[ETA],'FIS Optimal Model (2)'!A281,[2]!Table2_23[FIS PAX])</f>
        <v>106</v>
      </c>
      <c r="C281" s="44">
        <f t="shared" si="161"/>
        <v>18</v>
      </c>
      <c r="D281" s="52">
        <f t="shared" si="164"/>
        <v>40</v>
      </c>
      <c r="E281" s="26">
        <f t="shared" si="149"/>
        <v>10</v>
      </c>
      <c r="F281" s="26">
        <f t="shared" si="150"/>
        <v>5</v>
      </c>
      <c r="G281" s="26">
        <f t="shared" si="151"/>
        <v>3</v>
      </c>
      <c r="H281" s="26">
        <f t="shared" si="152"/>
        <v>1</v>
      </c>
      <c r="I281" s="27">
        <f t="shared" si="166"/>
        <v>10</v>
      </c>
      <c r="J281" s="27">
        <f t="shared" si="166"/>
        <v>5</v>
      </c>
      <c r="K281" s="27">
        <f t="shared" si="166"/>
        <v>3</v>
      </c>
      <c r="L281" s="27">
        <f t="shared" si="166"/>
        <v>1</v>
      </c>
      <c r="M281" s="28">
        <f t="shared" si="177"/>
        <v>3</v>
      </c>
      <c r="N281" s="29">
        <f t="shared" si="178"/>
        <v>7</v>
      </c>
      <c r="O281" s="28">
        <f t="shared" si="179"/>
        <v>0</v>
      </c>
      <c r="P281" s="28">
        <f t="shared" si="180"/>
        <v>1</v>
      </c>
      <c r="Q281" s="28">
        <f t="shared" si="153"/>
        <v>11</v>
      </c>
      <c r="R281" s="22">
        <f t="shared" si="154"/>
        <v>41.145000742831954</v>
      </c>
      <c r="S281" s="22">
        <f t="shared" si="155"/>
        <v>1.6047419216046137</v>
      </c>
      <c r="T281" s="22">
        <f t="shared" si="156"/>
        <v>6</v>
      </c>
      <c r="U281" s="22">
        <f t="shared" si="157"/>
        <v>0</v>
      </c>
      <c r="V281" s="21">
        <f t="shared" si="171"/>
        <v>5.5389400000000375</v>
      </c>
      <c r="W281" s="21">
        <f t="shared" si="172"/>
        <v>0.39322000000000007</v>
      </c>
      <c r="X281" s="21">
        <f t="shared" si="162"/>
        <v>0</v>
      </c>
      <c r="Y281" s="21">
        <f t="shared" si="163"/>
        <v>0</v>
      </c>
      <c r="Z281" s="221">
        <f t="shared" si="158"/>
        <v>4</v>
      </c>
      <c r="AA281" s="30">
        <f t="shared" si="145"/>
        <v>6.6854850690833461</v>
      </c>
      <c r="AB281" s="30">
        <f t="shared" si="146"/>
        <v>3.6729254092979819</v>
      </c>
      <c r="AC281" s="30">
        <f t="shared" si="147"/>
        <v>0</v>
      </c>
      <c r="AD281" s="30">
        <f t="shared" si="148"/>
        <v>0</v>
      </c>
      <c r="AE281" s="32">
        <f t="shared" si="159"/>
        <v>10.358410478381328</v>
      </c>
      <c r="AF281" s="33">
        <f t="shared" si="165"/>
        <v>10.358410478381328</v>
      </c>
      <c r="AG281" s="40">
        <f t="shared" si="160"/>
        <v>79.347705645233702</v>
      </c>
      <c r="AH281" s="224">
        <f>AG281*$P$36</f>
        <v>6.6547849488077873</v>
      </c>
      <c r="AI281" s="226">
        <f>SUM(Z281,IF(Z281&lt;&gt;0,$F$34,0),IF(Z281&lt;&gt;0,$N$36,0),IF(Z281&lt;&gt;0,$T$36,0),IF(Z281=0,AH286,IF(Z281=1,AH287,IF(Z281=2,AH288,IF(Z281=3,AH289,IF(Z281=4,AH290,IF(Z281=5,AH291,IF(Z281=6,AH292,IF(Z281=7,AH293,IF(Z281=8,AH294,IF(Z281=9,AH295,IF(Z281=10,AH296,IF(Z281=11,AH297,IF(Z281=12,AH298,IF(Z281=13,AH299,IF(Z281=14,AH300,IF(Z281=15,AH301,IF(Z281=16,AH302,IF(Z281=17,AH303,IF(Z281=18,AH304,IF(Z281=19,AH305,IF(Z281=20,AH306,IF(Z281=21,AH307,IF(Z281=22,AH308,IF(Z281=23,AH309,IF(Z281=24,AH310,IF(Z281=25,AH311,IF(Z281=26,AH312,IF(Z281=27,AH313,IF(Z281=28,AH314,IF(Z281=29,AH315,IF(Z281=30,AH316))))))))))))))))))))))))))))))))</f>
        <v>30.738675259457267</v>
      </c>
      <c r="AJ281" s="253">
        <f>IF(V281&lt;&gt;0,SUM($F$34,V281,$N$36,MAX($AH$42:$AH$342),$T$36),0)</f>
        <v>35.130428610374487</v>
      </c>
      <c r="AK281" s="253">
        <f>IF(W281&lt;&gt;0,SUM($F$34,W281,$N$36,MAX($AH$42:$AH$342),$T$36),0)</f>
        <v>29.984708610374447</v>
      </c>
      <c r="AL281" s="253">
        <f>IF(X281&lt;&gt;0,SUM($F$34,X281,$N$36,MAX($AH$42:$AH$342),$T$36),0)</f>
        <v>0</v>
      </c>
      <c r="AM281" s="260">
        <f>IF(Y281&lt;&gt;0,SUM($F$34,Y281,$N$36,MAX($AH$42:$AH$342),$T$36),0)</f>
        <v>0</v>
      </c>
    </row>
    <row r="282" spans="1:39" x14ac:dyDescent="0.35">
      <c r="A282" s="259">
        <v>1700</v>
      </c>
      <c r="B282" s="58">
        <f>SUMIF([2]!Table2_23[ETA],'FIS Optimal Model (2)'!A282,[2]!Table2_23[FIS PAX])</f>
        <v>0</v>
      </c>
      <c r="C282" s="44">
        <f t="shared" si="161"/>
        <v>18</v>
      </c>
      <c r="D282" s="52">
        <f t="shared" si="164"/>
        <v>128</v>
      </c>
      <c r="E282" s="26">
        <f t="shared" si="149"/>
        <v>10</v>
      </c>
      <c r="F282" s="26">
        <f t="shared" si="150"/>
        <v>5</v>
      </c>
      <c r="G282" s="26">
        <f t="shared" si="151"/>
        <v>3</v>
      </c>
      <c r="H282" s="26">
        <f t="shared" si="152"/>
        <v>1</v>
      </c>
      <c r="I282" s="27">
        <f t="shared" si="166"/>
        <v>10</v>
      </c>
      <c r="J282" s="27">
        <f t="shared" si="166"/>
        <v>5</v>
      </c>
      <c r="K282" s="27">
        <f t="shared" si="166"/>
        <v>3</v>
      </c>
      <c r="L282" s="27">
        <f t="shared" si="166"/>
        <v>1</v>
      </c>
      <c r="M282" s="28">
        <f t="shared" si="177"/>
        <v>3</v>
      </c>
      <c r="N282" s="29">
        <f t="shared" si="178"/>
        <v>7</v>
      </c>
      <c r="O282" s="28">
        <f t="shared" si="179"/>
        <v>0</v>
      </c>
      <c r="P282" s="28">
        <f t="shared" si="180"/>
        <v>1</v>
      </c>
      <c r="Q282" s="28">
        <f t="shared" si="153"/>
        <v>11</v>
      </c>
      <c r="R282" s="22">
        <f t="shared" si="154"/>
        <v>44.459515673748605</v>
      </c>
      <c r="S282" s="22">
        <f t="shared" si="155"/>
        <v>2.4071128824069206</v>
      </c>
      <c r="T282" s="22">
        <f t="shared" si="156"/>
        <v>9</v>
      </c>
      <c r="U282" s="22">
        <f t="shared" si="157"/>
        <v>0</v>
      </c>
      <c r="V282" s="21">
        <f t="shared" si="171"/>
        <v>5.9851400000000368</v>
      </c>
      <c r="W282" s="21">
        <f t="shared" si="172"/>
        <v>0.58983000000000008</v>
      </c>
      <c r="X282" s="21">
        <f t="shared" si="162"/>
        <v>0</v>
      </c>
      <c r="Y282" s="21">
        <f t="shared" si="163"/>
        <v>0</v>
      </c>
      <c r="Z282" s="221">
        <f t="shared" si="158"/>
        <v>4</v>
      </c>
      <c r="AA282" s="30">
        <f t="shared" si="145"/>
        <v>6.6854850690833461</v>
      </c>
      <c r="AB282" s="30">
        <f t="shared" si="146"/>
        <v>3.6729254092979819</v>
      </c>
      <c r="AC282" s="30">
        <f t="shared" si="147"/>
        <v>0</v>
      </c>
      <c r="AD282" s="30">
        <f t="shared" si="148"/>
        <v>0</v>
      </c>
      <c r="AE282" s="32">
        <f t="shared" si="159"/>
        <v>10.358410478381328</v>
      </c>
      <c r="AF282" s="33">
        <f t="shared" si="165"/>
        <v>6.6854850690833461</v>
      </c>
      <c r="AG282" s="40">
        <f t="shared" si="160"/>
        <v>74.10978428486527</v>
      </c>
      <c r="AH282" s="224">
        <f>AG282*$P$36</f>
        <v>6.2154875557884282</v>
      </c>
      <c r="AI282" s="226">
        <f>SUM(Z282,IF(Z282&lt;&gt;0,$F$34,0),IF(Z282&lt;&gt;0,$N$36,0),IF(Z282&lt;&gt;0,$T$36,0),IF(Z282=0,AH287,IF(Z282=1,AH288,IF(Z282=2,AH289,IF(Z282=3,AH290,IF(Z282=4,AH291,IF(Z282=5,AH292,IF(Z282=6,AH293,IF(Z282=7,AH294,IF(Z282=8,AH295,IF(Z282=9,AH296,IF(Z282=10,AH297,IF(Z282=11,AH298,IF(Z282=12,AH299,IF(Z282=13,AH300,IF(Z282=14,AH301,IF(Z282=15,AH302,IF(Z282=16,AH303,IF(Z282=17,AH304,IF(Z282=18,AH305,IF(Z282=19,AH306,IF(Z282=20,AH307,IF(Z282=21,AH308,IF(Z282=22,AH309,IF(Z282=23,AH310,IF(Z282=24,AH311,IF(Z282=25,AH312,IF(Z282=26,AH313,IF(Z282=27,AH314,IF(Z282=28,AH315,IF(Z282=29,AH316,IF(Z282=30,AH317))))))))))))))))))))))))))))))))</f>
        <v>30.82773710682018</v>
      </c>
      <c r="AJ282" s="253">
        <f>IF(V282&lt;&gt;0,SUM($F$34,V282,$N$36,MAX($AH$42:$AH$342),$T$36),0)</f>
        <v>35.576628610374485</v>
      </c>
      <c r="AK282" s="253">
        <f>IF(W282&lt;&gt;0,SUM($F$34,W282,$N$36,MAX($AH$42:$AH$342),$T$36),0)</f>
        <v>30.181318610374447</v>
      </c>
      <c r="AL282" s="253">
        <f>IF(X282&lt;&gt;0,SUM($F$34,X282,$N$36,MAX($AH$42:$AH$342),$T$36),0)</f>
        <v>0</v>
      </c>
      <c r="AM282" s="260">
        <f>IF(Y282&lt;&gt;0,SUM($F$34,Y282,$N$36,MAX($AH$42:$AH$342),$T$36),0)</f>
        <v>0</v>
      </c>
    </row>
    <row r="283" spans="1:39" x14ac:dyDescent="0.35">
      <c r="A283" s="259">
        <v>1701</v>
      </c>
      <c r="B283" s="58">
        <f>SUMIF([2]!Table2_23[ETA],'FIS Optimal Model (2)'!A283,[2]!Table2_23[FIS PAX])</f>
        <v>0</v>
      </c>
      <c r="C283" s="44">
        <f t="shared" si="161"/>
        <v>18</v>
      </c>
      <c r="D283" s="52">
        <f t="shared" si="164"/>
        <v>110</v>
      </c>
      <c r="E283" s="26">
        <f t="shared" si="149"/>
        <v>10</v>
      </c>
      <c r="F283" s="26">
        <f t="shared" si="150"/>
        <v>5</v>
      </c>
      <c r="G283" s="26">
        <f t="shared" si="151"/>
        <v>3</v>
      </c>
      <c r="H283" s="26">
        <f t="shared" si="152"/>
        <v>1</v>
      </c>
      <c r="I283" s="27">
        <f t="shared" si="166"/>
        <v>10</v>
      </c>
      <c r="J283" s="27">
        <f t="shared" si="166"/>
        <v>5</v>
      </c>
      <c r="K283" s="27">
        <f t="shared" si="166"/>
        <v>3</v>
      </c>
      <c r="L283" s="27">
        <f t="shared" si="166"/>
        <v>1</v>
      </c>
      <c r="M283" s="28">
        <f>IF(R282=0,0,$Q$22)</f>
        <v>3</v>
      </c>
      <c r="N283" s="29">
        <f>$U$22-M283-O283-P283</f>
        <v>7</v>
      </c>
      <c r="O283" s="28">
        <f>IF(T282=0,0,$S$22)</f>
        <v>1</v>
      </c>
      <c r="P283" s="28">
        <f>IF(U282=0,0,$T$22)</f>
        <v>0</v>
      </c>
      <c r="Q283" s="28">
        <f t="shared" si="153"/>
        <v>11</v>
      </c>
      <c r="R283" s="22">
        <f t="shared" si="154"/>
        <v>47.774030604665256</v>
      </c>
      <c r="S283" s="22">
        <f t="shared" si="155"/>
        <v>3.7341874731089386</v>
      </c>
      <c r="T283" s="22">
        <f t="shared" si="156"/>
        <v>9.3730834454637524</v>
      </c>
      <c r="U283" s="22">
        <f t="shared" si="157"/>
        <v>1</v>
      </c>
      <c r="V283" s="21">
        <f t="shared" si="171"/>
        <v>6.431340000000036</v>
      </c>
      <c r="W283" s="21">
        <f t="shared" si="172"/>
        <v>0.91501142857142859</v>
      </c>
      <c r="X283" s="21">
        <f t="shared" si="162"/>
        <v>3.2112839999999996</v>
      </c>
      <c r="Y283" s="21">
        <f t="shared" si="163"/>
        <v>0</v>
      </c>
      <c r="Z283" s="221">
        <f t="shared" si="158"/>
        <v>5</v>
      </c>
      <c r="AA283" s="30">
        <f t="shared" si="145"/>
        <v>6.6854850690833461</v>
      </c>
      <c r="AB283" s="30">
        <f t="shared" si="146"/>
        <v>3.6729254092979819</v>
      </c>
      <c r="AC283" s="30">
        <f t="shared" si="147"/>
        <v>2.6269165545362472</v>
      </c>
      <c r="AD283" s="30">
        <f t="shared" si="148"/>
        <v>0</v>
      </c>
      <c r="AE283" s="32">
        <f t="shared" si="159"/>
        <v>12.985327032917576</v>
      </c>
      <c r="AF283" s="33">
        <f t="shared" si="165"/>
        <v>6.6854850690833461</v>
      </c>
      <c r="AG283" s="40">
        <f t="shared" si="160"/>
        <v>68.871862924496838</v>
      </c>
      <c r="AH283" s="224">
        <f>AG283*$P$36</f>
        <v>5.776190162769069</v>
      </c>
      <c r="AI283" s="226">
        <f>SUM(Z283,IF(Z283&lt;&gt;0,$F$34,0),IF(Z283&lt;&gt;0,$N$36,0),IF(Z283&lt;&gt;0,$T$36,0),IF(Z283=0,AH288,IF(Z283=1,AH289,IF(Z283=2,AH290,IF(Z283=3,AH291,IF(Z283=4,AH292,IF(Z283=5,AH293,IF(Z283=6,AH294,IF(Z283=7,AH295,IF(Z283=8,AH296,IF(Z283=9,AH297,IF(Z283=10,AH298,IF(Z283=11,AH299,IF(Z283=12,AH300,IF(Z283=13,AH301,IF(Z283=14,AH302,IF(Z283=15,AH303,IF(Z283=16,AH304,IF(Z283=17,AH305,IF(Z283=18,AH306,IF(Z283=19,AH307,IF(Z283=20,AH308,IF(Z283=21,AH309,IF(Z283=22,AH310,IF(Z283=23,AH311,IF(Z283=24,AH312,IF(Z283=25,AH313,IF(Z283=26,AH314,IF(Z283=27,AH315,IF(Z283=28,AH316,IF(Z283=29,AH317,IF(Z283=30,AH318))))))))))))))))))))))))))))))))</f>
        <v>32.005860801546</v>
      </c>
      <c r="AJ283" s="253">
        <f>IF(V283&lt;&gt;0,SUM($F$34,V283,$N$36,MAX($AH$42:$AH$342),$T$36),0)</f>
        <v>36.022828610374482</v>
      </c>
      <c r="AK283" s="253">
        <f>IF(W283&lt;&gt;0,SUM($F$34,W283,$N$36,MAX($AH$42:$AH$342),$T$36),0)</f>
        <v>30.506500038945877</v>
      </c>
      <c r="AL283" s="253">
        <f>IF(X283&lt;&gt;0,SUM($F$34,X283,$N$36,MAX($AH$42:$AH$342),$T$36),0)</f>
        <v>32.802772610374447</v>
      </c>
      <c r="AM283" s="260">
        <f>IF(Y283&lt;&gt;0,SUM($F$34,Y283,$N$36,MAX($AH$42:$AH$342),$T$36),0)</f>
        <v>0</v>
      </c>
    </row>
    <row r="284" spans="1:39" x14ac:dyDescent="0.35">
      <c r="A284" s="259">
        <v>1702</v>
      </c>
      <c r="B284" s="58">
        <f>SUMIF([2]!Table2_23[ETA],'FIS Optimal Model (2)'!A284,[2]!Table2_23[FIS PAX])</f>
        <v>0</v>
      </c>
      <c r="C284" s="44">
        <f t="shared" si="161"/>
        <v>18</v>
      </c>
      <c r="D284" s="52">
        <f t="shared" si="164"/>
        <v>92</v>
      </c>
      <c r="E284" s="26">
        <f t="shared" si="149"/>
        <v>10</v>
      </c>
      <c r="F284" s="26">
        <f t="shared" si="150"/>
        <v>5</v>
      </c>
      <c r="G284" s="26">
        <f t="shared" si="151"/>
        <v>3</v>
      </c>
      <c r="H284" s="26">
        <f t="shared" si="152"/>
        <v>1</v>
      </c>
      <c r="I284" s="27">
        <f t="shared" si="166"/>
        <v>10</v>
      </c>
      <c r="J284" s="27">
        <f t="shared" si="166"/>
        <v>5</v>
      </c>
      <c r="K284" s="27">
        <f t="shared" si="166"/>
        <v>3</v>
      </c>
      <c r="L284" s="27">
        <f t="shared" si="166"/>
        <v>1</v>
      </c>
      <c r="M284" s="28">
        <f>$M$283</f>
        <v>3</v>
      </c>
      <c r="N284" s="29">
        <f>$N$283</f>
        <v>7</v>
      </c>
      <c r="O284" s="28">
        <f>$O$283</f>
        <v>1</v>
      </c>
      <c r="P284" s="28">
        <f>$P$283</f>
        <v>0</v>
      </c>
      <c r="Q284" s="28">
        <f t="shared" si="153"/>
        <v>11</v>
      </c>
      <c r="R284" s="22">
        <f t="shared" si="154"/>
        <v>51.088545535581908</v>
      </c>
      <c r="S284" s="22">
        <f t="shared" si="155"/>
        <v>5.0612620638109567</v>
      </c>
      <c r="T284" s="22">
        <f t="shared" si="156"/>
        <v>9.7461668909275048</v>
      </c>
      <c r="U284" s="22">
        <f t="shared" si="157"/>
        <v>2</v>
      </c>
      <c r="V284" s="21">
        <f t="shared" si="171"/>
        <v>6.8775400000000362</v>
      </c>
      <c r="W284" s="21">
        <f t="shared" si="172"/>
        <v>1.2401928571428571</v>
      </c>
      <c r="X284" s="21">
        <f t="shared" si="162"/>
        <v>3.3391049999999995</v>
      </c>
      <c r="Y284" s="21">
        <f t="shared" si="163"/>
        <v>0</v>
      </c>
      <c r="Z284" s="221">
        <f t="shared" si="158"/>
        <v>5</v>
      </c>
      <c r="AA284" s="30">
        <f t="shared" si="145"/>
        <v>6.6854850690833461</v>
      </c>
      <c r="AB284" s="30">
        <f t="shared" si="146"/>
        <v>3.6729254092979819</v>
      </c>
      <c r="AC284" s="30">
        <f t="shared" si="147"/>
        <v>2.6269165545362472</v>
      </c>
      <c r="AD284" s="30">
        <f t="shared" si="148"/>
        <v>0</v>
      </c>
      <c r="AE284" s="32">
        <f t="shared" si="159"/>
        <v>12.985327032917576</v>
      </c>
      <c r="AF284" s="33">
        <f t="shared" si="165"/>
        <v>10.358410478381328</v>
      </c>
      <c r="AG284" s="40">
        <f t="shared" si="160"/>
        <v>67.306866973426381</v>
      </c>
      <c r="AH284" s="224">
        <f>AG284*$P$36</f>
        <v>5.6449360651812528</v>
      </c>
      <c r="AI284" s="226">
        <f>SUM(Z284,IF(Z284&lt;&gt;0,$F$34,0),IF(Z284&lt;&gt;0,$N$36,0),IF(Z284&lt;&gt;0,$T$36,0),IF(Z284=0,AH289,IF(Z284=1,AH290,IF(Z284=2,AH291,IF(Z284=3,AH292,IF(Z284=4,AH293,IF(Z284=5,AH294,IF(Z284=6,AH295,IF(Z284=7,AH296,IF(Z284=8,AH297,IF(Z284=9,AH298,IF(Z284=10,AH299,IF(Z284=11,AH300,IF(Z284=12,AH301,IF(Z284=13,AH302,IF(Z284=14,AH303,IF(Z284=15,AH304,IF(Z284=16,AH305,IF(Z284=17,AH306,IF(Z284=18,AH307,IF(Z284=19,AH308,IF(Z284=20,AH309,IF(Z284=21,AH310,IF(Z284=22,AH311,IF(Z284=23,AH312,IF(Z284=24,AH313,IF(Z284=25,AH314,IF(Z284=26,AH315,IF(Z284=27,AH316,IF(Z284=28,AH317,IF(Z284=29,AH318,IF(Z284=30,AH319))))))))))))))))))))))))))))))))</f>
        <v>32.094922648908913</v>
      </c>
      <c r="AJ284" s="253">
        <f>IF(V284&lt;&gt;0,SUM($F$34,V284,$N$36,MAX($AH$42:$AH$342),$T$36),0)</f>
        <v>36.46902861037448</v>
      </c>
      <c r="AK284" s="253">
        <f>IF(W284&lt;&gt;0,SUM($F$34,W284,$N$36,MAX($AH$42:$AH$342),$T$36),0)</f>
        <v>30.831681467517306</v>
      </c>
      <c r="AL284" s="253">
        <f>IF(X284&lt;&gt;0,SUM($F$34,X284,$N$36,MAX($AH$42:$AH$342),$T$36),0)</f>
        <v>32.930593610374444</v>
      </c>
      <c r="AM284" s="260">
        <f>IF(Y284&lt;&gt;0,SUM($F$34,Y284,$N$36,MAX($AH$42:$AH$342),$T$36),0)</f>
        <v>0</v>
      </c>
    </row>
    <row r="285" spans="1:39" x14ac:dyDescent="0.35">
      <c r="A285" s="259">
        <v>1703</v>
      </c>
      <c r="B285" s="58">
        <f>SUMIF([2]!Table2_23[ETA],'FIS Optimal Model (2)'!A285,[2]!Table2_23[FIS PAX])</f>
        <v>0</v>
      </c>
      <c r="C285" s="44">
        <f t="shared" si="161"/>
        <v>18</v>
      </c>
      <c r="D285" s="52">
        <f t="shared" si="164"/>
        <v>74</v>
      </c>
      <c r="E285" s="26">
        <f t="shared" si="149"/>
        <v>10</v>
      </c>
      <c r="F285" s="26">
        <f t="shared" si="150"/>
        <v>5</v>
      </c>
      <c r="G285" s="26">
        <f t="shared" si="151"/>
        <v>3</v>
      </c>
      <c r="H285" s="26">
        <f t="shared" si="152"/>
        <v>1</v>
      </c>
      <c r="I285" s="27">
        <f t="shared" si="166"/>
        <v>10</v>
      </c>
      <c r="J285" s="27">
        <f t="shared" si="166"/>
        <v>5</v>
      </c>
      <c r="K285" s="27">
        <f t="shared" si="166"/>
        <v>3</v>
      </c>
      <c r="L285" s="27">
        <f t="shared" si="166"/>
        <v>1</v>
      </c>
      <c r="M285" s="28">
        <f t="shared" ref="M285:M297" si="181">$M$283</f>
        <v>3</v>
      </c>
      <c r="N285" s="29">
        <f t="shared" ref="N285:N297" si="182">$N$283</f>
        <v>7</v>
      </c>
      <c r="O285" s="28">
        <f t="shared" ref="O285:O297" si="183">$O$283</f>
        <v>1</v>
      </c>
      <c r="P285" s="28">
        <f t="shared" ref="P285:P297" si="184">$P$283</f>
        <v>0</v>
      </c>
      <c r="Q285" s="28">
        <f t="shared" si="153"/>
        <v>11</v>
      </c>
      <c r="R285" s="22">
        <f t="shared" si="154"/>
        <v>54.403060466498559</v>
      </c>
      <c r="S285" s="22">
        <f t="shared" si="155"/>
        <v>6.3883366545129743</v>
      </c>
      <c r="T285" s="22">
        <f t="shared" si="156"/>
        <v>10.119250336391257</v>
      </c>
      <c r="U285" s="22">
        <f t="shared" si="157"/>
        <v>3</v>
      </c>
      <c r="V285" s="21">
        <f t="shared" si="171"/>
        <v>7.3237400000000354</v>
      </c>
      <c r="W285" s="21">
        <f t="shared" si="172"/>
        <v>1.5653742857142854</v>
      </c>
      <c r="X285" s="21">
        <f t="shared" si="162"/>
        <v>3.4669259999999995</v>
      </c>
      <c r="Y285" s="21">
        <f t="shared" si="163"/>
        <v>0</v>
      </c>
      <c r="Z285" s="221">
        <f t="shared" si="158"/>
        <v>5</v>
      </c>
      <c r="AA285" s="30">
        <f t="shared" si="145"/>
        <v>6.6854850690833461</v>
      </c>
      <c r="AB285" s="30">
        <f t="shared" si="146"/>
        <v>3.6729254092979819</v>
      </c>
      <c r="AC285" s="30">
        <f t="shared" si="147"/>
        <v>2.6269165545362472</v>
      </c>
      <c r="AD285" s="30">
        <f t="shared" si="148"/>
        <v>0</v>
      </c>
      <c r="AE285" s="32">
        <f t="shared" si="159"/>
        <v>12.985327032917576</v>
      </c>
      <c r="AF285" s="33">
        <f t="shared" si="165"/>
        <v>10.358410478381328</v>
      </c>
      <c r="AG285" s="40">
        <f t="shared" si="160"/>
        <v>65.741871022355923</v>
      </c>
      <c r="AH285" s="224">
        <f>AG285*$P$36</f>
        <v>5.5136819675934365</v>
      </c>
      <c r="AI285" s="226">
        <f>SUM(Z285,IF(Z285&lt;&gt;0,$F$34,0),IF(Z285&lt;&gt;0,$N$36,0),IF(Z285&lt;&gt;0,$T$36,0),IF(Z285=0,AH290,IF(Z285=1,AH291,IF(Z285=2,AH292,IF(Z285=3,AH293,IF(Z285=4,AH294,IF(Z285=5,AH295,IF(Z285=6,AH296,IF(Z285=7,AH297,IF(Z285=8,AH298,IF(Z285=9,AH299,IF(Z285=10,AH300,IF(Z285=11,AH301,IF(Z285=12,AH302,IF(Z285=13,AH303,IF(Z285=14,AH304,IF(Z285=15,AH305,IF(Z285=16,AH306,IF(Z285=17,AH307,IF(Z285=18,AH308,IF(Z285=19,AH309,IF(Z285=20,AH310,IF(Z285=21,AH311,IF(Z285=22,AH312,IF(Z285=23,AH313,IF(Z285=24,AH314,IF(Z285=25,AH315,IF(Z285=26,AH316,IF(Z285=27,AH317,IF(Z285=28,AH318,IF(Z285=29,AH319,IF(Z285=30,AH320))))))))))))))))))))))))))))))))</f>
        <v>32.183984496271826</v>
      </c>
      <c r="AJ285" s="253">
        <f>IF(V285&lt;&gt;0,SUM($F$34,V285,$N$36,MAX($AH$42:$AH$342),$T$36),0)</f>
        <v>36.915228610374484</v>
      </c>
      <c r="AK285" s="253">
        <f>IF(W285&lt;&gt;0,SUM($F$34,W285,$N$36,MAX($AH$42:$AH$342),$T$36),0)</f>
        <v>31.156862896088732</v>
      </c>
      <c r="AL285" s="253">
        <f>IF(X285&lt;&gt;0,SUM($F$34,X285,$N$36,MAX($AH$42:$AH$342),$T$36),0)</f>
        <v>33.058414610374449</v>
      </c>
      <c r="AM285" s="260">
        <f>IF(Y285&lt;&gt;0,SUM($F$34,Y285,$N$36,MAX($AH$42:$AH$342),$T$36),0)</f>
        <v>0</v>
      </c>
    </row>
    <row r="286" spans="1:39" x14ac:dyDescent="0.35">
      <c r="A286" s="259">
        <v>1704</v>
      </c>
      <c r="B286" s="58">
        <f>SUMIF([2]!Table2_23[ETA],'FIS Optimal Model (2)'!A286,[2]!Table2_23[FIS PAX])</f>
        <v>0</v>
      </c>
      <c r="C286" s="44">
        <f t="shared" si="161"/>
        <v>18</v>
      </c>
      <c r="D286" s="52">
        <f t="shared" si="164"/>
        <v>56</v>
      </c>
      <c r="E286" s="26">
        <f t="shared" si="149"/>
        <v>10</v>
      </c>
      <c r="F286" s="26">
        <f t="shared" si="150"/>
        <v>5</v>
      </c>
      <c r="G286" s="26">
        <f t="shared" si="151"/>
        <v>3</v>
      </c>
      <c r="H286" s="26">
        <f t="shared" si="152"/>
        <v>1</v>
      </c>
      <c r="I286" s="27">
        <f t="shared" si="166"/>
        <v>10</v>
      </c>
      <c r="J286" s="27">
        <f t="shared" si="166"/>
        <v>5</v>
      </c>
      <c r="K286" s="27">
        <f t="shared" si="166"/>
        <v>3</v>
      </c>
      <c r="L286" s="27">
        <f t="shared" si="166"/>
        <v>1</v>
      </c>
      <c r="M286" s="28">
        <f t="shared" si="181"/>
        <v>3</v>
      </c>
      <c r="N286" s="29">
        <f t="shared" si="182"/>
        <v>7</v>
      </c>
      <c r="O286" s="28">
        <f t="shared" si="183"/>
        <v>1</v>
      </c>
      <c r="P286" s="28">
        <f t="shared" si="184"/>
        <v>0</v>
      </c>
      <c r="Q286" s="28">
        <f t="shared" si="153"/>
        <v>11</v>
      </c>
      <c r="R286" s="22">
        <f t="shared" si="154"/>
        <v>57.71757539741521</v>
      </c>
      <c r="S286" s="22">
        <f t="shared" si="155"/>
        <v>7.7154112452149928</v>
      </c>
      <c r="T286" s="22">
        <f t="shared" si="156"/>
        <v>10.49233378185501</v>
      </c>
      <c r="U286" s="22">
        <f t="shared" si="157"/>
        <v>4</v>
      </c>
      <c r="V286" s="21">
        <f t="shared" si="171"/>
        <v>7.7699400000000347</v>
      </c>
      <c r="W286" s="21">
        <f t="shared" si="172"/>
        <v>1.8905557142857141</v>
      </c>
      <c r="X286" s="21">
        <f t="shared" si="162"/>
        <v>3.594746999999999</v>
      </c>
      <c r="Y286" s="21">
        <f t="shared" si="163"/>
        <v>0</v>
      </c>
      <c r="Z286" s="221">
        <f t="shared" si="158"/>
        <v>6</v>
      </c>
      <c r="AA286" s="30">
        <f t="shared" si="145"/>
        <v>6.6854850690833461</v>
      </c>
      <c r="AB286" s="30">
        <f t="shared" si="146"/>
        <v>3.6729254092979819</v>
      </c>
      <c r="AC286" s="30">
        <f t="shared" si="147"/>
        <v>2.6269165545362472</v>
      </c>
      <c r="AD286" s="30">
        <f t="shared" si="148"/>
        <v>0</v>
      </c>
      <c r="AE286" s="32">
        <f t="shared" si="159"/>
        <v>12.985327032917576</v>
      </c>
      <c r="AF286" s="33">
        <f t="shared" si="165"/>
        <v>10.358410478381328</v>
      </c>
      <c r="AG286" s="40">
        <f t="shared" si="160"/>
        <v>64.176875071285465</v>
      </c>
      <c r="AH286" s="224">
        <f>AG286*$P$36</f>
        <v>5.3824278700056203</v>
      </c>
      <c r="AI286" s="226">
        <f>SUM(Z286,IF(Z286&lt;&gt;0,$F$34,0),IF(Z286&lt;&gt;0,$N$36,0),IF(Z286&lt;&gt;0,$T$36,0),IF(Z286=0,AH291,IF(Z286=1,AH292,IF(Z286=2,AH293,IF(Z286=3,AH294,IF(Z286=4,AH295,IF(Z286=5,AH296,IF(Z286=6,AH297,IF(Z286=7,AH298,IF(Z286=8,AH299,IF(Z286=9,AH300,IF(Z286=10,AH301,IF(Z286=11,AH302,IF(Z286=12,AH303,IF(Z286=13,AH304,IF(Z286=14,AH305,IF(Z286=15,AH306,IF(Z286=16,AH307,IF(Z286=17,AH308,IF(Z286=18,AH309,IF(Z286=19,AH310,IF(Z286=20,AH311,IF(Z286=21,AH312,IF(Z286=22,AH313,IF(Z286=23,AH314,IF(Z286=24,AH315,IF(Z286=25,AH316,IF(Z286=26,AH317,IF(Z286=27,AH318,IF(Z286=28,AH319,IF(Z286=29,AH320,IF(Z286=30,AH321))))))))))))))))))))))))))))))))</f>
        <v>33.362108190997645</v>
      </c>
      <c r="AJ286" s="253">
        <f>IF(V286&lt;&gt;0,SUM($F$34,V286,$N$36,MAX($AH$42:$AH$342),$T$36),0)</f>
        <v>37.361428610374482</v>
      </c>
      <c r="AK286" s="253">
        <f>IF(W286&lt;&gt;0,SUM($F$34,W286,$N$36,MAX($AH$42:$AH$342),$T$36),0)</f>
        <v>31.482044324660162</v>
      </c>
      <c r="AL286" s="253">
        <f>IF(X286&lt;&gt;0,SUM($F$34,X286,$N$36,MAX($AH$42:$AH$342),$T$36),0)</f>
        <v>33.186235610374446</v>
      </c>
      <c r="AM286" s="260">
        <f>IF(Y286&lt;&gt;0,SUM($F$34,Y286,$N$36,MAX($AH$42:$AH$342),$T$36),0)</f>
        <v>0</v>
      </c>
    </row>
    <row r="287" spans="1:39" x14ac:dyDescent="0.35">
      <c r="A287" s="259">
        <v>1705</v>
      </c>
      <c r="B287" s="58">
        <f>SUMIF([2]!Table2_23[ETA],'FIS Optimal Model (2)'!A287,[2]!Table2_23[FIS PAX])</f>
        <v>0</v>
      </c>
      <c r="C287" s="44">
        <f t="shared" si="161"/>
        <v>18</v>
      </c>
      <c r="D287" s="52">
        <f t="shared" si="164"/>
        <v>38</v>
      </c>
      <c r="E287" s="26">
        <f t="shared" si="149"/>
        <v>10</v>
      </c>
      <c r="F287" s="26">
        <f t="shared" si="150"/>
        <v>5</v>
      </c>
      <c r="G287" s="26">
        <f t="shared" si="151"/>
        <v>3</v>
      </c>
      <c r="H287" s="26">
        <f t="shared" si="152"/>
        <v>1</v>
      </c>
      <c r="I287" s="27">
        <f t="shared" si="166"/>
        <v>10</v>
      </c>
      <c r="J287" s="27">
        <f t="shared" si="166"/>
        <v>5</v>
      </c>
      <c r="K287" s="27">
        <f t="shared" si="166"/>
        <v>3</v>
      </c>
      <c r="L287" s="27">
        <f t="shared" si="166"/>
        <v>1</v>
      </c>
      <c r="M287" s="28">
        <f t="shared" si="181"/>
        <v>3</v>
      </c>
      <c r="N287" s="29">
        <f t="shared" si="182"/>
        <v>7</v>
      </c>
      <c r="O287" s="28">
        <f t="shared" si="183"/>
        <v>1</v>
      </c>
      <c r="P287" s="28">
        <f t="shared" si="184"/>
        <v>0</v>
      </c>
      <c r="Q287" s="28">
        <f t="shared" si="153"/>
        <v>11</v>
      </c>
      <c r="R287" s="22">
        <f t="shared" si="154"/>
        <v>61.032090328331861</v>
      </c>
      <c r="S287" s="22">
        <f t="shared" si="155"/>
        <v>9.0424858359170113</v>
      </c>
      <c r="T287" s="22">
        <f t="shared" si="156"/>
        <v>10.865417227318762</v>
      </c>
      <c r="U287" s="22">
        <f t="shared" si="157"/>
        <v>5</v>
      </c>
      <c r="V287" s="21">
        <f t="shared" si="171"/>
        <v>8.2161400000000349</v>
      </c>
      <c r="W287" s="21">
        <f t="shared" si="172"/>
        <v>2.2157371428571428</v>
      </c>
      <c r="X287" s="21">
        <f t="shared" si="162"/>
        <v>3.722567999999999</v>
      </c>
      <c r="Y287" s="21">
        <f t="shared" si="163"/>
        <v>0</v>
      </c>
      <c r="Z287" s="221">
        <f t="shared" si="158"/>
        <v>6</v>
      </c>
      <c r="AA287" s="30">
        <f t="shared" si="145"/>
        <v>6.6854850690833461</v>
      </c>
      <c r="AB287" s="30">
        <f t="shared" si="146"/>
        <v>3.6729254092979819</v>
      </c>
      <c r="AC287" s="30">
        <f t="shared" si="147"/>
        <v>2.6269165545362472</v>
      </c>
      <c r="AD287" s="30">
        <f t="shared" si="148"/>
        <v>0</v>
      </c>
      <c r="AE287" s="32">
        <f t="shared" si="159"/>
        <v>12.985327032917576</v>
      </c>
      <c r="AF287" s="33">
        <f t="shared" si="165"/>
        <v>12.985327032917576</v>
      </c>
      <c r="AG287" s="40">
        <f t="shared" si="160"/>
        <v>65.238795674751259</v>
      </c>
      <c r="AH287" s="224">
        <f>AG287*$P$36</f>
        <v>5.4714897173685317</v>
      </c>
      <c r="AI287" s="226">
        <f>SUM(Z287,IF(Z287&lt;&gt;0,$F$34,0),IF(Z287&lt;&gt;0,$N$36,0),IF(Z287&lt;&gt;0,$T$36,0),IF(Z287=0,AH292,IF(Z287=1,AH293,IF(Z287=2,AH294,IF(Z287=3,AH295,IF(Z287=4,AH296,IF(Z287=5,AH297,IF(Z287=6,AH298,IF(Z287=7,AH299,IF(Z287=8,AH300,IF(Z287=9,AH301,IF(Z287=10,AH302,IF(Z287=11,AH303,IF(Z287=12,AH304,IF(Z287=13,AH305,IF(Z287=14,AH306,IF(Z287=15,AH307,IF(Z287=16,AH308,IF(Z287=17,AH309,IF(Z287=18,AH310,IF(Z287=19,AH311,IF(Z287=20,AH312,IF(Z287=21,AH313,IF(Z287=22,AH314,IF(Z287=23,AH315,IF(Z287=24,AH316,IF(Z287=25,AH317,IF(Z287=26,AH318,IF(Z287=27,AH319,IF(Z287=28,AH320,IF(Z287=29,AH321,IF(Z287=30,AH322))))))))))))))))))))))))))))))))</f>
        <v>33.451170038360559</v>
      </c>
      <c r="AJ287" s="253">
        <f>IF(V287&lt;&gt;0,SUM($F$34,V287,$N$36,MAX($AH$42:$AH$342),$T$36),0)</f>
        <v>37.807628610374479</v>
      </c>
      <c r="AK287" s="253">
        <f>IF(W287&lt;&gt;0,SUM($F$34,W287,$N$36,MAX($AH$42:$AH$342),$T$36),0)</f>
        <v>31.807225753231592</v>
      </c>
      <c r="AL287" s="253">
        <f>IF(X287&lt;&gt;0,SUM($F$34,X287,$N$36,MAX($AH$42:$AH$342),$T$36),0)</f>
        <v>33.31405661037445</v>
      </c>
      <c r="AM287" s="260">
        <f>IF(Y287&lt;&gt;0,SUM($F$34,Y287,$N$36,MAX($AH$42:$AH$342),$T$36),0)</f>
        <v>0</v>
      </c>
    </row>
    <row r="288" spans="1:39" x14ac:dyDescent="0.35">
      <c r="A288" s="259">
        <v>1706</v>
      </c>
      <c r="B288" s="58">
        <f>SUMIF([2]!Table2_23[ETA],'FIS Optimal Model (2)'!A288,[2]!Table2_23[FIS PAX])</f>
        <v>0</v>
      </c>
      <c r="C288" s="44">
        <f t="shared" si="161"/>
        <v>18</v>
      </c>
      <c r="D288" s="52">
        <f t="shared" si="164"/>
        <v>20</v>
      </c>
      <c r="E288" s="26">
        <f t="shared" si="149"/>
        <v>10</v>
      </c>
      <c r="F288" s="26">
        <f t="shared" si="150"/>
        <v>5</v>
      </c>
      <c r="G288" s="26">
        <f t="shared" si="151"/>
        <v>3</v>
      </c>
      <c r="H288" s="26">
        <f t="shared" si="152"/>
        <v>1</v>
      </c>
      <c r="I288" s="27">
        <f t="shared" si="166"/>
        <v>10</v>
      </c>
      <c r="J288" s="27">
        <f t="shared" si="166"/>
        <v>5</v>
      </c>
      <c r="K288" s="27">
        <f t="shared" si="166"/>
        <v>3</v>
      </c>
      <c r="L288" s="27">
        <f t="shared" si="166"/>
        <v>1</v>
      </c>
      <c r="M288" s="28">
        <f t="shared" si="181"/>
        <v>3</v>
      </c>
      <c r="N288" s="29">
        <f t="shared" si="182"/>
        <v>7</v>
      </c>
      <c r="O288" s="28">
        <f t="shared" si="183"/>
        <v>1</v>
      </c>
      <c r="P288" s="28">
        <f t="shared" si="184"/>
        <v>0</v>
      </c>
      <c r="Q288" s="28">
        <f t="shared" si="153"/>
        <v>11</v>
      </c>
      <c r="R288" s="22">
        <f t="shared" si="154"/>
        <v>64.34660525924852</v>
      </c>
      <c r="S288" s="22">
        <f t="shared" si="155"/>
        <v>10.36956042661903</v>
      </c>
      <c r="T288" s="22">
        <f t="shared" si="156"/>
        <v>11.238500672782514</v>
      </c>
      <c r="U288" s="22">
        <f t="shared" si="157"/>
        <v>6</v>
      </c>
      <c r="V288" s="21">
        <f t="shared" si="171"/>
        <v>8.6623400000000359</v>
      </c>
      <c r="W288" s="21">
        <f t="shared" si="172"/>
        <v>2.5409185714285711</v>
      </c>
      <c r="X288" s="21">
        <f t="shared" si="162"/>
        <v>3.850388999999999</v>
      </c>
      <c r="Y288" s="21">
        <f t="shared" si="163"/>
        <v>0</v>
      </c>
      <c r="Z288" s="221">
        <f t="shared" si="158"/>
        <v>7</v>
      </c>
      <c r="AA288" s="30">
        <f t="shared" si="145"/>
        <v>6.6854850690833461</v>
      </c>
      <c r="AB288" s="30">
        <f t="shared" si="146"/>
        <v>3.6729254092979819</v>
      </c>
      <c r="AC288" s="30">
        <f t="shared" si="147"/>
        <v>2.6269165545362472</v>
      </c>
      <c r="AD288" s="30">
        <f t="shared" si="148"/>
        <v>0</v>
      </c>
      <c r="AE288" s="32">
        <f t="shared" si="159"/>
        <v>12.985327032917576</v>
      </c>
      <c r="AF288" s="33">
        <f t="shared" si="165"/>
        <v>12.985327032917576</v>
      </c>
      <c r="AG288" s="40">
        <f t="shared" si="160"/>
        <v>66.300716278217052</v>
      </c>
      <c r="AH288" s="224">
        <f>AG288*$P$36</f>
        <v>5.5605515647314441</v>
      </c>
      <c r="AI288" s="226">
        <f>SUM(Z288,IF(Z288&lt;&gt;0,$F$34,0),IF(Z288&lt;&gt;0,$N$36,0),IF(Z288&lt;&gt;0,$T$36,0),IF(Z288=0,AH293,IF(Z288=1,AH294,IF(Z288=2,AH295,IF(Z288=3,AH296,IF(Z288=4,AH297,IF(Z288=5,AH298,IF(Z288=6,AH299,IF(Z288=7,AH300,IF(Z288=8,AH301,IF(Z288=9,AH302,IF(Z288=10,AH303,IF(Z288=11,AH304,IF(Z288=12,AH305,IF(Z288=13,AH306,IF(Z288=14,AH307,IF(Z288=15,AH308,IF(Z288=16,AH309,IF(Z288=17,AH310,IF(Z288=18,AH311,IF(Z288=19,AH312,IF(Z288=20,AH313,IF(Z288=21,AH314,IF(Z288=22,AH315,IF(Z288=23,AH316,IF(Z288=24,AH317,IF(Z288=25,AH318,IF(Z288=26,AH319,IF(Z288=27,AH320,IF(Z288=28,AH321,IF(Z288=29,AH322,IF(Z288=30,AH323))))))))))))))))))))))))))))))))</f>
        <v>34.629293733086385</v>
      </c>
      <c r="AJ288" s="253">
        <f>IF(V288&lt;&gt;0,SUM($F$34,V288,$N$36,MAX($AH$42:$AH$342),$T$36),0)</f>
        <v>38.253828610374484</v>
      </c>
      <c r="AK288" s="253">
        <f>IF(W288&lt;&gt;0,SUM($F$34,W288,$N$36,MAX($AH$42:$AH$342),$T$36),0)</f>
        <v>32.132407181803018</v>
      </c>
      <c r="AL288" s="253">
        <f>IF(X288&lt;&gt;0,SUM($F$34,X288,$N$36,MAX($AH$42:$AH$342),$T$36),0)</f>
        <v>33.441877610374448</v>
      </c>
      <c r="AM288" s="260">
        <f>IF(Y288&lt;&gt;0,SUM($F$34,Y288,$N$36,MAX($AH$42:$AH$342),$T$36),0)</f>
        <v>0</v>
      </c>
    </row>
    <row r="289" spans="1:39" x14ac:dyDescent="0.35">
      <c r="A289" s="259">
        <v>1707</v>
      </c>
      <c r="B289" s="58">
        <f>SUMIF([2]!Table2_23[ETA],'FIS Optimal Model (2)'!A289,[2]!Table2_23[FIS PAX])</f>
        <v>0</v>
      </c>
      <c r="C289" s="44">
        <f t="shared" si="161"/>
        <v>18</v>
      </c>
      <c r="D289" s="52">
        <f t="shared" si="164"/>
        <v>2</v>
      </c>
      <c r="E289" s="26">
        <f t="shared" si="149"/>
        <v>10</v>
      </c>
      <c r="F289" s="26">
        <f t="shared" si="150"/>
        <v>5</v>
      </c>
      <c r="G289" s="26">
        <f t="shared" si="151"/>
        <v>3</v>
      </c>
      <c r="H289" s="26">
        <f t="shared" si="152"/>
        <v>1</v>
      </c>
      <c r="I289" s="27">
        <f t="shared" si="166"/>
        <v>10</v>
      </c>
      <c r="J289" s="27">
        <f t="shared" si="166"/>
        <v>5</v>
      </c>
      <c r="K289" s="27">
        <f t="shared" si="166"/>
        <v>3</v>
      </c>
      <c r="L289" s="27">
        <f t="shared" si="166"/>
        <v>1</v>
      </c>
      <c r="M289" s="28">
        <f t="shared" si="181"/>
        <v>3</v>
      </c>
      <c r="N289" s="29">
        <f t="shared" si="182"/>
        <v>7</v>
      </c>
      <c r="O289" s="28">
        <f t="shared" si="183"/>
        <v>1</v>
      </c>
      <c r="P289" s="28">
        <f t="shared" si="184"/>
        <v>0</v>
      </c>
      <c r="Q289" s="28">
        <f t="shared" si="153"/>
        <v>11</v>
      </c>
      <c r="R289" s="22">
        <f t="shared" si="154"/>
        <v>67.661120190165178</v>
      </c>
      <c r="S289" s="22">
        <f t="shared" si="155"/>
        <v>11.696635017321048</v>
      </c>
      <c r="T289" s="22">
        <f t="shared" si="156"/>
        <v>11.611584118246267</v>
      </c>
      <c r="U289" s="22">
        <f t="shared" si="157"/>
        <v>7</v>
      </c>
      <c r="V289" s="21">
        <f t="shared" si="171"/>
        <v>9.1085400000000352</v>
      </c>
      <c r="W289" s="21">
        <f t="shared" si="172"/>
        <v>2.8660999999999999</v>
      </c>
      <c r="X289" s="21">
        <f t="shared" si="162"/>
        <v>3.9782099999999985</v>
      </c>
      <c r="Y289" s="21">
        <f t="shared" si="163"/>
        <v>0</v>
      </c>
      <c r="Z289" s="221">
        <f t="shared" si="158"/>
        <v>7</v>
      </c>
      <c r="AA289" s="30">
        <f t="shared" si="145"/>
        <v>6.6854850690833461</v>
      </c>
      <c r="AB289" s="30">
        <f t="shared" si="146"/>
        <v>3.6729254092979819</v>
      </c>
      <c r="AC289" s="30">
        <f t="shared" si="147"/>
        <v>2.6269165545362472</v>
      </c>
      <c r="AD289" s="30">
        <f t="shared" si="148"/>
        <v>0</v>
      </c>
      <c r="AE289" s="32">
        <f t="shared" si="159"/>
        <v>12.985327032917576</v>
      </c>
      <c r="AF289" s="33">
        <f t="shared" si="165"/>
        <v>12.985327032917576</v>
      </c>
      <c r="AG289" s="40">
        <f t="shared" si="160"/>
        <v>67.362636881682846</v>
      </c>
      <c r="AH289" s="224">
        <f>AG289*$P$36</f>
        <v>5.6496134120943555</v>
      </c>
      <c r="AI289" s="226">
        <f>SUM(Z289,IF(Z289&lt;&gt;0,$F$34,0),IF(Z289&lt;&gt;0,$N$36,0),IF(Z289&lt;&gt;0,$T$36,0),IF(Z289=0,AH294,IF(Z289=1,AH295,IF(Z289=2,AH296,IF(Z289=3,AH297,IF(Z289=4,AH298,IF(Z289=5,AH299,IF(Z289=6,AH300,IF(Z289=7,AH301,IF(Z289=8,AH302,IF(Z289=9,AH303,IF(Z289=10,AH304,IF(Z289=11,AH305,IF(Z289=12,AH306,IF(Z289=13,AH307,IF(Z289=14,AH308,IF(Z289=15,AH309,IF(Z289=16,AH310,IF(Z289=17,AH311,IF(Z289=18,AH312,IF(Z289=19,AH313,IF(Z289=20,AH314,IF(Z289=21,AH315,IF(Z289=22,AH316,IF(Z289=23,AH317,IF(Z289=24,AH318,IF(Z289=25,AH319,IF(Z289=26,AH320,IF(Z289=27,AH321,IF(Z289=28,AH322,IF(Z289=29,AH323,IF(Z289=30,AH324))))))))))))))))))))))))))))))))</f>
        <v>34.718355580449298</v>
      </c>
      <c r="AJ289" s="253">
        <f>IF(V289&lt;&gt;0,SUM($F$34,V289,$N$36,MAX($AH$42:$AH$342),$T$36),0)</f>
        <v>38.700028610374481</v>
      </c>
      <c r="AK289" s="253">
        <f>IF(W289&lt;&gt;0,SUM($F$34,W289,$N$36,MAX($AH$42:$AH$342),$T$36),0)</f>
        <v>32.457588610374444</v>
      </c>
      <c r="AL289" s="253">
        <f>IF(X289&lt;&gt;0,SUM($F$34,X289,$N$36,MAX($AH$42:$AH$342),$T$36),0)</f>
        <v>33.569698610374445</v>
      </c>
      <c r="AM289" s="260">
        <f>IF(Y289&lt;&gt;0,SUM($F$34,Y289,$N$36,MAX($AH$42:$AH$342),$T$36),0)</f>
        <v>0</v>
      </c>
    </row>
    <row r="290" spans="1:39" x14ac:dyDescent="0.35">
      <c r="A290" s="259">
        <v>1708</v>
      </c>
      <c r="B290" s="58">
        <f>SUMIF([2]!Table2_23[ETA],'FIS Optimal Model (2)'!A290,[2]!Table2_23[FIS PAX])</f>
        <v>0</v>
      </c>
      <c r="C290" s="44">
        <f t="shared" si="161"/>
        <v>2</v>
      </c>
      <c r="D290" s="52">
        <f t="shared" si="164"/>
        <v>0</v>
      </c>
      <c r="E290" s="26">
        <f t="shared" si="149"/>
        <v>2</v>
      </c>
      <c r="F290" s="26">
        <f t="shared" si="150"/>
        <v>1</v>
      </c>
      <c r="G290" s="26">
        <f t="shared" si="151"/>
        <v>1</v>
      </c>
      <c r="H290" s="26">
        <f t="shared" si="152"/>
        <v>1</v>
      </c>
      <c r="I290" s="27">
        <f t="shared" si="166"/>
        <v>10</v>
      </c>
      <c r="J290" s="27">
        <f t="shared" si="166"/>
        <v>5</v>
      </c>
      <c r="K290" s="27">
        <f t="shared" si="166"/>
        <v>3</v>
      </c>
      <c r="L290" s="27">
        <f t="shared" si="166"/>
        <v>1</v>
      </c>
      <c r="M290" s="28">
        <f t="shared" si="181"/>
        <v>3</v>
      </c>
      <c r="N290" s="29">
        <f t="shared" si="182"/>
        <v>7</v>
      </c>
      <c r="O290" s="28">
        <f t="shared" si="183"/>
        <v>1</v>
      </c>
      <c r="P290" s="28">
        <f t="shared" si="184"/>
        <v>0</v>
      </c>
      <c r="Q290" s="28">
        <f t="shared" si="153"/>
        <v>11</v>
      </c>
      <c r="R290" s="22">
        <f t="shared" si="154"/>
        <v>70.975635121081837</v>
      </c>
      <c r="S290" s="22">
        <f t="shared" si="155"/>
        <v>13.023709608023067</v>
      </c>
      <c r="T290" s="22">
        <f t="shared" si="156"/>
        <v>11.984667563710019</v>
      </c>
      <c r="U290" s="22">
        <f t="shared" si="157"/>
        <v>8</v>
      </c>
      <c r="V290" s="21">
        <f t="shared" si="171"/>
        <v>9.5547400000000362</v>
      </c>
      <c r="W290" s="21">
        <f t="shared" si="172"/>
        <v>3.1912814285714286</v>
      </c>
      <c r="X290" s="21">
        <f t="shared" si="162"/>
        <v>4.1060309999999989</v>
      </c>
      <c r="Y290" s="21">
        <f t="shared" si="163"/>
        <v>0</v>
      </c>
      <c r="Z290" s="221">
        <f t="shared" si="158"/>
        <v>7</v>
      </c>
      <c r="AA290" s="30">
        <f t="shared" si="145"/>
        <v>6.6854850690833461</v>
      </c>
      <c r="AB290" s="30">
        <f t="shared" si="146"/>
        <v>3.6729254092979819</v>
      </c>
      <c r="AC290" s="30">
        <f t="shared" si="147"/>
        <v>2.6269165545362472</v>
      </c>
      <c r="AD290" s="30">
        <f t="shared" si="148"/>
        <v>0</v>
      </c>
      <c r="AE290" s="32">
        <f t="shared" si="159"/>
        <v>12.985327032917576</v>
      </c>
      <c r="AF290" s="33">
        <f t="shared" si="165"/>
        <v>12.985327032917576</v>
      </c>
      <c r="AG290" s="40">
        <f t="shared" si="160"/>
        <v>68.42455748514864</v>
      </c>
      <c r="AH290" s="224">
        <f>AG290*$P$36</f>
        <v>5.738675259457267</v>
      </c>
      <c r="AI290" s="226">
        <f>SUM(Z290,IF(Z290&lt;&gt;0,$F$34,0),IF(Z290&lt;&gt;0,$N$36,0),IF(Z290&lt;&gt;0,$T$36,0),IF(Z290=0,AH295,IF(Z290=1,AH296,IF(Z290=2,AH297,IF(Z290=3,AH298,IF(Z290=4,AH299,IF(Z290=5,AH300,IF(Z290=6,AH301,IF(Z290=7,AH302,IF(Z290=8,AH303,IF(Z290=9,AH304,IF(Z290=10,AH305,IF(Z290=11,AH306,IF(Z290=12,AH307,IF(Z290=13,AH308,IF(Z290=14,AH309,IF(Z290=15,AH310,IF(Z290=16,AH311,IF(Z290=17,AH312,IF(Z290=18,AH313,IF(Z290=19,AH314,IF(Z290=20,AH315,IF(Z290=21,AH316,IF(Z290=22,AH317,IF(Z290=23,AH318,IF(Z290=24,AH319,IF(Z290=25,AH320,IF(Z290=26,AH321,IF(Z290=27,AH322,IF(Z290=28,AH323,IF(Z290=29,AH324,IF(Z290=30,AH325))))))))))))))))))))))))))))))))</f>
        <v>34.926481472663205</v>
      </c>
      <c r="AJ290" s="253">
        <f>IF(V290&lt;&gt;0,SUM($F$34,V290,$N$36,MAX($AH$42:$AH$342),$T$36),0)</f>
        <v>39.146228610374486</v>
      </c>
      <c r="AK290" s="253">
        <f>IF(W290&lt;&gt;0,SUM($F$34,W290,$N$36,MAX($AH$42:$AH$342),$T$36),0)</f>
        <v>32.782770038945877</v>
      </c>
      <c r="AL290" s="253">
        <f>IF(X290&lt;&gt;0,SUM($F$34,X290,$N$36,MAX($AH$42:$AH$342),$T$36),0)</f>
        <v>33.697519610374442</v>
      </c>
      <c r="AM290" s="260">
        <f>IF(Y290&lt;&gt;0,SUM($F$34,Y290,$N$36,MAX($AH$42:$AH$342),$T$36),0)</f>
        <v>0</v>
      </c>
    </row>
    <row r="291" spans="1:39" x14ac:dyDescent="0.35">
      <c r="A291" s="259">
        <v>1709</v>
      </c>
      <c r="B291" s="58">
        <f>SUMIF([2]!Table2_23[ETA],'FIS Optimal Model (2)'!A291,[2]!Table2_23[FIS PAX])</f>
        <v>0</v>
      </c>
      <c r="C291" s="44">
        <f t="shared" si="161"/>
        <v>0</v>
      </c>
      <c r="D291" s="52">
        <f t="shared" si="164"/>
        <v>0</v>
      </c>
      <c r="E291" s="26">
        <f t="shared" si="149"/>
        <v>0</v>
      </c>
      <c r="F291" s="26">
        <f t="shared" si="150"/>
        <v>0</v>
      </c>
      <c r="G291" s="26">
        <f t="shared" si="151"/>
        <v>0</v>
      </c>
      <c r="H291" s="26">
        <f t="shared" si="152"/>
        <v>0</v>
      </c>
      <c r="I291" s="27">
        <f t="shared" si="166"/>
        <v>10</v>
      </c>
      <c r="J291" s="27">
        <f t="shared" si="166"/>
        <v>5</v>
      </c>
      <c r="K291" s="27">
        <f t="shared" si="166"/>
        <v>3</v>
      </c>
      <c r="L291" s="27">
        <f t="shared" si="166"/>
        <v>1</v>
      </c>
      <c r="M291" s="28">
        <f t="shared" si="181"/>
        <v>3</v>
      </c>
      <c r="N291" s="29">
        <f t="shared" si="182"/>
        <v>7</v>
      </c>
      <c r="O291" s="28">
        <f t="shared" si="183"/>
        <v>1</v>
      </c>
      <c r="P291" s="28">
        <f t="shared" si="184"/>
        <v>0</v>
      </c>
      <c r="Q291" s="28">
        <f t="shared" si="153"/>
        <v>11</v>
      </c>
      <c r="R291" s="22">
        <f t="shared" si="154"/>
        <v>74.290150051998495</v>
      </c>
      <c r="S291" s="22">
        <f t="shared" si="155"/>
        <v>14.350784198725085</v>
      </c>
      <c r="T291" s="22">
        <f t="shared" si="156"/>
        <v>12.357751009173771</v>
      </c>
      <c r="U291" s="22">
        <f t="shared" si="157"/>
        <v>9</v>
      </c>
      <c r="V291" s="21">
        <f t="shared" si="171"/>
        <v>10.000940000000037</v>
      </c>
      <c r="W291" s="21">
        <f t="shared" si="172"/>
        <v>3.5164628571428569</v>
      </c>
      <c r="X291" s="21">
        <f t="shared" si="162"/>
        <v>4.233851999999998</v>
      </c>
      <c r="Y291" s="21">
        <f t="shared" si="163"/>
        <v>0</v>
      </c>
      <c r="Z291" s="221">
        <f t="shared" si="158"/>
        <v>8</v>
      </c>
      <c r="AA291" s="30">
        <f t="shared" si="145"/>
        <v>6.6854850690833461</v>
      </c>
      <c r="AB291" s="30">
        <f t="shared" si="146"/>
        <v>3.6729254092979819</v>
      </c>
      <c r="AC291" s="30">
        <f t="shared" si="147"/>
        <v>2.6269165545362472</v>
      </c>
      <c r="AD291" s="30">
        <f t="shared" si="148"/>
        <v>0</v>
      </c>
      <c r="AE291" s="32">
        <f t="shared" si="159"/>
        <v>12.985327032917576</v>
      </c>
      <c r="AF291" s="33">
        <f t="shared" si="165"/>
        <v>12.985327032917576</v>
      </c>
      <c r="AG291" s="40">
        <f t="shared" si="160"/>
        <v>69.486478088614433</v>
      </c>
      <c r="AH291" s="224">
        <f>AG291*$P$36</f>
        <v>5.8277371068201784</v>
      </c>
      <c r="AI291" s="226">
        <f>SUM(Z291,IF(Z291&lt;&gt;0,$F$34,0),IF(Z291&lt;&gt;0,$N$36,0),IF(Z291&lt;&gt;0,$T$36,0),IF(Z291=0,AH296,IF(Z291=1,AH297,IF(Z291=2,AH298,IF(Z291=3,AH299,IF(Z291=4,AH300,IF(Z291=5,AH301,IF(Z291=6,AH302,IF(Z291=7,AH303,IF(Z291=8,AH304,IF(Z291=9,AH305,IF(Z291=10,AH306,IF(Z291=11,AH307,IF(Z291=12,AH308,IF(Z291=13,AH309,IF(Z291=14,AH310,IF(Z291=15,AH311,IF(Z291=16,AH312,IF(Z291=17,AH313,IF(Z291=18,AH314,IF(Z291=19,AH315,IF(Z291=20,AH316,IF(Z291=21,AH317,IF(Z291=22,AH318,IF(Z291=23,AH319,IF(Z291=24,AH320,IF(Z291=25,AH321,IF(Z291=26,AH322,IF(Z291=27,AH323,IF(Z291=28,AH324,IF(Z291=29,AH325,IF(Z291=30,AH326))))))))))))))))))))))))))))))))</f>
        <v>36.342733257091012</v>
      </c>
      <c r="AJ291" s="253">
        <f>IF(V291&lt;&gt;0,SUM($F$34,V291,$N$36,MAX($AH$42:$AH$342),$T$36),0)</f>
        <v>39.592428610374483</v>
      </c>
      <c r="AK291" s="253">
        <f>IF(W291&lt;&gt;0,SUM($F$34,W291,$N$36,MAX($AH$42:$AH$342),$T$36),0)</f>
        <v>33.107951467517303</v>
      </c>
      <c r="AL291" s="253">
        <f>IF(X291&lt;&gt;0,SUM($F$34,X291,$N$36,MAX($AH$42:$AH$342),$T$36),0)</f>
        <v>33.825340610374447</v>
      </c>
      <c r="AM291" s="260">
        <f>IF(Y291&lt;&gt;0,SUM($F$34,Y291,$N$36,MAX($AH$42:$AH$342),$T$36),0)</f>
        <v>0</v>
      </c>
    </row>
    <row r="292" spans="1:39" x14ac:dyDescent="0.35">
      <c r="A292" s="259">
        <v>1710</v>
      </c>
      <c r="B292" s="58">
        <f>SUMIF([2]!Table2_23[ETA],'FIS Optimal Model (2)'!A292,[2]!Table2_23[FIS PAX])</f>
        <v>0</v>
      </c>
      <c r="C292" s="44">
        <f t="shared" si="161"/>
        <v>0</v>
      </c>
      <c r="D292" s="52">
        <f t="shared" si="164"/>
        <v>0</v>
      </c>
      <c r="E292" s="26">
        <f t="shared" si="149"/>
        <v>0</v>
      </c>
      <c r="F292" s="26">
        <f t="shared" si="150"/>
        <v>0</v>
      </c>
      <c r="G292" s="26">
        <f t="shared" si="151"/>
        <v>0</v>
      </c>
      <c r="H292" s="26">
        <f t="shared" si="152"/>
        <v>0</v>
      </c>
      <c r="I292" s="27">
        <f t="shared" si="166"/>
        <v>10</v>
      </c>
      <c r="J292" s="27">
        <f t="shared" si="166"/>
        <v>5</v>
      </c>
      <c r="K292" s="27">
        <f t="shared" si="166"/>
        <v>3</v>
      </c>
      <c r="L292" s="27">
        <f t="shared" si="166"/>
        <v>1</v>
      </c>
      <c r="M292" s="28">
        <f t="shared" si="181"/>
        <v>3</v>
      </c>
      <c r="N292" s="29">
        <f t="shared" si="182"/>
        <v>7</v>
      </c>
      <c r="O292" s="28">
        <f t="shared" si="183"/>
        <v>1</v>
      </c>
      <c r="P292" s="28">
        <f t="shared" si="184"/>
        <v>0</v>
      </c>
      <c r="Q292" s="28">
        <f t="shared" si="153"/>
        <v>11</v>
      </c>
      <c r="R292" s="22">
        <f t="shared" si="154"/>
        <v>77.604664982915153</v>
      </c>
      <c r="S292" s="22">
        <f t="shared" si="155"/>
        <v>15.677858789427104</v>
      </c>
      <c r="T292" s="22">
        <f t="shared" si="156"/>
        <v>12.730834454637524</v>
      </c>
      <c r="U292" s="22">
        <f t="shared" si="157"/>
        <v>10</v>
      </c>
      <c r="V292" s="21">
        <f t="shared" si="171"/>
        <v>10.447140000000037</v>
      </c>
      <c r="W292" s="21">
        <f t="shared" si="172"/>
        <v>3.8416442857142856</v>
      </c>
      <c r="X292" s="21">
        <f t="shared" si="162"/>
        <v>4.3616729999999979</v>
      </c>
      <c r="Y292" s="21">
        <f t="shared" si="163"/>
        <v>0</v>
      </c>
      <c r="Z292" s="221">
        <f t="shared" si="158"/>
        <v>8</v>
      </c>
      <c r="AA292" s="30">
        <f t="shared" si="145"/>
        <v>6.6854850690833461</v>
      </c>
      <c r="AB292" s="30">
        <f t="shared" si="146"/>
        <v>3.6729254092979819</v>
      </c>
      <c r="AC292" s="30">
        <f t="shared" si="147"/>
        <v>2.6269165545362472</v>
      </c>
      <c r="AD292" s="30">
        <f t="shared" si="148"/>
        <v>0</v>
      </c>
      <c r="AE292" s="32">
        <f t="shared" si="159"/>
        <v>12.985327032917576</v>
      </c>
      <c r="AF292" s="33">
        <f t="shared" si="165"/>
        <v>12.985327032917576</v>
      </c>
      <c r="AG292" s="40">
        <f t="shared" si="160"/>
        <v>70.548398692080227</v>
      </c>
      <c r="AH292" s="224">
        <f>AG292*$P$36</f>
        <v>5.9167989541830899</v>
      </c>
      <c r="AI292" s="226">
        <f>SUM(Z292,IF(Z292&lt;&gt;0,$F$34,0),IF(Z292&lt;&gt;0,$N$36,0),IF(Z292&lt;&gt;0,$T$36,0),IF(Z292=0,AH297,IF(Z292=1,AH298,IF(Z292=2,AH299,IF(Z292=3,AH300,IF(Z292=4,AH301,IF(Z292=5,AH302,IF(Z292=6,AH303,IF(Z292=7,AH304,IF(Z292=8,AH305,IF(Z292=9,AH306,IF(Z292=10,AH307,IF(Z292=11,AH308,IF(Z292=12,AH309,IF(Z292=13,AH310,IF(Z292=14,AH311,IF(Z292=15,AH312,IF(Z292=16,AH313,IF(Z292=17,AH314,IF(Z292=18,AH315,IF(Z292=19,AH316,IF(Z292=20,AH317,IF(Z292=21,AH318,IF(Z292=22,AH319,IF(Z292=23,AH320,IF(Z292=24,AH321,IF(Z292=25,AH322,IF(Z292=26,AH323,IF(Z292=27,AH324,IF(Z292=28,AH325,IF(Z292=29,AH326,IF(Z292=30,AH327))))))))))))))))))))))))))))))))</f>
        <v>36.55085914930492</v>
      </c>
      <c r="AJ292" s="253">
        <f>IF(V292&lt;&gt;0,SUM($F$34,V292,$N$36,MAX($AH$42:$AH$342),$T$36),0)</f>
        <v>40.038628610374488</v>
      </c>
      <c r="AK292" s="253">
        <f>IF(W292&lt;&gt;0,SUM($F$34,W292,$N$36,MAX($AH$42:$AH$342),$T$36),0)</f>
        <v>33.433132896088736</v>
      </c>
      <c r="AL292" s="253">
        <f>IF(X292&lt;&gt;0,SUM($F$34,X292,$N$36,MAX($AH$42:$AH$342),$T$36),0)</f>
        <v>33.953161610374444</v>
      </c>
      <c r="AM292" s="260">
        <f>IF(Y292&lt;&gt;0,SUM($F$34,Y292,$N$36,MAX($AH$42:$AH$342),$T$36),0)</f>
        <v>0</v>
      </c>
    </row>
    <row r="293" spans="1:39" x14ac:dyDescent="0.35">
      <c r="A293" s="259">
        <v>1711</v>
      </c>
      <c r="B293" s="58">
        <f>SUMIF([2]!Table2_23[ETA],'FIS Optimal Model (2)'!A293,[2]!Table2_23[FIS PAX])</f>
        <v>104</v>
      </c>
      <c r="C293" s="44">
        <f t="shared" si="161"/>
        <v>0</v>
      </c>
      <c r="D293" s="52">
        <f t="shared" si="164"/>
        <v>0</v>
      </c>
      <c r="E293" s="26">
        <f t="shared" si="149"/>
        <v>0</v>
      </c>
      <c r="F293" s="26">
        <f t="shared" si="150"/>
        <v>0</v>
      </c>
      <c r="G293" s="26">
        <f t="shared" si="151"/>
        <v>0</v>
      </c>
      <c r="H293" s="26">
        <f t="shared" si="152"/>
        <v>0</v>
      </c>
      <c r="I293" s="27">
        <f t="shared" si="166"/>
        <v>10</v>
      </c>
      <c r="J293" s="27">
        <f t="shared" si="166"/>
        <v>5</v>
      </c>
      <c r="K293" s="27">
        <f t="shared" si="166"/>
        <v>3</v>
      </c>
      <c r="L293" s="27">
        <f t="shared" si="166"/>
        <v>1</v>
      </c>
      <c r="M293" s="28">
        <f t="shared" si="181"/>
        <v>3</v>
      </c>
      <c r="N293" s="29">
        <f t="shared" si="182"/>
        <v>7</v>
      </c>
      <c r="O293" s="28">
        <f t="shared" si="183"/>
        <v>1</v>
      </c>
      <c r="P293" s="28">
        <f t="shared" si="184"/>
        <v>0</v>
      </c>
      <c r="Q293" s="28">
        <f t="shared" si="153"/>
        <v>11</v>
      </c>
      <c r="R293" s="22">
        <f t="shared" si="154"/>
        <v>80.919179913831812</v>
      </c>
      <c r="S293" s="22">
        <f t="shared" si="155"/>
        <v>17.004933380129124</v>
      </c>
      <c r="T293" s="22">
        <f t="shared" si="156"/>
        <v>13.103917900101276</v>
      </c>
      <c r="U293" s="22">
        <f t="shared" si="157"/>
        <v>11</v>
      </c>
      <c r="V293" s="21">
        <f t="shared" si="171"/>
        <v>10.893340000000038</v>
      </c>
      <c r="W293" s="21">
        <f t="shared" si="172"/>
        <v>4.1668257142857144</v>
      </c>
      <c r="X293" s="21">
        <f t="shared" si="162"/>
        <v>4.4894939999999979</v>
      </c>
      <c r="Y293" s="21">
        <f t="shared" si="163"/>
        <v>0</v>
      </c>
      <c r="Z293" s="221">
        <f t="shared" si="158"/>
        <v>8</v>
      </c>
      <c r="AA293" s="30">
        <f t="shared" si="145"/>
        <v>6.6854850690833461</v>
      </c>
      <c r="AB293" s="30">
        <f t="shared" si="146"/>
        <v>3.6729254092979819</v>
      </c>
      <c r="AC293" s="30">
        <f t="shared" si="147"/>
        <v>2.6269165545362472</v>
      </c>
      <c r="AD293" s="30">
        <f t="shared" si="148"/>
        <v>0</v>
      </c>
      <c r="AE293" s="32">
        <f t="shared" si="159"/>
        <v>12.985327032917576</v>
      </c>
      <c r="AF293" s="33">
        <f t="shared" si="165"/>
        <v>12.985327032917576</v>
      </c>
      <c r="AG293" s="40">
        <f t="shared" si="160"/>
        <v>71.61031929554602</v>
      </c>
      <c r="AH293" s="224">
        <f>AG293*$P$36</f>
        <v>6.0058608015460022</v>
      </c>
      <c r="AI293" s="226">
        <f>SUM(Z293,IF(Z293&lt;&gt;0,$F$34,0),IF(Z293&lt;&gt;0,$N$36,0),IF(Z293&lt;&gt;0,$T$36,0),IF(Z293=0,AH298,IF(Z293=1,AH299,IF(Z293=2,AH300,IF(Z293=3,AH301,IF(Z293=4,AH302,IF(Z293=5,AH303,IF(Z293=6,AH304,IF(Z293=7,AH305,IF(Z293=8,AH306,IF(Z293=9,AH307,IF(Z293=10,AH308,IF(Z293=11,AH309,IF(Z293=12,AH310,IF(Z293=13,AH311,IF(Z293=14,AH312,IF(Z293=15,AH313,IF(Z293=16,AH314,IF(Z293=17,AH315,IF(Z293=18,AH316,IF(Z293=19,AH317,IF(Z293=20,AH318,IF(Z293=21,AH319,IF(Z293=22,AH320,IF(Z293=23,AH321,IF(Z293=24,AH322,IF(Z293=25,AH323,IF(Z293=26,AH324,IF(Z293=27,AH325,IF(Z293=28,AH326,IF(Z293=29,AH327,IF(Z293=30,AH328))))))))))))))))))))))))))))))))</f>
        <v>36.758985041518827</v>
      </c>
      <c r="AJ293" s="253">
        <f>IF(V293&lt;&gt;0,SUM($F$34,V293,$N$36,MAX($AH$42:$AH$342),$T$36),0)</f>
        <v>40.484828610374485</v>
      </c>
      <c r="AK293" s="253">
        <f>IF(W293&lt;&gt;0,SUM($F$34,W293,$N$36,MAX($AH$42:$AH$342),$T$36),0)</f>
        <v>33.758314324660162</v>
      </c>
      <c r="AL293" s="253">
        <f>IF(X293&lt;&gt;0,SUM($F$34,X293,$N$36,MAX($AH$42:$AH$342),$T$36),0)</f>
        <v>34.080982610374448</v>
      </c>
      <c r="AM293" s="260">
        <f>IF(Y293&lt;&gt;0,SUM($F$34,Y293,$N$36,MAX($AH$42:$AH$342),$T$36),0)</f>
        <v>0</v>
      </c>
    </row>
    <row r="294" spans="1:39" x14ac:dyDescent="0.35">
      <c r="A294" s="259">
        <v>1712</v>
      </c>
      <c r="B294" s="58">
        <f>SUMIF([2]!Table2_23[ETA],'FIS Optimal Model (2)'!A294,[2]!Table2_23[FIS PAX])</f>
        <v>0</v>
      </c>
      <c r="C294" s="44">
        <f t="shared" si="161"/>
        <v>18</v>
      </c>
      <c r="D294" s="52">
        <f t="shared" si="164"/>
        <v>86</v>
      </c>
      <c r="E294" s="26">
        <f t="shared" si="149"/>
        <v>10</v>
      </c>
      <c r="F294" s="26">
        <f t="shared" si="150"/>
        <v>5</v>
      </c>
      <c r="G294" s="26">
        <f t="shared" si="151"/>
        <v>3</v>
      </c>
      <c r="H294" s="26">
        <f t="shared" si="152"/>
        <v>1</v>
      </c>
      <c r="I294" s="27">
        <f t="shared" si="166"/>
        <v>10</v>
      </c>
      <c r="J294" s="27">
        <f t="shared" si="166"/>
        <v>5</v>
      </c>
      <c r="K294" s="27">
        <f t="shared" si="166"/>
        <v>3</v>
      </c>
      <c r="L294" s="27">
        <f t="shared" si="166"/>
        <v>1</v>
      </c>
      <c r="M294" s="28">
        <f t="shared" si="181"/>
        <v>3</v>
      </c>
      <c r="N294" s="29">
        <f t="shared" si="182"/>
        <v>7</v>
      </c>
      <c r="O294" s="28">
        <f t="shared" si="183"/>
        <v>1</v>
      </c>
      <c r="P294" s="28">
        <f t="shared" si="184"/>
        <v>0</v>
      </c>
      <c r="Q294" s="28">
        <f t="shared" si="153"/>
        <v>11</v>
      </c>
      <c r="R294" s="22">
        <f t="shared" si="154"/>
        <v>84.23369484474847</v>
      </c>
      <c r="S294" s="22">
        <f t="shared" si="155"/>
        <v>18.332007970831143</v>
      </c>
      <c r="T294" s="22">
        <f t="shared" si="156"/>
        <v>13.477001345565029</v>
      </c>
      <c r="U294" s="22">
        <f t="shared" si="157"/>
        <v>12</v>
      </c>
      <c r="V294" s="21">
        <f t="shared" si="171"/>
        <v>11.339540000000039</v>
      </c>
      <c r="W294" s="21">
        <f t="shared" si="172"/>
        <v>4.4920071428571431</v>
      </c>
      <c r="X294" s="21">
        <f t="shared" si="162"/>
        <v>4.6173149999999978</v>
      </c>
      <c r="Y294" s="21">
        <f t="shared" si="163"/>
        <v>0</v>
      </c>
      <c r="Z294" s="221">
        <f t="shared" si="158"/>
        <v>9</v>
      </c>
      <c r="AA294" s="30">
        <f t="shared" si="145"/>
        <v>6.6854850690833461</v>
      </c>
      <c r="AB294" s="30">
        <f t="shared" si="146"/>
        <v>3.6729254092979819</v>
      </c>
      <c r="AC294" s="30">
        <f t="shared" si="147"/>
        <v>2.6269165545362472</v>
      </c>
      <c r="AD294" s="30">
        <f t="shared" si="148"/>
        <v>0</v>
      </c>
      <c r="AE294" s="32">
        <f t="shared" si="159"/>
        <v>12.985327032917576</v>
      </c>
      <c r="AF294" s="33">
        <f t="shared" si="165"/>
        <v>12.985327032917576</v>
      </c>
      <c r="AG294" s="40">
        <f t="shared" si="160"/>
        <v>72.672239899011814</v>
      </c>
      <c r="AH294" s="224">
        <f>AG294*$P$36</f>
        <v>6.0949226489089137</v>
      </c>
      <c r="AI294" s="226">
        <f>SUM(Z294,IF(Z294&lt;&gt;0,$F$34,0),IF(Z294&lt;&gt;0,$N$36,0),IF(Z294&lt;&gt;0,$T$36,0),IF(Z294=0,AH299,IF(Z294=1,AH300,IF(Z294=2,AH301,IF(Z294=3,AH302,IF(Z294=4,AH303,IF(Z294=5,AH304,IF(Z294=6,AH305,IF(Z294=7,AH306,IF(Z294=8,AH307,IF(Z294=9,AH308,IF(Z294=10,AH309,IF(Z294=11,AH310,IF(Z294=12,AH311,IF(Z294=13,AH312,IF(Z294=14,AH313,IF(Z294=15,AH314,IF(Z294=16,AH315,IF(Z294=17,AH316,IF(Z294=18,AH317,IF(Z294=19,AH318,IF(Z294=20,AH319,IF(Z294=21,AH320,IF(Z294=22,AH321,IF(Z294=23,AH322,IF(Z294=24,AH323,IF(Z294=25,AH324,IF(Z294=26,AH325,IF(Z294=27,AH326,IF(Z294=28,AH327,IF(Z294=29,AH328,IF(Z294=30,AH329))))))))))))))))))))))))))))))))</f>
        <v>38.175236825946641</v>
      </c>
      <c r="AJ294" s="253">
        <f>IF(V294&lt;&gt;0,SUM($F$34,V294,$N$36,MAX($AH$42:$AH$342),$T$36),0)</f>
        <v>40.931028610374483</v>
      </c>
      <c r="AK294" s="253">
        <f>IF(W294&lt;&gt;0,SUM($F$34,W294,$N$36,MAX($AH$42:$AH$342),$T$36),0)</f>
        <v>34.083495753231588</v>
      </c>
      <c r="AL294" s="253">
        <f>IF(X294&lt;&gt;0,SUM($F$34,X294,$N$36,MAX($AH$42:$AH$342),$T$36),0)</f>
        <v>34.208803610374446</v>
      </c>
      <c r="AM294" s="260">
        <f>IF(Y294&lt;&gt;0,SUM($F$34,Y294,$N$36,MAX($AH$42:$AH$342),$T$36),0)</f>
        <v>0</v>
      </c>
    </row>
    <row r="295" spans="1:39" x14ac:dyDescent="0.35">
      <c r="A295" s="259">
        <v>1713</v>
      </c>
      <c r="B295" s="58">
        <f>SUMIF([2]!Table2_23[ETA],'FIS Optimal Model (2)'!A295,[2]!Table2_23[FIS PAX])</f>
        <v>0</v>
      </c>
      <c r="C295" s="44">
        <f t="shared" si="161"/>
        <v>18</v>
      </c>
      <c r="D295" s="52">
        <f t="shared" si="164"/>
        <v>68</v>
      </c>
      <c r="E295" s="26">
        <f t="shared" si="149"/>
        <v>10</v>
      </c>
      <c r="F295" s="26">
        <f t="shared" si="150"/>
        <v>5</v>
      </c>
      <c r="G295" s="26">
        <f t="shared" si="151"/>
        <v>3</v>
      </c>
      <c r="H295" s="26">
        <f t="shared" si="152"/>
        <v>1</v>
      </c>
      <c r="I295" s="27">
        <f t="shared" si="166"/>
        <v>2</v>
      </c>
      <c r="J295" s="27">
        <f t="shared" si="166"/>
        <v>1</v>
      </c>
      <c r="K295" s="27">
        <f t="shared" si="166"/>
        <v>1</v>
      </c>
      <c r="L295" s="27">
        <f t="shared" si="166"/>
        <v>1</v>
      </c>
      <c r="M295" s="28">
        <f t="shared" si="181"/>
        <v>3</v>
      </c>
      <c r="N295" s="29">
        <f t="shared" si="182"/>
        <v>7</v>
      </c>
      <c r="O295" s="28">
        <f t="shared" si="183"/>
        <v>1</v>
      </c>
      <c r="P295" s="28">
        <f t="shared" si="184"/>
        <v>0</v>
      </c>
      <c r="Q295" s="28">
        <f t="shared" si="153"/>
        <v>11</v>
      </c>
      <c r="R295" s="22">
        <f t="shared" si="154"/>
        <v>79.548209775665129</v>
      </c>
      <c r="S295" s="22">
        <f t="shared" si="155"/>
        <v>15.659082561533161</v>
      </c>
      <c r="T295" s="22">
        <f t="shared" si="156"/>
        <v>11.850084791028781</v>
      </c>
      <c r="U295" s="22">
        <f t="shared" si="157"/>
        <v>13</v>
      </c>
      <c r="V295" s="21">
        <f t="shared" si="171"/>
        <v>10.708780000000038</v>
      </c>
      <c r="W295" s="21">
        <f t="shared" si="172"/>
        <v>3.837043428571429</v>
      </c>
      <c r="X295" s="21">
        <f t="shared" si="162"/>
        <v>4.0599219999999976</v>
      </c>
      <c r="Y295" s="21">
        <f t="shared" si="163"/>
        <v>0</v>
      </c>
      <c r="Z295" s="221">
        <f t="shared" si="158"/>
        <v>8</v>
      </c>
      <c r="AA295" s="30">
        <f t="shared" si="145"/>
        <v>6.6854850690833461</v>
      </c>
      <c r="AB295" s="30">
        <f t="shared" si="146"/>
        <v>3.6729254092979819</v>
      </c>
      <c r="AC295" s="30">
        <f t="shared" si="147"/>
        <v>2.6269165545362472</v>
      </c>
      <c r="AD295" s="30">
        <f t="shared" si="148"/>
        <v>0</v>
      </c>
      <c r="AE295" s="32">
        <f t="shared" si="159"/>
        <v>12.985327032917576</v>
      </c>
      <c r="AF295" s="33">
        <f t="shared" si="165"/>
        <v>12.985327032917576</v>
      </c>
      <c r="AG295" s="40">
        <f t="shared" si="160"/>
        <v>73.734160502477607</v>
      </c>
      <c r="AH295" s="224">
        <f>AG295*$P$36</f>
        <v>6.1839844962718251</v>
      </c>
      <c r="AI295" s="226">
        <f>SUM(Z295,IF(Z295&lt;&gt;0,$F$34,0),IF(Z295&lt;&gt;0,$N$36,0),IF(Z295&lt;&gt;0,$T$36,0),IF(Z295=0,AH300,IF(Z295=1,AH301,IF(Z295=2,AH302,IF(Z295=3,AH303,IF(Z295=4,AH304,IF(Z295=5,AH305,IF(Z295=6,AH306,IF(Z295=7,AH307,IF(Z295=8,AH308,IF(Z295=9,AH309,IF(Z295=10,AH310,IF(Z295=11,AH311,IF(Z295=12,AH312,IF(Z295=13,AH313,IF(Z295=14,AH314,IF(Z295=15,AH315,IF(Z295=16,AH316,IF(Z295=17,AH317,IF(Z295=18,AH318,IF(Z295=19,AH319,IF(Z295=20,AH320,IF(Z295=21,AH321,IF(Z295=22,AH322,IF(Z295=23,AH323,IF(Z295=24,AH324,IF(Z295=25,AH325,IF(Z295=26,AH326,IF(Z295=27,AH327,IF(Z295=28,AH328,IF(Z295=29,AH329,IF(Z295=30,AH330))))))))))))))))))))))))))))))))</f>
        <v>37.175236825946641</v>
      </c>
      <c r="AJ295" s="253">
        <f>IF(V295&lt;&gt;0,SUM($F$34,V295,$N$36,MAX($AH$42:$AH$342),$T$36),0)</f>
        <v>40.300268610374488</v>
      </c>
      <c r="AK295" s="253">
        <f>IF(W295&lt;&gt;0,SUM($F$34,W295,$N$36,MAX($AH$42:$AH$342),$T$36),0)</f>
        <v>33.428532038945875</v>
      </c>
      <c r="AL295" s="253">
        <f>IF(X295&lt;&gt;0,SUM($F$34,X295,$N$36,MAX($AH$42:$AH$342),$T$36),0)</f>
        <v>33.651410610374441</v>
      </c>
      <c r="AM295" s="260">
        <f>IF(Y295&lt;&gt;0,SUM($F$34,Y295,$N$36,MAX($AH$42:$AH$342),$T$36),0)</f>
        <v>0</v>
      </c>
    </row>
    <row r="296" spans="1:39" x14ac:dyDescent="0.35">
      <c r="A296" s="259">
        <v>1714</v>
      </c>
      <c r="B296" s="58">
        <f>SUMIF([2]!Table2_23[ETA],'FIS Optimal Model (2)'!A296,[2]!Table2_23[FIS PAX])</f>
        <v>0</v>
      </c>
      <c r="C296" s="44">
        <f t="shared" si="161"/>
        <v>18</v>
      </c>
      <c r="D296" s="52">
        <f t="shared" si="164"/>
        <v>50</v>
      </c>
      <c r="E296" s="26">
        <f t="shared" si="149"/>
        <v>10</v>
      </c>
      <c r="F296" s="26">
        <f t="shared" si="150"/>
        <v>5</v>
      </c>
      <c r="G296" s="26">
        <f t="shared" si="151"/>
        <v>3</v>
      </c>
      <c r="H296" s="26">
        <f t="shared" si="152"/>
        <v>1</v>
      </c>
      <c r="I296" s="27">
        <f t="shared" si="166"/>
        <v>0</v>
      </c>
      <c r="J296" s="27">
        <f t="shared" si="166"/>
        <v>0</v>
      </c>
      <c r="K296" s="27">
        <f t="shared" si="166"/>
        <v>0</v>
      </c>
      <c r="L296" s="27">
        <f t="shared" si="166"/>
        <v>0</v>
      </c>
      <c r="M296" s="28">
        <f t="shared" si="181"/>
        <v>3</v>
      </c>
      <c r="N296" s="29">
        <f t="shared" si="182"/>
        <v>7</v>
      </c>
      <c r="O296" s="28">
        <f t="shared" si="183"/>
        <v>1</v>
      </c>
      <c r="P296" s="28">
        <f t="shared" si="184"/>
        <v>0</v>
      </c>
      <c r="Q296" s="28">
        <f t="shared" si="153"/>
        <v>11</v>
      </c>
      <c r="R296" s="22">
        <f t="shared" si="154"/>
        <v>72.862724706581787</v>
      </c>
      <c r="S296" s="22">
        <f t="shared" si="155"/>
        <v>11.98615715223518</v>
      </c>
      <c r="T296" s="22">
        <f t="shared" si="156"/>
        <v>9.2231682364925334</v>
      </c>
      <c r="U296" s="22">
        <f t="shared" si="157"/>
        <v>13</v>
      </c>
      <c r="V296" s="21">
        <f t="shared" si="171"/>
        <v>9.8087800000000396</v>
      </c>
      <c r="W296" s="21">
        <f t="shared" si="172"/>
        <v>2.9370434285714291</v>
      </c>
      <c r="X296" s="21">
        <f t="shared" si="162"/>
        <v>3.1599219999999972</v>
      </c>
      <c r="Y296" s="21">
        <f t="shared" si="163"/>
        <v>0</v>
      </c>
      <c r="Z296" s="221">
        <f t="shared" si="158"/>
        <v>7</v>
      </c>
      <c r="AA296" s="30">
        <f t="shared" si="145"/>
        <v>6.6854850690833461</v>
      </c>
      <c r="AB296" s="30">
        <f t="shared" si="146"/>
        <v>3.6729254092979819</v>
      </c>
      <c r="AC296" s="30">
        <f t="shared" si="147"/>
        <v>2.6269165545362472</v>
      </c>
      <c r="AD296" s="30">
        <f t="shared" si="148"/>
        <v>0</v>
      </c>
      <c r="AE296" s="32">
        <f t="shared" si="159"/>
        <v>12.985327032917576</v>
      </c>
      <c r="AF296" s="33">
        <f t="shared" si="165"/>
        <v>12.985327032917576</v>
      </c>
      <c r="AG296" s="40">
        <f t="shared" si="160"/>
        <v>74.796081105943401</v>
      </c>
      <c r="AH296" s="224">
        <f>AG296*$P$36</f>
        <v>6.2730463436347366</v>
      </c>
      <c r="AI296" s="226">
        <f>SUM(Z296,IF(Z296&lt;&gt;0,$F$34,0),IF(Z296&lt;&gt;0,$N$36,0),IF(Z296&lt;&gt;0,$T$36,0),IF(Z296=0,AH301,IF(Z296=1,AH302,IF(Z296=2,AH303,IF(Z296=3,AH304,IF(Z296=4,AH305,IF(Z296=5,AH306,IF(Z296=6,AH307,IF(Z296=7,AH308,IF(Z296=8,AH309,IF(Z296=9,AH310,IF(Z296=10,AH311,IF(Z296=11,AH312,IF(Z296=12,AH313,IF(Z296=13,AH314,IF(Z296=14,AH315,IF(Z296=15,AH316,IF(Z296=16,AH317,IF(Z296=17,AH318,IF(Z296=18,AH319,IF(Z296=19,AH320,IF(Z296=20,AH321,IF(Z296=21,AH322,IF(Z296=22,AH323,IF(Z296=23,AH324,IF(Z296=24,AH325,IF(Z296=25,AH326,IF(Z296=26,AH327,IF(Z296=27,AH328,IF(Z296=28,AH329,IF(Z296=29,AH330,IF(Z296=30,AH331))))))))))))))))))))))))))))))))</f>
        <v>36.175236825946641</v>
      </c>
      <c r="AJ296" s="253">
        <f>IF(V296&lt;&gt;0,SUM($F$34,V296,$N$36,MAX($AH$42:$AH$342),$T$36),0)</f>
        <v>39.400268610374489</v>
      </c>
      <c r="AK296" s="253">
        <f>IF(W296&lt;&gt;0,SUM($F$34,W296,$N$36,MAX($AH$42:$AH$342),$T$36),0)</f>
        <v>32.528532038945876</v>
      </c>
      <c r="AL296" s="253">
        <f>IF(X296&lt;&gt;0,SUM($F$34,X296,$N$36,MAX($AH$42:$AH$342),$T$36),0)</f>
        <v>32.75141061037445</v>
      </c>
      <c r="AM296" s="260">
        <f>IF(Y296&lt;&gt;0,SUM($F$34,Y296,$N$36,MAX($AH$42:$AH$342),$T$36),0)</f>
        <v>0</v>
      </c>
    </row>
    <row r="297" spans="1:39" x14ac:dyDescent="0.35">
      <c r="A297" s="259">
        <v>1715</v>
      </c>
      <c r="B297" s="58">
        <f>SUMIF([2]!Table2_23[ETA],'FIS Optimal Model (2)'!A297,[2]!Table2_23[FIS PAX])</f>
        <v>0</v>
      </c>
      <c r="C297" s="44">
        <f t="shared" si="161"/>
        <v>18</v>
      </c>
      <c r="D297" s="52">
        <f t="shared" si="164"/>
        <v>32</v>
      </c>
      <c r="E297" s="26">
        <f t="shared" si="149"/>
        <v>10</v>
      </c>
      <c r="F297" s="26">
        <f t="shared" si="150"/>
        <v>5</v>
      </c>
      <c r="G297" s="26">
        <f t="shared" si="151"/>
        <v>3</v>
      </c>
      <c r="H297" s="26">
        <f t="shared" si="152"/>
        <v>1</v>
      </c>
      <c r="I297" s="27">
        <f t="shared" si="166"/>
        <v>0</v>
      </c>
      <c r="J297" s="27">
        <f t="shared" si="166"/>
        <v>0</v>
      </c>
      <c r="K297" s="27">
        <f t="shared" si="166"/>
        <v>0</v>
      </c>
      <c r="L297" s="27">
        <f t="shared" si="166"/>
        <v>0</v>
      </c>
      <c r="M297" s="28">
        <f t="shared" si="181"/>
        <v>3</v>
      </c>
      <c r="N297" s="29">
        <f t="shared" si="182"/>
        <v>7</v>
      </c>
      <c r="O297" s="28">
        <f t="shared" si="183"/>
        <v>1</v>
      </c>
      <c r="P297" s="28">
        <f t="shared" si="184"/>
        <v>0</v>
      </c>
      <c r="Q297" s="28">
        <f t="shared" si="153"/>
        <v>11</v>
      </c>
      <c r="R297" s="22">
        <f t="shared" si="154"/>
        <v>66.177239637498445</v>
      </c>
      <c r="S297" s="22">
        <f t="shared" si="155"/>
        <v>8.313231742937198</v>
      </c>
      <c r="T297" s="22">
        <f t="shared" si="156"/>
        <v>6.5962516819562858</v>
      </c>
      <c r="U297" s="22">
        <f t="shared" si="157"/>
        <v>13</v>
      </c>
      <c r="V297" s="21">
        <f t="shared" si="171"/>
        <v>8.9087800000000392</v>
      </c>
      <c r="W297" s="21">
        <f t="shared" si="172"/>
        <v>2.0370434285714287</v>
      </c>
      <c r="X297" s="21">
        <f t="shared" si="162"/>
        <v>2.2599219999999973</v>
      </c>
      <c r="Y297" s="21">
        <f t="shared" si="163"/>
        <v>0</v>
      </c>
      <c r="Z297" s="221">
        <f t="shared" si="158"/>
        <v>6</v>
      </c>
      <c r="AA297" s="30">
        <f t="shared" si="145"/>
        <v>6.6854850690833461</v>
      </c>
      <c r="AB297" s="30">
        <f t="shared" si="146"/>
        <v>3.6729254092979819</v>
      </c>
      <c r="AC297" s="30">
        <f t="shared" si="147"/>
        <v>2.6269165545362472</v>
      </c>
      <c r="AD297" s="30">
        <f t="shared" si="148"/>
        <v>0</v>
      </c>
      <c r="AE297" s="32">
        <f t="shared" si="159"/>
        <v>12.985327032917576</v>
      </c>
      <c r="AF297" s="33">
        <f t="shared" si="165"/>
        <v>12.985327032917576</v>
      </c>
      <c r="AG297" s="40">
        <f t="shared" si="160"/>
        <v>75.858001709409194</v>
      </c>
      <c r="AH297" s="224">
        <f>AG297*$P$36</f>
        <v>6.362108190997648</v>
      </c>
      <c r="AI297" s="226">
        <f>SUM(Z297,IF(Z297&lt;&gt;0,$F$34,0),IF(Z297&lt;&gt;0,$N$36,0),IF(Z297&lt;&gt;0,$T$36,0),IF(Z297=0,AH302,IF(Z297=1,AH303,IF(Z297=2,AH304,IF(Z297=3,AH305,IF(Z297=4,AH306,IF(Z297=5,AH307,IF(Z297=6,AH308,IF(Z297=7,AH309,IF(Z297=8,AH310,IF(Z297=9,AH311,IF(Z297=10,AH312,IF(Z297=11,AH313,IF(Z297=12,AH314,IF(Z297=13,AH315,IF(Z297=14,AH316,IF(Z297=15,AH317,IF(Z297=16,AH318,IF(Z297=17,AH319,IF(Z297=18,AH320,IF(Z297=19,AH321,IF(Z297=20,AH322,IF(Z297=21,AH323,IF(Z297=22,AH324,IF(Z297=23,AH325,IF(Z297=24,AH326,IF(Z297=25,AH327,IF(Z297=26,AH328,IF(Z297=27,AH329,IF(Z297=28,AH330,IF(Z297=29,AH331,IF(Z297=30,AH332))))))))))))))))))))))))))))))))</f>
        <v>35.175236825946641</v>
      </c>
      <c r="AJ297" s="253">
        <f>IF(V297&lt;&gt;0,SUM($F$34,V297,$N$36,MAX($AH$42:$AH$342),$T$36),0)</f>
        <v>38.500268610374491</v>
      </c>
      <c r="AK297" s="253">
        <f>IF(W297&lt;&gt;0,SUM($F$34,W297,$N$36,MAX($AH$42:$AH$342),$T$36),0)</f>
        <v>31.628532038945878</v>
      </c>
      <c r="AL297" s="253">
        <f>IF(X297&lt;&gt;0,SUM($F$34,X297,$N$36,MAX($AH$42:$AH$342),$T$36),0)</f>
        <v>31.851410610374444</v>
      </c>
      <c r="AM297" s="260">
        <f>IF(Y297&lt;&gt;0,SUM($F$34,Y297,$N$36,MAX($AH$42:$AH$342),$T$36),0)</f>
        <v>0</v>
      </c>
    </row>
    <row r="298" spans="1:39" x14ac:dyDescent="0.35">
      <c r="A298" s="259">
        <v>1716</v>
      </c>
      <c r="B298" s="58">
        <f>SUMIF([2]!Table2_23[ETA],'FIS Optimal Model (2)'!A298,[2]!Table2_23[FIS PAX])</f>
        <v>0</v>
      </c>
      <c r="C298" s="44">
        <f t="shared" si="161"/>
        <v>18</v>
      </c>
      <c r="D298" s="52">
        <f t="shared" si="164"/>
        <v>14</v>
      </c>
      <c r="E298" s="26">
        <f t="shared" si="149"/>
        <v>10</v>
      </c>
      <c r="F298" s="26">
        <f t="shared" si="150"/>
        <v>5</v>
      </c>
      <c r="G298" s="26">
        <f t="shared" si="151"/>
        <v>3</v>
      </c>
      <c r="H298" s="26">
        <f t="shared" si="152"/>
        <v>1</v>
      </c>
      <c r="I298" s="27">
        <f t="shared" si="166"/>
        <v>0</v>
      </c>
      <c r="J298" s="27">
        <f t="shared" si="166"/>
        <v>0</v>
      </c>
      <c r="K298" s="27">
        <f t="shared" si="166"/>
        <v>0</v>
      </c>
      <c r="L298" s="27">
        <f t="shared" si="166"/>
        <v>0</v>
      </c>
      <c r="M298" s="28">
        <f>IF(R297=0,0,$Q$23)</f>
        <v>3</v>
      </c>
      <c r="N298" s="29">
        <f>$U$23-M298-O298-P298</f>
        <v>6</v>
      </c>
      <c r="O298" s="28">
        <f>IF(T297=0,0,$S$23)</f>
        <v>1</v>
      </c>
      <c r="P298" s="28">
        <f>IF(U297=0,0,$T$23)</f>
        <v>1</v>
      </c>
      <c r="Q298" s="28">
        <f t="shared" si="153"/>
        <v>11</v>
      </c>
      <c r="R298" s="22">
        <f t="shared" si="154"/>
        <v>59.491754568415097</v>
      </c>
      <c r="S298" s="22">
        <f t="shared" si="155"/>
        <v>5.1650099635389282</v>
      </c>
      <c r="T298" s="22">
        <f t="shared" si="156"/>
        <v>3.9693351274200386</v>
      </c>
      <c r="U298" s="22">
        <f t="shared" si="157"/>
        <v>11.055647372207424</v>
      </c>
      <c r="V298" s="21">
        <f t="shared" si="171"/>
        <v>8.0087800000000389</v>
      </c>
      <c r="W298" s="21">
        <f t="shared" si="172"/>
        <v>1.476550666666667</v>
      </c>
      <c r="X298" s="21">
        <f t="shared" si="162"/>
        <v>1.3599219999999972</v>
      </c>
      <c r="Y298" s="21">
        <f t="shared" si="163"/>
        <v>5.1174270000000002</v>
      </c>
      <c r="Z298" s="221">
        <f t="shared" si="158"/>
        <v>6</v>
      </c>
      <c r="AA298" s="30">
        <f t="shared" ref="AA298:AA342" si="185">IF(R298&lt;&gt;0,($J$33*M298*$L$36),0)</f>
        <v>6.6854850690833461</v>
      </c>
      <c r="AB298" s="30">
        <f t="shared" ref="AB298:AB342" si="186">IF(W298&lt;&gt;0,($J$34*N298*$L$36),0)</f>
        <v>3.1482217793982699</v>
      </c>
      <c r="AC298" s="30">
        <f t="shared" ref="AC298:AC342" si="187">IF(X298&lt;&gt;0,($J$35*O298*$L$36),0)</f>
        <v>2.6269165545362472</v>
      </c>
      <c r="AD298" s="30">
        <f t="shared" ref="AD298:AD342" si="188">IF(Y298&lt;&gt;0,($J$36*P298*$L$36),0)</f>
        <v>1.9443526277925764</v>
      </c>
      <c r="AE298" s="32">
        <f t="shared" si="159"/>
        <v>14.404976030810438</v>
      </c>
      <c r="AF298" s="33">
        <f t="shared" si="165"/>
        <v>12.985327032917576</v>
      </c>
      <c r="AG298" s="40">
        <f t="shared" si="160"/>
        <v>76.919922312874988</v>
      </c>
      <c r="AH298" s="224">
        <f>AG298*$P$36</f>
        <v>6.4511700383605604</v>
      </c>
      <c r="AI298" s="226">
        <f>SUM(Z298,IF(Z298&lt;&gt;0,$F$34,0),IF(Z298&lt;&gt;0,$N$36,0),IF(Z298&lt;&gt;0,$T$36,0),IF(Z298=0,AH303,IF(Z298=1,AH304,IF(Z298=2,AH305,IF(Z298=3,AH306,IF(Z298=4,AH307,IF(Z298=5,AH308,IF(Z298=6,AH309,IF(Z298=7,AH310,IF(Z298=8,AH311,IF(Z298=9,AH312,IF(Z298=10,AH313,IF(Z298=11,AH314,IF(Z298=12,AH315,IF(Z298=13,AH316,IF(Z298=14,AH317,IF(Z298=15,AH318,IF(Z298=16,AH319,IF(Z298=17,AH320,IF(Z298=18,AH321,IF(Z298=19,AH322,IF(Z298=20,AH323,IF(Z298=21,AH324,IF(Z298=22,AH325,IF(Z298=23,AH326,IF(Z298=24,AH327,IF(Z298=25,AH328,IF(Z298=26,AH329,IF(Z298=27,AH330,IF(Z298=28,AH331,IF(Z298=29,AH332,IF(Z298=30,AH333))))))))))))))))))))))))))))))))</f>
        <v>35.383362718160541</v>
      </c>
      <c r="AJ298" s="253">
        <f>IF(V298&lt;&gt;0,SUM($F$34,V298,$N$36,MAX($AH$42:$AH$342),$T$36),0)</f>
        <v>37.600268610374485</v>
      </c>
      <c r="AK298" s="253">
        <f>IF(W298&lt;&gt;0,SUM($F$34,W298,$N$36,MAX($AH$42:$AH$342),$T$36),0)</f>
        <v>31.068039277041116</v>
      </c>
      <c r="AL298" s="253">
        <f>IF(X298&lt;&gt;0,SUM($F$34,X298,$N$36,MAX($AH$42:$AH$342),$T$36),0)</f>
        <v>30.951410610374445</v>
      </c>
      <c r="AM298" s="260">
        <f>IF(Y298&lt;&gt;0,SUM($F$34,Y298,$N$36,MAX($AH$42:$AH$342),$T$36),0)</f>
        <v>34.708915610374447</v>
      </c>
    </row>
    <row r="299" spans="1:39" x14ac:dyDescent="0.35">
      <c r="A299" s="259">
        <v>1717</v>
      </c>
      <c r="B299" s="58">
        <f>SUMIF([2]!Table2_23[ETA],'FIS Optimal Model (2)'!A299,[2]!Table2_23[FIS PAX])</f>
        <v>0</v>
      </c>
      <c r="C299" s="44">
        <f t="shared" si="161"/>
        <v>14</v>
      </c>
      <c r="D299" s="52">
        <f t="shared" si="164"/>
        <v>0</v>
      </c>
      <c r="E299" s="26">
        <f t="shared" ref="E299:E342" si="189">ROUNDUP($C$33*C299,0)</f>
        <v>8</v>
      </c>
      <c r="F299" s="26">
        <f t="shared" ref="F299:F342" si="190">ROUNDUP($C$34*C299,0)</f>
        <v>4</v>
      </c>
      <c r="G299" s="26">
        <f t="shared" ref="G299:G342" si="191">ROUNDUP($C$35*C299,0)</f>
        <v>3</v>
      </c>
      <c r="H299" s="26">
        <f t="shared" ref="H299:H342" si="192">ROUNDUP($C$36*C299,0)</f>
        <v>1</v>
      </c>
      <c r="I299" s="27">
        <f t="shared" si="166"/>
        <v>10</v>
      </c>
      <c r="J299" s="27">
        <f t="shared" si="166"/>
        <v>5</v>
      </c>
      <c r="K299" s="27">
        <f t="shared" si="166"/>
        <v>3</v>
      </c>
      <c r="L299" s="27">
        <f t="shared" si="166"/>
        <v>1</v>
      </c>
      <c r="M299" s="28">
        <f>$M$298</f>
        <v>3</v>
      </c>
      <c r="N299" s="29">
        <f>$N$298</f>
        <v>6</v>
      </c>
      <c r="O299" s="28">
        <f>$O$298</f>
        <v>1</v>
      </c>
      <c r="P299" s="28">
        <f>$P$298</f>
        <v>1</v>
      </c>
      <c r="Q299" s="28">
        <f t="shared" ref="Q299:Q342" si="193">SUM(M299:P299)</f>
        <v>11</v>
      </c>
      <c r="R299" s="22">
        <f t="shared" ref="R299:R342" si="194">MAX(R298-($J$33*M299*$L$36)+I299,0)</f>
        <v>62.806269499331748</v>
      </c>
      <c r="S299" s="22">
        <f t="shared" ref="S299:S342" si="195">IF(U299&lt;&gt;0,(MAX(S298-($J$34*N299*$L$36)+J299,0)),(MAX(S298-($J$34*(N299+P299)*$L$36)+J299,0)))</f>
        <v>7.0167881841406583</v>
      </c>
      <c r="T299" s="22">
        <f t="shared" ref="T299:T342" si="196">MAX(T298-($J$35*O299*$L$36)+K299,0)</f>
        <v>4.3424185728837914</v>
      </c>
      <c r="U299" s="22">
        <f t="shared" ref="U299:U342" si="197">MAX(U298-($J$36*P299*$L$36)+L299,0)</f>
        <v>10.111294744414849</v>
      </c>
      <c r="V299" s="21">
        <f t="shared" si="171"/>
        <v>8.4549800000000399</v>
      </c>
      <c r="W299" s="21">
        <f t="shared" si="172"/>
        <v>2.0059290000000005</v>
      </c>
      <c r="X299" s="21">
        <f t="shared" si="162"/>
        <v>1.4877429999999972</v>
      </c>
      <c r="Y299" s="21">
        <f t="shared" si="163"/>
        <v>4.6803060000000007</v>
      </c>
      <c r="Z299" s="221">
        <f t="shared" ref="Z299:Z342" si="198">ROUNDUP(SUM(V299*$C$33,W299*$C$34,X299*$C$35,Y299*$C$36),0)</f>
        <v>6</v>
      </c>
      <c r="AA299" s="30">
        <f t="shared" si="185"/>
        <v>6.6854850690833461</v>
      </c>
      <c r="AB299" s="30">
        <f t="shared" si="186"/>
        <v>3.1482217793982699</v>
      </c>
      <c r="AC299" s="30">
        <f t="shared" si="187"/>
        <v>2.6269165545362472</v>
      </c>
      <c r="AD299" s="30">
        <f t="shared" si="188"/>
        <v>1.9443526277925764</v>
      </c>
      <c r="AE299" s="32">
        <f t="shared" ref="AE299:AE342" si="199">SUM(AA299:AD299)</f>
        <v>14.404976030810438</v>
      </c>
      <c r="AF299" s="33">
        <f t="shared" si="165"/>
        <v>12.985327032917576</v>
      </c>
      <c r="AG299" s="40">
        <f t="shared" ref="AG299:AG342" si="200">MAX(AG298-$Q$36+AF299,0)</f>
        <v>77.981842916340781</v>
      </c>
      <c r="AH299" s="224">
        <f>AG299*$P$36</f>
        <v>6.5402318857234718</v>
      </c>
      <c r="AI299" s="226">
        <f>SUM(Z299,IF(Z299&lt;&gt;0,$F$34,0),IF(Z299&lt;&gt;0,$N$36,0),IF(Z299&lt;&gt;0,$T$36,0),IF(Z299=0,AH304,IF(Z299=1,AH305,IF(Z299=2,AH306,IF(Z299=3,AH307,IF(Z299=4,AH308,IF(Z299=5,AH309,IF(Z299=6,AH310,IF(Z299=7,AH311,IF(Z299=8,AH312,IF(Z299=9,AH313,IF(Z299=10,AH314,IF(Z299=11,AH315,IF(Z299=12,AH316,IF(Z299=13,AH317,IF(Z299=14,AH318,IF(Z299=15,AH319,IF(Z299=16,AH320,IF(Z299=17,AH321,IF(Z299=18,AH322,IF(Z299=19,AH323,IF(Z299=20,AH324,IF(Z299=21,AH325,IF(Z299=22,AH326,IF(Z299=23,AH327,IF(Z299=24,AH328,IF(Z299=25,AH329,IF(Z299=26,AH330,IF(Z299=27,AH331,IF(Z299=28,AH332,IF(Z299=29,AH333,IF(Z299=30,AH334))))))))))))))))))))))))))))))))</f>
        <v>35.591488610374448</v>
      </c>
      <c r="AJ299" s="253">
        <f>IF(V299&lt;&gt;0,SUM($F$34,V299,$N$36,MAX($AH$42:$AH$342),$T$36),0)</f>
        <v>38.04646861037449</v>
      </c>
      <c r="AK299" s="253">
        <f>IF(W299&lt;&gt;0,SUM($F$34,W299,$N$36,MAX($AH$42:$AH$342),$T$36),0)</f>
        <v>31.59741761037445</v>
      </c>
      <c r="AL299" s="253">
        <f>IF(X299&lt;&gt;0,SUM($F$34,X299,$N$36,MAX($AH$42:$AH$342),$T$36),0)</f>
        <v>31.079231610374446</v>
      </c>
      <c r="AM299" s="260">
        <f>IF(Y299&lt;&gt;0,SUM($F$34,Y299,$N$36,MAX($AH$42:$AH$342),$T$36),0)</f>
        <v>34.27179461037445</v>
      </c>
    </row>
    <row r="300" spans="1:39" x14ac:dyDescent="0.35">
      <c r="A300" s="259">
        <v>1718</v>
      </c>
      <c r="B300" s="58">
        <f>SUMIF([2]!Table2_23[ETA],'FIS Optimal Model (2)'!A300,[2]!Table2_23[FIS PAX])</f>
        <v>0</v>
      </c>
      <c r="C300" s="44">
        <f t="shared" ref="C300:C342" si="201">IF((D299-D300)&gt;-1,(D299-D300),18)</f>
        <v>0</v>
      </c>
      <c r="D300" s="52">
        <f t="shared" si="164"/>
        <v>0</v>
      </c>
      <c r="E300" s="26">
        <f t="shared" si="189"/>
        <v>0</v>
      </c>
      <c r="F300" s="26">
        <f t="shared" si="190"/>
        <v>0</v>
      </c>
      <c r="G300" s="26">
        <f t="shared" si="191"/>
        <v>0</v>
      </c>
      <c r="H300" s="26">
        <f t="shared" si="192"/>
        <v>0</v>
      </c>
      <c r="I300" s="27">
        <f t="shared" si="166"/>
        <v>10</v>
      </c>
      <c r="J300" s="27">
        <f t="shared" si="166"/>
        <v>5</v>
      </c>
      <c r="K300" s="27">
        <f t="shared" si="166"/>
        <v>3</v>
      </c>
      <c r="L300" s="27">
        <f t="shared" si="166"/>
        <v>1</v>
      </c>
      <c r="M300" s="28">
        <f t="shared" ref="M300:M312" si="202">$M$298</f>
        <v>3</v>
      </c>
      <c r="N300" s="29">
        <f t="shared" ref="N300:N312" si="203">$N$298</f>
        <v>6</v>
      </c>
      <c r="O300" s="28">
        <f t="shared" ref="O300:O312" si="204">$O$298</f>
        <v>1</v>
      </c>
      <c r="P300" s="28">
        <f t="shared" ref="P300:P312" si="205">$P$298</f>
        <v>1</v>
      </c>
      <c r="Q300" s="28">
        <f t="shared" si="193"/>
        <v>11</v>
      </c>
      <c r="R300" s="22">
        <f t="shared" si="194"/>
        <v>66.120784430248392</v>
      </c>
      <c r="S300" s="22">
        <f t="shared" si="195"/>
        <v>8.8685664047423884</v>
      </c>
      <c r="T300" s="22">
        <f t="shared" si="196"/>
        <v>4.7155020183475447</v>
      </c>
      <c r="U300" s="22">
        <f t="shared" si="197"/>
        <v>9.1669421166222733</v>
      </c>
      <c r="V300" s="21">
        <f t="shared" si="171"/>
        <v>8.9011800000000374</v>
      </c>
      <c r="W300" s="21">
        <f t="shared" si="172"/>
        <v>2.5353073333333338</v>
      </c>
      <c r="X300" s="21">
        <f t="shared" ref="X300:X342" si="206">IFERROR(T300*($I$35/O300),0)</f>
        <v>1.6155639999999971</v>
      </c>
      <c r="Y300" s="21">
        <f t="shared" ref="Y300:Y342" si="207">IFERROR(U300*($I$36/P300),0)</f>
        <v>4.2431850000000013</v>
      </c>
      <c r="Z300" s="221">
        <f t="shared" si="198"/>
        <v>6</v>
      </c>
      <c r="AA300" s="30">
        <f t="shared" si="185"/>
        <v>6.6854850690833461</v>
      </c>
      <c r="AB300" s="30">
        <f t="shared" si="186"/>
        <v>3.1482217793982699</v>
      </c>
      <c r="AC300" s="30">
        <f t="shared" si="187"/>
        <v>2.6269165545362472</v>
      </c>
      <c r="AD300" s="30">
        <f t="shared" si="188"/>
        <v>1.9443526277925764</v>
      </c>
      <c r="AE300" s="32">
        <f t="shared" si="199"/>
        <v>14.404976030810438</v>
      </c>
      <c r="AF300" s="33">
        <f t="shared" si="165"/>
        <v>12.985327032917576</v>
      </c>
      <c r="AG300" s="40">
        <f t="shared" si="200"/>
        <v>79.043763519806589</v>
      </c>
      <c r="AH300" s="224">
        <f>AG300*$P$36</f>
        <v>6.6292937330863841</v>
      </c>
      <c r="AI300" s="226">
        <f>SUM(Z300,IF(Z300&lt;&gt;0,$F$34,0),IF(Z300&lt;&gt;0,$N$36,0),IF(Z300&lt;&gt;0,$T$36,0),IF(Z300=0,AH305,IF(Z300=1,AH306,IF(Z300=2,AH307,IF(Z300=3,AH308,IF(Z300=4,AH309,IF(Z300=5,AH310,IF(Z300=6,AH311,IF(Z300=7,AH312,IF(Z300=8,AH313,IF(Z300=9,AH314,IF(Z300=10,AH315,IF(Z300=11,AH316,IF(Z300=12,AH317,IF(Z300=13,AH318,IF(Z300=14,AH319,IF(Z300=15,AH320,IF(Z300=16,AH321,IF(Z300=17,AH322,IF(Z300=18,AH323,IF(Z300=19,AH324,IF(Z300=20,AH325,IF(Z300=21,AH326,IF(Z300=22,AH327,IF(Z300=23,AH328,IF(Z300=24,AH329,IF(Z300=25,AH330,IF(Z300=26,AH331,IF(Z300=27,AH332,IF(Z300=28,AH333,IF(Z300=29,AH334,IF(Z300=30,AH335))))))))))))))))))))))))))))))))</f>
        <v>35.41622832772498</v>
      </c>
      <c r="AJ300" s="253">
        <f>IF(V300&lt;&gt;0,SUM($F$34,V300,$N$36,MAX($AH$42:$AH$342),$T$36),0)</f>
        <v>38.492668610374487</v>
      </c>
      <c r="AK300" s="253">
        <f>IF(W300&lt;&gt;0,SUM($F$34,W300,$N$36,MAX($AH$42:$AH$342),$T$36),0)</f>
        <v>32.126795943707783</v>
      </c>
      <c r="AL300" s="253">
        <f>IF(X300&lt;&gt;0,SUM($F$34,X300,$N$36,MAX($AH$42:$AH$342),$T$36),0)</f>
        <v>31.207052610374447</v>
      </c>
      <c r="AM300" s="260">
        <f>IF(Y300&lt;&gt;0,SUM($F$34,Y300,$N$36,MAX($AH$42:$AH$342),$T$36),0)</f>
        <v>33.834673610374452</v>
      </c>
    </row>
    <row r="301" spans="1:39" x14ac:dyDescent="0.35">
      <c r="A301" s="259">
        <v>1719</v>
      </c>
      <c r="B301" s="58">
        <f>SUMIF([2]!Table2_23[ETA],'FIS Optimal Model (2)'!A301,[2]!Table2_23[FIS PAX])</f>
        <v>0</v>
      </c>
      <c r="C301" s="44">
        <f t="shared" si="201"/>
        <v>0</v>
      </c>
      <c r="D301" s="52">
        <f t="shared" ref="D301:D342" si="208">MAX(D300-$E$34+B300,0)</f>
        <v>0</v>
      </c>
      <c r="E301" s="26">
        <f t="shared" si="189"/>
        <v>0</v>
      </c>
      <c r="F301" s="26">
        <f t="shared" si="190"/>
        <v>0</v>
      </c>
      <c r="G301" s="26">
        <f t="shared" si="191"/>
        <v>0</v>
      </c>
      <c r="H301" s="26">
        <f t="shared" si="192"/>
        <v>0</v>
      </c>
      <c r="I301" s="27">
        <f t="shared" si="166"/>
        <v>10</v>
      </c>
      <c r="J301" s="27">
        <f t="shared" si="166"/>
        <v>5</v>
      </c>
      <c r="K301" s="27">
        <f t="shared" si="166"/>
        <v>3</v>
      </c>
      <c r="L301" s="27">
        <f t="shared" si="166"/>
        <v>1</v>
      </c>
      <c r="M301" s="28">
        <f t="shared" si="202"/>
        <v>3</v>
      </c>
      <c r="N301" s="29">
        <f t="shared" si="203"/>
        <v>6</v>
      </c>
      <c r="O301" s="28">
        <f t="shared" si="204"/>
        <v>1</v>
      </c>
      <c r="P301" s="28">
        <f t="shared" si="205"/>
        <v>1</v>
      </c>
      <c r="Q301" s="28">
        <f t="shared" si="193"/>
        <v>11</v>
      </c>
      <c r="R301" s="22">
        <f t="shared" si="194"/>
        <v>69.43529936116505</v>
      </c>
      <c r="S301" s="22">
        <f t="shared" si="195"/>
        <v>10.720344625344119</v>
      </c>
      <c r="T301" s="22">
        <f t="shared" si="196"/>
        <v>5.0885854638112971</v>
      </c>
      <c r="U301" s="22">
        <f t="shared" si="197"/>
        <v>8.2225894888296978</v>
      </c>
      <c r="V301" s="21">
        <f t="shared" si="171"/>
        <v>9.3473800000000384</v>
      </c>
      <c r="W301" s="21">
        <f t="shared" si="172"/>
        <v>3.0646856666666671</v>
      </c>
      <c r="X301" s="21">
        <f t="shared" si="206"/>
        <v>1.7433849999999971</v>
      </c>
      <c r="Y301" s="21">
        <f t="shared" si="207"/>
        <v>3.8060640000000014</v>
      </c>
      <c r="Z301" s="221">
        <f t="shared" si="198"/>
        <v>7</v>
      </c>
      <c r="AA301" s="30">
        <f t="shared" si="185"/>
        <v>6.6854850690833461</v>
      </c>
      <c r="AB301" s="30">
        <f t="shared" si="186"/>
        <v>3.1482217793982699</v>
      </c>
      <c r="AC301" s="30">
        <f t="shared" si="187"/>
        <v>2.6269165545362472</v>
      </c>
      <c r="AD301" s="30">
        <f t="shared" si="188"/>
        <v>1.9443526277925764</v>
      </c>
      <c r="AE301" s="32">
        <f t="shared" si="199"/>
        <v>14.404976030810438</v>
      </c>
      <c r="AF301" s="33">
        <f t="shared" si="165"/>
        <v>12.985327032917576</v>
      </c>
      <c r="AG301" s="40">
        <f t="shared" si="200"/>
        <v>80.105684123272397</v>
      </c>
      <c r="AH301" s="224">
        <f>AG301*$P$36</f>
        <v>6.7183555804492974</v>
      </c>
      <c r="AI301" s="226">
        <f>SUM(Z301,IF(Z301&lt;&gt;0,$F$34,0),IF(Z301&lt;&gt;0,$N$36,0),IF(Z301&lt;&gt;0,$T$36,0),IF(Z301=0,AH306,IF(Z301=1,AH307,IF(Z301=2,AH308,IF(Z301=3,AH309,IF(Z301=4,AH310,IF(Z301=5,AH311,IF(Z301=6,AH312,IF(Z301=7,AH313,IF(Z301=8,AH314,IF(Z301=9,AH315,IF(Z301=10,AH316,IF(Z301=11,AH317,IF(Z301=12,AH318,IF(Z301=13,AH319,IF(Z301=14,AH320,IF(Z301=15,AH321,IF(Z301=16,AH322,IF(Z301=17,AH323,IF(Z301=18,AH324,IF(Z301=19,AH325,IF(Z301=20,AH326,IF(Z301=21,AH327,IF(Z301=22,AH328,IF(Z301=23,AH329,IF(Z301=24,AH330,IF(Z301=25,AH331,IF(Z301=26,AH332,IF(Z301=27,AH333,IF(Z301=28,AH334,IF(Z301=29,AH335,IF(Z301=30,AH336))))))))))))))))))))))))))))))))</f>
        <v>35.80167065205616</v>
      </c>
      <c r="AJ301" s="253">
        <f>IF(V301&lt;&gt;0,SUM($F$34,V301,$N$36,MAX($AH$42:$AH$342),$T$36),0)</f>
        <v>38.938868610374485</v>
      </c>
      <c r="AK301" s="253">
        <f>IF(W301&lt;&gt;0,SUM($F$34,W301,$N$36,MAX($AH$42:$AH$342),$T$36),0)</f>
        <v>32.656174277041117</v>
      </c>
      <c r="AL301" s="253">
        <f>IF(X301&lt;&gt;0,SUM($F$34,X301,$N$36,MAX($AH$42:$AH$342),$T$36),0)</f>
        <v>31.334873610374444</v>
      </c>
      <c r="AM301" s="260">
        <f>IF(Y301&lt;&gt;0,SUM($F$34,Y301,$N$36,MAX($AH$42:$AH$342),$T$36),0)</f>
        <v>33.397552610374447</v>
      </c>
    </row>
    <row r="302" spans="1:39" x14ac:dyDescent="0.35">
      <c r="A302" s="259">
        <v>1720</v>
      </c>
      <c r="B302" s="58">
        <f>SUMIF([2]!Table2_23[ETA],'FIS Optimal Model (2)'!A302,[2]!Table2_23[FIS PAX])</f>
        <v>0</v>
      </c>
      <c r="C302" s="44">
        <f t="shared" si="201"/>
        <v>0</v>
      </c>
      <c r="D302" s="52">
        <f t="shared" si="208"/>
        <v>0</v>
      </c>
      <c r="E302" s="26">
        <f t="shared" si="189"/>
        <v>0</v>
      </c>
      <c r="F302" s="26">
        <f t="shared" si="190"/>
        <v>0</v>
      </c>
      <c r="G302" s="26">
        <f t="shared" si="191"/>
        <v>0</v>
      </c>
      <c r="H302" s="26">
        <f t="shared" si="192"/>
        <v>0</v>
      </c>
      <c r="I302" s="27">
        <f t="shared" si="166"/>
        <v>10</v>
      </c>
      <c r="J302" s="27">
        <f t="shared" si="166"/>
        <v>5</v>
      </c>
      <c r="K302" s="27">
        <f t="shared" si="166"/>
        <v>3</v>
      </c>
      <c r="L302" s="27">
        <f t="shared" si="166"/>
        <v>1</v>
      </c>
      <c r="M302" s="28">
        <f t="shared" si="202"/>
        <v>3</v>
      </c>
      <c r="N302" s="29">
        <f t="shared" si="203"/>
        <v>6</v>
      </c>
      <c r="O302" s="28">
        <f t="shared" si="204"/>
        <v>1</v>
      </c>
      <c r="P302" s="28">
        <f t="shared" si="205"/>
        <v>1</v>
      </c>
      <c r="Q302" s="28">
        <f t="shared" si="193"/>
        <v>11</v>
      </c>
      <c r="R302" s="22">
        <f t="shared" si="194"/>
        <v>72.749814292081709</v>
      </c>
      <c r="S302" s="22">
        <f t="shared" si="195"/>
        <v>12.572122845945849</v>
      </c>
      <c r="T302" s="22">
        <f t="shared" si="196"/>
        <v>5.4616689092750494</v>
      </c>
      <c r="U302" s="22">
        <f t="shared" si="197"/>
        <v>7.2782368610371213</v>
      </c>
      <c r="V302" s="21">
        <f t="shared" si="171"/>
        <v>9.7935800000000395</v>
      </c>
      <c r="W302" s="21">
        <f t="shared" si="172"/>
        <v>3.5940640000000004</v>
      </c>
      <c r="X302" s="21">
        <f t="shared" si="206"/>
        <v>1.8712059999999968</v>
      </c>
      <c r="Y302" s="21">
        <f t="shared" si="207"/>
        <v>3.3689430000000016</v>
      </c>
      <c r="Z302" s="221">
        <f t="shared" si="198"/>
        <v>7</v>
      </c>
      <c r="AA302" s="30">
        <f t="shared" si="185"/>
        <v>6.6854850690833461</v>
      </c>
      <c r="AB302" s="30">
        <f t="shared" si="186"/>
        <v>3.1482217793982699</v>
      </c>
      <c r="AC302" s="30">
        <f t="shared" si="187"/>
        <v>2.6269165545362472</v>
      </c>
      <c r="AD302" s="30">
        <f t="shared" si="188"/>
        <v>1.9443526277925764</v>
      </c>
      <c r="AE302" s="32">
        <f t="shared" si="199"/>
        <v>14.404976030810438</v>
      </c>
      <c r="AF302" s="33">
        <f t="shared" si="165"/>
        <v>14.404976030810438</v>
      </c>
      <c r="AG302" s="40">
        <f t="shared" si="200"/>
        <v>82.587253724631069</v>
      </c>
      <c r="AH302" s="224">
        <f>AG302*$P$36</f>
        <v>6.9264814726632027</v>
      </c>
      <c r="AI302" s="226">
        <f>SUM(Z302,IF(Z302&lt;&gt;0,$F$34,0),IF(Z302&lt;&gt;0,$N$36,0),IF(Z302&lt;&gt;0,$T$36,0),IF(Z302=0,AH307,IF(Z302=1,AH308,IF(Z302=2,AH309,IF(Z302=3,AH310,IF(Z302=4,AH311,IF(Z302=5,AH312,IF(Z302=6,AH313,IF(Z302=7,AH314,IF(Z302=8,AH315,IF(Z302=9,AH316,IF(Z302=10,AH317,IF(Z302=11,AH318,IF(Z302=12,AH319,IF(Z302=13,AH320,IF(Z302=14,AH321,IF(Z302=15,AH322,IF(Z302=16,AH323,IF(Z302=17,AH324,IF(Z302=18,AH325,IF(Z302=19,AH326,IF(Z302=20,AH327,IF(Z302=21,AH328,IF(Z302=22,AH329,IF(Z302=23,AH330,IF(Z302=24,AH331,IF(Z302=25,AH332,IF(Z302=26,AH333,IF(Z302=27,AH334,IF(Z302=28,AH335,IF(Z302=29,AH336,IF(Z302=30,AH337))))))))))))))))))))))))))))))))</f>
        <v>35.362373259036801</v>
      </c>
      <c r="AJ302" s="253">
        <f>IF(V302&lt;&gt;0,SUM($F$34,V302,$N$36,MAX($AH$42:$AH$342),$T$36),0)</f>
        <v>39.385068610374489</v>
      </c>
      <c r="AK302" s="253">
        <f>IF(W302&lt;&gt;0,SUM($F$34,W302,$N$36,MAX($AH$42:$AH$342),$T$36),0)</f>
        <v>33.185552610374444</v>
      </c>
      <c r="AL302" s="253">
        <f>IF(X302&lt;&gt;0,SUM($F$34,X302,$N$36,MAX($AH$42:$AH$342),$T$36),0)</f>
        <v>31.462694610374445</v>
      </c>
      <c r="AM302" s="260">
        <f>IF(Y302&lt;&gt;0,SUM($F$34,Y302,$N$36,MAX($AH$42:$AH$342),$T$36),0)</f>
        <v>32.960431610374449</v>
      </c>
    </row>
    <row r="303" spans="1:39" x14ac:dyDescent="0.35">
      <c r="A303" s="259">
        <v>1721</v>
      </c>
      <c r="B303" s="58">
        <f>SUMIF([2]!Table2_23[ETA],'FIS Optimal Model (2)'!A303,[2]!Table2_23[FIS PAX])</f>
        <v>0</v>
      </c>
      <c r="C303" s="44">
        <f t="shared" si="201"/>
        <v>0</v>
      </c>
      <c r="D303" s="52">
        <f t="shared" si="208"/>
        <v>0</v>
      </c>
      <c r="E303" s="26">
        <f t="shared" si="189"/>
        <v>0</v>
      </c>
      <c r="F303" s="26">
        <f t="shared" si="190"/>
        <v>0</v>
      </c>
      <c r="G303" s="26">
        <f t="shared" si="191"/>
        <v>0</v>
      </c>
      <c r="H303" s="26">
        <f t="shared" si="192"/>
        <v>0</v>
      </c>
      <c r="I303" s="27">
        <f t="shared" si="166"/>
        <v>10</v>
      </c>
      <c r="J303" s="27">
        <f t="shared" si="166"/>
        <v>5</v>
      </c>
      <c r="K303" s="27">
        <f t="shared" si="166"/>
        <v>3</v>
      </c>
      <c r="L303" s="27">
        <f t="shared" ref="L303:L342" si="209">H298</f>
        <v>1</v>
      </c>
      <c r="M303" s="28">
        <f t="shared" si="202"/>
        <v>3</v>
      </c>
      <c r="N303" s="29">
        <f t="shared" si="203"/>
        <v>6</v>
      </c>
      <c r="O303" s="28">
        <f t="shared" si="204"/>
        <v>1</v>
      </c>
      <c r="P303" s="28">
        <f t="shared" si="205"/>
        <v>1</v>
      </c>
      <c r="Q303" s="28">
        <f t="shared" si="193"/>
        <v>11</v>
      </c>
      <c r="R303" s="22">
        <f t="shared" si="194"/>
        <v>76.064329222998367</v>
      </c>
      <c r="S303" s="22">
        <f t="shared" si="195"/>
        <v>14.423901066547579</v>
      </c>
      <c r="T303" s="22">
        <f t="shared" si="196"/>
        <v>5.8347523547388018</v>
      </c>
      <c r="U303" s="22">
        <f t="shared" si="197"/>
        <v>6.3338842332445449</v>
      </c>
      <c r="V303" s="21">
        <f t="shared" si="171"/>
        <v>10.239780000000039</v>
      </c>
      <c r="W303" s="21">
        <f t="shared" si="172"/>
        <v>4.1234423333333341</v>
      </c>
      <c r="X303" s="21">
        <f t="shared" si="206"/>
        <v>1.9990269999999966</v>
      </c>
      <c r="Y303" s="21">
        <f t="shared" si="207"/>
        <v>2.9318220000000017</v>
      </c>
      <c r="Z303" s="221">
        <f t="shared" si="198"/>
        <v>8</v>
      </c>
      <c r="AA303" s="30">
        <f t="shared" si="185"/>
        <v>6.6854850690833461</v>
      </c>
      <c r="AB303" s="30">
        <f t="shared" si="186"/>
        <v>3.1482217793982699</v>
      </c>
      <c r="AC303" s="30">
        <f t="shared" si="187"/>
        <v>2.6269165545362472</v>
      </c>
      <c r="AD303" s="30">
        <f t="shared" si="188"/>
        <v>1.9443526277925764</v>
      </c>
      <c r="AE303" s="32">
        <f t="shared" si="199"/>
        <v>14.404976030810438</v>
      </c>
      <c r="AF303" s="33">
        <f t="shared" ref="AF303:AF342" si="210">AE299</f>
        <v>14.404976030810438</v>
      </c>
      <c r="AG303" s="40">
        <f t="shared" si="200"/>
        <v>85.06882332598974</v>
      </c>
      <c r="AH303" s="224">
        <f>AG303*$P$36</f>
        <v>7.1346073648771089</v>
      </c>
      <c r="AI303" s="226">
        <f>SUM(Z303,IF(Z303&lt;&gt;0,$F$34,0),IF(Z303&lt;&gt;0,$N$36,0),IF(Z303&lt;&gt;0,$T$36,0),IF(Z303=0,AH308,IF(Z303=1,AH309,IF(Z303=2,AH310,IF(Z303=3,AH311,IF(Z303=4,AH312,IF(Z303=5,AH313,IF(Z303=6,AH314,IF(Z303=7,AH315,IF(Z303=8,AH316,IF(Z303=9,AH317,IF(Z303=10,AH318,IF(Z303=11,AH319,IF(Z303=12,AH320,IF(Z303=13,AH321,IF(Z303=14,AH322,IF(Z303=15,AH323,IF(Z303=16,AH324,IF(Z303=17,AH325,IF(Z303=18,AH326,IF(Z303=19,AH327,IF(Z303=20,AH328,IF(Z303=21,AH329,IF(Z303=22,AH330,IF(Z303=23,AH331,IF(Z303=24,AH332,IF(Z303=25,AH333,IF(Z303=26,AH334,IF(Z303=27,AH335,IF(Z303=28,AH336,IF(Z303=29,AH337,IF(Z303=30,AH338))))))))))))))))))))))))))))))))</f>
        <v>35.483778472998083</v>
      </c>
      <c r="AJ303" s="253">
        <f>IF(V303&lt;&gt;0,SUM($F$34,V303,$N$36,MAX($AH$42:$AH$342),$T$36),0)</f>
        <v>39.831268610374487</v>
      </c>
      <c r="AK303" s="253">
        <f>IF(W303&lt;&gt;0,SUM($F$34,W303,$N$36,MAX($AH$42:$AH$342),$T$36),0)</f>
        <v>33.714930943707785</v>
      </c>
      <c r="AL303" s="253">
        <f>IF(X303&lt;&gt;0,SUM($F$34,X303,$N$36,MAX($AH$42:$AH$342),$T$36),0)</f>
        <v>31.590515610374446</v>
      </c>
      <c r="AM303" s="260">
        <f>IF(Y303&lt;&gt;0,SUM($F$34,Y303,$N$36,MAX($AH$42:$AH$342),$T$36),0)</f>
        <v>32.523310610374452</v>
      </c>
    </row>
    <row r="304" spans="1:39" x14ac:dyDescent="0.35">
      <c r="A304" s="259">
        <v>1722</v>
      </c>
      <c r="B304" s="58">
        <f>SUMIF([2]!Table2_23[ETA],'FIS Optimal Model (2)'!A304,[2]!Table2_23[FIS PAX])</f>
        <v>0</v>
      </c>
      <c r="C304" s="44">
        <f t="shared" si="201"/>
        <v>0</v>
      </c>
      <c r="D304" s="52">
        <f t="shared" si="208"/>
        <v>0</v>
      </c>
      <c r="E304" s="26">
        <f t="shared" si="189"/>
        <v>0</v>
      </c>
      <c r="F304" s="26">
        <f t="shared" si="190"/>
        <v>0</v>
      </c>
      <c r="G304" s="26">
        <f t="shared" si="191"/>
        <v>0</v>
      </c>
      <c r="H304" s="26">
        <f t="shared" si="192"/>
        <v>0</v>
      </c>
      <c r="I304" s="27">
        <f t="shared" ref="I304:K342" si="211">E299</f>
        <v>8</v>
      </c>
      <c r="J304" s="27">
        <f t="shared" si="211"/>
        <v>4</v>
      </c>
      <c r="K304" s="27">
        <f t="shared" si="211"/>
        <v>3</v>
      </c>
      <c r="L304" s="27">
        <f t="shared" si="209"/>
        <v>1</v>
      </c>
      <c r="M304" s="28">
        <f t="shared" si="202"/>
        <v>3</v>
      </c>
      <c r="N304" s="29">
        <f t="shared" si="203"/>
        <v>6</v>
      </c>
      <c r="O304" s="28">
        <f t="shared" si="204"/>
        <v>1</v>
      </c>
      <c r="P304" s="28">
        <f t="shared" si="205"/>
        <v>1</v>
      </c>
      <c r="Q304" s="28">
        <f t="shared" si="193"/>
        <v>11</v>
      </c>
      <c r="R304" s="22">
        <f t="shared" si="194"/>
        <v>77.378844153915026</v>
      </c>
      <c r="S304" s="22">
        <f t="shared" si="195"/>
        <v>15.275679287149309</v>
      </c>
      <c r="T304" s="22">
        <f t="shared" si="196"/>
        <v>6.2078358002025542</v>
      </c>
      <c r="U304" s="22">
        <f t="shared" si="197"/>
        <v>5.3895316054519684</v>
      </c>
      <c r="V304" s="21">
        <f t="shared" si="171"/>
        <v>10.41674000000004</v>
      </c>
      <c r="W304" s="21">
        <f t="shared" si="172"/>
        <v>4.3669450000000003</v>
      </c>
      <c r="X304" s="21">
        <f t="shared" si="206"/>
        <v>2.1268479999999963</v>
      </c>
      <c r="Y304" s="21">
        <f t="shared" si="207"/>
        <v>2.4947010000000014</v>
      </c>
      <c r="Z304" s="221">
        <f t="shared" si="198"/>
        <v>8</v>
      </c>
      <c r="AA304" s="30">
        <f t="shared" si="185"/>
        <v>6.6854850690833461</v>
      </c>
      <c r="AB304" s="30">
        <f t="shared" si="186"/>
        <v>3.1482217793982699</v>
      </c>
      <c r="AC304" s="30">
        <f t="shared" si="187"/>
        <v>2.6269165545362472</v>
      </c>
      <c r="AD304" s="30">
        <f t="shared" si="188"/>
        <v>1.9443526277925764</v>
      </c>
      <c r="AE304" s="32">
        <f t="shared" si="199"/>
        <v>14.404976030810438</v>
      </c>
      <c r="AF304" s="33">
        <f t="shared" si="210"/>
        <v>14.404976030810438</v>
      </c>
      <c r="AG304" s="40">
        <f t="shared" si="200"/>
        <v>87.550392927348412</v>
      </c>
      <c r="AH304" s="224">
        <f>AG304*$P$36</f>
        <v>7.3427332570910142</v>
      </c>
      <c r="AI304" s="226">
        <f>SUM(Z304,IF(Z304&lt;&gt;0,$F$34,0),IF(Z304&lt;&gt;0,$N$36,0),IF(Z304&lt;&gt;0,$T$36,0),IF(Z304=0,AH309,IF(Z304=1,AH310,IF(Z304=2,AH311,IF(Z304=3,AH312,IF(Z304=4,AH313,IF(Z304=5,AH314,IF(Z304=6,AH315,IF(Z304=7,AH316,IF(Z304=8,AH317,IF(Z304=9,AH318,IF(Z304=10,AH319,IF(Z304=11,AH320,IF(Z304=12,AH321,IF(Z304=13,AH322,IF(Z304=14,AH323,IF(Z304=15,AH324,IF(Z304=16,AH325,IF(Z304=17,AH326,IF(Z304=18,AH327,IF(Z304=19,AH328,IF(Z304=20,AH329,IF(Z304=21,AH330,IF(Z304=22,AH331,IF(Z304=23,AH332,IF(Z304=24,AH333,IF(Z304=25,AH334,IF(Z304=26,AH335,IF(Z304=27,AH336,IF(Z304=28,AH337,IF(Z304=29,AH338,IF(Z304=30,AH339))))))))))))))))))))))))))))))))</f>
        <v>35.044481079978723</v>
      </c>
      <c r="AJ304" s="253">
        <f>IF(V304&lt;&gt;0,SUM($F$34,V304,$N$36,MAX($AH$42:$AH$342),$T$36),0)</f>
        <v>40.008228610374488</v>
      </c>
      <c r="AK304" s="253">
        <f>IF(W304&lt;&gt;0,SUM($F$34,W304,$N$36,MAX($AH$42:$AH$342),$T$36),0)</f>
        <v>33.958433610374449</v>
      </c>
      <c r="AL304" s="253">
        <f>IF(X304&lt;&gt;0,SUM($F$34,X304,$N$36,MAX($AH$42:$AH$342),$T$36),0)</f>
        <v>31.718336610374443</v>
      </c>
      <c r="AM304" s="260">
        <f>IF(Y304&lt;&gt;0,SUM($F$34,Y304,$N$36,MAX($AH$42:$AH$342),$T$36),0)</f>
        <v>32.086189610374447</v>
      </c>
    </row>
    <row r="305" spans="1:39" x14ac:dyDescent="0.35">
      <c r="A305" s="259">
        <v>1723</v>
      </c>
      <c r="B305" s="58">
        <f>SUMIF([2]!Table2_23[ETA],'FIS Optimal Model (2)'!A305,[2]!Table2_23[FIS PAX])</f>
        <v>0</v>
      </c>
      <c r="C305" s="44">
        <f t="shared" si="201"/>
        <v>0</v>
      </c>
      <c r="D305" s="52">
        <f t="shared" si="208"/>
        <v>0</v>
      </c>
      <c r="E305" s="26">
        <f t="shared" si="189"/>
        <v>0</v>
      </c>
      <c r="F305" s="26">
        <f t="shared" si="190"/>
        <v>0</v>
      </c>
      <c r="G305" s="26">
        <f t="shared" si="191"/>
        <v>0</v>
      </c>
      <c r="H305" s="26">
        <f t="shared" si="192"/>
        <v>0</v>
      </c>
      <c r="I305" s="27">
        <f t="shared" si="211"/>
        <v>0</v>
      </c>
      <c r="J305" s="27">
        <f t="shared" si="211"/>
        <v>0</v>
      </c>
      <c r="K305" s="27">
        <f t="shared" si="211"/>
        <v>0</v>
      </c>
      <c r="L305" s="27">
        <f t="shared" si="209"/>
        <v>0</v>
      </c>
      <c r="M305" s="28">
        <f t="shared" si="202"/>
        <v>3</v>
      </c>
      <c r="N305" s="29">
        <f t="shared" si="203"/>
        <v>6</v>
      </c>
      <c r="O305" s="28">
        <f t="shared" si="204"/>
        <v>1</v>
      </c>
      <c r="P305" s="28">
        <f t="shared" si="205"/>
        <v>1</v>
      </c>
      <c r="Q305" s="28">
        <f t="shared" si="193"/>
        <v>11</v>
      </c>
      <c r="R305" s="22">
        <f t="shared" si="194"/>
        <v>70.693359084831684</v>
      </c>
      <c r="S305" s="22">
        <f t="shared" si="195"/>
        <v>12.127457507751039</v>
      </c>
      <c r="T305" s="22">
        <f t="shared" si="196"/>
        <v>3.580919245666307</v>
      </c>
      <c r="U305" s="22">
        <f t="shared" si="197"/>
        <v>3.445178977659392</v>
      </c>
      <c r="V305" s="21">
        <f t="shared" si="171"/>
        <v>9.5167400000000413</v>
      </c>
      <c r="W305" s="21">
        <f t="shared" si="172"/>
        <v>3.4669450000000004</v>
      </c>
      <c r="X305" s="21">
        <f t="shared" si="206"/>
        <v>1.2268479999999964</v>
      </c>
      <c r="Y305" s="21">
        <f t="shared" si="207"/>
        <v>1.5947010000000017</v>
      </c>
      <c r="Z305" s="221">
        <f t="shared" si="198"/>
        <v>7</v>
      </c>
      <c r="AA305" s="30">
        <f t="shared" si="185"/>
        <v>6.6854850690833461</v>
      </c>
      <c r="AB305" s="30">
        <f t="shared" si="186"/>
        <v>3.1482217793982699</v>
      </c>
      <c r="AC305" s="30">
        <f t="shared" si="187"/>
        <v>2.6269165545362472</v>
      </c>
      <c r="AD305" s="30">
        <f t="shared" si="188"/>
        <v>1.9443526277925764</v>
      </c>
      <c r="AE305" s="32">
        <f t="shared" si="199"/>
        <v>14.404976030810438</v>
      </c>
      <c r="AF305" s="33">
        <f t="shared" si="210"/>
        <v>14.404976030810438</v>
      </c>
      <c r="AG305" s="40">
        <f t="shared" si="200"/>
        <v>90.031962528707083</v>
      </c>
      <c r="AH305" s="224">
        <f>AG305*$P$36</f>
        <v>7.5508591493049204</v>
      </c>
      <c r="AI305" s="226">
        <f>SUM(Z305,IF(Z305&lt;&gt;0,$F$34,0),IF(Z305&lt;&gt;0,$N$36,0),IF(Z305&lt;&gt;0,$T$36,0),IF(Z305=0,AH310,IF(Z305=1,AH311,IF(Z305=2,AH312,IF(Z305=3,AH313,IF(Z305=4,AH314,IF(Z305=5,AH315,IF(Z305=6,AH316,IF(Z305=7,AH317,IF(Z305=8,AH318,IF(Z305=9,AH319,IF(Z305=10,AH320,IF(Z305=11,AH321,IF(Z305=12,AH322,IF(Z305=13,AH323,IF(Z305=14,AH324,IF(Z305=15,AH325,IF(Z305=16,AH326,IF(Z305=17,AH327,IF(Z305=18,AH328,IF(Z305=19,AH329,IF(Z305=20,AH330,IF(Z305=21,AH331,IF(Z305=22,AH332,IF(Z305=23,AH333,IF(Z305=24,AH334,IF(Z305=25,AH335,IF(Z305=26,AH336,IF(Z305=27,AH337,IF(Z305=28,AH338,IF(Z305=29,AH339,IF(Z305=30,AH340))))))))))))))))))))))))))))))))</f>
        <v>34.044481079978723</v>
      </c>
      <c r="AJ305" s="253">
        <f>IF(V305&lt;&gt;0,SUM($F$34,V305,$N$36,MAX($AH$42:$AH$342),$T$36),0)</f>
        <v>39.108228610374489</v>
      </c>
      <c r="AK305" s="253">
        <f>IF(W305&lt;&gt;0,SUM($F$34,W305,$N$36,MAX($AH$42:$AH$342),$T$36),0)</f>
        <v>33.05843361037445</v>
      </c>
      <c r="AL305" s="253">
        <f>IF(X305&lt;&gt;0,SUM($F$34,X305,$N$36,MAX($AH$42:$AH$342),$T$36),0)</f>
        <v>30.818336610374445</v>
      </c>
      <c r="AM305" s="260">
        <f>IF(Y305&lt;&gt;0,SUM($F$34,Y305,$N$36,MAX($AH$42:$AH$342),$T$36),0)</f>
        <v>31.186189610374448</v>
      </c>
    </row>
    <row r="306" spans="1:39" x14ac:dyDescent="0.35">
      <c r="A306" s="259">
        <v>1724</v>
      </c>
      <c r="B306" s="58">
        <f>SUMIF([2]!Table2_23[ETA],'FIS Optimal Model (2)'!A306,[2]!Table2_23[FIS PAX])</f>
        <v>0</v>
      </c>
      <c r="C306" s="44">
        <f t="shared" si="201"/>
        <v>0</v>
      </c>
      <c r="D306" s="52">
        <f t="shared" si="208"/>
        <v>0</v>
      </c>
      <c r="E306" s="26">
        <f t="shared" si="189"/>
        <v>0</v>
      </c>
      <c r="F306" s="26">
        <f t="shared" si="190"/>
        <v>0</v>
      </c>
      <c r="G306" s="26">
        <f t="shared" si="191"/>
        <v>0</v>
      </c>
      <c r="H306" s="26">
        <f t="shared" si="192"/>
        <v>0</v>
      </c>
      <c r="I306" s="27">
        <f t="shared" si="211"/>
        <v>0</v>
      </c>
      <c r="J306" s="27">
        <f t="shared" si="211"/>
        <v>0</v>
      </c>
      <c r="K306" s="27">
        <f t="shared" si="211"/>
        <v>0</v>
      </c>
      <c r="L306" s="27">
        <f t="shared" si="209"/>
        <v>0</v>
      </c>
      <c r="M306" s="28">
        <f t="shared" si="202"/>
        <v>3</v>
      </c>
      <c r="N306" s="29">
        <f t="shared" si="203"/>
        <v>6</v>
      </c>
      <c r="O306" s="28">
        <f t="shared" si="204"/>
        <v>1</v>
      </c>
      <c r="P306" s="28">
        <f t="shared" si="205"/>
        <v>1</v>
      </c>
      <c r="Q306" s="28">
        <f t="shared" si="193"/>
        <v>11</v>
      </c>
      <c r="R306" s="22">
        <f t="shared" si="194"/>
        <v>64.007874015748342</v>
      </c>
      <c r="S306" s="22">
        <f t="shared" si="195"/>
        <v>8.9792357283527693</v>
      </c>
      <c r="T306" s="22">
        <f t="shared" si="196"/>
        <v>0.95400269113005987</v>
      </c>
      <c r="U306" s="22">
        <f t="shared" si="197"/>
        <v>1.5008263498668155</v>
      </c>
      <c r="V306" s="21">
        <f t="shared" si="171"/>
        <v>8.6167400000000409</v>
      </c>
      <c r="W306" s="21">
        <f t="shared" si="172"/>
        <v>2.5669450000000005</v>
      </c>
      <c r="X306" s="21">
        <f t="shared" si="206"/>
        <v>0.32684799999999642</v>
      </c>
      <c r="Y306" s="21">
        <f t="shared" si="207"/>
        <v>0.69470100000000168</v>
      </c>
      <c r="Z306" s="221">
        <f t="shared" si="198"/>
        <v>6</v>
      </c>
      <c r="AA306" s="30">
        <f t="shared" si="185"/>
        <v>6.6854850690833461</v>
      </c>
      <c r="AB306" s="30">
        <f t="shared" si="186"/>
        <v>3.1482217793982699</v>
      </c>
      <c r="AC306" s="30">
        <f t="shared" si="187"/>
        <v>2.6269165545362472</v>
      </c>
      <c r="AD306" s="30">
        <f t="shared" si="188"/>
        <v>1.9443526277925764</v>
      </c>
      <c r="AE306" s="32">
        <f t="shared" si="199"/>
        <v>14.404976030810438</v>
      </c>
      <c r="AF306" s="33">
        <f t="shared" si="210"/>
        <v>14.404976030810438</v>
      </c>
      <c r="AG306" s="40">
        <f t="shared" si="200"/>
        <v>92.513532130065755</v>
      </c>
      <c r="AH306" s="224">
        <f>AG306*$P$36</f>
        <v>7.7589850415188257</v>
      </c>
      <c r="AI306" s="226">
        <f>SUM(Z306,IF(Z306&lt;&gt;0,$F$34,0),IF(Z306&lt;&gt;0,$N$36,0),IF(Z306&lt;&gt;0,$T$36,0),IF(Z306=0,AH311,IF(Z306=1,AH312,IF(Z306=2,AH313,IF(Z306=3,AH314,IF(Z306=4,AH315,IF(Z306=5,AH316,IF(Z306=6,AH317,IF(Z306=7,AH318,IF(Z306=8,AH319,IF(Z306=9,AH320,IF(Z306=10,AH321,IF(Z306=11,AH322,IF(Z306=12,AH323,IF(Z306=13,AH324,IF(Z306=14,AH325,IF(Z306=15,AH326,IF(Z306=16,AH327,IF(Z306=17,AH328,IF(Z306=18,AH329,IF(Z306=19,AH330,IF(Z306=20,AH331,IF(Z306=21,AH332,IF(Z306=22,AH333,IF(Z306=23,AH334,IF(Z306=24,AH335,IF(Z306=25,AH336,IF(Z306=26,AH337,IF(Z306=27,AH338,IF(Z306=28,AH339,IF(Z306=29,AH340,IF(Z306=30,AH341))))))))))))))))))))))))))))))))</f>
        <v>33.044481079978723</v>
      </c>
      <c r="AJ306" s="253">
        <f>IF(V306&lt;&gt;0,SUM($F$34,V306,$N$36,MAX($AH$42:$AH$342),$T$36),0)</f>
        <v>38.208228610374491</v>
      </c>
      <c r="AK306" s="253">
        <f>IF(W306&lt;&gt;0,SUM($F$34,W306,$N$36,MAX($AH$42:$AH$342),$T$36),0)</f>
        <v>32.158433610374445</v>
      </c>
      <c r="AL306" s="253">
        <f>IF(X306&lt;&gt;0,SUM($F$34,X306,$N$36,MAX($AH$42:$AH$342),$T$36),0)</f>
        <v>29.918336610374446</v>
      </c>
      <c r="AM306" s="260">
        <f>IF(Y306&lt;&gt;0,SUM($F$34,Y306,$N$36,MAX($AH$42:$AH$342),$T$36),0)</f>
        <v>30.28618961037445</v>
      </c>
    </row>
    <row r="307" spans="1:39" x14ac:dyDescent="0.35">
      <c r="A307" s="259">
        <v>1725</v>
      </c>
      <c r="B307" s="58">
        <f>SUMIF([2]!Table2_23[ETA],'FIS Optimal Model (2)'!A307,[2]!Table2_23[FIS PAX])</f>
        <v>0</v>
      </c>
      <c r="C307" s="44">
        <f t="shared" si="201"/>
        <v>0</v>
      </c>
      <c r="D307" s="52">
        <f t="shared" si="208"/>
        <v>0</v>
      </c>
      <c r="E307" s="26">
        <f t="shared" si="189"/>
        <v>0</v>
      </c>
      <c r="F307" s="26">
        <f t="shared" si="190"/>
        <v>0</v>
      </c>
      <c r="G307" s="26">
        <f t="shared" si="191"/>
        <v>0</v>
      </c>
      <c r="H307" s="26">
        <f t="shared" si="192"/>
        <v>0</v>
      </c>
      <c r="I307" s="27">
        <f t="shared" si="211"/>
        <v>0</v>
      </c>
      <c r="J307" s="27">
        <f t="shared" si="211"/>
        <v>0</v>
      </c>
      <c r="K307" s="27">
        <f t="shared" si="211"/>
        <v>0</v>
      </c>
      <c r="L307" s="27">
        <f t="shared" si="209"/>
        <v>0</v>
      </c>
      <c r="M307" s="28">
        <f t="shared" si="202"/>
        <v>3</v>
      </c>
      <c r="N307" s="29">
        <f t="shared" si="203"/>
        <v>6</v>
      </c>
      <c r="O307" s="28">
        <f t="shared" si="204"/>
        <v>1</v>
      </c>
      <c r="P307" s="28">
        <f t="shared" si="205"/>
        <v>1</v>
      </c>
      <c r="Q307" s="28">
        <f t="shared" si="193"/>
        <v>11</v>
      </c>
      <c r="R307" s="22">
        <f t="shared" si="194"/>
        <v>57.322388946664994</v>
      </c>
      <c r="S307" s="22">
        <f t="shared" si="195"/>
        <v>5.3063103190547878</v>
      </c>
      <c r="T307" s="22">
        <f t="shared" si="196"/>
        <v>0</v>
      </c>
      <c r="U307" s="22">
        <f t="shared" si="197"/>
        <v>0</v>
      </c>
      <c r="V307" s="21">
        <f t="shared" si="171"/>
        <v>7.7167400000000406</v>
      </c>
      <c r="W307" s="21">
        <f t="shared" si="172"/>
        <v>1.5169450000000002</v>
      </c>
      <c r="X307" s="21">
        <f t="shared" si="206"/>
        <v>0</v>
      </c>
      <c r="Y307" s="21">
        <f t="shared" si="207"/>
        <v>0</v>
      </c>
      <c r="Z307" s="221">
        <f t="shared" si="198"/>
        <v>5</v>
      </c>
      <c r="AA307" s="30">
        <f t="shared" si="185"/>
        <v>6.6854850690833461</v>
      </c>
      <c r="AB307" s="30">
        <f t="shared" si="186"/>
        <v>3.1482217793982699</v>
      </c>
      <c r="AC307" s="30">
        <f t="shared" si="187"/>
        <v>0</v>
      </c>
      <c r="AD307" s="30">
        <f t="shared" si="188"/>
        <v>0</v>
      </c>
      <c r="AE307" s="32">
        <f t="shared" si="199"/>
        <v>9.833706848481615</v>
      </c>
      <c r="AF307" s="33">
        <f t="shared" si="210"/>
        <v>14.404976030810438</v>
      </c>
      <c r="AG307" s="40">
        <f t="shared" si="200"/>
        <v>94.995101731424427</v>
      </c>
      <c r="AH307" s="224">
        <f>AG307*$P$36</f>
        <v>7.9671109337327319</v>
      </c>
      <c r="AI307" s="226">
        <f>SUM(Z307,IF(Z307&lt;&gt;0,$F$34,0),IF(Z307&lt;&gt;0,$N$36,0),IF(Z307&lt;&gt;0,$T$36,0),IF(Z307=0,AH312,IF(Z307=1,AH313,IF(Z307=2,AH314,IF(Z307=3,AH315,IF(Z307=4,AH316,IF(Z307=5,AH317,IF(Z307=6,AH318,IF(Z307=7,AH319,IF(Z307=8,AH320,IF(Z307=9,AH321,IF(Z307=10,AH322,IF(Z307=11,AH323,IF(Z307=12,AH324,IF(Z307=13,AH325,IF(Z307=14,AH326,IF(Z307=15,AH327,IF(Z307=16,AH328,IF(Z307=17,AH329,IF(Z307=18,AH330,IF(Z307=19,AH331,IF(Z307=20,AH332,IF(Z307=21,AH333,IF(Z307=22,AH334,IF(Z307=23,AH335,IF(Z307=24,AH336,IF(Z307=25,AH337,IF(Z307=26,AH338,IF(Z307=27,AH339,IF(Z307=28,AH340,IF(Z307=29,AH341,IF(Z307=30,AH342))))))))))))))))))))))))))))))))</f>
        <v>32.044481079978723</v>
      </c>
      <c r="AJ307" s="253">
        <f>IF(V307&lt;&gt;0,SUM($F$34,V307,$N$36,MAX($AH$42:$AH$342),$T$36),0)</f>
        <v>37.308228610374485</v>
      </c>
      <c r="AK307" s="253">
        <f>IF(W307&lt;&gt;0,SUM($F$34,W307,$N$36,MAX($AH$42:$AH$342),$T$36),0)</f>
        <v>31.108433610374448</v>
      </c>
      <c r="AL307" s="253">
        <f>IF(X307&lt;&gt;0,SUM($F$34,X307,$N$36,MAX($AH$42:$AH$342),$T$36),0)</f>
        <v>0</v>
      </c>
      <c r="AM307" s="260">
        <f>IF(Y307&lt;&gt;0,SUM($F$34,Y307,$N$36,MAX($AH$42:$AH$342),$T$36),0)</f>
        <v>0</v>
      </c>
    </row>
    <row r="308" spans="1:39" x14ac:dyDescent="0.35">
      <c r="A308" s="259">
        <v>1726</v>
      </c>
      <c r="B308" s="58">
        <f>SUMIF([2]!Table2_23[ETA],'FIS Optimal Model (2)'!A308,[2]!Table2_23[FIS PAX])</f>
        <v>0</v>
      </c>
      <c r="C308" s="44">
        <f t="shared" si="201"/>
        <v>0</v>
      </c>
      <c r="D308" s="52">
        <f t="shared" si="208"/>
        <v>0</v>
      </c>
      <c r="E308" s="26">
        <f t="shared" si="189"/>
        <v>0</v>
      </c>
      <c r="F308" s="26">
        <f t="shared" si="190"/>
        <v>0</v>
      </c>
      <c r="G308" s="26">
        <f t="shared" si="191"/>
        <v>0</v>
      </c>
      <c r="H308" s="26">
        <f t="shared" si="192"/>
        <v>0</v>
      </c>
      <c r="I308" s="27">
        <f t="shared" si="211"/>
        <v>0</v>
      </c>
      <c r="J308" s="27">
        <f t="shared" si="211"/>
        <v>0</v>
      </c>
      <c r="K308" s="27">
        <f t="shared" si="211"/>
        <v>0</v>
      </c>
      <c r="L308" s="27">
        <f t="shared" si="209"/>
        <v>0</v>
      </c>
      <c r="M308" s="28">
        <f t="shared" si="202"/>
        <v>3</v>
      </c>
      <c r="N308" s="29">
        <f t="shared" si="203"/>
        <v>6</v>
      </c>
      <c r="O308" s="28">
        <f t="shared" si="204"/>
        <v>1</v>
      </c>
      <c r="P308" s="28">
        <f t="shared" si="205"/>
        <v>1</v>
      </c>
      <c r="Q308" s="28">
        <f t="shared" si="193"/>
        <v>11</v>
      </c>
      <c r="R308" s="22">
        <f t="shared" si="194"/>
        <v>50.636903877581645</v>
      </c>
      <c r="S308" s="22">
        <f t="shared" si="195"/>
        <v>1.6333849097568058</v>
      </c>
      <c r="T308" s="22">
        <f t="shared" si="196"/>
        <v>0</v>
      </c>
      <c r="U308" s="22">
        <f t="shared" si="197"/>
        <v>0</v>
      </c>
      <c r="V308" s="21">
        <f t="shared" si="171"/>
        <v>6.8167400000000402</v>
      </c>
      <c r="W308" s="21">
        <f t="shared" si="172"/>
        <v>0.46694500000000011</v>
      </c>
      <c r="X308" s="21">
        <f t="shared" si="206"/>
        <v>0</v>
      </c>
      <c r="Y308" s="21">
        <f t="shared" si="207"/>
        <v>0</v>
      </c>
      <c r="Z308" s="221">
        <f t="shared" si="198"/>
        <v>4</v>
      </c>
      <c r="AA308" s="30">
        <f t="shared" si="185"/>
        <v>6.6854850690833461</v>
      </c>
      <c r="AB308" s="30">
        <f t="shared" si="186"/>
        <v>3.1482217793982699</v>
      </c>
      <c r="AC308" s="30">
        <f t="shared" si="187"/>
        <v>0</v>
      </c>
      <c r="AD308" s="30">
        <f t="shared" si="188"/>
        <v>0</v>
      </c>
      <c r="AE308" s="32">
        <f t="shared" si="199"/>
        <v>9.833706848481615</v>
      </c>
      <c r="AF308" s="33">
        <f t="shared" si="210"/>
        <v>14.404976030810438</v>
      </c>
      <c r="AG308" s="40">
        <f t="shared" si="200"/>
        <v>97.476671332783098</v>
      </c>
      <c r="AH308" s="224">
        <f>AG308*$P$36</f>
        <v>8.1752368259466373</v>
      </c>
      <c r="AI308" s="226">
        <f>SUM(Z308,IF(Z308&lt;&gt;0,$F$34,0),IF(Z308&lt;&gt;0,$N$36,0),IF(Z308&lt;&gt;0,$T$36,0),IF(Z308=0,AH313,IF(Z308=1,AH314,IF(Z308=2,AH315,IF(Z308=3,AH316,IF(Z308=4,AH317,IF(Z308=5,AH318,IF(Z308=6,AH319,IF(Z308=7,AH320,IF(Z308=8,AH321,IF(Z308=9,AH322,IF(Z308=10,AH323,IF(Z308=11,AH324,IF(Z308=12,AH325,IF(Z308=13,AH326,IF(Z308=14,AH327,IF(Z308=15,AH328,IF(Z308=16,AH329,IF(Z308=17,AH330,IF(Z308=18,AH331,IF(Z308=19,AH332,IF(Z308=20,AH333,IF(Z308=21,AH334,IF(Z308=22,AH335,IF(Z308=23,AH336,IF(Z308=24,AH337,IF(Z308=25,AH338,IF(Z308=26,AH339,IF(Z308=27,AH340,IF(Z308=28,AH341,IF(Z308=29,AH342,IF(Z308=30,AH343))))))))))))))))))))))))))))))))</f>
        <v>31.044481079978723</v>
      </c>
      <c r="AJ308" s="253">
        <f>IF(V308&lt;&gt;0,SUM($F$34,V308,$N$36,MAX($AH$42:$AH$342),$T$36),0)</f>
        <v>36.408228610374486</v>
      </c>
      <c r="AK308" s="253">
        <f>IF(W308&lt;&gt;0,SUM($F$34,W308,$N$36,MAX($AH$42:$AH$342),$T$36),0)</f>
        <v>30.058433610374447</v>
      </c>
      <c r="AL308" s="253">
        <f>IF(X308&lt;&gt;0,SUM($F$34,X308,$N$36,MAX($AH$42:$AH$342),$T$36),0)</f>
        <v>0</v>
      </c>
      <c r="AM308" s="260">
        <f>IF(Y308&lt;&gt;0,SUM($F$34,Y308,$N$36,MAX($AH$42:$AH$342),$T$36),0)</f>
        <v>0</v>
      </c>
    </row>
    <row r="309" spans="1:39" x14ac:dyDescent="0.35">
      <c r="A309" s="259">
        <v>1727</v>
      </c>
      <c r="B309" s="58">
        <f>SUMIF([2]!Table2_23[ETA],'FIS Optimal Model (2)'!A309,[2]!Table2_23[FIS PAX])</f>
        <v>0</v>
      </c>
      <c r="C309" s="44">
        <f t="shared" si="201"/>
        <v>0</v>
      </c>
      <c r="D309" s="52">
        <f t="shared" si="208"/>
        <v>0</v>
      </c>
      <c r="E309" s="26">
        <f t="shared" si="189"/>
        <v>0</v>
      </c>
      <c r="F309" s="26">
        <f t="shared" si="190"/>
        <v>0</v>
      </c>
      <c r="G309" s="26">
        <f t="shared" si="191"/>
        <v>0</v>
      </c>
      <c r="H309" s="26">
        <f t="shared" si="192"/>
        <v>0</v>
      </c>
      <c r="I309" s="27">
        <f t="shared" si="211"/>
        <v>0</v>
      </c>
      <c r="J309" s="27">
        <f t="shared" si="211"/>
        <v>0</v>
      </c>
      <c r="K309" s="27">
        <f t="shared" si="211"/>
        <v>0</v>
      </c>
      <c r="L309" s="27">
        <f t="shared" si="209"/>
        <v>0</v>
      </c>
      <c r="M309" s="28">
        <f t="shared" si="202"/>
        <v>3</v>
      </c>
      <c r="N309" s="29">
        <f t="shared" si="203"/>
        <v>6</v>
      </c>
      <c r="O309" s="28">
        <f t="shared" si="204"/>
        <v>1</v>
      </c>
      <c r="P309" s="28">
        <f t="shared" si="205"/>
        <v>1</v>
      </c>
      <c r="Q309" s="28">
        <f t="shared" si="193"/>
        <v>11</v>
      </c>
      <c r="R309" s="22">
        <f t="shared" si="194"/>
        <v>43.951418808498296</v>
      </c>
      <c r="S309" s="22">
        <f t="shared" si="195"/>
        <v>0</v>
      </c>
      <c r="T309" s="22">
        <f t="shared" si="196"/>
        <v>0</v>
      </c>
      <c r="U309" s="22">
        <f t="shared" si="197"/>
        <v>0</v>
      </c>
      <c r="V309" s="21">
        <f t="shared" si="171"/>
        <v>5.9167400000000399</v>
      </c>
      <c r="W309" s="21">
        <f t="shared" si="172"/>
        <v>0</v>
      </c>
      <c r="X309" s="21">
        <f t="shared" si="206"/>
        <v>0</v>
      </c>
      <c r="Y309" s="21">
        <f t="shared" si="207"/>
        <v>0</v>
      </c>
      <c r="Z309" s="221">
        <f t="shared" si="198"/>
        <v>4</v>
      </c>
      <c r="AA309" s="30">
        <f t="shared" si="185"/>
        <v>6.6854850690833461</v>
      </c>
      <c r="AB309" s="30">
        <f t="shared" si="186"/>
        <v>0</v>
      </c>
      <c r="AC309" s="30">
        <f t="shared" si="187"/>
        <v>0</v>
      </c>
      <c r="AD309" s="30">
        <f t="shared" si="188"/>
        <v>0</v>
      </c>
      <c r="AE309" s="32">
        <f t="shared" si="199"/>
        <v>6.6854850690833461</v>
      </c>
      <c r="AF309" s="33">
        <f t="shared" si="210"/>
        <v>14.404976030810438</v>
      </c>
      <c r="AG309" s="40">
        <f t="shared" si="200"/>
        <v>99.95824093414177</v>
      </c>
      <c r="AH309" s="224">
        <f>AG309*$P$36</f>
        <v>8.3833627181605426</v>
      </c>
      <c r="AI309" s="226">
        <f>SUM(Z309,IF(Z309&lt;&gt;0,$F$34,0),IF(Z309&lt;&gt;0,$N$36,0),IF(Z309&lt;&gt;0,$T$36,0),IF(Z309=0,AH314,IF(Z309=1,AH315,IF(Z309=2,AH316,IF(Z309=3,AH317,IF(Z309=4,AH318,IF(Z309=5,AH319,IF(Z309=6,AH320,IF(Z309=7,AH321,IF(Z309=8,AH322,IF(Z309=9,AH323,IF(Z309=10,AH324,IF(Z309=11,AH325,IF(Z309=12,AH326,IF(Z309=13,AH327,IF(Z309=14,AH328,IF(Z309=15,AH329,IF(Z309=16,AH330,IF(Z309=17,AH331,IF(Z309=18,AH332,IF(Z309=19,AH333,IF(Z309=20,AH334,IF(Z309=21,AH335,IF(Z309=22,AH336,IF(Z309=23,AH337,IF(Z309=24,AH338,IF(Z309=25,AH339,IF(Z309=26,AH340,IF(Z309=27,AH341,IF(Z309=28,AH342,IF(Z309=29,AH343,IF(Z309=30,AH344))))))))))))))))))))))))))))))))</f>
        <v>30.605183686959364</v>
      </c>
      <c r="AJ309" s="253">
        <f>IF(V309&lt;&gt;0,SUM($F$34,V309,$N$36,MAX($AH$42:$AH$342),$T$36),0)</f>
        <v>35.508228610374488</v>
      </c>
      <c r="AK309" s="253">
        <f>IF(W309&lt;&gt;0,SUM($F$34,W309,$N$36,MAX($AH$42:$AH$342),$T$36),0)</f>
        <v>0</v>
      </c>
      <c r="AL309" s="253">
        <f>IF(X309&lt;&gt;0,SUM($F$34,X309,$N$36,MAX($AH$42:$AH$342),$T$36),0)</f>
        <v>0</v>
      </c>
      <c r="AM309" s="260">
        <f>IF(Y309&lt;&gt;0,SUM($F$34,Y309,$N$36,MAX($AH$42:$AH$342),$T$36),0)</f>
        <v>0</v>
      </c>
    </row>
    <row r="310" spans="1:39" x14ac:dyDescent="0.35">
      <c r="A310" s="259">
        <v>1728</v>
      </c>
      <c r="B310" s="58">
        <f>SUMIF([2]!Table2_23[ETA],'FIS Optimal Model (2)'!A310,[2]!Table2_23[FIS PAX])</f>
        <v>0</v>
      </c>
      <c r="C310" s="44">
        <f t="shared" si="201"/>
        <v>0</v>
      </c>
      <c r="D310" s="52">
        <f t="shared" si="208"/>
        <v>0</v>
      </c>
      <c r="E310" s="26">
        <f t="shared" si="189"/>
        <v>0</v>
      </c>
      <c r="F310" s="26">
        <f t="shared" si="190"/>
        <v>0</v>
      </c>
      <c r="G310" s="26">
        <f t="shared" si="191"/>
        <v>0</v>
      </c>
      <c r="H310" s="26">
        <f t="shared" si="192"/>
        <v>0</v>
      </c>
      <c r="I310" s="27">
        <f t="shared" si="211"/>
        <v>0</v>
      </c>
      <c r="J310" s="27">
        <f t="shared" si="211"/>
        <v>0</v>
      </c>
      <c r="K310" s="27">
        <f t="shared" si="211"/>
        <v>0</v>
      </c>
      <c r="L310" s="27">
        <f t="shared" si="209"/>
        <v>0</v>
      </c>
      <c r="M310" s="28">
        <f t="shared" si="202"/>
        <v>3</v>
      </c>
      <c r="N310" s="29">
        <f t="shared" si="203"/>
        <v>6</v>
      </c>
      <c r="O310" s="28">
        <f t="shared" si="204"/>
        <v>1</v>
      </c>
      <c r="P310" s="28">
        <f t="shared" si="205"/>
        <v>1</v>
      </c>
      <c r="Q310" s="28">
        <f t="shared" si="193"/>
        <v>11</v>
      </c>
      <c r="R310" s="22">
        <f t="shared" si="194"/>
        <v>37.265933739414947</v>
      </c>
      <c r="S310" s="22">
        <f t="shared" si="195"/>
        <v>0</v>
      </c>
      <c r="T310" s="22">
        <f t="shared" si="196"/>
        <v>0</v>
      </c>
      <c r="U310" s="22">
        <f t="shared" si="197"/>
        <v>0</v>
      </c>
      <c r="V310" s="21">
        <f t="shared" si="171"/>
        <v>5.0167400000000395</v>
      </c>
      <c r="W310" s="21">
        <f t="shared" si="172"/>
        <v>0</v>
      </c>
      <c r="X310" s="21">
        <f t="shared" si="206"/>
        <v>0</v>
      </c>
      <c r="Y310" s="21">
        <f t="shared" si="207"/>
        <v>0</v>
      </c>
      <c r="Z310" s="221">
        <f t="shared" si="198"/>
        <v>3</v>
      </c>
      <c r="AA310" s="30">
        <f t="shared" si="185"/>
        <v>6.6854850690833461</v>
      </c>
      <c r="AB310" s="30">
        <f t="shared" si="186"/>
        <v>0</v>
      </c>
      <c r="AC310" s="30">
        <f t="shared" si="187"/>
        <v>0</v>
      </c>
      <c r="AD310" s="30">
        <f t="shared" si="188"/>
        <v>0</v>
      </c>
      <c r="AE310" s="32">
        <f t="shared" si="199"/>
        <v>6.6854850690833461</v>
      </c>
      <c r="AF310" s="33">
        <f t="shared" si="210"/>
        <v>14.404976030810438</v>
      </c>
      <c r="AG310" s="40">
        <f t="shared" si="200"/>
        <v>102.43981053550044</v>
      </c>
      <c r="AH310" s="224">
        <f>AG310*$P$36</f>
        <v>8.5914886103744479</v>
      </c>
      <c r="AI310" s="226">
        <f>SUM(Z310,IF(Z310&lt;&gt;0,$F$34,0),IF(Z310&lt;&gt;0,$N$36,0),IF(Z310&lt;&gt;0,$T$36,0),IF(Z310=0,AH315,IF(Z310=1,AH316,IF(Z310=2,AH317,IF(Z310=3,AH318,IF(Z310=4,AH319,IF(Z310=5,AH320,IF(Z310=6,AH321,IF(Z310=7,AH322,IF(Z310=8,AH323,IF(Z310=9,AH324,IF(Z310=10,AH325,IF(Z310=11,AH326,IF(Z310=12,AH327,IF(Z310=13,AH328,IF(Z310=14,AH329,IF(Z310=15,AH330,IF(Z310=16,AH331,IF(Z310=17,AH332,IF(Z310=18,AH333,IF(Z310=19,AH334,IF(Z310=20,AH335,IF(Z310=21,AH336,IF(Z310=22,AH337,IF(Z310=23,AH338,IF(Z310=24,AH339,IF(Z310=25,AH340,IF(Z310=26,AH341,IF(Z310=27,AH342,IF(Z310=28,AH343,IF(Z310=29,AH344,IF(Z310=30,AH345))))))))))))))))))))))))))))))))</f>
        <v>29.605183686959364</v>
      </c>
      <c r="AJ310" s="253">
        <f>IF(V310&lt;&gt;0,SUM($F$34,V310,$N$36,MAX($AH$42:$AH$342),$T$36),0)</f>
        <v>34.608228610374489</v>
      </c>
      <c r="AK310" s="253">
        <f>IF(W310&lt;&gt;0,SUM($F$34,W310,$N$36,MAX($AH$42:$AH$342),$T$36),0)</f>
        <v>0</v>
      </c>
      <c r="AL310" s="253">
        <f>IF(X310&lt;&gt;0,SUM($F$34,X310,$N$36,MAX($AH$42:$AH$342),$T$36),0)</f>
        <v>0</v>
      </c>
      <c r="AM310" s="260">
        <f>IF(Y310&lt;&gt;0,SUM($F$34,Y310,$N$36,MAX($AH$42:$AH$342),$T$36),0)</f>
        <v>0</v>
      </c>
    </row>
    <row r="311" spans="1:39" x14ac:dyDescent="0.35">
      <c r="A311" s="259">
        <v>1729</v>
      </c>
      <c r="B311" s="58">
        <f>SUMIF([2]!Table2_23[ETA],'FIS Optimal Model (2)'!A311,[2]!Table2_23[FIS PAX])</f>
        <v>0</v>
      </c>
      <c r="C311" s="44">
        <f t="shared" si="201"/>
        <v>0</v>
      </c>
      <c r="D311" s="52">
        <f t="shared" si="208"/>
        <v>0</v>
      </c>
      <c r="E311" s="26">
        <f t="shared" si="189"/>
        <v>0</v>
      </c>
      <c r="F311" s="26">
        <f t="shared" si="190"/>
        <v>0</v>
      </c>
      <c r="G311" s="26">
        <f t="shared" si="191"/>
        <v>0</v>
      </c>
      <c r="H311" s="26">
        <f t="shared" si="192"/>
        <v>0</v>
      </c>
      <c r="I311" s="27">
        <f t="shared" si="211"/>
        <v>0</v>
      </c>
      <c r="J311" s="27">
        <f t="shared" si="211"/>
        <v>0</v>
      </c>
      <c r="K311" s="27">
        <f t="shared" si="211"/>
        <v>0</v>
      </c>
      <c r="L311" s="27">
        <f t="shared" si="209"/>
        <v>0</v>
      </c>
      <c r="M311" s="28">
        <f t="shared" si="202"/>
        <v>3</v>
      </c>
      <c r="N311" s="29">
        <f t="shared" si="203"/>
        <v>6</v>
      </c>
      <c r="O311" s="28">
        <f t="shared" si="204"/>
        <v>1</v>
      </c>
      <c r="P311" s="28">
        <f t="shared" si="205"/>
        <v>1</v>
      </c>
      <c r="Q311" s="28">
        <f t="shared" si="193"/>
        <v>11</v>
      </c>
      <c r="R311" s="22">
        <f t="shared" si="194"/>
        <v>30.580448670331602</v>
      </c>
      <c r="S311" s="22">
        <f t="shared" si="195"/>
        <v>0</v>
      </c>
      <c r="T311" s="22">
        <f t="shared" si="196"/>
        <v>0</v>
      </c>
      <c r="U311" s="22">
        <f t="shared" si="197"/>
        <v>0</v>
      </c>
      <c r="V311" s="21">
        <f t="shared" ref="V311:V342" si="212">IFERROR(R311*($I$33/M311),0)</f>
        <v>4.11674000000004</v>
      </c>
      <c r="W311" s="21">
        <f t="shared" si="172"/>
        <v>0</v>
      </c>
      <c r="X311" s="21">
        <f t="shared" si="206"/>
        <v>0</v>
      </c>
      <c r="Y311" s="21">
        <f t="shared" si="207"/>
        <v>0</v>
      </c>
      <c r="Z311" s="221">
        <f t="shared" si="198"/>
        <v>3</v>
      </c>
      <c r="AA311" s="30">
        <f t="shared" si="185"/>
        <v>6.6854850690833461</v>
      </c>
      <c r="AB311" s="30">
        <f t="shared" si="186"/>
        <v>0</v>
      </c>
      <c r="AC311" s="30">
        <f t="shared" si="187"/>
        <v>0</v>
      </c>
      <c r="AD311" s="30">
        <f t="shared" si="188"/>
        <v>0</v>
      </c>
      <c r="AE311" s="32">
        <f t="shared" si="199"/>
        <v>6.6854850690833461</v>
      </c>
      <c r="AF311" s="33">
        <f t="shared" si="210"/>
        <v>9.833706848481615</v>
      </c>
      <c r="AG311" s="40">
        <f t="shared" si="200"/>
        <v>100.35011095453028</v>
      </c>
      <c r="AH311" s="224">
        <f>AG311*$P$36</f>
        <v>8.4162283277249834</v>
      </c>
      <c r="AI311" s="226">
        <f>SUM(Z311,IF(Z311&lt;&gt;0,$F$34,0),IF(Z311&lt;&gt;0,$N$36,0),IF(Z311&lt;&gt;0,$T$36,0),IF(Z311=0,AH316,IF(Z311=1,AH317,IF(Z311=2,AH318,IF(Z311=3,AH319,IF(Z311=4,AH320,IF(Z311=5,AH321,IF(Z311=6,AH322,IF(Z311=7,AH323,IF(Z311=8,AH324,IF(Z311=9,AH325,IF(Z311=10,AH326,IF(Z311=11,AH327,IF(Z311=12,AH328,IF(Z311=13,AH329,IF(Z311=14,AH330,IF(Z311=15,AH331,IF(Z311=16,AH332,IF(Z311=17,AH333,IF(Z311=18,AH334,IF(Z311=19,AH335,IF(Z311=20,AH336,IF(Z311=21,AH337,IF(Z311=22,AH338,IF(Z311=23,AH339,IF(Z311=24,AH340,IF(Z311=25,AH341,IF(Z311=26,AH342,IF(Z311=27,AH343,IF(Z311=28,AH344,IF(Z311=29,AH345,IF(Z311=30,AH346))))))))))))))))))))))))))))))))</f>
        <v>29.165886293940005</v>
      </c>
      <c r="AJ311" s="253">
        <f>IF(V311&lt;&gt;0,SUM($F$34,V311,$N$36,MAX($AH$42:$AH$342),$T$36),0)</f>
        <v>33.708228610374491</v>
      </c>
      <c r="AK311" s="253">
        <f>IF(W311&lt;&gt;0,SUM($F$34,W311,$N$36,MAX($AH$42:$AH$342),$T$36),0)</f>
        <v>0</v>
      </c>
      <c r="AL311" s="253">
        <f>IF(X311&lt;&gt;0,SUM($F$34,X311,$N$36,MAX($AH$42:$AH$342),$T$36),0)</f>
        <v>0</v>
      </c>
      <c r="AM311" s="260">
        <f>IF(Y311&lt;&gt;0,SUM($F$34,Y311,$N$36,MAX($AH$42:$AH$342),$T$36),0)</f>
        <v>0</v>
      </c>
    </row>
    <row r="312" spans="1:39" x14ac:dyDescent="0.35">
      <c r="A312" s="259">
        <v>1730</v>
      </c>
      <c r="B312" s="58">
        <f>SUMIF([2]!Table2_23[ETA],'FIS Optimal Model (2)'!A312,[2]!Table2_23[FIS PAX])</f>
        <v>0</v>
      </c>
      <c r="C312" s="44">
        <f t="shared" si="201"/>
        <v>0</v>
      </c>
      <c r="D312" s="52">
        <f t="shared" si="208"/>
        <v>0</v>
      </c>
      <c r="E312" s="26">
        <f t="shared" si="189"/>
        <v>0</v>
      </c>
      <c r="F312" s="26">
        <f t="shared" si="190"/>
        <v>0</v>
      </c>
      <c r="G312" s="26">
        <f t="shared" si="191"/>
        <v>0</v>
      </c>
      <c r="H312" s="26">
        <f t="shared" si="192"/>
        <v>0</v>
      </c>
      <c r="I312" s="27">
        <f t="shared" si="211"/>
        <v>0</v>
      </c>
      <c r="J312" s="27">
        <f t="shared" si="211"/>
        <v>0</v>
      </c>
      <c r="K312" s="27">
        <f t="shared" si="211"/>
        <v>0</v>
      </c>
      <c r="L312" s="27">
        <f t="shared" si="209"/>
        <v>0</v>
      </c>
      <c r="M312" s="28">
        <f t="shared" si="202"/>
        <v>3</v>
      </c>
      <c r="N312" s="29">
        <f t="shared" si="203"/>
        <v>6</v>
      </c>
      <c r="O312" s="28">
        <f t="shared" si="204"/>
        <v>1</v>
      </c>
      <c r="P312" s="28">
        <f t="shared" si="205"/>
        <v>1</v>
      </c>
      <c r="Q312" s="28">
        <f t="shared" si="193"/>
        <v>11</v>
      </c>
      <c r="R312" s="22">
        <f t="shared" si="194"/>
        <v>23.894963601248257</v>
      </c>
      <c r="S312" s="22">
        <f t="shared" si="195"/>
        <v>0</v>
      </c>
      <c r="T312" s="22">
        <f t="shared" si="196"/>
        <v>0</v>
      </c>
      <c r="U312" s="22">
        <f t="shared" si="197"/>
        <v>0</v>
      </c>
      <c r="V312" s="21">
        <f t="shared" si="212"/>
        <v>3.2167400000000401</v>
      </c>
      <c r="W312" s="21">
        <f t="shared" ref="W312:W342" si="213">IFERROR(S312*($I$34/N312),0)</f>
        <v>0</v>
      </c>
      <c r="X312" s="21">
        <f t="shared" si="206"/>
        <v>0</v>
      </c>
      <c r="Y312" s="21">
        <f t="shared" si="207"/>
        <v>0</v>
      </c>
      <c r="Z312" s="221">
        <f t="shared" si="198"/>
        <v>2</v>
      </c>
      <c r="AA312" s="30">
        <f t="shared" si="185"/>
        <v>6.6854850690833461</v>
      </c>
      <c r="AB312" s="30">
        <f t="shared" si="186"/>
        <v>0</v>
      </c>
      <c r="AC312" s="30">
        <f t="shared" si="187"/>
        <v>0</v>
      </c>
      <c r="AD312" s="30">
        <f t="shared" si="188"/>
        <v>0</v>
      </c>
      <c r="AE312" s="32">
        <f t="shared" si="199"/>
        <v>6.6854850690833461</v>
      </c>
      <c r="AF312" s="33">
        <f t="shared" si="210"/>
        <v>9.833706848481615</v>
      </c>
      <c r="AG312" s="40">
        <f t="shared" si="200"/>
        <v>98.260411373560103</v>
      </c>
      <c r="AH312" s="224">
        <f>AG312*$P$36</f>
        <v>8.2409680450755189</v>
      </c>
      <c r="AI312" s="226">
        <f>SUM(Z312,IF(Z312&lt;&gt;0,$F$34,0),IF(Z312&lt;&gt;0,$N$36,0),IF(Z312&lt;&gt;0,$T$36,0),IF(Z312=0,AH317,IF(Z312=1,AH318,IF(Z312=2,AH319,IF(Z312=3,AH320,IF(Z312=4,AH321,IF(Z312=5,AH322,IF(Z312=6,AH323,IF(Z312=7,AH324,IF(Z312=8,AH325,IF(Z312=9,AH326,IF(Z312=10,AH327,IF(Z312=11,AH328,IF(Z312=12,AH329,IF(Z312=13,AH330,IF(Z312=14,AH331,IF(Z312=15,AH332,IF(Z312=16,AH333,IF(Z312=17,AH334,IF(Z312=18,AH335,IF(Z312=19,AH336,IF(Z312=20,AH337,IF(Z312=21,AH338,IF(Z312=22,AH339,IF(Z312=23,AH340,IF(Z312=24,AH341,IF(Z312=25,AH342,IF(Z312=26,AH343,IF(Z312=27,AH344,IF(Z312=28,AH345,IF(Z312=29,AH346,IF(Z312=30,AH347))))))))))))))))))))))))))))))))</f>
        <v>28.165886293940005</v>
      </c>
      <c r="AJ312" s="253">
        <f>IF(V312&lt;&gt;0,SUM($F$34,V312,$N$36,MAX($AH$42:$AH$342),$T$36),0)</f>
        <v>32.808228610374485</v>
      </c>
      <c r="AK312" s="253">
        <f>IF(W312&lt;&gt;0,SUM($F$34,W312,$N$36,MAX($AH$42:$AH$342),$T$36),0)</f>
        <v>0</v>
      </c>
      <c r="AL312" s="253">
        <f>IF(X312&lt;&gt;0,SUM($F$34,X312,$N$36,MAX($AH$42:$AH$342),$T$36),0)</f>
        <v>0</v>
      </c>
      <c r="AM312" s="260">
        <f>IF(Y312&lt;&gt;0,SUM($F$34,Y312,$N$36,MAX($AH$42:$AH$342),$T$36),0)</f>
        <v>0</v>
      </c>
    </row>
    <row r="313" spans="1:39" x14ac:dyDescent="0.35">
      <c r="A313" s="259">
        <v>1731</v>
      </c>
      <c r="B313" s="58">
        <f>SUMIF([2]!Table2_23[ETA],'FIS Optimal Model (2)'!A313,[2]!Table2_23[FIS PAX])</f>
        <v>0</v>
      </c>
      <c r="C313" s="44">
        <f t="shared" si="201"/>
        <v>0</v>
      </c>
      <c r="D313" s="52">
        <f t="shared" si="208"/>
        <v>0</v>
      </c>
      <c r="E313" s="26">
        <f t="shared" si="189"/>
        <v>0</v>
      </c>
      <c r="F313" s="26">
        <f t="shared" si="190"/>
        <v>0</v>
      </c>
      <c r="G313" s="26">
        <f t="shared" si="191"/>
        <v>0</v>
      </c>
      <c r="H313" s="26">
        <f t="shared" si="192"/>
        <v>0</v>
      </c>
      <c r="I313" s="27">
        <f t="shared" si="211"/>
        <v>0</v>
      </c>
      <c r="J313" s="27">
        <f t="shared" si="211"/>
        <v>0</v>
      </c>
      <c r="K313" s="27">
        <f t="shared" si="211"/>
        <v>0</v>
      </c>
      <c r="L313" s="27">
        <f t="shared" si="209"/>
        <v>0</v>
      </c>
      <c r="M313" s="28">
        <f>IF(R312=0,0,$Q$24)</f>
        <v>3</v>
      </c>
      <c r="N313" s="29">
        <f>$U$24-M313-O313-P313</f>
        <v>8</v>
      </c>
      <c r="O313" s="28">
        <f>IF(T312=0,0,$S$24)</f>
        <v>0</v>
      </c>
      <c r="P313" s="28">
        <f>IF(U312=0,0,$T$24)</f>
        <v>0</v>
      </c>
      <c r="Q313" s="28">
        <f t="shared" si="193"/>
        <v>11</v>
      </c>
      <c r="R313" s="22">
        <f t="shared" si="194"/>
        <v>17.209478532164912</v>
      </c>
      <c r="S313" s="22">
        <f t="shared" si="195"/>
        <v>0</v>
      </c>
      <c r="T313" s="22">
        <f t="shared" si="196"/>
        <v>0</v>
      </c>
      <c r="U313" s="22">
        <f t="shared" si="197"/>
        <v>0</v>
      </c>
      <c r="V313" s="21">
        <f t="shared" si="212"/>
        <v>2.3167400000000402</v>
      </c>
      <c r="W313" s="21">
        <f t="shared" si="213"/>
        <v>0</v>
      </c>
      <c r="X313" s="21">
        <f t="shared" si="206"/>
        <v>0</v>
      </c>
      <c r="Y313" s="21">
        <f t="shared" si="207"/>
        <v>0</v>
      </c>
      <c r="Z313" s="221">
        <f t="shared" si="198"/>
        <v>2</v>
      </c>
      <c r="AA313" s="30">
        <f t="shared" si="185"/>
        <v>6.6854850690833461</v>
      </c>
      <c r="AB313" s="30">
        <f t="shared" si="186"/>
        <v>0</v>
      </c>
      <c r="AC313" s="30">
        <f t="shared" si="187"/>
        <v>0</v>
      </c>
      <c r="AD313" s="30">
        <f t="shared" si="188"/>
        <v>0</v>
      </c>
      <c r="AE313" s="32">
        <f t="shared" si="199"/>
        <v>6.6854850690833461</v>
      </c>
      <c r="AF313" s="33">
        <f t="shared" si="210"/>
        <v>6.6854850690833461</v>
      </c>
      <c r="AG313" s="40">
        <f t="shared" si="200"/>
        <v>93.022490013191657</v>
      </c>
      <c r="AH313" s="224">
        <f>AG313*$P$36</f>
        <v>7.8016706520561581</v>
      </c>
      <c r="AI313" s="226">
        <f>SUM(Z313,IF(Z313&lt;&gt;0,$F$34,0),IF(Z313&lt;&gt;0,$N$36,0),IF(Z313&lt;&gt;0,$T$36,0),IF(Z313=0,AH318,IF(Z313=1,AH319,IF(Z313=2,AH320,IF(Z313=3,AH321,IF(Z313=4,AH322,IF(Z313=5,AH323,IF(Z313=6,AH324,IF(Z313=7,AH325,IF(Z313=8,AH326,IF(Z313=9,AH327,IF(Z313=10,AH328,IF(Z313=11,AH329,IF(Z313=12,AH330,IF(Z313=13,AH331,IF(Z313=14,AH332,IF(Z313=15,AH333,IF(Z313=16,AH334,IF(Z313=17,AH335,IF(Z313=18,AH336,IF(Z313=19,AH337,IF(Z313=20,AH338,IF(Z313=21,AH339,IF(Z313=22,AH340,IF(Z313=23,AH341,IF(Z313=24,AH342,IF(Z313=25,AH343,IF(Z313=26,AH344,IF(Z313=27,AH345,IF(Z313=28,AH346,IF(Z313=29,AH347,IF(Z313=30,AH348))))))))))))))))))))))))))))))))</f>
        <v>27.165886293940005</v>
      </c>
      <c r="AJ313" s="253">
        <f>IF(V313&lt;&gt;0,SUM($F$34,V313,$N$36,MAX($AH$42:$AH$342),$T$36),0)</f>
        <v>31.908228610374486</v>
      </c>
      <c r="AK313" s="253">
        <f>IF(W313&lt;&gt;0,SUM($F$34,W313,$N$36,MAX($AH$42:$AH$342),$T$36),0)</f>
        <v>0</v>
      </c>
      <c r="AL313" s="253">
        <f>IF(X313&lt;&gt;0,SUM($F$34,X313,$N$36,MAX($AH$42:$AH$342),$T$36),0)</f>
        <v>0</v>
      </c>
      <c r="AM313" s="260">
        <f>IF(Y313&lt;&gt;0,SUM($F$34,Y313,$N$36,MAX($AH$42:$AH$342),$T$36),0)</f>
        <v>0</v>
      </c>
    </row>
    <row r="314" spans="1:39" x14ac:dyDescent="0.35">
      <c r="A314" s="259">
        <v>1732</v>
      </c>
      <c r="B314" s="58">
        <f>SUMIF([2]!Table2_23[ETA],'FIS Optimal Model (2)'!A314,[2]!Table2_23[FIS PAX])</f>
        <v>0</v>
      </c>
      <c r="C314" s="44">
        <f t="shared" si="201"/>
        <v>0</v>
      </c>
      <c r="D314" s="52">
        <f t="shared" si="208"/>
        <v>0</v>
      </c>
      <c r="E314" s="26">
        <f t="shared" si="189"/>
        <v>0</v>
      </c>
      <c r="F314" s="26">
        <f t="shared" si="190"/>
        <v>0</v>
      </c>
      <c r="G314" s="26">
        <f t="shared" si="191"/>
        <v>0</v>
      </c>
      <c r="H314" s="26">
        <f t="shared" si="192"/>
        <v>0</v>
      </c>
      <c r="I314" s="27">
        <f t="shared" si="211"/>
        <v>0</v>
      </c>
      <c r="J314" s="27">
        <f t="shared" si="211"/>
        <v>0</v>
      </c>
      <c r="K314" s="27">
        <f t="shared" si="211"/>
        <v>0</v>
      </c>
      <c r="L314" s="27">
        <f t="shared" si="209"/>
        <v>0</v>
      </c>
      <c r="M314" s="28">
        <f>$M$313</f>
        <v>3</v>
      </c>
      <c r="N314" s="29">
        <f>$N$313</f>
        <v>8</v>
      </c>
      <c r="O314" s="28">
        <f>$O$313</f>
        <v>0</v>
      </c>
      <c r="P314" s="28">
        <f>$P$313</f>
        <v>0</v>
      </c>
      <c r="Q314" s="28">
        <f t="shared" si="193"/>
        <v>11</v>
      </c>
      <c r="R314" s="22">
        <f t="shared" si="194"/>
        <v>10.523993463081567</v>
      </c>
      <c r="S314" s="22">
        <f t="shared" si="195"/>
        <v>0</v>
      </c>
      <c r="T314" s="22">
        <f t="shared" si="196"/>
        <v>0</v>
      </c>
      <c r="U314" s="22">
        <f t="shared" si="197"/>
        <v>0</v>
      </c>
      <c r="V314" s="21">
        <f t="shared" si="212"/>
        <v>1.4167400000000405</v>
      </c>
      <c r="W314" s="21">
        <f t="shared" si="213"/>
        <v>0</v>
      </c>
      <c r="X314" s="21">
        <f t="shared" si="206"/>
        <v>0</v>
      </c>
      <c r="Y314" s="21">
        <f t="shared" si="207"/>
        <v>0</v>
      </c>
      <c r="Z314" s="221">
        <f t="shared" si="198"/>
        <v>1</v>
      </c>
      <c r="AA314" s="30">
        <f t="shared" si="185"/>
        <v>6.6854850690833461</v>
      </c>
      <c r="AB314" s="30">
        <f t="shared" si="186"/>
        <v>0</v>
      </c>
      <c r="AC314" s="30">
        <f t="shared" si="187"/>
        <v>0</v>
      </c>
      <c r="AD314" s="30">
        <f t="shared" si="188"/>
        <v>0</v>
      </c>
      <c r="AE314" s="32">
        <f t="shared" si="199"/>
        <v>6.6854850690833461</v>
      </c>
      <c r="AF314" s="33">
        <f t="shared" si="210"/>
        <v>6.6854850690833461</v>
      </c>
      <c r="AG314" s="40">
        <f t="shared" si="200"/>
        <v>87.784568652823225</v>
      </c>
      <c r="AH314" s="224">
        <f>AG314*$P$36</f>
        <v>7.362373259036799</v>
      </c>
      <c r="AI314" s="226">
        <f>SUM(Z314,IF(Z314&lt;&gt;0,$F$34,0),IF(Z314&lt;&gt;0,$N$36,0),IF(Z314&lt;&gt;0,$T$36,0),IF(Z314=0,AH319,IF(Z314=1,AH320,IF(Z314=2,AH321,IF(Z314=3,AH322,IF(Z314=4,AH323,IF(Z314=5,AH324,IF(Z314=6,AH325,IF(Z314=7,AH326,IF(Z314=8,AH327,IF(Z314=9,AH328,IF(Z314=10,AH329,IF(Z314=11,AH330,IF(Z314=12,AH331,IF(Z314=13,AH332,IF(Z314=14,AH333,IF(Z314=15,AH334,IF(Z314=16,AH335,IF(Z314=17,AH336,IF(Z314=18,AH337,IF(Z314=19,AH338,IF(Z314=20,AH339,IF(Z314=21,AH340,IF(Z314=22,AH341,IF(Z314=23,AH342,IF(Z314=24,AH343,IF(Z314=25,AH344,IF(Z314=26,AH345,IF(Z314=27,AH346,IF(Z314=28,AH347,IF(Z314=29,AH348,IF(Z314=30,AH349))))))))))))))))))))))))))))))))</f>
        <v>26.165886293940005</v>
      </c>
      <c r="AJ314" s="253">
        <f>IF(V314&lt;&gt;0,SUM($F$34,V314,$N$36,MAX($AH$42:$AH$342),$T$36),0)</f>
        <v>31.008228610374488</v>
      </c>
      <c r="AK314" s="253">
        <f>IF(W314&lt;&gt;0,SUM($F$34,W314,$N$36,MAX($AH$42:$AH$342),$T$36),0)</f>
        <v>0</v>
      </c>
      <c r="AL314" s="253">
        <f>IF(X314&lt;&gt;0,SUM($F$34,X314,$N$36,MAX($AH$42:$AH$342),$T$36),0)</f>
        <v>0</v>
      </c>
      <c r="AM314" s="260">
        <f>IF(Y314&lt;&gt;0,SUM($F$34,Y314,$N$36,MAX($AH$42:$AH$342),$T$36),0)</f>
        <v>0</v>
      </c>
    </row>
    <row r="315" spans="1:39" x14ac:dyDescent="0.35">
      <c r="A315" s="259">
        <v>1733</v>
      </c>
      <c r="B315" s="58">
        <f>SUMIF([2]!Table2_23[ETA],'FIS Optimal Model (2)'!A315,[2]!Table2_23[FIS PAX])</f>
        <v>0</v>
      </c>
      <c r="C315" s="44">
        <f t="shared" si="201"/>
        <v>0</v>
      </c>
      <c r="D315" s="52">
        <f t="shared" si="208"/>
        <v>0</v>
      </c>
      <c r="E315" s="26">
        <f t="shared" si="189"/>
        <v>0</v>
      </c>
      <c r="F315" s="26">
        <f t="shared" si="190"/>
        <v>0</v>
      </c>
      <c r="G315" s="26">
        <f t="shared" si="191"/>
        <v>0</v>
      </c>
      <c r="H315" s="26">
        <f t="shared" si="192"/>
        <v>0</v>
      </c>
      <c r="I315" s="27">
        <f t="shared" si="211"/>
        <v>0</v>
      </c>
      <c r="J315" s="27">
        <f t="shared" si="211"/>
        <v>0</v>
      </c>
      <c r="K315" s="27">
        <f t="shared" si="211"/>
        <v>0</v>
      </c>
      <c r="L315" s="27">
        <f t="shared" si="209"/>
        <v>0</v>
      </c>
      <c r="M315" s="28">
        <f t="shared" ref="M315:M327" si="214">$M$313</f>
        <v>3</v>
      </c>
      <c r="N315" s="29">
        <f t="shared" ref="N315:N327" si="215">$N$313</f>
        <v>8</v>
      </c>
      <c r="O315" s="28">
        <f t="shared" ref="O315:O327" si="216">$O$313</f>
        <v>0</v>
      </c>
      <c r="P315" s="28">
        <f t="shared" ref="P315:P327" si="217">$P$313</f>
        <v>0</v>
      </c>
      <c r="Q315" s="28">
        <f t="shared" si="193"/>
        <v>11</v>
      </c>
      <c r="R315" s="22">
        <f t="shared" si="194"/>
        <v>3.8385083939982207</v>
      </c>
      <c r="S315" s="22">
        <f t="shared" si="195"/>
        <v>0</v>
      </c>
      <c r="T315" s="22">
        <f t="shared" si="196"/>
        <v>0</v>
      </c>
      <c r="U315" s="22">
        <f t="shared" si="197"/>
        <v>0</v>
      </c>
      <c r="V315" s="21">
        <f t="shared" si="212"/>
        <v>0.51674000000004039</v>
      </c>
      <c r="W315" s="21">
        <f t="shared" si="213"/>
        <v>0</v>
      </c>
      <c r="X315" s="21">
        <f t="shared" si="206"/>
        <v>0</v>
      </c>
      <c r="Y315" s="21">
        <f t="shared" si="207"/>
        <v>0</v>
      </c>
      <c r="Z315" s="221">
        <f t="shared" si="198"/>
        <v>1</v>
      </c>
      <c r="AA315" s="30">
        <f t="shared" si="185"/>
        <v>6.6854850690833461</v>
      </c>
      <c r="AB315" s="30">
        <f t="shared" si="186"/>
        <v>0</v>
      </c>
      <c r="AC315" s="30">
        <f t="shared" si="187"/>
        <v>0</v>
      </c>
      <c r="AD315" s="30">
        <f t="shared" si="188"/>
        <v>0</v>
      </c>
      <c r="AE315" s="32">
        <f t="shared" si="199"/>
        <v>6.6854850690833461</v>
      </c>
      <c r="AF315" s="33">
        <f t="shared" si="210"/>
        <v>6.6854850690833461</v>
      </c>
      <c r="AG315" s="40">
        <f t="shared" si="200"/>
        <v>82.546647292454793</v>
      </c>
      <c r="AH315" s="224">
        <f>AG315*$P$36</f>
        <v>6.9230758660174398</v>
      </c>
      <c r="AI315" s="226">
        <f>SUM(Z315,IF(Z315&lt;&gt;0,$F$34,0),IF(Z315&lt;&gt;0,$N$36,0),IF(Z315&lt;&gt;0,$T$36,0),IF(Z315=0,AH320,IF(Z315=1,AH321,IF(Z315=2,AH322,IF(Z315=3,AH323,IF(Z315=4,AH324,IF(Z315=5,AH325,IF(Z315=6,AH326,IF(Z315=7,AH327,IF(Z315=8,AH328,IF(Z315=9,AH329,IF(Z315=10,AH330,IF(Z315=11,AH331,IF(Z315=12,AH332,IF(Z315=13,AH333,IF(Z315=14,AH334,IF(Z315=15,AH335,IF(Z315=16,AH336,IF(Z315=17,AH337,IF(Z315=18,AH338,IF(Z315=19,AH339,IF(Z315=20,AH340,IF(Z315=21,AH341,IF(Z315=22,AH342,IF(Z315=23,AH343,IF(Z315=24,AH344,IF(Z315=25,AH345,IF(Z315=26,AH346,IF(Z315=27,AH347,IF(Z315=28,AH348,IF(Z315=29,AH349,IF(Z315=30,AH350))))))))))))))))))))))))))))))))</f>
        <v>25.165886293940005</v>
      </c>
      <c r="AJ315" s="253">
        <f>IF(V315&lt;&gt;0,SUM($F$34,V315,$N$36,MAX($AH$42:$AH$342),$T$36),0)</f>
        <v>30.108228610374489</v>
      </c>
      <c r="AK315" s="253">
        <f>IF(W315&lt;&gt;0,SUM($F$34,W315,$N$36,MAX($AH$42:$AH$342),$T$36),0)</f>
        <v>0</v>
      </c>
      <c r="AL315" s="253">
        <f>IF(X315&lt;&gt;0,SUM($F$34,X315,$N$36,MAX($AH$42:$AH$342),$T$36),0)</f>
        <v>0</v>
      </c>
      <c r="AM315" s="260">
        <f>IF(Y315&lt;&gt;0,SUM($F$34,Y315,$N$36,MAX($AH$42:$AH$342),$T$36),0)</f>
        <v>0</v>
      </c>
    </row>
    <row r="316" spans="1:39" x14ac:dyDescent="0.35">
      <c r="A316" s="259">
        <v>1734</v>
      </c>
      <c r="B316" s="58">
        <f>SUMIF([2]!Table2_23[ETA],'FIS Optimal Model (2)'!A316,[2]!Table2_23[FIS PAX])</f>
        <v>0</v>
      </c>
      <c r="C316" s="44">
        <f t="shared" si="201"/>
        <v>0</v>
      </c>
      <c r="D316" s="52">
        <f t="shared" si="208"/>
        <v>0</v>
      </c>
      <c r="E316" s="26">
        <f t="shared" si="189"/>
        <v>0</v>
      </c>
      <c r="F316" s="26">
        <f t="shared" si="190"/>
        <v>0</v>
      </c>
      <c r="G316" s="26">
        <f t="shared" si="191"/>
        <v>0</v>
      </c>
      <c r="H316" s="26">
        <f t="shared" si="192"/>
        <v>0</v>
      </c>
      <c r="I316" s="27">
        <f t="shared" si="211"/>
        <v>0</v>
      </c>
      <c r="J316" s="27">
        <f t="shared" si="211"/>
        <v>0</v>
      </c>
      <c r="K316" s="27">
        <f t="shared" si="211"/>
        <v>0</v>
      </c>
      <c r="L316" s="27">
        <f t="shared" si="209"/>
        <v>0</v>
      </c>
      <c r="M316" s="28">
        <f t="shared" si="214"/>
        <v>3</v>
      </c>
      <c r="N316" s="29">
        <f t="shared" si="215"/>
        <v>8</v>
      </c>
      <c r="O316" s="28">
        <f t="shared" si="216"/>
        <v>0</v>
      </c>
      <c r="P316" s="28">
        <f t="shared" si="217"/>
        <v>0</v>
      </c>
      <c r="Q316" s="28">
        <f t="shared" si="193"/>
        <v>11</v>
      </c>
      <c r="R316" s="22">
        <f t="shared" si="194"/>
        <v>0</v>
      </c>
      <c r="S316" s="22">
        <f t="shared" si="195"/>
        <v>0</v>
      </c>
      <c r="T316" s="22">
        <f t="shared" si="196"/>
        <v>0</v>
      </c>
      <c r="U316" s="22">
        <f t="shared" si="197"/>
        <v>0</v>
      </c>
      <c r="V316" s="21">
        <f t="shared" si="212"/>
        <v>0</v>
      </c>
      <c r="W316" s="21">
        <f t="shared" si="213"/>
        <v>0</v>
      </c>
      <c r="X316" s="21">
        <f t="shared" si="206"/>
        <v>0</v>
      </c>
      <c r="Y316" s="21">
        <f t="shared" si="207"/>
        <v>0</v>
      </c>
      <c r="Z316" s="221">
        <f t="shared" si="198"/>
        <v>0</v>
      </c>
      <c r="AA316" s="30">
        <f t="shared" si="185"/>
        <v>0</v>
      </c>
      <c r="AB316" s="30">
        <f t="shared" si="186"/>
        <v>0</v>
      </c>
      <c r="AC316" s="30">
        <f t="shared" si="187"/>
        <v>0</v>
      </c>
      <c r="AD316" s="30">
        <f t="shared" si="188"/>
        <v>0</v>
      </c>
      <c r="AE316" s="32">
        <f t="shared" si="199"/>
        <v>0</v>
      </c>
      <c r="AF316" s="33">
        <f t="shared" si="210"/>
        <v>6.6854850690833461</v>
      </c>
      <c r="AG316" s="40">
        <f t="shared" si="200"/>
        <v>77.308725932086361</v>
      </c>
      <c r="AH316" s="224">
        <f>AG316*$P$36</f>
        <v>6.4837784729980807</v>
      </c>
      <c r="AI316" s="226">
        <f>SUM(Z316,IF(Z316&lt;&gt;0,$F$34,0),IF(Z316&lt;&gt;0,$N$36,0),IF(Z316&lt;&gt;0,$T$36,0),IF(Z316=0,AH321,IF(Z316=1,AH322,IF(Z316=2,AH323,IF(Z316=3,AH324,IF(Z316=4,AH325,IF(Z316=5,AH326,IF(Z316=6,AH327,IF(Z316=7,AH328,IF(Z316=8,AH329,IF(Z316=9,AH330,IF(Z316=10,AH331,IF(Z316=11,AH332,IF(Z316=12,AH333,IF(Z316=13,AH334,IF(Z316=14,AH335,IF(Z316=15,AH336,IF(Z316=16,AH337,IF(Z316=17,AH338,IF(Z316=18,AH339,IF(Z316=19,AH340,IF(Z316=20,AH341,IF(Z316=21,AH342,IF(Z316=22,AH343,IF(Z316=23,AH344,IF(Z316=24,AH345,IF(Z316=25,AH346,IF(Z316=26,AH347,IF(Z316=27,AH348,IF(Z316=28,AH349,IF(Z316=29,AH350,IF(Z316=30,AH351))))))))))))))))))))))))))))))))</f>
        <v>3.1658862939400034</v>
      </c>
      <c r="AJ316" s="253">
        <f>IF(V316&lt;&gt;0,SUM($F$34,V316,$N$36,MAX($AH$42:$AH$342),$T$36),0)</f>
        <v>0</v>
      </c>
      <c r="AK316" s="253">
        <f>IF(W316&lt;&gt;0,SUM($F$34,W316,$N$36,MAX($AH$42:$AH$342),$T$36),0)</f>
        <v>0</v>
      </c>
      <c r="AL316" s="253">
        <f>IF(X316&lt;&gt;0,SUM($F$34,X316,$N$36,MAX($AH$42:$AH$342),$T$36),0)</f>
        <v>0</v>
      </c>
      <c r="AM316" s="260">
        <f>IF(Y316&lt;&gt;0,SUM($F$34,Y316,$N$36,MAX($AH$42:$AH$342),$T$36),0)</f>
        <v>0</v>
      </c>
    </row>
    <row r="317" spans="1:39" x14ac:dyDescent="0.35">
      <c r="A317" s="259">
        <v>1735</v>
      </c>
      <c r="B317" s="58">
        <f>SUMIF([2]!Table2_23[ETA],'FIS Optimal Model (2)'!A317,[2]!Table2_23[FIS PAX])</f>
        <v>0</v>
      </c>
      <c r="C317" s="44">
        <f t="shared" si="201"/>
        <v>0</v>
      </c>
      <c r="D317" s="52">
        <f t="shared" si="208"/>
        <v>0</v>
      </c>
      <c r="E317" s="26">
        <f t="shared" si="189"/>
        <v>0</v>
      </c>
      <c r="F317" s="26">
        <f t="shared" si="190"/>
        <v>0</v>
      </c>
      <c r="G317" s="26">
        <f t="shared" si="191"/>
        <v>0</v>
      </c>
      <c r="H317" s="26">
        <f t="shared" si="192"/>
        <v>0</v>
      </c>
      <c r="I317" s="27">
        <f t="shared" si="211"/>
        <v>0</v>
      </c>
      <c r="J317" s="27">
        <f t="shared" si="211"/>
        <v>0</v>
      </c>
      <c r="K317" s="27">
        <f t="shared" si="211"/>
        <v>0</v>
      </c>
      <c r="L317" s="27">
        <f t="shared" si="209"/>
        <v>0</v>
      </c>
      <c r="M317" s="28">
        <f t="shared" si="214"/>
        <v>3</v>
      </c>
      <c r="N317" s="29">
        <f t="shared" si="215"/>
        <v>8</v>
      </c>
      <c r="O317" s="28">
        <f t="shared" si="216"/>
        <v>0</v>
      </c>
      <c r="P317" s="28">
        <f t="shared" si="217"/>
        <v>0</v>
      </c>
      <c r="Q317" s="28">
        <f t="shared" si="193"/>
        <v>11</v>
      </c>
      <c r="R317" s="22">
        <f t="shared" si="194"/>
        <v>0</v>
      </c>
      <c r="S317" s="22">
        <f t="shared" si="195"/>
        <v>0</v>
      </c>
      <c r="T317" s="22">
        <f t="shared" si="196"/>
        <v>0</v>
      </c>
      <c r="U317" s="22">
        <f t="shared" si="197"/>
        <v>0</v>
      </c>
      <c r="V317" s="21">
        <f t="shared" si="212"/>
        <v>0</v>
      </c>
      <c r="W317" s="21">
        <f t="shared" si="213"/>
        <v>0</v>
      </c>
      <c r="X317" s="21">
        <f t="shared" si="206"/>
        <v>0</v>
      </c>
      <c r="Y317" s="21">
        <f t="shared" si="207"/>
        <v>0</v>
      </c>
      <c r="Z317" s="221">
        <f t="shared" si="198"/>
        <v>0</v>
      </c>
      <c r="AA317" s="30">
        <f t="shared" si="185"/>
        <v>0</v>
      </c>
      <c r="AB317" s="30">
        <f t="shared" si="186"/>
        <v>0</v>
      </c>
      <c r="AC317" s="30">
        <f t="shared" si="187"/>
        <v>0</v>
      </c>
      <c r="AD317" s="30">
        <f t="shared" si="188"/>
        <v>0</v>
      </c>
      <c r="AE317" s="32">
        <f t="shared" si="199"/>
        <v>0</v>
      </c>
      <c r="AF317" s="33">
        <f t="shared" si="210"/>
        <v>6.6854850690833461</v>
      </c>
      <c r="AG317" s="40">
        <f t="shared" si="200"/>
        <v>72.070804571717929</v>
      </c>
      <c r="AH317" s="224">
        <f>AG317*$P$36</f>
        <v>6.0444810799787216</v>
      </c>
      <c r="AI317" s="226">
        <f>SUM(Z317,IF(Z317&lt;&gt;0,$F$34,0),IF(Z317&lt;&gt;0,$N$36,0),IF(Z317&lt;&gt;0,$T$36,0),IF(Z317=0,AH322,IF(Z317=1,AH323,IF(Z317=2,AH324,IF(Z317=3,AH325,IF(Z317=4,AH326,IF(Z317=5,AH327,IF(Z317=6,AH328,IF(Z317=7,AH329,IF(Z317=8,AH330,IF(Z317=9,AH331,IF(Z317=10,AH332,IF(Z317=11,AH333,IF(Z317=12,AH334,IF(Z317=13,AH335,IF(Z317=14,AH336,IF(Z317=15,AH337,IF(Z317=16,AH338,IF(Z317=17,AH339,IF(Z317=18,AH340,IF(Z317=19,AH341,IF(Z317=20,AH342,IF(Z317=21,AH343,IF(Z317=22,AH344,IF(Z317=23,AH345,IF(Z317=24,AH346,IF(Z317=25,AH347,IF(Z317=26,AH348,IF(Z317=27,AH349,IF(Z317=28,AH350,IF(Z317=29,AH351,IF(Z317=30,AH352))))))))))))))))))))))))))))))))</f>
        <v>2.1658862939400034</v>
      </c>
      <c r="AJ317" s="253">
        <f>IF(V317&lt;&gt;0,SUM($F$34,V317,$N$36,MAX($AH$42:$AH$342),$T$36),0)</f>
        <v>0</v>
      </c>
      <c r="AK317" s="253">
        <f>IF(W317&lt;&gt;0,SUM($F$34,W317,$N$36,MAX($AH$42:$AH$342),$T$36),0)</f>
        <v>0</v>
      </c>
      <c r="AL317" s="253">
        <f>IF(X317&lt;&gt;0,SUM($F$34,X317,$N$36,MAX($AH$42:$AH$342),$T$36),0)</f>
        <v>0</v>
      </c>
      <c r="AM317" s="260">
        <f>IF(Y317&lt;&gt;0,SUM($F$34,Y317,$N$36,MAX($AH$42:$AH$342),$T$36),0)</f>
        <v>0</v>
      </c>
    </row>
    <row r="318" spans="1:39" x14ac:dyDescent="0.35">
      <c r="A318" s="259">
        <v>1736</v>
      </c>
      <c r="B318" s="58">
        <f>SUMIF([2]!Table2_23[ETA],'FIS Optimal Model (2)'!A318,[2]!Table2_23[FIS PAX])</f>
        <v>0</v>
      </c>
      <c r="C318" s="44">
        <f t="shared" si="201"/>
        <v>0</v>
      </c>
      <c r="D318" s="52">
        <f t="shared" si="208"/>
        <v>0</v>
      </c>
      <c r="E318" s="26">
        <f t="shared" si="189"/>
        <v>0</v>
      </c>
      <c r="F318" s="26">
        <f t="shared" si="190"/>
        <v>0</v>
      </c>
      <c r="G318" s="26">
        <f t="shared" si="191"/>
        <v>0</v>
      </c>
      <c r="H318" s="26">
        <f t="shared" si="192"/>
        <v>0</v>
      </c>
      <c r="I318" s="27">
        <f t="shared" si="211"/>
        <v>0</v>
      </c>
      <c r="J318" s="27">
        <f t="shared" si="211"/>
        <v>0</v>
      </c>
      <c r="K318" s="27">
        <f t="shared" si="211"/>
        <v>0</v>
      </c>
      <c r="L318" s="27">
        <f t="shared" si="209"/>
        <v>0</v>
      </c>
      <c r="M318" s="28">
        <f t="shared" si="214"/>
        <v>3</v>
      </c>
      <c r="N318" s="29">
        <f t="shared" si="215"/>
        <v>8</v>
      </c>
      <c r="O318" s="28">
        <f t="shared" si="216"/>
        <v>0</v>
      </c>
      <c r="P318" s="28">
        <f t="shared" si="217"/>
        <v>0</v>
      </c>
      <c r="Q318" s="28">
        <f t="shared" si="193"/>
        <v>11</v>
      </c>
      <c r="R318" s="22">
        <f t="shared" si="194"/>
        <v>0</v>
      </c>
      <c r="S318" s="22">
        <f t="shared" si="195"/>
        <v>0</v>
      </c>
      <c r="T318" s="22">
        <f t="shared" si="196"/>
        <v>0</v>
      </c>
      <c r="U318" s="22">
        <f t="shared" si="197"/>
        <v>0</v>
      </c>
      <c r="V318" s="21">
        <f t="shared" si="212"/>
        <v>0</v>
      </c>
      <c r="W318" s="21">
        <f t="shared" si="213"/>
        <v>0</v>
      </c>
      <c r="X318" s="21">
        <f t="shared" si="206"/>
        <v>0</v>
      </c>
      <c r="Y318" s="21">
        <f t="shared" si="207"/>
        <v>0</v>
      </c>
      <c r="Z318" s="221">
        <f t="shared" si="198"/>
        <v>0</v>
      </c>
      <c r="AA318" s="30">
        <f t="shared" si="185"/>
        <v>0</v>
      </c>
      <c r="AB318" s="30">
        <f t="shared" si="186"/>
        <v>0</v>
      </c>
      <c r="AC318" s="30">
        <f t="shared" si="187"/>
        <v>0</v>
      </c>
      <c r="AD318" s="30">
        <f t="shared" si="188"/>
        <v>0</v>
      </c>
      <c r="AE318" s="32">
        <f t="shared" si="199"/>
        <v>0</v>
      </c>
      <c r="AF318" s="33">
        <f t="shared" si="210"/>
        <v>6.6854850690833461</v>
      </c>
      <c r="AG318" s="40">
        <f t="shared" si="200"/>
        <v>66.832883211349497</v>
      </c>
      <c r="AH318" s="224">
        <f>AG318*$P$36</f>
        <v>5.6051836869593625</v>
      </c>
      <c r="AI318" s="226">
        <f>SUM(Z318,IF(Z318&lt;&gt;0,$F$34,0),IF(Z318&lt;&gt;0,$N$36,0),IF(Z318&lt;&gt;0,$T$36,0),IF(Z318=0,AH323,IF(Z318=1,AH324,IF(Z318=2,AH325,IF(Z318=3,AH326,IF(Z318=4,AH327,IF(Z318=5,AH328,IF(Z318=6,AH329,IF(Z318=7,AH330,IF(Z318=8,AH331,IF(Z318=9,AH332,IF(Z318=10,AH333,IF(Z318=11,AH334,IF(Z318=12,AH335,IF(Z318=13,AH336,IF(Z318=14,AH337,IF(Z318=15,AH338,IF(Z318=16,AH339,IF(Z318=17,AH340,IF(Z318=18,AH341,IF(Z318=19,AH342,IF(Z318=20,AH343,IF(Z318=21,AH344,IF(Z318=22,AH345,IF(Z318=23,AH346,IF(Z318=24,AH347,IF(Z318=25,AH348,IF(Z318=26,AH349,IF(Z318=27,AH350,IF(Z318=28,AH351,IF(Z318=29,AH352,IF(Z318=30,AH353))))))))))))))))))))))))))))))))</f>
        <v>1.1658862939400032</v>
      </c>
      <c r="AJ318" s="253">
        <f>IF(V318&lt;&gt;0,SUM($F$34,V318,$N$36,MAX($AH$42:$AH$342),$T$36),0)</f>
        <v>0</v>
      </c>
      <c r="AK318" s="253">
        <f>IF(W318&lt;&gt;0,SUM($F$34,W318,$N$36,MAX($AH$42:$AH$342),$T$36),0)</f>
        <v>0</v>
      </c>
      <c r="AL318" s="253">
        <f>IF(X318&lt;&gt;0,SUM($F$34,X318,$N$36,MAX($AH$42:$AH$342),$T$36),0)</f>
        <v>0</v>
      </c>
      <c r="AM318" s="260">
        <f>IF(Y318&lt;&gt;0,SUM($F$34,Y318,$N$36,MAX($AH$42:$AH$342),$T$36),0)</f>
        <v>0</v>
      </c>
    </row>
    <row r="319" spans="1:39" x14ac:dyDescent="0.35">
      <c r="A319" s="259">
        <v>1737</v>
      </c>
      <c r="B319" s="58">
        <f>SUMIF([2]!Table2_23[ETA],'FIS Optimal Model (2)'!A319,[2]!Table2_23[FIS PAX])</f>
        <v>0</v>
      </c>
      <c r="C319" s="44">
        <f t="shared" si="201"/>
        <v>0</v>
      </c>
      <c r="D319" s="52">
        <f t="shared" si="208"/>
        <v>0</v>
      </c>
      <c r="E319" s="26">
        <f t="shared" si="189"/>
        <v>0</v>
      </c>
      <c r="F319" s="26">
        <f t="shared" si="190"/>
        <v>0</v>
      </c>
      <c r="G319" s="26">
        <f t="shared" si="191"/>
        <v>0</v>
      </c>
      <c r="H319" s="26">
        <f t="shared" si="192"/>
        <v>0</v>
      </c>
      <c r="I319" s="27">
        <f t="shared" si="211"/>
        <v>0</v>
      </c>
      <c r="J319" s="27">
        <f t="shared" si="211"/>
        <v>0</v>
      </c>
      <c r="K319" s="27">
        <f t="shared" si="211"/>
        <v>0</v>
      </c>
      <c r="L319" s="27">
        <f t="shared" si="209"/>
        <v>0</v>
      </c>
      <c r="M319" s="28">
        <f t="shared" si="214"/>
        <v>3</v>
      </c>
      <c r="N319" s="29">
        <f t="shared" si="215"/>
        <v>8</v>
      </c>
      <c r="O319" s="28">
        <f t="shared" si="216"/>
        <v>0</v>
      </c>
      <c r="P319" s="28">
        <f t="shared" si="217"/>
        <v>0</v>
      </c>
      <c r="Q319" s="28">
        <f t="shared" si="193"/>
        <v>11</v>
      </c>
      <c r="R319" s="22">
        <f t="shared" si="194"/>
        <v>0</v>
      </c>
      <c r="S319" s="22">
        <f t="shared" si="195"/>
        <v>0</v>
      </c>
      <c r="T319" s="22">
        <f t="shared" si="196"/>
        <v>0</v>
      </c>
      <c r="U319" s="22">
        <f t="shared" si="197"/>
        <v>0</v>
      </c>
      <c r="V319" s="21">
        <f t="shared" si="212"/>
        <v>0</v>
      </c>
      <c r="W319" s="21">
        <f t="shared" si="213"/>
        <v>0</v>
      </c>
      <c r="X319" s="21">
        <f t="shared" si="206"/>
        <v>0</v>
      </c>
      <c r="Y319" s="21">
        <f t="shared" si="207"/>
        <v>0</v>
      </c>
      <c r="Z319" s="221">
        <f t="shared" si="198"/>
        <v>0</v>
      </c>
      <c r="AA319" s="30">
        <f t="shared" si="185"/>
        <v>0</v>
      </c>
      <c r="AB319" s="30">
        <f t="shared" si="186"/>
        <v>0</v>
      </c>
      <c r="AC319" s="30">
        <f t="shared" si="187"/>
        <v>0</v>
      </c>
      <c r="AD319" s="30">
        <f t="shared" si="188"/>
        <v>0</v>
      </c>
      <c r="AE319" s="32">
        <f t="shared" si="199"/>
        <v>0</v>
      </c>
      <c r="AF319" s="33">
        <f t="shared" si="210"/>
        <v>6.6854850690833461</v>
      </c>
      <c r="AG319" s="40">
        <f t="shared" si="200"/>
        <v>61.594961850981065</v>
      </c>
      <c r="AH319" s="224">
        <f>AG319*$P$36</f>
        <v>5.1658862939400034</v>
      </c>
      <c r="AI319" s="226">
        <f>SUM(Z319,IF(Z319&lt;&gt;0,$F$34,0),IF(Z319&lt;&gt;0,$N$36,0),IF(Z319&lt;&gt;0,$T$36,0),IF(Z319=0,AH324,IF(Z319=1,AH325,IF(Z319=2,AH326,IF(Z319=3,AH327,IF(Z319=4,AH328,IF(Z319=5,AH329,IF(Z319=6,AH330,IF(Z319=7,AH331,IF(Z319=8,AH332,IF(Z319=9,AH333,IF(Z319=10,AH334,IF(Z319=11,AH335,IF(Z319=12,AH336,IF(Z319=13,AH337,IF(Z319=14,AH338,IF(Z319=15,AH339,IF(Z319=16,AH340,IF(Z319=17,AH341,IF(Z319=18,AH342,IF(Z319=19,AH343,IF(Z319=20,AH344,IF(Z319=21,AH345,IF(Z319=22,AH346,IF(Z319=23,AH347,IF(Z319=24,AH348,IF(Z319=25,AH349,IF(Z319=26,AH350,IF(Z319=27,AH351,IF(Z319=28,AH352,IF(Z319=29,AH353,IF(Z319=30,AH354))))))))))))))))))))))))))))))))</f>
        <v>0.16588629394000312</v>
      </c>
      <c r="AJ319" s="253">
        <f>IF(V319&lt;&gt;0,SUM($F$34,V319,$N$36,MAX($AH$42:$AH$342),$T$36),0)</f>
        <v>0</v>
      </c>
      <c r="AK319" s="253">
        <f>IF(W319&lt;&gt;0,SUM($F$34,W319,$N$36,MAX($AH$42:$AH$342),$T$36),0)</f>
        <v>0</v>
      </c>
      <c r="AL319" s="253">
        <f>IF(X319&lt;&gt;0,SUM($F$34,X319,$N$36,MAX($AH$42:$AH$342),$T$36),0)</f>
        <v>0</v>
      </c>
      <c r="AM319" s="260">
        <f>IF(Y319&lt;&gt;0,SUM($F$34,Y319,$N$36,MAX($AH$42:$AH$342),$T$36),0)</f>
        <v>0</v>
      </c>
    </row>
    <row r="320" spans="1:39" x14ac:dyDescent="0.35">
      <c r="A320" s="259">
        <v>1738</v>
      </c>
      <c r="B320" s="58">
        <f>SUMIF([2]!Table2_23[ETA],'FIS Optimal Model (2)'!A320,[2]!Table2_23[FIS PAX])</f>
        <v>0</v>
      </c>
      <c r="C320" s="44">
        <f t="shared" si="201"/>
        <v>0</v>
      </c>
      <c r="D320" s="52">
        <f t="shared" si="208"/>
        <v>0</v>
      </c>
      <c r="E320" s="26">
        <f t="shared" si="189"/>
        <v>0</v>
      </c>
      <c r="F320" s="26">
        <f t="shared" si="190"/>
        <v>0</v>
      </c>
      <c r="G320" s="26">
        <f t="shared" si="191"/>
        <v>0</v>
      </c>
      <c r="H320" s="26">
        <f t="shared" si="192"/>
        <v>0</v>
      </c>
      <c r="I320" s="27">
        <f t="shared" si="211"/>
        <v>0</v>
      </c>
      <c r="J320" s="27">
        <f t="shared" si="211"/>
        <v>0</v>
      </c>
      <c r="K320" s="27">
        <f t="shared" si="211"/>
        <v>0</v>
      </c>
      <c r="L320" s="27">
        <f t="shared" si="209"/>
        <v>0</v>
      </c>
      <c r="M320" s="28">
        <f t="shared" si="214"/>
        <v>3</v>
      </c>
      <c r="N320" s="29">
        <f t="shared" si="215"/>
        <v>8</v>
      </c>
      <c r="O320" s="28">
        <f t="shared" si="216"/>
        <v>0</v>
      </c>
      <c r="P320" s="28">
        <f t="shared" si="217"/>
        <v>0</v>
      </c>
      <c r="Q320" s="28">
        <f t="shared" si="193"/>
        <v>11</v>
      </c>
      <c r="R320" s="22">
        <f t="shared" si="194"/>
        <v>0</v>
      </c>
      <c r="S320" s="22">
        <f t="shared" si="195"/>
        <v>0</v>
      </c>
      <c r="T320" s="22">
        <f t="shared" si="196"/>
        <v>0</v>
      </c>
      <c r="U320" s="22">
        <f t="shared" si="197"/>
        <v>0</v>
      </c>
      <c r="V320" s="21">
        <f t="shared" si="212"/>
        <v>0</v>
      </c>
      <c r="W320" s="21">
        <f t="shared" si="213"/>
        <v>0</v>
      </c>
      <c r="X320" s="21">
        <f t="shared" si="206"/>
        <v>0</v>
      </c>
      <c r="Y320" s="21">
        <f t="shared" si="207"/>
        <v>0</v>
      </c>
      <c r="Z320" s="221">
        <f t="shared" si="198"/>
        <v>0</v>
      </c>
      <c r="AA320" s="30">
        <f t="shared" si="185"/>
        <v>0</v>
      </c>
      <c r="AB320" s="30">
        <f t="shared" si="186"/>
        <v>0</v>
      </c>
      <c r="AC320" s="30">
        <f t="shared" si="187"/>
        <v>0</v>
      </c>
      <c r="AD320" s="30">
        <f t="shared" si="188"/>
        <v>0</v>
      </c>
      <c r="AE320" s="32">
        <f t="shared" si="199"/>
        <v>0</v>
      </c>
      <c r="AF320" s="33">
        <f t="shared" si="210"/>
        <v>0</v>
      </c>
      <c r="AG320" s="40">
        <f t="shared" si="200"/>
        <v>49.671555421529284</v>
      </c>
      <c r="AH320" s="224">
        <f>AG320*$P$36</f>
        <v>4.1658862939400034</v>
      </c>
      <c r="AI320" s="226">
        <f>SUM(Z320,IF(Z320&lt;&gt;0,$F$34,0),IF(Z320&lt;&gt;0,$N$36,0),IF(Z320&lt;&gt;0,$T$36,0),IF(Z320=0,AH325,IF(Z320=1,AH326,IF(Z320=2,AH327,IF(Z320=3,AH328,IF(Z320=4,AH329,IF(Z320=5,AH330,IF(Z320=6,AH331,IF(Z320=7,AH332,IF(Z320=8,AH333,IF(Z320=9,AH334,IF(Z320=10,AH335,IF(Z320=11,AH336,IF(Z320=12,AH337,IF(Z320=13,AH338,IF(Z320=14,AH339,IF(Z320=15,AH340,IF(Z320=16,AH341,IF(Z320=17,AH342,IF(Z320=18,AH343,IF(Z320=19,AH344,IF(Z320=20,AH345,IF(Z320=21,AH346,IF(Z320=22,AH347,IF(Z320=23,AH348,IF(Z320=24,AH349,IF(Z320=25,AH350,IF(Z320=26,AH351,IF(Z320=27,AH352,IF(Z320=28,AH353,IF(Z320=29,AH354,IF(Z320=30,AH355))))))))))))))))))))))))))))))))</f>
        <v>0</v>
      </c>
      <c r="AJ320" s="253">
        <f>IF(V320&lt;&gt;0,SUM($F$34,V320,$N$36,MAX($AH$42:$AH$342),$T$36),0)</f>
        <v>0</v>
      </c>
      <c r="AK320" s="253">
        <f>IF(W320&lt;&gt;0,SUM($F$34,W320,$N$36,MAX($AH$42:$AH$342),$T$36),0)</f>
        <v>0</v>
      </c>
      <c r="AL320" s="253">
        <f>IF(X320&lt;&gt;0,SUM($F$34,X320,$N$36,MAX($AH$42:$AH$342),$T$36),0)</f>
        <v>0</v>
      </c>
      <c r="AM320" s="260">
        <f>IF(Y320&lt;&gt;0,SUM($F$34,Y320,$N$36,MAX($AH$42:$AH$342),$T$36),0)</f>
        <v>0</v>
      </c>
    </row>
    <row r="321" spans="1:39" x14ac:dyDescent="0.35">
      <c r="A321" s="259">
        <v>1739</v>
      </c>
      <c r="B321" s="58">
        <f>SUMIF([2]!Table2_23[ETA],'FIS Optimal Model (2)'!A321,[2]!Table2_23[FIS PAX])</f>
        <v>0</v>
      </c>
      <c r="C321" s="44">
        <f t="shared" si="201"/>
        <v>0</v>
      </c>
      <c r="D321" s="52">
        <f t="shared" si="208"/>
        <v>0</v>
      </c>
      <c r="E321" s="26">
        <f t="shared" si="189"/>
        <v>0</v>
      </c>
      <c r="F321" s="26">
        <f t="shared" si="190"/>
        <v>0</v>
      </c>
      <c r="G321" s="26">
        <f t="shared" si="191"/>
        <v>0</v>
      </c>
      <c r="H321" s="26">
        <f t="shared" si="192"/>
        <v>0</v>
      </c>
      <c r="I321" s="27">
        <f t="shared" si="211"/>
        <v>0</v>
      </c>
      <c r="J321" s="27">
        <f t="shared" si="211"/>
        <v>0</v>
      </c>
      <c r="K321" s="27">
        <f t="shared" si="211"/>
        <v>0</v>
      </c>
      <c r="L321" s="27">
        <f t="shared" si="209"/>
        <v>0</v>
      </c>
      <c r="M321" s="28">
        <f t="shared" si="214"/>
        <v>3</v>
      </c>
      <c r="N321" s="29">
        <f t="shared" si="215"/>
        <v>8</v>
      </c>
      <c r="O321" s="28">
        <f t="shared" si="216"/>
        <v>0</v>
      </c>
      <c r="P321" s="28">
        <f t="shared" si="217"/>
        <v>0</v>
      </c>
      <c r="Q321" s="28">
        <f t="shared" si="193"/>
        <v>11</v>
      </c>
      <c r="R321" s="22">
        <f t="shared" si="194"/>
        <v>0</v>
      </c>
      <c r="S321" s="22">
        <f t="shared" si="195"/>
        <v>0</v>
      </c>
      <c r="T321" s="22">
        <f t="shared" si="196"/>
        <v>0</v>
      </c>
      <c r="U321" s="22">
        <f t="shared" si="197"/>
        <v>0</v>
      </c>
      <c r="V321" s="21">
        <f t="shared" si="212"/>
        <v>0</v>
      </c>
      <c r="W321" s="21">
        <f t="shared" si="213"/>
        <v>0</v>
      </c>
      <c r="X321" s="21">
        <f t="shared" si="206"/>
        <v>0</v>
      </c>
      <c r="Y321" s="21">
        <f t="shared" si="207"/>
        <v>0</v>
      </c>
      <c r="Z321" s="221">
        <f t="shared" si="198"/>
        <v>0</v>
      </c>
      <c r="AA321" s="30">
        <f t="shared" si="185"/>
        <v>0</v>
      </c>
      <c r="AB321" s="30">
        <f t="shared" si="186"/>
        <v>0</v>
      </c>
      <c r="AC321" s="30">
        <f t="shared" si="187"/>
        <v>0</v>
      </c>
      <c r="AD321" s="30">
        <f t="shared" si="188"/>
        <v>0</v>
      </c>
      <c r="AE321" s="32">
        <f t="shared" si="199"/>
        <v>0</v>
      </c>
      <c r="AF321" s="33">
        <f t="shared" si="210"/>
        <v>0</v>
      </c>
      <c r="AG321" s="40">
        <f t="shared" si="200"/>
        <v>37.748148992077503</v>
      </c>
      <c r="AH321" s="224">
        <f>AG321*$P$36</f>
        <v>3.1658862939400034</v>
      </c>
      <c r="AI321" s="226">
        <f>SUM(Z321,IF(Z321&lt;&gt;0,$F$34,0),IF(Z321&lt;&gt;0,$N$36,0),IF(Z321&lt;&gt;0,$T$36,0),IF(Z321=0,AH326,IF(Z321=1,AH327,IF(Z321=2,AH328,IF(Z321=3,AH329,IF(Z321=4,AH330,IF(Z321=5,AH331,IF(Z321=6,AH332,IF(Z321=7,AH333,IF(Z321=8,AH334,IF(Z321=9,AH335,IF(Z321=10,AH336,IF(Z321=11,AH337,IF(Z321=12,AH338,IF(Z321=13,AH339,IF(Z321=14,AH340,IF(Z321=15,AH341,IF(Z321=16,AH342,IF(Z321=17,AH343,IF(Z321=18,AH344,IF(Z321=19,AH345,IF(Z321=20,AH346,IF(Z321=21,AH347,IF(Z321=22,AH348,IF(Z321=23,AH349,IF(Z321=24,AH350,IF(Z321=25,AH351,IF(Z321=26,AH352,IF(Z321=27,AH353,IF(Z321=28,AH354,IF(Z321=29,AH355,IF(Z321=30,AH356))))))))))))))))))))))))))))))))</f>
        <v>0</v>
      </c>
      <c r="AJ321" s="253">
        <f>IF(V321&lt;&gt;0,SUM($F$34,V321,$N$36,MAX($AH$42:$AH$342),$T$36),0)</f>
        <v>0</v>
      </c>
      <c r="AK321" s="253">
        <f>IF(W321&lt;&gt;0,SUM($F$34,W321,$N$36,MAX($AH$42:$AH$342),$T$36),0)</f>
        <v>0</v>
      </c>
      <c r="AL321" s="253">
        <f>IF(X321&lt;&gt;0,SUM($F$34,X321,$N$36,MAX($AH$42:$AH$342),$T$36),0)</f>
        <v>0</v>
      </c>
      <c r="AM321" s="260">
        <f>IF(Y321&lt;&gt;0,SUM($F$34,Y321,$N$36,MAX($AH$42:$AH$342),$T$36),0)</f>
        <v>0</v>
      </c>
    </row>
    <row r="322" spans="1:39" x14ac:dyDescent="0.35">
      <c r="A322" s="259">
        <v>1740</v>
      </c>
      <c r="B322" s="58">
        <f>SUMIF([2]!Table2_23[ETA],'FIS Optimal Model (2)'!A322,[2]!Table2_23[FIS PAX])</f>
        <v>0</v>
      </c>
      <c r="C322" s="44">
        <f t="shared" si="201"/>
        <v>0</v>
      </c>
      <c r="D322" s="52">
        <f t="shared" si="208"/>
        <v>0</v>
      </c>
      <c r="E322" s="26">
        <f t="shared" si="189"/>
        <v>0</v>
      </c>
      <c r="F322" s="26">
        <f t="shared" si="190"/>
        <v>0</v>
      </c>
      <c r="G322" s="26">
        <f t="shared" si="191"/>
        <v>0</v>
      </c>
      <c r="H322" s="26">
        <f t="shared" si="192"/>
        <v>0</v>
      </c>
      <c r="I322" s="27">
        <f t="shared" si="211"/>
        <v>0</v>
      </c>
      <c r="J322" s="27">
        <f t="shared" si="211"/>
        <v>0</v>
      </c>
      <c r="K322" s="27">
        <f t="shared" si="211"/>
        <v>0</v>
      </c>
      <c r="L322" s="27">
        <f t="shared" si="209"/>
        <v>0</v>
      </c>
      <c r="M322" s="28">
        <f t="shared" si="214"/>
        <v>3</v>
      </c>
      <c r="N322" s="29">
        <f t="shared" si="215"/>
        <v>8</v>
      </c>
      <c r="O322" s="28">
        <f t="shared" si="216"/>
        <v>0</v>
      </c>
      <c r="P322" s="28">
        <f t="shared" si="217"/>
        <v>0</v>
      </c>
      <c r="Q322" s="28">
        <f t="shared" si="193"/>
        <v>11</v>
      </c>
      <c r="R322" s="22">
        <f t="shared" si="194"/>
        <v>0</v>
      </c>
      <c r="S322" s="22">
        <f t="shared" si="195"/>
        <v>0</v>
      </c>
      <c r="T322" s="22">
        <f t="shared" si="196"/>
        <v>0</v>
      </c>
      <c r="U322" s="22">
        <f t="shared" si="197"/>
        <v>0</v>
      </c>
      <c r="V322" s="21">
        <f t="shared" si="212"/>
        <v>0</v>
      </c>
      <c r="W322" s="21">
        <f t="shared" si="213"/>
        <v>0</v>
      </c>
      <c r="X322" s="21">
        <f t="shared" si="206"/>
        <v>0</v>
      </c>
      <c r="Y322" s="21">
        <f t="shared" si="207"/>
        <v>0</v>
      </c>
      <c r="Z322" s="221">
        <f t="shared" si="198"/>
        <v>0</v>
      </c>
      <c r="AA322" s="30">
        <f t="shared" si="185"/>
        <v>0</v>
      </c>
      <c r="AB322" s="30">
        <f t="shared" si="186"/>
        <v>0</v>
      </c>
      <c r="AC322" s="30">
        <f t="shared" si="187"/>
        <v>0</v>
      </c>
      <c r="AD322" s="30">
        <f t="shared" si="188"/>
        <v>0</v>
      </c>
      <c r="AE322" s="32">
        <f t="shared" si="199"/>
        <v>0</v>
      </c>
      <c r="AF322" s="33">
        <f t="shared" si="210"/>
        <v>0</v>
      </c>
      <c r="AG322" s="40">
        <f t="shared" si="200"/>
        <v>25.824742562625723</v>
      </c>
      <c r="AH322" s="224">
        <f>AG322*$P$36</f>
        <v>2.1658862939400034</v>
      </c>
      <c r="AI322" s="226">
        <f>SUM(Z322,IF(Z322&lt;&gt;0,$F$34,0),IF(Z322&lt;&gt;0,$N$36,0),IF(Z322&lt;&gt;0,$T$36,0),IF(Z322=0,AH327,IF(Z322=1,AH328,IF(Z322=2,AH329,IF(Z322=3,AH330,IF(Z322=4,AH331,IF(Z322=5,AH332,IF(Z322=6,AH333,IF(Z322=7,AH334,IF(Z322=8,AH335,IF(Z322=9,AH336,IF(Z322=10,AH337,IF(Z322=11,AH338,IF(Z322=12,AH339,IF(Z322=13,AH340,IF(Z322=14,AH341,IF(Z322=15,AH342,IF(Z322=16,AH343,IF(Z322=17,AH344,IF(Z322=18,AH345,IF(Z322=19,AH346,IF(Z322=20,AH347,IF(Z322=21,AH348,IF(Z322=22,AH349,IF(Z322=23,AH350,IF(Z322=24,AH351,IF(Z322=25,AH352,IF(Z322=26,AH353,IF(Z322=27,AH354,IF(Z322=28,AH355,IF(Z322=29,AH356,IF(Z322=30,AH357))))))))))))))))))))))))))))))))</f>
        <v>0</v>
      </c>
      <c r="AJ322" s="253">
        <f>IF(V322&lt;&gt;0,SUM($F$34,V322,$N$36,MAX($AH$42:$AH$342),$T$36),0)</f>
        <v>0</v>
      </c>
      <c r="AK322" s="253">
        <f>IF(W322&lt;&gt;0,SUM($F$34,W322,$N$36,MAX($AH$42:$AH$342),$T$36),0)</f>
        <v>0</v>
      </c>
      <c r="AL322" s="253">
        <f>IF(X322&lt;&gt;0,SUM($F$34,X322,$N$36,MAX($AH$42:$AH$342),$T$36),0)</f>
        <v>0</v>
      </c>
      <c r="AM322" s="260">
        <f>IF(Y322&lt;&gt;0,SUM($F$34,Y322,$N$36,MAX($AH$42:$AH$342),$T$36),0)</f>
        <v>0</v>
      </c>
    </row>
    <row r="323" spans="1:39" x14ac:dyDescent="0.35">
      <c r="A323" s="259">
        <v>1741</v>
      </c>
      <c r="B323" s="58">
        <f>SUMIF([2]!Table2_23[ETA],'FIS Optimal Model (2)'!A323,[2]!Table2_23[FIS PAX])</f>
        <v>0</v>
      </c>
      <c r="C323" s="44">
        <f t="shared" si="201"/>
        <v>0</v>
      </c>
      <c r="D323" s="52">
        <f t="shared" si="208"/>
        <v>0</v>
      </c>
      <c r="E323" s="26">
        <f t="shared" si="189"/>
        <v>0</v>
      </c>
      <c r="F323" s="26">
        <f t="shared" si="190"/>
        <v>0</v>
      </c>
      <c r="G323" s="26">
        <f t="shared" si="191"/>
        <v>0</v>
      </c>
      <c r="H323" s="26">
        <f t="shared" si="192"/>
        <v>0</v>
      </c>
      <c r="I323" s="27">
        <f t="shared" si="211"/>
        <v>0</v>
      </c>
      <c r="J323" s="27">
        <f t="shared" si="211"/>
        <v>0</v>
      </c>
      <c r="K323" s="27">
        <f t="shared" si="211"/>
        <v>0</v>
      </c>
      <c r="L323" s="27">
        <f t="shared" si="209"/>
        <v>0</v>
      </c>
      <c r="M323" s="28">
        <f t="shared" si="214"/>
        <v>3</v>
      </c>
      <c r="N323" s="29">
        <f t="shared" si="215"/>
        <v>8</v>
      </c>
      <c r="O323" s="28">
        <f t="shared" si="216"/>
        <v>0</v>
      </c>
      <c r="P323" s="28">
        <f t="shared" si="217"/>
        <v>0</v>
      </c>
      <c r="Q323" s="28">
        <f t="shared" si="193"/>
        <v>11</v>
      </c>
      <c r="R323" s="22">
        <f t="shared" si="194"/>
        <v>0</v>
      </c>
      <c r="S323" s="22">
        <f t="shared" si="195"/>
        <v>0</v>
      </c>
      <c r="T323" s="22">
        <f t="shared" si="196"/>
        <v>0</v>
      </c>
      <c r="U323" s="22">
        <f t="shared" si="197"/>
        <v>0</v>
      </c>
      <c r="V323" s="21">
        <f t="shared" si="212"/>
        <v>0</v>
      </c>
      <c r="W323" s="21">
        <f t="shared" si="213"/>
        <v>0</v>
      </c>
      <c r="X323" s="21">
        <f t="shared" si="206"/>
        <v>0</v>
      </c>
      <c r="Y323" s="21">
        <f t="shared" si="207"/>
        <v>0</v>
      </c>
      <c r="Z323" s="221">
        <f t="shared" si="198"/>
        <v>0</v>
      </c>
      <c r="AA323" s="30">
        <f t="shared" si="185"/>
        <v>0</v>
      </c>
      <c r="AB323" s="30">
        <f t="shared" si="186"/>
        <v>0</v>
      </c>
      <c r="AC323" s="30">
        <f t="shared" si="187"/>
        <v>0</v>
      </c>
      <c r="AD323" s="30">
        <f t="shared" si="188"/>
        <v>0</v>
      </c>
      <c r="AE323" s="32">
        <f t="shared" si="199"/>
        <v>0</v>
      </c>
      <c r="AF323" s="33">
        <f t="shared" si="210"/>
        <v>0</v>
      </c>
      <c r="AG323" s="40">
        <f t="shared" si="200"/>
        <v>13.901336133173942</v>
      </c>
      <c r="AH323" s="224">
        <f>AG323*$P$36</f>
        <v>1.1658862939400032</v>
      </c>
      <c r="AI323" s="226">
        <f>SUM(Z323,IF(Z323&lt;&gt;0,$F$34,0),IF(Z323&lt;&gt;0,$N$36,0),IF(Z323&lt;&gt;0,$T$36,0),IF(Z323=0,AH328,IF(Z323=1,AH329,IF(Z323=2,AH330,IF(Z323=3,AH331,IF(Z323=4,AH332,IF(Z323=5,AH333,IF(Z323=6,AH334,IF(Z323=7,AH335,IF(Z323=8,AH336,IF(Z323=9,AH337,IF(Z323=10,AH338,IF(Z323=11,AH339,IF(Z323=12,AH340,IF(Z323=13,AH341,IF(Z323=14,AH342,IF(Z323=15,AH343,IF(Z323=16,AH344,IF(Z323=17,AH345,IF(Z323=18,AH346,IF(Z323=19,AH347,IF(Z323=20,AH348,IF(Z323=21,AH349,IF(Z323=22,AH350,IF(Z323=23,AH351,IF(Z323=24,AH352,IF(Z323=25,AH353,IF(Z323=26,AH354,IF(Z323=27,AH355,IF(Z323=28,AH356,IF(Z323=29,AH357,IF(Z323=30,AH358))))))))))))))))))))))))))))))))</f>
        <v>0</v>
      </c>
      <c r="AJ323" s="253">
        <f>IF(V323&lt;&gt;0,SUM($F$34,V323,$N$36,MAX($AH$42:$AH$342),$T$36),0)</f>
        <v>0</v>
      </c>
      <c r="AK323" s="253">
        <f>IF(W323&lt;&gt;0,SUM($F$34,W323,$N$36,MAX($AH$42:$AH$342),$T$36),0)</f>
        <v>0</v>
      </c>
      <c r="AL323" s="253">
        <f>IF(X323&lt;&gt;0,SUM($F$34,X323,$N$36,MAX($AH$42:$AH$342),$T$36),0)</f>
        <v>0</v>
      </c>
      <c r="AM323" s="260">
        <f>IF(Y323&lt;&gt;0,SUM($F$34,Y323,$N$36,MAX($AH$42:$AH$342),$T$36),0)</f>
        <v>0</v>
      </c>
    </row>
    <row r="324" spans="1:39" x14ac:dyDescent="0.35">
      <c r="A324" s="259">
        <v>1742</v>
      </c>
      <c r="B324" s="58">
        <f>SUMIF([2]!Table2_23[ETA],'FIS Optimal Model (2)'!A324,[2]!Table2_23[FIS PAX])</f>
        <v>0</v>
      </c>
      <c r="C324" s="44">
        <f t="shared" si="201"/>
        <v>0</v>
      </c>
      <c r="D324" s="52">
        <f t="shared" si="208"/>
        <v>0</v>
      </c>
      <c r="E324" s="26">
        <f t="shared" si="189"/>
        <v>0</v>
      </c>
      <c r="F324" s="26">
        <f t="shared" si="190"/>
        <v>0</v>
      </c>
      <c r="G324" s="26">
        <f t="shared" si="191"/>
        <v>0</v>
      </c>
      <c r="H324" s="26">
        <f t="shared" si="192"/>
        <v>0</v>
      </c>
      <c r="I324" s="27">
        <f t="shared" si="211"/>
        <v>0</v>
      </c>
      <c r="J324" s="27">
        <f t="shared" si="211"/>
        <v>0</v>
      </c>
      <c r="K324" s="27">
        <f t="shared" si="211"/>
        <v>0</v>
      </c>
      <c r="L324" s="27">
        <f t="shared" si="209"/>
        <v>0</v>
      </c>
      <c r="M324" s="28">
        <f t="shared" si="214"/>
        <v>3</v>
      </c>
      <c r="N324" s="29">
        <f t="shared" si="215"/>
        <v>8</v>
      </c>
      <c r="O324" s="28">
        <f t="shared" si="216"/>
        <v>0</v>
      </c>
      <c r="P324" s="28">
        <f t="shared" si="217"/>
        <v>0</v>
      </c>
      <c r="Q324" s="28">
        <f t="shared" si="193"/>
        <v>11</v>
      </c>
      <c r="R324" s="22">
        <f t="shared" si="194"/>
        <v>0</v>
      </c>
      <c r="S324" s="22">
        <f t="shared" si="195"/>
        <v>0</v>
      </c>
      <c r="T324" s="22">
        <f t="shared" si="196"/>
        <v>0</v>
      </c>
      <c r="U324" s="22">
        <f t="shared" si="197"/>
        <v>0</v>
      </c>
      <c r="V324" s="21">
        <f t="shared" si="212"/>
        <v>0</v>
      </c>
      <c r="W324" s="21">
        <f t="shared" si="213"/>
        <v>0</v>
      </c>
      <c r="X324" s="21">
        <f t="shared" si="206"/>
        <v>0</v>
      </c>
      <c r="Y324" s="21">
        <f t="shared" si="207"/>
        <v>0</v>
      </c>
      <c r="Z324" s="221">
        <f t="shared" si="198"/>
        <v>0</v>
      </c>
      <c r="AA324" s="30">
        <f t="shared" si="185"/>
        <v>0</v>
      </c>
      <c r="AB324" s="30">
        <f t="shared" si="186"/>
        <v>0</v>
      </c>
      <c r="AC324" s="30">
        <f t="shared" si="187"/>
        <v>0</v>
      </c>
      <c r="AD324" s="30">
        <f t="shared" si="188"/>
        <v>0</v>
      </c>
      <c r="AE324" s="32">
        <f t="shared" si="199"/>
        <v>0</v>
      </c>
      <c r="AF324" s="33">
        <f t="shared" si="210"/>
        <v>0</v>
      </c>
      <c r="AG324" s="40">
        <f t="shared" si="200"/>
        <v>1.977929703722161</v>
      </c>
      <c r="AH324" s="224">
        <f>AG324*$P$36</f>
        <v>0.16588629394000312</v>
      </c>
      <c r="AI324" s="226">
        <f>SUM(Z324,IF(Z324&lt;&gt;0,$F$34,0),IF(Z324&lt;&gt;0,$N$36,0),IF(Z324&lt;&gt;0,$T$36,0),IF(Z324=0,AH329,IF(Z324=1,AH330,IF(Z324=2,AH331,IF(Z324=3,AH332,IF(Z324=4,AH333,IF(Z324=5,AH334,IF(Z324=6,AH335,IF(Z324=7,AH336,IF(Z324=8,AH337,IF(Z324=9,AH338,IF(Z324=10,AH339,IF(Z324=11,AH340,IF(Z324=12,AH341,IF(Z324=13,AH342,IF(Z324=14,AH343,IF(Z324=15,AH344,IF(Z324=16,AH345,IF(Z324=17,AH346,IF(Z324=18,AH347,IF(Z324=19,AH348,IF(Z324=20,AH349,IF(Z324=21,AH350,IF(Z324=22,AH351,IF(Z324=23,AH352,IF(Z324=24,AH353,IF(Z324=25,AH354,IF(Z324=26,AH355,IF(Z324=27,AH356,IF(Z324=28,AH357,IF(Z324=29,AH358,IF(Z324=30,AH359))))))))))))))))))))))))))))))))</f>
        <v>0</v>
      </c>
      <c r="AJ324" s="253">
        <f>IF(V324&lt;&gt;0,SUM($F$34,V324,$N$36,MAX($AH$42:$AH$342),$T$36),0)</f>
        <v>0</v>
      </c>
      <c r="AK324" s="253">
        <f>IF(W324&lt;&gt;0,SUM($F$34,W324,$N$36,MAX($AH$42:$AH$342),$T$36),0)</f>
        <v>0</v>
      </c>
      <c r="AL324" s="253">
        <f>IF(X324&lt;&gt;0,SUM($F$34,X324,$N$36,MAX($AH$42:$AH$342),$T$36),0)</f>
        <v>0</v>
      </c>
      <c r="AM324" s="260">
        <f>IF(Y324&lt;&gt;0,SUM($F$34,Y324,$N$36,MAX($AH$42:$AH$342),$T$36),0)</f>
        <v>0</v>
      </c>
    </row>
    <row r="325" spans="1:39" x14ac:dyDescent="0.35">
      <c r="A325" s="259">
        <v>1743</v>
      </c>
      <c r="B325" s="58">
        <f>SUMIF([2]!Table2_23[ETA],'FIS Optimal Model (2)'!A325,[2]!Table2_23[FIS PAX])</f>
        <v>0</v>
      </c>
      <c r="C325" s="44">
        <f t="shared" si="201"/>
        <v>0</v>
      </c>
      <c r="D325" s="52">
        <f t="shared" si="208"/>
        <v>0</v>
      </c>
      <c r="E325" s="26">
        <f t="shared" si="189"/>
        <v>0</v>
      </c>
      <c r="F325" s="26">
        <f t="shared" si="190"/>
        <v>0</v>
      </c>
      <c r="G325" s="26">
        <f t="shared" si="191"/>
        <v>0</v>
      </c>
      <c r="H325" s="26">
        <f t="shared" si="192"/>
        <v>0</v>
      </c>
      <c r="I325" s="27">
        <f t="shared" si="211"/>
        <v>0</v>
      </c>
      <c r="J325" s="27">
        <f t="shared" si="211"/>
        <v>0</v>
      </c>
      <c r="K325" s="27">
        <f t="shared" si="211"/>
        <v>0</v>
      </c>
      <c r="L325" s="27">
        <f t="shared" si="209"/>
        <v>0</v>
      </c>
      <c r="M325" s="28">
        <f t="shared" si="214"/>
        <v>3</v>
      </c>
      <c r="N325" s="29">
        <f t="shared" si="215"/>
        <v>8</v>
      </c>
      <c r="O325" s="28">
        <f t="shared" si="216"/>
        <v>0</v>
      </c>
      <c r="P325" s="28">
        <f t="shared" si="217"/>
        <v>0</v>
      </c>
      <c r="Q325" s="28">
        <f t="shared" si="193"/>
        <v>11</v>
      </c>
      <c r="R325" s="22">
        <f t="shared" si="194"/>
        <v>0</v>
      </c>
      <c r="S325" s="22">
        <f t="shared" si="195"/>
        <v>0</v>
      </c>
      <c r="T325" s="22">
        <f t="shared" si="196"/>
        <v>0</v>
      </c>
      <c r="U325" s="22">
        <f t="shared" si="197"/>
        <v>0</v>
      </c>
      <c r="V325" s="21">
        <f t="shared" si="212"/>
        <v>0</v>
      </c>
      <c r="W325" s="21">
        <f t="shared" si="213"/>
        <v>0</v>
      </c>
      <c r="X325" s="21">
        <f t="shared" si="206"/>
        <v>0</v>
      </c>
      <c r="Y325" s="21">
        <f t="shared" si="207"/>
        <v>0</v>
      </c>
      <c r="Z325" s="221">
        <f t="shared" si="198"/>
        <v>0</v>
      </c>
      <c r="AA325" s="30">
        <f t="shared" si="185"/>
        <v>0</v>
      </c>
      <c r="AB325" s="30">
        <f t="shared" si="186"/>
        <v>0</v>
      </c>
      <c r="AC325" s="30">
        <f t="shared" si="187"/>
        <v>0</v>
      </c>
      <c r="AD325" s="30">
        <f t="shared" si="188"/>
        <v>0</v>
      </c>
      <c r="AE325" s="32">
        <f t="shared" si="199"/>
        <v>0</v>
      </c>
      <c r="AF325" s="33">
        <f t="shared" si="210"/>
        <v>0</v>
      </c>
      <c r="AG325" s="40">
        <f t="shared" si="200"/>
        <v>0</v>
      </c>
      <c r="AH325" s="224">
        <f>AG325*$P$36</f>
        <v>0</v>
      </c>
      <c r="AI325" s="226">
        <f>SUM(Z325,IF(Z325&lt;&gt;0,$F$34,0),IF(Z325&lt;&gt;0,$N$36,0),IF(Z325&lt;&gt;0,$T$36,0),IF(Z325=0,AH330,IF(Z325=1,AH331,IF(Z325=2,AH332,IF(Z325=3,AH333,IF(Z325=4,AH334,IF(Z325=5,AH335,IF(Z325=6,AH336,IF(Z325=7,AH337,IF(Z325=8,AH338,IF(Z325=9,AH339,IF(Z325=10,AH340,IF(Z325=11,AH341,IF(Z325=12,AH342,IF(Z325=13,AH343,IF(Z325=14,AH344,IF(Z325=15,AH345,IF(Z325=16,AH346,IF(Z325=17,AH347,IF(Z325=18,AH348,IF(Z325=19,AH349,IF(Z325=20,AH350,IF(Z325=21,AH351,IF(Z325=22,AH352,IF(Z325=23,AH353,IF(Z325=24,AH354,IF(Z325=25,AH355,IF(Z325=26,AH356,IF(Z325=27,AH357,IF(Z325=28,AH358,IF(Z325=29,AH359,IF(Z325=30,AH360))))))))))))))))))))))))))))))))</f>
        <v>0</v>
      </c>
      <c r="AJ325" s="253">
        <f>IF(V325&lt;&gt;0,SUM($F$34,V325,$N$36,MAX($AH$42:$AH$342),$T$36),0)</f>
        <v>0</v>
      </c>
      <c r="AK325" s="253">
        <f>IF(W325&lt;&gt;0,SUM($F$34,W325,$N$36,MAX($AH$42:$AH$342),$T$36),0)</f>
        <v>0</v>
      </c>
      <c r="AL325" s="253">
        <f>IF(X325&lt;&gt;0,SUM($F$34,X325,$N$36,MAX($AH$42:$AH$342),$T$36),0)</f>
        <v>0</v>
      </c>
      <c r="AM325" s="260">
        <f>IF(Y325&lt;&gt;0,SUM($F$34,Y325,$N$36,MAX($AH$42:$AH$342),$T$36),0)</f>
        <v>0</v>
      </c>
    </row>
    <row r="326" spans="1:39" x14ac:dyDescent="0.35">
      <c r="A326" s="259">
        <v>1744</v>
      </c>
      <c r="B326" s="58">
        <f>SUMIF([2]!Table2_23[ETA],'FIS Optimal Model (2)'!A326,[2]!Table2_23[FIS PAX])</f>
        <v>0</v>
      </c>
      <c r="C326" s="44">
        <f t="shared" si="201"/>
        <v>0</v>
      </c>
      <c r="D326" s="52">
        <f t="shared" si="208"/>
        <v>0</v>
      </c>
      <c r="E326" s="26">
        <f t="shared" si="189"/>
        <v>0</v>
      </c>
      <c r="F326" s="26">
        <f t="shared" si="190"/>
        <v>0</v>
      </c>
      <c r="G326" s="26">
        <f t="shared" si="191"/>
        <v>0</v>
      </c>
      <c r="H326" s="26">
        <f t="shared" si="192"/>
        <v>0</v>
      </c>
      <c r="I326" s="27">
        <f t="shared" si="211"/>
        <v>0</v>
      </c>
      <c r="J326" s="27">
        <f t="shared" si="211"/>
        <v>0</v>
      </c>
      <c r="K326" s="27">
        <f t="shared" si="211"/>
        <v>0</v>
      </c>
      <c r="L326" s="27">
        <f t="shared" si="209"/>
        <v>0</v>
      </c>
      <c r="M326" s="28">
        <f t="shared" si="214"/>
        <v>3</v>
      </c>
      <c r="N326" s="29">
        <f t="shared" si="215"/>
        <v>8</v>
      </c>
      <c r="O326" s="28">
        <f t="shared" si="216"/>
        <v>0</v>
      </c>
      <c r="P326" s="28">
        <f t="shared" si="217"/>
        <v>0</v>
      </c>
      <c r="Q326" s="28">
        <f t="shared" si="193"/>
        <v>11</v>
      </c>
      <c r="R326" s="22">
        <f t="shared" si="194"/>
        <v>0</v>
      </c>
      <c r="S326" s="22">
        <f t="shared" si="195"/>
        <v>0</v>
      </c>
      <c r="T326" s="22">
        <f t="shared" si="196"/>
        <v>0</v>
      </c>
      <c r="U326" s="22">
        <f t="shared" si="197"/>
        <v>0</v>
      </c>
      <c r="V326" s="21">
        <f t="shared" si="212"/>
        <v>0</v>
      </c>
      <c r="W326" s="21">
        <f t="shared" si="213"/>
        <v>0</v>
      </c>
      <c r="X326" s="21">
        <f t="shared" si="206"/>
        <v>0</v>
      </c>
      <c r="Y326" s="21">
        <f t="shared" si="207"/>
        <v>0</v>
      </c>
      <c r="Z326" s="221">
        <f t="shared" si="198"/>
        <v>0</v>
      </c>
      <c r="AA326" s="30">
        <f t="shared" si="185"/>
        <v>0</v>
      </c>
      <c r="AB326" s="30">
        <f t="shared" si="186"/>
        <v>0</v>
      </c>
      <c r="AC326" s="30">
        <f t="shared" si="187"/>
        <v>0</v>
      </c>
      <c r="AD326" s="30">
        <f t="shared" si="188"/>
        <v>0</v>
      </c>
      <c r="AE326" s="32">
        <f t="shared" si="199"/>
        <v>0</v>
      </c>
      <c r="AF326" s="33">
        <f t="shared" si="210"/>
        <v>0</v>
      </c>
      <c r="AG326" s="40">
        <f t="shared" si="200"/>
        <v>0</v>
      </c>
      <c r="AH326" s="224">
        <f>AG326*$P$36</f>
        <v>0</v>
      </c>
      <c r="AI326" s="226">
        <f>SUM(Z326,IF(Z326&lt;&gt;0,$F$34,0),IF(Z326&lt;&gt;0,$N$36,0),IF(Z326&lt;&gt;0,$T$36,0),IF(Z326=0,AH331,IF(Z326=1,AH332,IF(Z326=2,AH333,IF(Z326=3,AH334,IF(Z326=4,AH335,IF(Z326=5,AH336,IF(Z326=6,AH337,IF(Z326=7,AH338,IF(Z326=8,AH339,IF(Z326=9,AH340,IF(Z326=10,AH341,IF(Z326=11,AH342,IF(Z326=12,AH343,IF(Z326=13,AH344,IF(Z326=14,AH345,IF(Z326=15,AH346,IF(Z326=16,AH347,IF(Z326=17,AH348,IF(Z326=18,AH349,IF(Z326=19,AH350,IF(Z326=20,AH351,IF(Z326=21,AH352,IF(Z326=22,AH353,IF(Z326=23,AH354,IF(Z326=24,AH355,IF(Z326=25,AH356,IF(Z326=26,AH357,IF(Z326=27,AH358,IF(Z326=28,AH359,IF(Z326=29,AH360,IF(Z326=30,AH361))))))))))))))))))))))))))))))))</f>
        <v>0</v>
      </c>
      <c r="AJ326" s="253">
        <f>IF(V326&lt;&gt;0,SUM($F$34,V326,$N$36,MAX($AH$42:$AH$342),$T$36),0)</f>
        <v>0</v>
      </c>
      <c r="AK326" s="253">
        <f>IF(W326&lt;&gt;0,SUM($F$34,W326,$N$36,MAX($AH$42:$AH$342),$T$36),0)</f>
        <v>0</v>
      </c>
      <c r="AL326" s="253">
        <f>IF(X326&lt;&gt;0,SUM($F$34,X326,$N$36,MAX($AH$42:$AH$342),$T$36),0)</f>
        <v>0</v>
      </c>
      <c r="AM326" s="260">
        <f>IF(Y326&lt;&gt;0,SUM($F$34,Y326,$N$36,MAX($AH$42:$AH$342),$T$36),0)</f>
        <v>0</v>
      </c>
    </row>
    <row r="327" spans="1:39" x14ac:dyDescent="0.35">
      <c r="A327" s="259">
        <v>1745</v>
      </c>
      <c r="B327" s="58">
        <f>SUMIF([2]!Table2_23[ETA],'FIS Optimal Model (2)'!A327,[2]!Table2_23[FIS PAX])</f>
        <v>0</v>
      </c>
      <c r="C327" s="44">
        <f t="shared" si="201"/>
        <v>0</v>
      </c>
      <c r="D327" s="52">
        <f t="shared" si="208"/>
        <v>0</v>
      </c>
      <c r="E327" s="26">
        <f t="shared" si="189"/>
        <v>0</v>
      </c>
      <c r="F327" s="26">
        <f t="shared" si="190"/>
        <v>0</v>
      </c>
      <c r="G327" s="26">
        <f t="shared" si="191"/>
        <v>0</v>
      </c>
      <c r="H327" s="26">
        <f t="shared" si="192"/>
        <v>0</v>
      </c>
      <c r="I327" s="27">
        <f t="shared" si="211"/>
        <v>0</v>
      </c>
      <c r="J327" s="27">
        <f t="shared" si="211"/>
        <v>0</v>
      </c>
      <c r="K327" s="27">
        <f t="shared" si="211"/>
        <v>0</v>
      </c>
      <c r="L327" s="27">
        <f t="shared" si="209"/>
        <v>0</v>
      </c>
      <c r="M327" s="28">
        <f t="shared" si="214"/>
        <v>3</v>
      </c>
      <c r="N327" s="29">
        <f t="shared" si="215"/>
        <v>8</v>
      </c>
      <c r="O327" s="28">
        <f t="shared" si="216"/>
        <v>0</v>
      </c>
      <c r="P327" s="28">
        <f t="shared" si="217"/>
        <v>0</v>
      </c>
      <c r="Q327" s="28">
        <f t="shared" si="193"/>
        <v>11</v>
      </c>
      <c r="R327" s="22">
        <f t="shared" si="194"/>
        <v>0</v>
      </c>
      <c r="S327" s="22">
        <f t="shared" si="195"/>
        <v>0</v>
      </c>
      <c r="T327" s="22">
        <f t="shared" si="196"/>
        <v>0</v>
      </c>
      <c r="U327" s="22">
        <f t="shared" si="197"/>
        <v>0</v>
      </c>
      <c r="V327" s="21">
        <f t="shared" si="212"/>
        <v>0</v>
      </c>
      <c r="W327" s="21">
        <f t="shared" si="213"/>
        <v>0</v>
      </c>
      <c r="X327" s="21">
        <f t="shared" si="206"/>
        <v>0</v>
      </c>
      <c r="Y327" s="21">
        <f t="shared" si="207"/>
        <v>0</v>
      </c>
      <c r="Z327" s="221">
        <f t="shared" si="198"/>
        <v>0</v>
      </c>
      <c r="AA327" s="30">
        <f t="shared" si="185"/>
        <v>0</v>
      </c>
      <c r="AB327" s="30">
        <f t="shared" si="186"/>
        <v>0</v>
      </c>
      <c r="AC327" s="30">
        <f t="shared" si="187"/>
        <v>0</v>
      </c>
      <c r="AD327" s="30">
        <f t="shared" si="188"/>
        <v>0</v>
      </c>
      <c r="AE327" s="32">
        <f t="shared" si="199"/>
        <v>0</v>
      </c>
      <c r="AF327" s="33">
        <f t="shared" si="210"/>
        <v>0</v>
      </c>
      <c r="AG327" s="40">
        <f t="shared" si="200"/>
        <v>0</v>
      </c>
      <c r="AH327" s="224">
        <f>AG327*$P$36</f>
        <v>0</v>
      </c>
      <c r="AI327" s="226">
        <f>SUM(Z327,IF(Z327&lt;&gt;0,$F$34,0),IF(Z327&lt;&gt;0,$N$36,0),IF(Z327&lt;&gt;0,$T$36,0),IF(Z327=0,AH332,IF(Z327=1,AH333,IF(Z327=2,AH334,IF(Z327=3,AH335,IF(Z327=4,AH336,IF(Z327=5,AH337,IF(Z327=6,AH338,IF(Z327=7,AH339,IF(Z327=8,AH340,IF(Z327=9,AH341,IF(Z327=10,AH342,IF(Z327=11,AH343,IF(Z327=12,AH344,IF(Z327=13,AH345,IF(Z327=14,AH346,IF(Z327=15,AH347,IF(Z327=16,AH348,IF(Z327=17,AH349,IF(Z327=18,AH350,IF(Z327=19,AH351,IF(Z327=20,AH352,IF(Z327=21,AH353,IF(Z327=22,AH354,IF(Z327=23,AH355,IF(Z327=24,AH356,IF(Z327=25,AH357,IF(Z327=26,AH358,IF(Z327=27,AH359,IF(Z327=28,AH360,IF(Z327=29,AH361,IF(Z327=30,AH362))))))))))))))))))))))))))))))))</f>
        <v>0</v>
      </c>
      <c r="AJ327" s="253">
        <f>IF(V327&lt;&gt;0,SUM($F$34,V327,$N$36,MAX($AH$42:$AH$342),$T$36),0)</f>
        <v>0</v>
      </c>
      <c r="AK327" s="253">
        <f>IF(W327&lt;&gt;0,SUM($F$34,W327,$N$36,MAX($AH$42:$AH$342),$T$36),0)</f>
        <v>0</v>
      </c>
      <c r="AL327" s="253">
        <f>IF(X327&lt;&gt;0,SUM($F$34,X327,$N$36,MAX($AH$42:$AH$342),$T$36),0)</f>
        <v>0</v>
      </c>
      <c r="AM327" s="260">
        <f>IF(Y327&lt;&gt;0,SUM($F$34,Y327,$N$36,MAX($AH$42:$AH$342),$T$36),0)</f>
        <v>0</v>
      </c>
    </row>
    <row r="328" spans="1:39" x14ac:dyDescent="0.35">
      <c r="A328" s="259">
        <v>1746</v>
      </c>
      <c r="B328" s="58">
        <f>SUMIF([2]!Table2_23[ETA],'FIS Optimal Model (2)'!A328,[2]!Table2_23[FIS PAX])</f>
        <v>0</v>
      </c>
      <c r="C328" s="44">
        <f t="shared" si="201"/>
        <v>0</v>
      </c>
      <c r="D328" s="52">
        <f t="shared" si="208"/>
        <v>0</v>
      </c>
      <c r="E328" s="26">
        <f t="shared" si="189"/>
        <v>0</v>
      </c>
      <c r="F328" s="26">
        <f t="shared" si="190"/>
        <v>0</v>
      </c>
      <c r="G328" s="26">
        <f t="shared" si="191"/>
        <v>0</v>
      </c>
      <c r="H328" s="26">
        <f t="shared" si="192"/>
        <v>0</v>
      </c>
      <c r="I328" s="27">
        <f t="shared" si="211"/>
        <v>0</v>
      </c>
      <c r="J328" s="27">
        <f t="shared" si="211"/>
        <v>0</v>
      </c>
      <c r="K328" s="27">
        <f t="shared" si="211"/>
        <v>0</v>
      </c>
      <c r="L328" s="27">
        <f t="shared" si="209"/>
        <v>0</v>
      </c>
      <c r="M328" s="28">
        <f>IF(R327=0,0,$Q$25)</f>
        <v>0</v>
      </c>
      <c r="N328" s="29">
        <f>$U$25-M328-O328-P328</f>
        <v>11</v>
      </c>
      <c r="O328" s="28">
        <f>IF(T327=0,0,$S$25)</f>
        <v>0</v>
      </c>
      <c r="P328" s="28">
        <f>IF(U327=0,0,$T$25)</f>
        <v>0</v>
      </c>
      <c r="Q328" s="28">
        <f t="shared" si="193"/>
        <v>11</v>
      </c>
      <c r="R328" s="22">
        <f t="shared" si="194"/>
        <v>0</v>
      </c>
      <c r="S328" s="22">
        <f t="shared" si="195"/>
        <v>0</v>
      </c>
      <c r="T328" s="22">
        <f t="shared" si="196"/>
        <v>0</v>
      </c>
      <c r="U328" s="22">
        <f t="shared" si="197"/>
        <v>0</v>
      </c>
      <c r="V328" s="21">
        <f t="shared" si="212"/>
        <v>0</v>
      </c>
      <c r="W328" s="21">
        <f t="shared" si="213"/>
        <v>0</v>
      </c>
      <c r="X328" s="21">
        <f t="shared" si="206"/>
        <v>0</v>
      </c>
      <c r="Y328" s="21">
        <f t="shared" si="207"/>
        <v>0</v>
      </c>
      <c r="Z328" s="221">
        <f t="shared" si="198"/>
        <v>0</v>
      </c>
      <c r="AA328" s="30">
        <f t="shared" si="185"/>
        <v>0</v>
      </c>
      <c r="AB328" s="30">
        <f t="shared" si="186"/>
        <v>0</v>
      </c>
      <c r="AC328" s="30">
        <f t="shared" si="187"/>
        <v>0</v>
      </c>
      <c r="AD328" s="30">
        <f t="shared" si="188"/>
        <v>0</v>
      </c>
      <c r="AE328" s="32">
        <f t="shared" si="199"/>
        <v>0</v>
      </c>
      <c r="AF328" s="33">
        <f t="shared" si="210"/>
        <v>0</v>
      </c>
      <c r="AG328" s="40">
        <f t="shared" si="200"/>
        <v>0</v>
      </c>
      <c r="AH328" s="224">
        <f>AG328*$P$36</f>
        <v>0</v>
      </c>
      <c r="AI328" s="226">
        <f>SUM(Z328,IF(Z328&lt;&gt;0,$F$34,0),IF(Z328&lt;&gt;0,$N$36,0),IF(Z328&lt;&gt;0,$T$36,0),IF(Z328=0,AH333,IF(Z328=1,AH334,IF(Z328=2,AH335,IF(Z328=3,AH336,IF(Z328=4,AH337,IF(Z328=5,AH338,IF(Z328=6,AH339,IF(Z328=7,AH340,IF(Z328=8,AH341,IF(Z328=9,AH342,IF(Z328=10,AH343,IF(Z328=11,AH344,IF(Z328=12,AH345,IF(Z328=13,AH346,IF(Z328=14,AH347,IF(Z328=15,AH348,IF(Z328=16,AH349,IF(Z328=17,AH350,IF(Z328=18,AH351,IF(Z328=19,AH352,IF(Z328=20,AH353,IF(Z328=21,AH354,IF(Z328=22,AH355,IF(Z328=23,AH356,IF(Z328=24,AH357,IF(Z328=25,AH358,IF(Z328=26,AH359,IF(Z328=27,AH360,IF(Z328=28,AH361,IF(Z328=29,AH362,IF(Z328=30,AH363))))))))))))))))))))))))))))))))</f>
        <v>0</v>
      </c>
      <c r="AJ328" s="253">
        <f>IF(V328&lt;&gt;0,SUM($F$34,V328,$N$36,MAX($AH$42:$AH$342),$T$36),0)</f>
        <v>0</v>
      </c>
      <c r="AK328" s="253">
        <f>IF(W328&lt;&gt;0,SUM($F$34,W328,$N$36,MAX($AH$42:$AH$342),$T$36),0)</f>
        <v>0</v>
      </c>
      <c r="AL328" s="253">
        <f>IF(X328&lt;&gt;0,SUM($F$34,X328,$N$36,MAX($AH$42:$AH$342),$T$36),0)</f>
        <v>0</v>
      </c>
      <c r="AM328" s="260">
        <f>IF(Y328&lt;&gt;0,SUM($F$34,Y328,$N$36,MAX($AH$42:$AH$342),$T$36),0)</f>
        <v>0</v>
      </c>
    </row>
    <row r="329" spans="1:39" x14ac:dyDescent="0.35">
      <c r="A329" s="259">
        <v>1747</v>
      </c>
      <c r="B329" s="58">
        <f>SUMIF([2]!Table2_23[ETA],'FIS Optimal Model (2)'!A329,[2]!Table2_23[FIS PAX])</f>
        <v>0</v>
      </c>
      <c r="C329" s="44">
        <f t="shared" si="201"/>
        <v>0</v>
      </c>
      <c r="D329" s="52">
        <f t="shared" si="208"/>
        <v>0</v>
      </c>
      <c r="E329" s="26">
        <f t="shared" si="189"/>
        <v>0</v>
      </c>
      <c r="F329" s="26">
        <f t="shared" si="190"/>
        <v>0</v>
      </c>
      <c r="G329" s="26">
        <f t="shared" si="191"/>
        <v>0</v>
      </c>
      <c r="H329" s="26">
        <f t="shared" si="192"/>
        <v>0</v>
      </c>
      <c r="I329" s="27">
        <f t="shared" si="211"/>
        <v>0</v>
      </c>
      <c r="J329" s="27">
        <f t="shared" si="211"/>
        <v>0</v>
      </c>
      <c r="K329" s="27">
        <f t="shared" si="211"/>
        <v>0</v>
      </c>
      <c r="L329" s="27">
        <f t="shared" si="209"/>
        <v>0</v>
      </c>
      <c r="M329" s="28">
        <f>M328</f>
        <v>0</v>
      </c>
      <c r="N329" s="29">
        <f>$N$328</f>
        <v>11</v>
      </c>
      <c r="O329" s="28">
        <f>$O$328</f>
        <v>0</v>
      </c>
      <c r="P329" s="28">
        <f>$P$328</f>
        <v>0</v>
      </c>
      <c r="Q329" s="28">
        <f t="shared" si="193"/>
        <v>11</v>
      </c>
      <c r="R329" s="22">
        <f t="shared" si="194"/>
        <v>0</v>
      </c>
      <c r="S329" s="22">
        <f t="shared" si="195"/>
        <v>0</v>
      </c>
      <c r="T329" s="22">
        <f t="shared" si="196"/>
        <v>0</v>
      </c>
      <c r="U329" s="22">
        <f t="shared" si="197"/>
        <v>0</v>
      </c>
      <c r="V329" s="21">
        <f t="shared" si="212"/>
        <v>0</v>
      </c>
      <c r="W329" s="21">
        <f t="shared" si="213"/>
        <v>0</v>
      </c>
      <c r="X329" s="21">
        <f t="shared" si="206"/>
        <v>0</v>
      </c>
      <c r="Y329" s="21">
        <f t="shared" si="207"/>
        <v>0</v>
      </c>
      <c r="Z329" s="221">
        <f t="shared" si="198"/>
        <v>0</v>
      </c>
      <c r="AA329" s="30">
        <f t="shared" si="185"/>
        <v>0</v>
      </c>
      <c r="AB329" s="30">
        <f t="shared" si="186"/>
        <v>0</v>
      </c>
      <c r="AC329" s="30">
        <f t="shared" si="187"/>
        <v>0</v>
      </c>
      <c r="AD329" s="30">
        <f t="shared" si="188"/>
        <v>0</v>
      </c>
      <c r="AE329" s="32">
        <f t="shared" si="199"/>
        <v>0</v>
      </c>
      <c r="AF329" s="33">
        <f t="shared" si="210"/>
        <v>0</v>
      </c>
      <c r="AG329" s="40">
        <f t="shared" si="200"/>
        <v>0</v>
      </c>
      <c r="AH329" s="224">
        <f>AG329*$P$36</f>
        <v>0</v>
      </c>
      <c r="AI329" s="226">
        <f>SUM(Z329,IF(Z329&lt;&gt;0,$F$34,0),IF(Z329&lt;&gt;0,$N$36,0),IF(Z329&lt;&gt;0,$T$36,0),IF(Z329=0,AH334,IF(Z329=1,AH335,IF(Z329=2,AH336,IF(Z329=3,AH337,IF(Z329=4,AH338,IF(Z329=5,AH339,IF(Z329=6,AH340,IF(Z329=7,AH341,IF(Z329=8,AH342,IF(Z329=9,AH343,IF(Z329=10,AH344,IF(Z329=11,AH345,IF(Z329=12,AH346,IF(Z329=13,AH347,IF(Z329=14,AH348,IF(Z329=15,AH349,IF(Z329=16,AH350,IF(Z329=17,AH351,IF(Z329=18,AH352,IF(Z329=19,AH353,IF(Z329=20,AH354,IF(Z329=21,AH355,IF(Z329=22,AH356,IF(Z329=23,AH357,IF(Z329=24,AH358,IF(Z329=25,AH359,IF(Z329=26,AH360,IF(Z329=27,AH361,IF(Z329=28,AH362,IF(Z329=29,AH363,IF(Z329=30,AH364))))))))))))))))))))))))))))))))</f>
        <v>0</v>
      </c>
      <c r="AJ329" s="253">
        <f>IF(V329&lt;&gt;0,SUM($F$34,V329,$N$36,MAX($AH$42:$AH$342),$T$36),0)</f>
        <v>0</v>
      </c>
      <c r="AK329" s="253">
        <f>IF(W329&lt;&gt;0,SUM($F$34,W329,$N$36,MAX($AH$42:$AH$342),$T$36),0)</f>
        <v>0</v>
      </c>
      <c r="AL329" s="253">
        <f>IF(X329&lt;&gt;0,SUM($F$34,X329,$N$36,MAX($AH$42:$AH$342),$T$36),0)</f>
        <v>0</v>
      </c>
      <c r="AM329" s="260">
        <f>IF(Y329&lt;&gt;0,SUM($F$34,Y329,$N$36,MAX($AH$42:$AH$342),$T$36),0)</f>
        <v>0</v>
      </c>
    </row>
    <row r="330" spans="1:39" x14ac:dyDescent="0.35">
      <c r="A330" s="259">
        <v>1748</v>
      </c>
      <c r="B330" s="58">
        <f>SUMIF([2]!Table2_23[ETA],'FIS Optimal Model (2)'!A330,[2]!Table2_23[FIS PAX])</f>
        <v>0</v>
      </c>
      <c r="C330" s="44">
        <f t="shared" si="201"/>
        <v>0</v>
      </c>
      <c r="D330" s="52">
        <f t="shared" si="208"/>
        <v>0</v>
      </c>
      <c r="E330" s="26">
        <f t="shared" si="189"/>
        <v>0</v>
      </c>
      <c r="F330" s="26">
        <f t="shared" si="190"/>
        <v>0</v>
      </c>
      <c r="G330" s="26">
        <f t="shared" si="191"/>
        <v>0</v>
      </c>
      <c r="H330" s="26">
        <f t="shared" si="192"/>
        <v>0</v>
      </c>
      <c r="I330" s="27">
        <f t="shared" si="211"/>
        <v>0</v>
      </c>
      <c r="J330" s="27">
        <f t="shared" si="211"/>
        <v>0</v>
      </c>
      <c r="K330" s="27">
        <f t="shared" si="211"/>
        <v>0</v>
      </c>
      <c r="L330" s="27">
        <f t="shared" si="209"/>
        <v>0</v>
      </c>
      <c r="M330" s="28">
        <f t="shared" ref="M330:M342" si="218">M329</f>
        <v>0</v>
      </c>
      <c r="N330" s="29">
        <f t="shared" ref="N330:N342" si="219">$N$328</f>
        <v>11</v>
      </c>
      <c r="O330" s="28">
        <f t="shared" ref="O330:O342" si="220">$O$328</f>
        <v>0</v>
      </c>
      <c r="P330" s="28">
        <f t="shared" ref="P330:P342" si="221">$P$328</f>
        <v>0</v>
      </c>
      <c r="Q330" s="28">
        <f t="shared" si="193"/>
        <v>11</v>
      </c>
      <c r="R330" s="22">
        <f t="shared" si="194"/>
        <v>0</v>
      </c>
      <c r="S330" s="22">
        <f t="shared" si="195"/>
        <v>0</v>
      </c>
      <c r="T330" s="22">
        <f t="shared" si="196"/>
        <v>0</v>
      </c>
      <c r="U330" s="22">
        <f t="shared" si="197"/>
        <v>0</v>
      </c>
      <c r="V330" s="21">
        <f t="shared" si="212"/>
        <v>0</v>
      </c>
      <c r="W330" s="21">
        <f t="shared" si="213"/>
        <v>0</v>
      </c>
      <c r="X330" s="21">
        <f t="shared" si="206"/>
        <v>0</v>
      </c>
      <c r="Y330" s="21">
        <f t="shared" si="207"/>
        <v>0</v>
      </c>
      <c r="Z330" s="221">
        <f t="shared" si="198"/>
        <v>0</v>
      </c>
      <c r="AA330" s="30">
        <f t="shared" si="185"/>
        <v>0</v>
      </c>
      <c r="AB330" s="30">
        <f t="shared" si="186"/>
        <v>0</v>
      </c>
      <c r="AC330" s="30">
        <f t="shared" si="187"/>
        <v>0</v>
      </c>
      <c r="AD330" s="30">
        <f t="shared" si="188"/>
        <v>0</v>
      </c>
      <c r="AE330" s="32">
        <f t="shared" si="199"/>
        <v>0</v>
      </c>
      <c r="AF330" s="33">
        <f t="shared" si="210"/>
        <v>0</v>
      </c>
      <c r="AG330" s="40">
        <f t="shared" si="200"/>
        <v>0</v>
      </c>
      <c r="AH330" s="224">
        <f>AG330*$P$36</f>
        <v>0</v>
      </c>
      <c r="AI330" s="226">
        <f>SUM(Z330,IF(Z330&lt;&gt;0,$F$34,0),IF(Z330&lt;&gt;0,$N$36,0),IF(Z330&lt;&gt;0,$T$36,0),IF(Z330=0,AH335,IF(Z330=1,AH336,IF(Z330=2,AH337,IF(Z330=3,AH338,IF(Z330=4,AH339,IF(Z330=5,AH340,IF(Z330=6,AH341,IF(Z330=7,AH342,IF(Z330=8,AH343,IF(Z330=9,AH344,IF(Z330=10,AH345,IF(Z330=11,AH346,IF(Z330=12,AH347,IF(Z330=13,AH348,IF(Z330=14,AH349,IF(Z330=15,AH350,IF(Z330=16,AH351,IF(Z330=17,AH352,IF(Z330=18,AH353,IF(Z330=19,AH354,IF(Z330=20,AH355,IF(Z330=21,AH356,IF(Z330=22,AH357,IF(Z330=23,AH358,IF(Z330=24,AH359,IF(Z330=25,AH360,IF(Z330=26,AH361,IF(Z330=27,AH362,IF(Z330=28,AH363,IF(Z330=29,AH364,IF(Z330=30,AH365))))))))))))))))))))))))))))))))</f>
        <v>0</v>
      </c>
      <c r="AJ330" s="253">
        <f>IF(V330&lt;&gt;0,SUM($F$34,V330,$N$36,MAX($AH$42:$AH$342),$T$36),0)</f>
        <v>0</v>
      </c>
      <c r="AK330" s="253">
        <f>IF(W330&lt;&gt;0,SUM($F$34,W330,$N$36,MAX($AH$42:$AH$342),$T$36),0)</f>
        <v>0</v>
      </c>
      <c r="AL330" s="253">
        <f>IF(X330&lt;&gt;0,SUM($F$34,X330,$N$36,MAX($AH$42:$AH$342),$T$36),0)</f>
        <v>0</v>
      </c>
      <c r="AM330" s="260">
        <f>IF(Y330&lt;&gt;0,SUM($F$34,Y330,$N$36,MAX($AH$42:$AH$342),$T$36),0)</f>
        <v>0</v>
      </c>
    </row>
    <row r="331" spans="1:39" x14ac:dyDescent="0.35">
      <c r="A331" s="259">
        <v>1749</v>
      </c>
      <c r="B331" s="58">
        <f>SUMIF([2]!Table2_23[ETA],'FIS Optimal Model (2)'!A331,[2]!Table2_23[FIS PAX])</f>
        <v>0</v>
      </c>
      <c r="C331" s="44">
        <f t="shared" si="201"/>
        <v>0</v>
      </c>
      <c r="D331" s="52">
        <f t="shared" si="208"/>
        <v>0</v>
      </c>
      <c r="E331" s="26">
        <f t="shared" si="189"/>
        <v>0</v>
      </c>
      <c r="F331" s="26">
        <f t="shared" si="190"/>
        <v>0</v>
      </c>
      <c r="G331" s="26">
        <f t="shared" si="191"/>
        <v>0</v>
      </c>
      <c r="H331" s="26">
        <f t="shared" si="192"/>
        <v>0</v>
      </c>
      <c r="I331" s="27">
        <f t="shared" si="211"/>
        <v>0</v>
      </c>
      <c r="J331" s="27">
        <f t="shared" si="211"/>
        <v>0</v>
      </c>
      <c r="K331" s="27">
        <f t="shared" si="211"/>
        <v>0</v>
      </c>
      <c r="L331" s="27">
        <f t="shared" si="209"/>
        <v>0</v>
      </c>
      <c r="M331" s="28">
        <f t="shared" si="218"/>
        <v>0</v>
      </c>
      <c r="N331" s="29">
        <f t="shared" si="219"/>
        <v>11</v>
      </c>
      <c r="O331" s="28">
        <f t="shared" si="220"/>
        <v>0</v>
      </c>
      <c r="P331" s="28">
        <f t="shared" si="221"/>
        <v>0</v>
      </c>
      <c r="Q331" s="28">
        <f t="shared" si="193"/>
        <v>11</v>
      </c>
      <c r="R331" s="22">
        <f t="shared" si="194"/>
        <v>0</v>
      </c>
      <c r="S331" s="22">
        <f t="shared" si="195"/>
        <v>0</v>
      </c>
      <c r="T331" s="22">
        <f t="shared" si="196"/>
        <v>0</v>
      </c>
      <c r="U331" s="22">
        <f t="shared" si="197"/>
        <v>0</v>
      </c>
      <c r="V331" s="21">
        <f t="shared" si="212"/>
        <v>0</v>
      </c>
      <c r="W331" s="21">
        <f t="shared" si="213"/>
        <v>0</v>
      </c>
      <c r="X331" s="21">
        <f t="shared" si="206"/>
        <v>0</v>
      </c>
      <c r="Y331" s="21">
        <f t="shared" si="207"/>
        <v>0</v>
      </c>
      <c r="Z331" s="221">
        <f t="shared" si="198"/>
        <v>0</v>
      </c>
      <c r="AA331" s="30">
        <f t="shared" si="185"/>
        <v>0</v>
      </c>
      <c r="AB331" s="30">
        <f t="shared" si="186"/>
        <v>0</v>
      </c>
      <c r="AC331" s="30">
        <f t="shared" si="187"/>
        <v>0</v>
      </c>
      <c r="AD331" s="30">
        <f t="shared" si="188"/>
        <v>0</v>
      </c>
      <c r="AE331" s="32">
        <f t="shared" si="199"/>
        <v>0</v>
      </c>
      <c r="AF331" s="33">
        <f t="shared" si="210"/>
        <v>0</v>
      </c>
      <c r="AG331" s="40">
        <f t="shared" si="200"/>
        <v>0</v>
      </c>
      <c r="AH331" s="224">
        <f>AG331*$P$36</f>
        <v>0</v>
      </c>
      <c r="AI331" s="226">
        <f>SUM(Z331,IF(Z331&lt;&gt;0,$F$34,0),IF(Z331&lt;&gt;0,$N$36,0),IF(Z331&lt;&gt;0,$T$36,0),IF(Z331=0,AH336,IF(Z331=1,AH337,IF(Z331=2,AH338,IF(Z331=3,AH339,IF(Z331=4,AH340,IF(Z331=5,AH341,IF(Z331=6,AH342,IF(Z331=7,AH343,IF(Z331=8,AH344,IF(Z331=9,AH345,IF(Z331=10,AH346,IF(Z331=11,AH347,IF(Z331=12,AH348,IF(Z331=13,AH349,IF(Z331=14,AH350,IF(Z331=15,AH351,IF(Z331=16,AH352,IF(Z331=17,AH353,IF(Z331=18,AH354,IF(Z331=19,AH355,IF(Z331=20,AH356,IF(Z331=21,AH357,IF(Z331=22,AH358,IF(Z331=23,AH359,IF(Z331=24,AH360,IF(Z331=25,AH361,IF(Z331=26,AH362,IF(Z331=27,AH363,IF(Z331=28,AH364,IF(Z331=29,AH365,IF(Z331=30,AH366))))))))))))))))))))))))))))))))</f>
        <v>0</v>
      </c>
      <c r="AJ331" s="253">
        <f>IF(V331&lt;&gt;0,SUM($F$34,V331,$N$36,MAX($AH$42:$AH$342),$T$36),0)</f>
        <v>0</v>
      </c>
      <c r="AK331" s="253">
        <f>IF(W331&lt;&gt;0,SUM($F$34,W331,$N$36,MAX($AH$42:$AH$342),$T$36),0)</f>
        <v>0</v>
      </c>
      <c r="AL331" s="253">
        <f>IF(X331&lt;&gt;0,SUM($F$34,X331,$N$36,MAX($AH$42:$AH$342),$T$36),0)</f>
        <v>0</v>
      </c>
      <c r="AM331" s="260">
        <f>IF(Y331&lt;&gt;0,SUM($F$34,Y331,$N$36,MAX($AH$42:$AH$342),$T$36),0)</f>
        <v>0</v>
      </c>
    </row>
    <row r="332" spans="1:39" x14ac:dyDescent="0.35">
      <c r="A332" s="259">
        <v>1750</v>
      </c>
      <c r="B332" s="58">
        <f>SUMIF([2]!Table2_23[ETA],'FIS Optimal Model (2)'!A332,[2]!Table2_23[FIS PAX])</f>
        <v>0</v>
      </c>
      <c r="C332" s="44">
        <f t="shared" si="201"/>
        <v>0</v>
      </c>
      <c r="D332" s="52">
        <f t="shared" si="208"/>
        <v>0</v>
      </c>
      <c r="E332" s="26">
        <f t="shared" si="189"/>
        <v>0</v>
      </c>
      <c r="F332" s="26">
        <f t="shared" si="190"/>
        <v>0</v>
      </c>
      <c r="G332" s="26">
        <f t="shared" si="191"/>
        <v>0</v>
      </c>
      <c r="H332" s="26">
        <f t="shared" si="192"/>
        <v>0</v>
      </c>
      <c r="I332" s="27">
        <f t="shared" si="211"/>
        <v>0</v>
      </c>
      <c r="J332" s="27">
        <f t="shared" si="211"/>
        <v>0</v>
      </c>
      <c r="K332" s="27">
        <f t="shared" si="211"/>
        <v>0</v>
      </c>
      <c r="L332" s="27">
        <f t="shared" si="209"/>
        <v>0</v>
      </c>
      <c r="M332" s="28">
        <f t="shared" si="218"/>
        <v>0</v>
      </c>
      <c r="N332" s="29">
        <f t="shared" si="219"/>
        <v>11</v>
      </c>
      <c r="O332" s="28">
        <f t="shared" si="220"/>
        <v>0</v>
      </c>
      <c r="P332" s="28">
        <f t="shared" si="221"/>
        <v>0</v>
      </c>
      <c r="Q332" s="28">
        <f t="shared" si="193"/>
        <v>11</v>
      </c>
      <c r="R332" s="22">
        <f t="shared" si="194"/>
        <v>0</v>
      </c>
      <c r="S332" s="22">
        <f t="shared" si="195"/>
        <v>0</v>
      </c>
      <c r="T332" s="22">
        <f t="shared" si="196"/>
        <v>0</v>
      </c>
      <c r="U332" s="22">
        <f t="shared" si="197"/>
        <v>0</v>
      </c>
      <c r="V332" s="21">
        <f t="shared" si="212"/>
        <v>0</v>
      </c>
      <c r="W332" s="21">
        <f t="shared" si="213"/>
        <v>0</v>
      </c>
      <c r="X332" s="21">
        <f t="shared" si="206"/>
        <v>0</v>
      </c>
      <c r="Y332" s="21">
        <f t="shared" si="207"/>
        <v>0</v>
      </c>
      <c r="Z332" s="221">
        <f t="shared" si="198"/>
        <v>0</v>
      </c>
      <c r="AA332" s="30">
        <f t="shared" si="185"/>
        <v>0</v>
      </c>
      <c r="AB332" s="30">
        <f t="shared" si="186"/>
        <v>0</v>
      </c>
      <c r="AC332" s="30">
        <f t="shared" si="187"/>
        <v>0</v>
      </c>
      <c r="AD332" s="30">
        <f t="shared" si="188"/>
        <v>0</v>
      </c>
      <c r="AE332" s="32">
        <f t="shared" si="199"/>
        <v>0</v>
      </c>
      <c r="AF332" s="33">
        <f t="shared" si="210"/>
        <v>0</v>
      </c>
      <c r="AG332" s="40">
        <f t="shared" si="200"/>
        <v>0</v>
      </c>
      <c r="AH332" s="224">
        <f>AG332*$P$36</f>
        <v>0</v>
      </c>
      <c r="AI332" s="226">
        <f>SUM(Z332,IF(Z332&lt;&gt;0,$F$34,0),IF(Z332&lt;&gt;0,$N$36,0),IF(Z332&lt;&gt;0,$T$36,0),IF(Z332=0,AH337,IF(Z332=1,AH338,IF(Z332=2,AH339,IF(Z332=3,AH340,IF(Z332=4,AH341,IF(Z332=5,AH342,IF(Z332=6,AH343,IF(Z332=7,AH344,IF(Z332=8,AH345,IF(Z332=9,AH346,IF(Z332=10,AH347,IF(Z332=11,AH348,IF(Z332=12,AH349,IF(Z332=13,AH350,IF(Z332=14,AH351,IF(Z332=15,AH352,IF(Z332=16,AH353,IF(Z332=17,AH354,IF(Z332=18,AH355,IF(Z332=19,AH356,IF(Z332=20,AH357,IF(Z332=21,AH358,IF(Z332=22,AH359,IF(Z332=23,AH360,IF(Z332=24,AH361,IF(Z332=25,AH362,IF(Z332=26,AH363,IF(Z332=27,AH364,IF(Z332=28,AH365,IF(Z332=29,AH366,IF(Z332=30,AH367))))))))))))))))))))))))))))))))</f>
        <v>0</v>
      </c>
      <c r="AJ332" s="253">
        <f>IF(V332&lt;&gt;0,SUM($F$34,V332,$N$36,MAX($AH$42:$AH$342),$T$36),0)</f>
        <v>0</v>
      </c>
      <c r="AK332" s="253">
        <f>IF(W332&lt;&gt;0,SUM($F$34,W332,$N$36,MAX($AH$42:$AH$342),$T$36),0)</f>
        <v>0</v>
      </c>
      <c r="AL332" s="253">
        <f>IF(X332&lt;&gt;0,SUM($F$34,X332,$N$36,MAX($AH$42:$AH$342),$T$36),0)</f>
        <v>0</v>
      </c>
      <c r="AM332" s="260">
        <f>IF(Y332&lt;&gt;0,SUM($F$34,Y332,$N$36,MAX($AH$42:$AH$342),$T$36),0)</f>
        <v>0</v>
      </c>
    </row>
    <row r="333" spans="1:39" x14ac:dyDescent="0.35">
      <c r="A333" s="259">
        <v>1751</v>
      </c>
      <c r="B333" s="58">
        <f>SUMIF([2]!Table2_23[ETA],'FIS Optimal Model (2)'!A333,[2]!Table2_23[FIS PAX])</f>
        <v>0</v>
      </c>
      <c r="C333" s="44">
        <f t="shared" si="201"/>
        <v>0</v>
      </c>
      <c r="D333" s="52">
        <f t="shared" si="208"/>
        <v>0</v>
      </c>
      <c r="E333" s="26">
        <f t="shared" si="189"/>
        <v>0</v>
      </c>
      <c r="F333" s="26">
        <f t="shared" si="190"/>
        <v>0</v>
      </c>
      <c r="G333" s="26">
        <f t="shared" si="191"/>
        <v>0</v>
      </c>
      <c r="H333" s="26">
        <f t="shared" si="192"/>
        <v>0</v>
      </c>
      <c r="I333" s="27">
        <f t="shared" si="211"/>
        <v>0</v>
      </c>
      <c r="J333" s="27">
        <f t="shared" si="211"/>
        <v>0</v>
      </c>
      <c r="K333" s="27">
        <f t="shared" si="211"/>
        <v>0</v>
      </c>
      <c r="L333" s="27">
        <f t="shared" si="209"/>
        <v>0</v>
      </c>
      <c r="M333" s="28">
        <f t="shared" si="218"/>
        <v>0</v>
      </c>
      <c r="N333" s="29">
        <f t="shared" si="219"/>
        <v>11</v>
      </c>
      <c r="O333" s="28">
        <f t="shared" si="220"/>
        <v>0</v>
      </c>
      <c r="P333" s="28">
        <f t="shared" si="221"/>
        <v>0</v>
      </c>
      <c r="Q333" s="28">
        <f t="shared" si="193"/>
        <v>11</v>
      </c>
      <c r="R333" s="22">
        <f t="shared" si="194"/>
        <v>0</v>
      </c>
      <c r="S333" s="22">
        <f t="shared" si="195"/>
        <v>0</v>
      </c>
      <c r="T333" s="22">
        <f t="shared" si="196"/>
        <v>0</v>
      </c>
      <c r="U333" s="22">
        <f t="shared" si="197"/>
        <v>0</v>
      </c>
      <c r="V333" s="21">
        <f t="shared" si="212"/>
        <v>0</v>
      </c>
      <c r="W333" s="21">
        <f t="shared" si="213"/>
        <v>0</v>
      </c>
      <c r="X333" s="21">
        <f t="shared" si="206"/>
        <v>0</v>
      </c>
      <c r="Y333" s="21">
        <f t="shared" si="207"/>
        <v>0</v>
      </c>
      <c r="Z333" s="221">
        <f t="shared" si="198"/>
        <v>0</v>
      </c>
      <c r="AA333" s="30">
        <f t="shared" si="185"/>
        <v>0</v>
      </c>
      <c r="AB333" s="30">
        <f t="shared" si="186"/>
        <v>0</v>
      </c>
      <c r="AC333" s="30">
        <f t="shared" si="187"/>
        <v>0</v>
      </c>
      <c r="AD333" s="30">
        <f t="shared" si="188"/>
        <v>0</v>
      </c>
      <c r="AE333" s="32">
        <f t="shared" si="199"/>
        <v>0</v>
      </c>
      <c r="AF333" s="33">
        <f t="shared" si="210"/>
        <v>0</v>
      </c>
      <c r="AG333" s="40">
        <f t="shared" si="200"/>
        <v>0</v>
      </c>
      <c r="AH333" s="224">
        <f>AG333*$P$36</f>
        <v>0</v>
      </c>
      <c r="AI333" s="226">
        <f>SUM(Z333,IF(Z333&lt;&gt;0,$F$34,0),IF(Z333&lt;&gt;0,$N$36,0),IF(Z333&lt;&gt;0,$T$36,0),IF(Z333=0,AH338,IF(Z333=1,AH339,IF(Z333=2,AH340,IF(Z333=3,AH341,IF(Z333=4,AH342,IF(Z333=5,AH343,IF(Z333=6,AH344,IF(Z333=7,AH345,IF(Z333=8,AH346,IF(Z333=9,AH347,IF(Z333=10,AH348,IF(Z333=11,AH349,IF(Z333=12,AH350,IF(Z333=13,AH351,IF(Z333=14,AH352,IF(Z333=15,AH353,IF(Z333=16,AH354,IF(Z333=17,AH355,IF(Z333=18,AH356,IF(Z333=19,AH357,IF(Z333=20,AH358,IF(Z333=21,AH359,IF(Z333=22,AH360,IF(Z333=23,AH361,IF(Z333=24,AH362,IF(Z333=25,AH363,IF(Z333=26,AH364,IF(Z333=27,AH365,IF(Z333=28,AH366,IF(Z333=29,AH367,IF(Z333=30,AH368))))))))))))))))))))))))))))))))</f>
        <v>0</v>
      </c>
      <c r="AJ333" s="253">
        <f>IF(V333&lt;&gt;0,SUM($F$34,V333,$N$36,MAX($AH$42:$AH$342),$T$36),0)</f>
        <v>0</v>
      </c>
      <c r="AK333" s="253">
        <f>IF(W333&lt;&gt;0,SUM($F$34,W333,$N$36,MAX($AH$42:$AH$342),$T$36),0)</f>
        <v>0</v>
      </c>
      <c r="AL333" s="253">
        <f>IF(X333&lt;&gt;0,SUM($F$34,X333,$N$36,MAX($AH$42:$AH$342),$T$36),0)</f>
        <v>0</v>
      </c>
      <c r="AM333" s="260">
        <f>IF(Y333&lt;&gt;0,SUM($F$34,Y333,$N$36,MAX($AH$42:$AH$342),$T$36),0)</f>
        <v>0</v>
      </c>
    </row>
    <row r="334" spans="1:39" x14ac:dyDescent="0.35">
      <c r="A334" s="259">
        <v>1752</v>
      </c>
      <c r="B334" s="58">
        <f>SUMIF([2]!Table2_23[ETA],'FIS Optimal Model (2)'!A334,[2]!Table2_23[FIS PAX])</f>
        <v>0</v>
      </c>
      <c r="C334" s="44">
        <f t="shared" si="201"/>
        <v>0</v>
      </c>
      <c r="D334" s="52">
        <f t="shared" si="208"/>
        <v>0</v>
      </c>
      <c r="E334" s="26">
        <f t="shared" si="189"/>
        <v>0</v>
      </c>
      <c r="F334" s="26">
        <f t="shared" si="190"/>
        <v>0</v>
      </c>
      <c r="G334" s="26">
        <f t="shared" si="191"/>
        <v>0</v>
      </c>
      <c r="H334" s="26">
        <f t="shared" si="192"/>
        <v>0</v>
      </c>
      <c r="I334" s="27">
        <f t="shared" si="211"/>
        <v>0</v>
      </c>
      <c r="J334" s="27">
        <f t="shared" si="211"/>
        <v>0</v>
      </c>
      <c r="K334" s="27">
        <f t="shared" si="211"/>
        <v>0</v>
      </c>
      <c r="L334" s="27">
        <f t="shared" si="209"/>
        <v>0</v>
      </c>
      <c r="M334" s="28">
        <f t="shared" si="218"/>
        <v>0</v>
      </c>
      <c r="N334" s="29">
        <f t="shared" si="219"/>
        <v>11</v>
      </c>
      <c r="O334" s="28">
        <f t="shared" si="220"/>
        <v>0</v>
      </c>
      <c r="P334" s="28">
        <f t="shared" si="221"/>
        <v>0</v>
      </c>
      <c r="Q334" s="28">
        <f t="shared" si="193"/>
        <v>11</v>
      </c>
      <c r="R334" s="22">
        <f t="shared" si="194"/>
        <v>0</v>
      </c>
      <c r="S334" s="22">
        <f t="shared" si="195"/>
        <v>0</v>
      </c>
      <c r="T334" s="22">
        <f t="shared" si="196"/>
        <v>0</v>
      </c>
      <c r="U334" s="22">
        <f t="shared" si="197"/>
        <v>0</v>
      </c>
      <c r="V334" s="21">
        <f t="shared" si="212"/>
        <v>0</v>
      </c>
      <c r="W334" s="21">
        <f t="shared" si="213"/>
        <v>0</v>
      </c>
      <c r="X334" s="21">
        <f t="shared" si="206"/>
        <v>0</v>
      </c>
      <c r="Y334" s="21">
        <f t="shared" si="207"/>
        <v>0</v>
      </c>
      <c r="Z334" s="221">
        <f t="shared" si="198"/>
        <v>0</v>
      </c>
      <c r="AA334" s="30">
        <f t="shared" si="185"/>
        <v>0</v>
      </c>
      <c r="AB334" s="30">
        <f t="shared" si="186"/>
        <v>0</v>
      </c>
      <c r="AC334" s="30">
        <f t="shared" si="187"/>
        <v>0</v>
      </c>
      <c r="AD334" s="30">
        <f t="shared" si="188"/>
        <v>0</v>
      </c>
      <c r="AE334" s="32">
        <f t="shared" si="199"/>
        <v>0</v>
      </c>
      <c r="AF334" s="33">
        <f t="shared" si="210"/>
        <v>0</v>
      </c>
      <c r="AG334" s="40">
        <f t="shared" si="200"/>
        <v>0</v>
      </c>
      <c r="AH334" s="224">
        <f>AG334*$P$36</f>
        <v>0</v>
      </c>
      <c r="AI334" s="226">
        <f>SUM(Z334,IF(Z334&lt;&gt;0,$F$34,0),IF(Z334&lt;&gt;0,$N$36,0),IF(Z334&lt;&gt;0,$T$36,0),IF(Z334=0,AH339,IF(Z334=1,AH340,IF(Z334=2,AH341,IF(Z334=3,AH342,IF(Z334=4,AH343,IF(Z334=5,AH344,IF(Z334=6,AH345,IF(Z334=7,AH346,IF(Z334=8,AH347,IF(Z334=9,AH348,IF(Z334=10,AH349,IF(Z334=11,AH350,IF(Z334=12,AH351,IF(Z334=13,AH352,IF(Z334=14,AH353,IF(Z334=15,AH354,IF(Z334=16,AH355,IF(Z334=17,AH356,IF(Z334=18,AH357,IF(Z334=19,AH358,IF(Z334=20,AH359,IF(Z334=21,AH360,IF(Z334=22,AH361,IF(Z334=23,AH362,IF(Z334=24,AH363,IF(Z334=25,AH364,IF(Z334=26,AH365,IF(Z334=27,AH366,IF(Z334=28,AH367,IF(Z334=29,AH368,IF(Z334=30,AH369))))))))))))))))))))))))))))))))</f>
        <v>0</v>
      </c>
      <c r="AJ334" s="253">
        <f>IF(V334&lt;&gt;0,SUM($F$34,V334,$N$36,MAX($AH$42:$AH$342),$T$36),0)</f>
        <v>0</v>
      </c>
      <c r="AK334" s="253">
        <f>IF(W334&lt;&gt;0,SUM($F$34,W334,$N$36,MAX($AH$42:$AH$342),$T$36),0)</f>
        <v>0</v>
      </c>
      <c r="AL334" s="253">
        <f>IF(X334&lt;&gt;0,SUM($F$34,X334,$N$36,MAX($AH$42:$AH$342),$T$36),0)</f>
        <v>0</v>
      </c>
      <c r="AM334" s="260">
        <f>IF(Y334&lt;&gt;0,SUM($F$34,Y334,$N$36,MAX($AH$42:$AH$342),$T$36),0)</f>
        <v>0</v>
      </c>
    </row>
    <row r="335" spans="1:39" x14ac:dyDescent="0.35">
      <c r="A335" s="259">
        <v>1753</v>
      </c>
      <c r="B335" s="58">
        <f>SUMIF([2]!Table2_23[ETA],'FIS Optimal Model (2)'!A335,[2]!Table2_23[FIS PAX])</f>
        <v>0</v>
      </c>
      <c r="C335" s="44">
        <f t="shared" si="201"/>
        <v>0</v>
      </c>
      <c r="D335" s="52">
        <f t="shared" si="208"/>
        <v>0</v>
      </c>
      <c r="E335" s="26">
        <f t="shared" si="189"/>
        <v>0</v>
      </c>
      <c r="F335" s="26">
        <f t="shared" si="190"/>
        <v>0</v>
      </c>
      <c r="G335" s="26">
        <f t="shared" si="191"/>
        <v>0</v>
      </c>
      <c r="H335" s="26">
        <f t="shared" si="192"/>
        <v>0</v>
      </c>
      <c r="I335" s="27">
        <f t="shared" si="211"/>
        <v>0</v>
      </c>
      <c r="J335" s="27">
        <f t="shared" si="211"/>
        <v>0</v>
      </c>
      <c r="K335" s="27">
        <f t="shared" si="211"/>
        <v>0</v>
      </c>
      <c r="L335" s="27">
        <f t="shared" si="209"/>
        <v>0</v>
      </c>
      <c r="M335" s="28">
        <f t="shared" si="218"/>
        <v>0</v>
      </c>
      <c r="N335" s="29">
        <f t="shared" si="219"/>
        <v>11</v>
      </c>
      <c r="O335" s="28">
        <f t="shared" si="220"/>
        <v>0</v>
      </c>
      <c r="P335" s="28">
        <f t="shared" si="221"/>
        <v>0</v>
      </c>
      <c r="Q335" s="28">
        <f t="shared" si="193"/>
        <v>11</v>
      </c>
      <c r="R335" s="22">
        <f t="shared" si="194"/>
        <v>0</v>
      </c>
      <c r="S335" s="22">
        <f t="shared" si="195"/>
        <v>0</v>
      </c>
      <c r="T335" s="22">
        <f t="shared" si="196"/>
        <v>0</v>
      </c>
      <c r="U335" s="22">
        <f t="shared" si="197"/>
        <v>0</v>
      </c>
      <c r="V335" s="21">
        <f t="shared" si="212"/>
        <v>0</v>
      </c>
      <c r="W335" s="21">
        <f t="shared" si="213"/>
        <v>0</v>
      </c>
      <c r="X335" s="21">
        <f t="shared" si="206"/>
        <v>0</v>
      </c>
      <c r="Y335" s="21">
        <f t="shared" si="207"/>
        <v>0</v>
      </c>
      <c r="Z335" s="221">
        <f t="shared" si="198"/>
        <v>0</v>
      </c>
      <c r="AA335" s="30">
        <f t="shared" si="185"/>
        <v>0</v>
      </c>
      <c r="AB335" s="30">
        <f t="shared" si="186"/>
        <v>0</v>
      </c>
      <c r="AC335" s="30">
        <f t="shared" si="187"/>
        <v>0</v>
      </c>
      <c r="AD335" s="30">
        <f t="shared" si="188"/>
        <v>0</v>
      </c>
      <c r="AE335" s="32">
        <f t="shared" si="199"/>
        <v>0</v>
      </c>
      <c r="AF335" s="33">
        <f t="shared" si="210"/>
        <v>0</v>
      </c>
      <c r="AG335" s="40">
        <f t="shared" si="200"/>
        <v>0</v>
      </c>
      <c r="AH335" s="224">
        <f>AG335*$P$36</f>
        <v>0</v>
      </c>
      <c r="AI335" s="226">
        <f>SUM(Z335,IF(Z335&lt;&gt;0,$F$34,0),IF(Z335&lt;&gt;0,$N$36,0),IF(Z335&lt;&gt;0,$T$36,0),IF(Z335=0,AH340,IF(Z335=1,AH341,IF(Z335=2,AH342,IF(Z335=3,AH343,IF(Z335=4,AH344,IF(Z335=5,AH345,IF(Z335=6,AH346,IF(Z335=7,AH347,IF(Z335=8,AH348,IF(Z335=9,AH349,IF(Z335=10,AH350,IF(Z335=11,AH351,IF(Z335=12,AH352,IF(Z335=13,AH353,IF(Z335=14,AH354,IF(Z335=15,AH355,IF(Z335=16,AH356,IF(Z335=17,AH357,IF(Z335=18,AH358,IF(Z335=19,AH359,IF(Z335=20,AH360,IF(Z335=21,AH361,IF(Z335=22,AH362,IF(Z335=23,AH363,IF(Z335=24,AH364,IF(Z335=25,AH365,IF(Z335=26,AH366,IF(Z335=27,AH367,IF(Z335=28,AH368,IF(Z335=29,AH369,IF(Z335=30,AH370))))))))))))))))))))))))))))))))</f>
        <v>0</v>
      </c>
      <c r="AJ335" s="253">
        <f>IF(V335&lt;&gt;0,SUM($F$34,V335,$N$36,MAX($AH$42:$AH$342),$T$36),0)</f>
        <v>0</v>
      </c>
      <c r="AK335" s="253">
        <f>IF(W335&lt;&gt;0,SUM($F$34,W335,$N$36,MAX($AH$42:$AH$342),$T$36),0)</f>
        <v>0</v>
      </c>
      <c r="AL335" s="253">
        <f>IF(X335&lt;&gt;0,SUM($F$34,X335,$N$36,MAX($AH$42:$AH$342),$T$36),0)</f>
        <v>0</v>
      </c>
      <c r="AM335" s="260">
        <f>IF(Y335&lt;&gt;0,SUM($F$34,Y335,$N$36,MAX($AH$42:$AH$342),$T$36),0)</f>
        <v>0</v>
      </c>
    </row>
    <row r="336" spans="1:39" x14ac:dyDescent="0.35">
      <c r="A336" s="259">
        <v>1754</v>
      </c>
      <c r="B336" s="58">
        <f>SUMIF([2]!Table2_23[ETA],'FIS Optimal Model (2)'!A336,[2]!Table2_23[FIS PAX])</f>
        <v>0</v>
      </c>
      <c r="C336" s="44">
        <f t="shared" si="201"/>
        <v>0</v>
      </c>
      <c r="D336" s="52">
        <f t="shared" si="208"/>
        <v>0</v>
      </c>
      <c r="E336" s="26">
        <f t="shared" si="189"/>
        <v>0</v>
      </c>
      <c r="F336" s="26">
        <f t="shared" si="190"/>
        <v>0</v>
      </c>
      <c r="G336" s="26">
        <f t="shared" si="191"/>
        <v>0</v>
      </c>
      <c r="H336" s="26">
        <f t="shared" si="192"/>
        <v>0</v>
      </c>
      <c r="I336" s="27">
        <f t="shared" si="211"/>
        <v>0</v>
      </c>
      <c r="J336" s="27">
        <f t="shared" si="211"/>
        <v>0</v>
      </c>
      <c r="K336" s="27">
        <f t="shared" si="211"/>
        <v>0</v>
      </c>
      <c r="L336" s="27">
        <f t="shared" si="209"/>
        <v>0</v>
      </c>
      <c r="M336" s="28">
        <f t="shared" si="218"/>
        <v>0</v>
      </c>
      <c r="N336" s="29">
        <f t="shared" si="219"/>
        <v>11</v>
      </c>
      <c r="O336" s="28">
        <f t="shared" si="220"/>
        <v>0</v>
      </c>
      <c r="P336" s="28">
        <f t="shared" si="221"/>
        <v>0</v>
      </c>
      <c r="Q336" s="28">
        <f t="shared" si="193"/>
        <v>11</v>
      </c>
      <c r="R336" s="22">
        <f t="shared" si="194"/>
        <v>0</v>
      </c>
      <c r="S336" s="22">
        <f t="shared" si="195"/>
        <v>0</v>
      </c>
      <c r="T336" s="22">
        <f t="shared" si="196"/>
        <v>0</v>
      </c>
      <c r="U336" s="22">
        <f t="shared" si="197"/>
        <v>0</v>
      </c>
      <c r="V336" s="21">
        <f t="shared" si="212"/>
        <v>0</v>
      </c>
      <c r="W336" s="21">
        <f t="shared" si="213"/>
        <v>0</v>
      </c>
      <c r="X336" s="21">
        <f t="shared" si="206"/>
        <v>0</v>
      </c>
      <c r="Y336" s="21">
        <f t="shared" si="207"/>
        <v>0</v>
      </c>
      <c r="Z336" s="221">
        <f t="shared" si="198"/>
        <v>0</v>
      </c>
      <c r="AA336" s="30">
        <f t="shared" si="185"/>
        <v>0</v>
      </c>
      <c r="AB336" s="30">
        <f t="shared" si="186"/>
        <v>0</v>
      </c>
      <c r="AC336" s="30">
        <f t="shared" si="187"/>
        <v>0</v>
      </c>
      <c r="AD336" s="30">
        <f t="shared" si="188"/>
        <v>0</v>
      </c>
      <c r="AE336" s="32">
        <f t="shared" si="199"/>
        <v>0</v>
      </c>
      <c r="AF336" s="33">
        <f t="shared" si="210"/>
        <v>0</v>
      </c>
      <c r="AG336" s="40">
        <f t="shared" si="200"/>
        <v>0</v>
      </c>
      <c r="AH336" s="224">
        <f>AG336*$P$36</f>
        <v>0</v>
      </c>
      <c r="AI336" s="226">
        <f>SUM(Z336,IF(Z336&lt;&gt;0,$F$34,0),IF(Z336&lt;&gt;0,$N$36,0),IF(Z336&lt;&gt;0,$T$36,0),IF(Z336=0,AH341,IF(Z336=1,AH342,IF(Z336=2,AH343,IF(Z336=3,AH344,IF(Z336=4,AH345,IF(Z336=5,AH346,IF(Z336=6,AH347,IF(Z336=7,AH348,IF(Z336=8,AH349,IF(Z336=9,AH350,IF(Z336=10,AH351,IF(Z336=11,AH352,IF(Z336=12,AH353,IF(Z336=13,AH354,IF(Z336=14,AH355,IF(Z336=15,AH356,IF(Z336=16,AH357,IF(Z336=17,AH358,IF(Z336=18,AH359,IF(Z336=19,AH360,IF(Z336=20,AH361,IF(Z336=21,AH362,IF(Z336=22,AH363,IF(Z336=23,AH364,IF(Z336=24,AH365,IF(Z336=25,AH366,IF(Z336=26,AH367,IF(Z336=27,AH368,IF(Z336=28,AH369,IF(Z336=29,AH370,IF(Z336=30,AH371))))))))))))))))))))))))))))))))</f>
        <v>0</v>
      </c>
      <c r="AJ336" s="253">
        <f>IF(V336&lt;&gt;0,SUM($F$34,V336,$N$36,MAX($AH$42:$AH$342),$T$36),0)</f>
        <v>0</v>
      </c>
      <c r="AK336" s="253">
        <f>IF(W336&lt;&gt;0,SUM($F$34,W336,$N$36,MAX($AH$42:$AH$342),$T$36),0)</f>
        <v>0</v>
      </c>
      <c r="AL336" s="253">
        <f>IF(X336&lt;&gt;0,SUM($F$34,X336,$N$36,MAX($AH$42:$AH$342),$T$36),0)</f>
        <v>0</v>
      </c>
      <c r="AM336" s="260">
        <f>IF(Y336&lt;&gt;0,SUM($F$34,Y336,$N$36,MAX($AH$42:$AH$342),$T$36),0)</f>
        <v>0</v>
      </c>
    </row>
    <row r="337" spans="1:39" x14ac:dyDescent="0.35">
      <c r="A337" s="259">
        <v>1755</v>
      </c>
      <c r="B337" s="58">
        <f>SUMIF([2]!Table2_23[ETA],'FIS Optimal Model (2)'!A337,[2]!Table2_23[FIS PAX])</f>
        <v>0</v>
      </c>
      <c r="C337" s="44">
        <f t="shared" si="201"/>
        <v>0</v>
      </c>
      <c r="D337" s="52">
        <f t="shared" si="208"/>
        <v>0</v>
      </c>
      <c r="E337" s="26">
        <f t="shared" si="189"/>
        <v>0</v>
      </c>
      <c r="F337" s="26">
        <f t="shared" si="190"/>
        <v>0</v>
      </c>
      <c r="G337" s="26">
        <f t="shared" si="191"/>
        <v>0</v>
      </c>
      <c r="H337" s="26">
        <f t="shared" si="192"/>
        <v>0</v>
      </c>
      <c r="I337" s="27">
        <f t="shared" si="211"/>
        <v>0</v>
      </c>
      <c r="J337" s="27">
        <f t="shared" si="211"/>
        <v>0</v>
      </c>
      <c r="K337" s="27">
        <f t="shared" si="211"/>
        <v>0</v>
      </c>
      <c r="L337" s="27">
        <f t="shared" si="209"/>
        <v>0</v>
      </c>
      <c r="M337" s="28">
        <f t="shared" si="218"/>
        <v>0</v>
      </c>
      <c r="N337" s="29">
        <f t="shared" si="219"/>
        <v>11</v>
      </c>
      <c r="O337" s="28">
        <f t="shared" si="220"/>
        <v>0</v>
      </c>
      <c r="P337" s="28">
        <f t="shared" si="221"/>
        <v>0</v>
      </c>
      <c r="Q337" s="28">
        <f t="shared" si="193"/>
        <v>11</v>
      </c>
      <c r="R337" s="22">
        <f t="shared" si="194"/>
        <v>0</v>
      </c>
      <c r="S337" s="22">
        <f t="shared" si="195"/>
        <v>0</v>
      </c>
      <c r="T337" s="22">
        <f t="shared" si="196"/>
        <v>0</v>
      </c>
      <c r="U337" s="22">
        <f t="shared" si="197"/>
        <v>0</v>
      </c>
      <c r="V337" s="21">
        <f t="shared" si="212"/>
        <v>0</v>
      </c>
      <c r="W337" s="21">
        <f t="shared" si="213"/>
        <v>0</v>
      </c>
      <c r="X337" s="21">
        <f t="shared" si="206"/>
        <v>0</v>
      </c>
      <c r="Y337" s="21">
        <f t="shared" si="207"/>
        <v>0</v>
      </c>
      <c r="Z337" s="221">
        <f t="shared" si="198"/>
        <v>0</v>
      </c>
      <c r="AA337" s="30">
        <f t="shared" si="185"/>
        <v>0</v>
      </c>
      <c r="AB337" s="30">
        <f t="shared" si="186"/>
        <v>0</v>
      </c>
      <c r="AC337" s="30">
        <f t="shared" si="187"/>
        <v>0</v>
      </c>
      <c r="AD337" s="30">
        <f t="shared" si="188"/>
        <v>0</v>
      </c>
      <c r="AE337" s="32">
        <f t="shared" si="199"/>
        <v>0</v>
      </c>
      <c r="AF337" s="33">
        <f t="shared" si="210"/>
        <v>0</v>
      </c>
      <c r="AG337" s="40">
        <f t="shared" si="200"/>
        <v>0</v>
      </c>
      <c r="AH337" s="224">
        <f>AG337*$P$36</f>
        <v>0</v>
      </c>
      <c r="AI337" s="226">
        <f>SUM(Z337,IF(Z337&lt;&gt;0,$F$34,0),IF(Z337&lt;&gt;0,$N$36,0),IF(Z337&lt;&gt;0,$T$36,0),IF(Z337=0,AH342,IF(Z337=1,AH343,IF(Z337=2,AH344,IF(Z337=3,AH345,IF(Z337=4,AH346,IF(Z337=5,AH347,IF(Z337=6,AH348,IF(Z337=7,AH349,IF(Z337=8,AH350,IF(Z337=9,AH351,IF(Z337=10,AH352,IF(Z337=11,AH353,IF(Z337=12,AH354,IF(Z337=13,AH355,IF(Z337=14,AH356,IF(Z337=15,AH357,IF(Z337=16,AH358,IF(Z337=17,AH359,IF(Z337=18,AH360,IF(Z337=19,AH361,IF(Z337=20,AH362,IF(Z337=21,AH363,IF(Z337=22,AH364,IF(Z337=23,AH365,IF(Z337=24,AH366,IF(Z337=25,AH367,IF(Z337=26,AH368,IF(Z337=27,AH369,IF(Z337=28,AH370,IF(Z337=29,AH371,IF(Z337=30,AH372))))))))))))))))))))))))))))))))</f>
        <v>0</v>
      </c>
      <c r="AJ337" s="253">
        <f>IF(V337&lt;&gt;0,SUM($F$34,V337,$N$36,MAX($AH$42:$AH$342),$T$36),0)</f>
        <v>0</v>
      </c>
      <c r="AK337" s="253">
        <f>IF(W337&lt;&gt;0,SUM($F$34,W337,$N$36,MAX($AH$42:$AH$342),$T$36),0)</f>
        <v>0</v>
      </c>
      <c r="AL337" s="253">
        <f>IF(X337&lt;&gt;0,SUM($F$34,X337,$N$36,MAX($AH$42:$AH$342),$T$36),0)</f>
        <v>0</v>
      </c>
      <c r="AM337" s="260">
        <f>IF(Y337&lt;&gt;0,SUM($F$34,Y337,$N$36,MAX($AH$42:$AH$342),$T$36),0)</f>
        <v>0</v>
      </c>
    </row>
    <row r="338" spans="1:39" x14ac:dyDescent="0.35">
      <c r="A338" s="259">
        <v>1756</v>
      </c>
      <c r="B338" s="58">
        <f>SUMIF([2]!Table2_23[ETA],'FIS Optimal Model (2)'!A338,[2]!Table2_23[FIS PAX])</f>
        <v>0</v>
      </c>
      <c r="C338" s="44">
        <f t="shared" si="201"/>
        <v>0</v>
      </c>
      <c r="D338" s="52">
        <f t="shared" si="208"/>
        <v>0</v>
      </c>
      <c r="E338" s="26">
        <f t="shared" si="189"/>
        <v>0</v>
      </c>
      <c r="F338" s="26">
        <f t="shared" si="190"/>
        <v>0</v>
      </c>
      <c r="G338" s="26">
        <f t="shared" si="191"/>
        <v>0</v>
      </c>
      <c r="H338" s="26">
        <f t="shared" si="192"/>
        <v>0</v>
      </c>
      <c r="I338" s="27">
        <f t="shared" si="211"/>
        <v>0</v>
      </c>
      <c r="J338" s="27">
        <f t="shared" si="211"/>
        <v>0</v>
      </c>
      <c r="K338" s="27">
        <f t="shared" si="211"/>
        <v>0</v>
      </c>
      <c r="L338" s="27">
        <f t="shared" si="209"/>
        <v>0</v>
      </c>
      <c r="M338" s="28">
        <f t="shared" si="218"/>
        <v>0</v>
      </c>
      <c r="N338" s="29">
        <f t="shared" si="219"/>
        <v>11</v>
      </c>
      <c r="O338" s="28">
        <f t="shared" si="220"/>
        <v>0</v>
      </c>
      <c r="P338" s="28">
        <f t="shared" si="221"/>
        <v>0</v>
      </c>
      <c r="Q338" s="28">
        <f t="shared" si="193"/>
        <v>11</v>
      </c>
      <c r="R338" s="22">
        <f t="shared" si="194"/>
        <v>0</v>
      </c>
      <c r="S338" s="22">
        <f t="shared" si="195"/>
        <v>0</v>
      </c>
      <c r="T338" s="22">
        <f t="shared" si="196"/>
        <v>0</v>
      </c>
      <c r="U338" s="22">
        <f t="shared" si="197"/>
        <v>0</v>
      </c>
      <c r="V338" s="21">
        <f t="shared" si="212"/>
        <v>0</v>
      </c>
      <c r="W338" s="21">
        <f t="shared" si="213"/>
        <v>0</v>
      </c>
      <c r="X338" s="21">
        <f t="shared" si="206"/>
        <v>0</v>
      </c>
      <c r="Y338" s="21">
        <f t="shared" si="207"/>
        <v>0</v>
      </c>
      <c r="Z338" s="221">
        <f t="shared" si="198"/>
        <v>0</v>
      </c>
      <c r="AA338" s="30">
        <f t="shared" si="185"/>
        <v>0</v>
      </c>
      <c r="AB338" s="30">
        <f t="shared" si="186"/>
        <v>0</v>
      </c>
      <c r="AC338" s="30">
        <f t="shared" si="187"/>
        <v>0</v>
      </c>
      <c r="AD338" s="30">
        <f t="shared" si="188"/>
        <v>0</v>
      </c>
      <c r="AE338" s="32">
        <f t="shared" si="199"/>
        <v>0</v>
      </c>
      <c r="AF338" s="33">
        <f t="shared" si="210"/>
        <v>0</v>
      </c>
      <c r="AG338" s="40">
        <f t="shared" si="200"/>
        <v>0</v>
      </c>
      <c r="AH338" s="224">
        <f>AG338*$P$36</f>
        <v>0</v>
      </c>
      <c r="AI338" s="226">
        <f>SUM(Z338,IF(Z338&lt;&gt;0,$F$34,0),IF(Z338&lt;&gt;0,$N$36,0),IF(Z338&lt;&gt;0,$T$36,0),IF(Z338=0,AH343,IF(Z338=1,AH344,IF(Z338=2,AH345,IF(Z338=3,AH346,IF(Z338=4,AH347,IF(Z338=5,AH348,IF(Z338=6,AH349,IF(Z338=7,AH350,IF(Z338=8,AH351,IF(Z338=9,AH352,IF(Z338=10,AH353,IF(Z338=11,AH354,IF(Z338=12,AH355,IF(Z338=13,AH356,IF(Z338=14,AH357,IF(Z338=15,AH358,IF(Z338=16,AH359,IF(Z338=17,AH360,IF(Z338=18,AH361,IF(Z338=19,AH362,IF(Z338=20,AH363,IF(Z338=21,AH364,IF(Z338=22,AH365,IF(Z338=23,AH366,IF(Z338=24,AH367,IF(Z338=25,AH368,IF(Z338=26,AH369,IF(Z338=27,AH370,IF(Z338=28,AH371,IF(Z338=29,AH372,IF(Z338=30,AH373))))))))))))))))))))))))))))))))</f>
        <v>0</v>
      </c>
      <c r="AJ338" s="253">
        <f>IF(V338&lt;&gt;0,SUM($F$34,V338,$N$36,MAX($AH$42:$AH$342),$T$36),0)</f>
        <v>0</v>
      </c>
      <c r="AK338" s="253">
        <f>IF(W338&lt;&gt;0,SUM($F$34,W338,$N$36,MAX($AH$42:$AH$342),$T$36),0)</f>
        <v>0</v>
      </c>
      <c r="AL338" s="253">
        <f>IF(X338&lt;&gt;0,SUM($F$34,X338,$N$36,MAX($AH$42:$AH$342),$T$36),0)</f>
        <v>0</v>
      </c>
      <c r="AM338" s="260">
        <f>IF(Y338&lt;&gt;0,SUM($F$34,Y338,$N$36,MAX($AH$42:$AH$342),$T$36),0)</f>
        <v>0</v>
      </c>
    </row>
    <row r="339" spans="1:39" x14ac:dyDescent="0.35">
      <c r="A339" s="259">
        <v>1757</v>
      </c>
      <c r="B339" s="58">
        <f>SUMIF([2]!Table2_23[ETA],'FIS Optimal Model (2)'!A339,[2]!Table2_23[FIS PAX])</f>
        <v>0</v>
      </c>
      <c r="C339" s="44">
        <f t="shared" si="201"/>
        <v>0</v>
      </c>
      <c r="D339" s="52">
        <f t="shared" si="208"/>
        <v>0</v>
      </c>
      <c r="E339" s="26">
        <f t="shared" si="189"/>
        <v>0</v>
      </c>
      <c r="F339" s="26">
        <f t="shared" si="190"/>
        <v>0</v>
      </c>
      <c r="G339" s="26">
        <f t="shared" si="191"/>
        <v>0</v>
      </c>
      <c r="H339" s="26">
        <f t="shared" si="192"/>
        <v>0</v>
      </c>
      <c r="I339" s="27">
        <f t="shared" si="211"/>
        <v>0</v>
      </c>
      <c r="J339" s="27">
        <f t="shared" si="211"/>
        <v>0</v>
      </c>
      <c r="K339" s="27">
        <f t="shared" si="211"/>
        <v>0</v>
      </c>
      <c r="L339" s="27">
        <f t="shared" si="209"/>
        <v>0</v>
      </c>
      <c r="M339" s="28">
        <f t="shared" si="218"/>
        <v>0</v>
      </c>
      <c r="N339" s="29">
        <f t="shared" si="219"/>
        <v>11</v>
      </c>
      <c r="O339" s="28">
        <f t="shared" si="220"/>
        <v>0</v>
      </c>
      <c r="P339" s="28">
        <f t="shared" si="221"/>
        <v>0</v>
      </c>
      <c r="Q339" s="28">
        <f t="shared" si="193"/>
        <v>11</v>
      </c>
      <c r="R339" s="22">
        <f t="shared" si="194"/>
        <v>0</v>
      </c>
      <c r="S339" s="22">
        <f t="shared" si="195"/>
        <v>0</v>
      </c>
      <c r="T339" s="22">
        <f t="shared" si="196"/>
        <v>0</v>
      </c>
      <c r="U339" s="22">
        <f t="shared" si="197"/>
        <v>0</v>
      </c>
      <c r="V339" s="21">
        <f t="shared" si="212"/>
        <v>0</v>
      </c>
      <c r="W339" s="21">
        <f t="shared" si="213"/>
        <v>0</v>
      </c>
      <c r="X339" s="21">
        <f t="shared" si="206"/>
        <v>0</v>
      </c>
      <c r="Y339" s="21">
        <f t="shared" si="207"/>
        <v>0</v>
      </c>
      <c r="Z339" s="221">
        <f t="shared" si="198"/>
        <v>0</v>
      </c>
      <c r="AA339" s="30">
        <f t="shared" si="185"/>
        <v>0</v>
      </c>
      <c r="AB339" s="30">
        <f t="shared" si="186"/>
        <v>0</v>
      </c>
      <c r="AC339" s="30">
        <f t="shared" si="187"/>
        <v>0</v>
      </c>
      <c r="AD339" s="30">
        <f t="shared" si="188"/>
        <v>0</v>
      </c>
      <c r="AE339" s="32">
        <f t="shared" si="199"/>
        <v>0</v>
      </c>
      <c r="AF339" s="33">
        <f t="shared" si="210"/>
        <v>0</v>
      </c>
      <c r="AG339" s="40">
        <f t="shared" si="200"/>
        <v>0</v>
      </c>
      <c r="AH339" s="224">
        <f>AG339*$P$36</f>
        <v>0</v>
      </c>
      <c r="AI339" s="226">
        <f>SUM(Z339,IF(Z339&lt;&gt;0,$F$34,0),IF(Z339&lt;&gt;0,$N$36,0),IF(Z339&lt;&gt;0,$T$36,0),IF(Z339=0,AH344,IF(Z339=1,AH345,IF(Z339=2,AH346,IF(Z339=3,AH347,IF(Z339=4,AH348,IF(Z339=5,AH349,IF(Z339=6,AH350,IF(Z339=7,AH351,IF(Z339=8,AH352,IF(Z339=9,AH353,IF(Z339=10,AH354,IF(Z339=11,AH355,IF(Z339=12,AH356,IF(Z339=13,AH357,IF(Z339=14,AH358,IF(Z339=15,AH359,IF(Z339=16,AH360,IF(Z339=17,AH361,IF(Z339=18,AH362,IF(Z339=19,AH363,IF(Z339=20,AH364,IF(Z339=21,AH365,IF(Z339=22,AH366,IF(Z339=23,AH367,IF(Z339=24,AH368,IF(Z339=25,AH369,IF(Z339=26,AH370,IF(Z339=27,AH371,IF(Z339=28,AH372,IF(Z339=29,AH373,IF(Z339=30,AH374))))))))))))))))))))))))))))))))</f>
        <v>0</v>
      </c>
      <c r="AJ339" s="253">
        <f>IF(V339&lt;&gt;0,SUM($F$34,V339,$N$36,MAX($AH$42:$AH$342),$T$36),0)</f>
        <v>0</v>
      </c>
      <c r="AK339" s="253">
        <f>IF(W339&lt;&gt;0,SUM($F$34,W339,$N$36,MAX($AH$42:$AH$342),$T$36),0)</f>
        <v>0</v>
      </c>
      <c r="AL339" s="253">
        <f>IF(X339&lt;&gt;0,SUM($F$34,X339,$N$36,MAX($AH$42:$AH$342),$T$36),0)</f>
        <v>0</v>
      </c>
      <c r="AM339" s="260">
        <f>IF(Y339&lt;&gt;0,SUM($F$34,Y339,$N$36,MAX($AH$42:$AH$342),$T$36),0)</f>
        <v>0</v>
      </c>
    </row>
    <row r="340" spans="1:39" x14ac:dyDescent="0.35">
      <c r="A340" s="259">
        <v>1758</v>
      </c>
      <c r="B340" s="58">
        <f>SUMIF([2]!Table2_23[ETA],'FIS Optimal Model (2)'!A340,[2]!Table2_23[FIS PAX])</f>
        <v>0</v>
      </c>
      <c r="C340" s="44">
        <f t="shared" si="201"/>
        <v>0</v>
      </c>
      <c r="D340" s="52">
        <f t="shared" si="208"/>
        <v>0</v>
      </c>
      <c r="E340" s="26">
        <f t="shared" si="189"/>
        <v>0</v>
      </c>
      <c r="F340" s="26">
        <f t="shared" si="190"/>
        <v>0</v>
      </c>
      <c r="G340" s="26">
        <f t="shared" si="191"/>
        <v>0</v>
      </c>
      <c r="H340" s="26">
        <f t="shared" si="192"/>
        <v>0</v>
      </c>
      <c r="I340" s="27">
        <f t="shared" si="211"/>
        <v>0</v>
      </c>
      <c r="J340" s="27">
        <f t="shared" si="211"/>
        <v>0</v>
      </c>
      <c r="K340" s="27">
        <f t="shared" si="211"/>
        <v>0</v>
      </c>
      <c r="L340" s="27">
        <f t="shared" si="209"/>
        <v>0</v>
      </c>
      <c r="M340" s="28">
        <f t="shared" si="218"/>
        <v>0</v>
      </c>
      <c r="N340" s="29">
        <f t="shared" si="219"/>
        <v>11</v>
      </c>
      <c r="O340" s="28">
        <f t="shared" si="220"/>
        <v>0</v>
      </c>
      <c r="P340" s="28">
        <f t="shared" si="221"/>
        <v>0</v>
      </c>
      <c r="Q340" s="28">
        <f t="shared" si="193"/>
        <v>11</v>
      </c>
      <c r="R340" s="22">
        <f t="shared" si="194"/>
        <v>0</v>
      </c>
      <c r="S340" s="22">
        <f t="shared" si="195"/>
        <v>0</v>
      </c>
      <c r="T340" s="22">
        <f t="shared" si="196"/>
        <v>0</v>
      </c>
      <c r="U340" s="22">
        <f t="shared" si="197"/>
        <v>0</v>
      </c>
      <c r="V340" s="21">
        <f t="shared" si="212"/>
        <v>0</v>
      </c>
      <c r="W340" s="21">
        <f t="shared" si="213"/>
        <v>0</v>
      </c>
      <c r="X340" s="21">
        <f t="shared" si="206"/>
        <v>0</v>
      </c>
      <c r="Y340" s="21">
        <f t="shared" si="207"/>
        <v>0</v>
      </c>
      <c r="Z340" s="221">
        <f t="shared" si="198"/>
        <v>0</v>
      </c>
      <c r="AA340" s="30">
        <f t="shared" si="185"/>
        <v>0</v>
      </c>
      <c r="AB340" s="30">
        <f t="shared" si="186"/>
        <v>0</v>
      </c>
      <c r="AC340" s="30">
        <f t="shared" si="187"/>
        <v>0</v>
      </c>
      <c r="AD340" s="30">
        <f t="shared" si="188"/>
        <v>0</v>
      </c>
      <c r="AE340" s="32">
        <f t="shared" si="199"/>
        <v>0</v>
      </c>
      <c r="AF340" s="33">
        <f t="shared" si="210"/>
        <v>0</v>
      </c>
      <c r="AG340" s="40">
        <f t="shared" si="200"/>
        <v>0</v>
      </c>
      <c r="AH340" s="224">
        <f>AG340*$P$36</f>
        <v>0</v>
      </c>
      <c r="AI340" s="226">
        <f>SUM(Z340,IF(Z340&lt;&gt;0,$F$34,0),IF(Z340&lt;&gt;0,$N$36,0),IF(Z340&lt;&gt;0,$T$36,0),IF(Z340=0,AH345,IF(Z340=1,AH346,IF(Z340=2,AH347,IF(Z340=3,AH348,IF(Z340=4,AH349,IF(Z340=5,AH350,IF(Z340=6,AH351,IF(Z340=7,AH352,IF(Z340=8,AH353,IF(Z340=9,AH354,IF(Z340=10,AH355,IF(Z340=11,AH356,IF(Z340=12,AH357,IF(Z340=13,AH358,IF(Z340=14,AH359,IF(Z340=15,AH360,IF(Z340=16,AH361,IF(Z340=17,AH362,IF(Z340=18,AH363,IF(Z340=19,AH364,IF(Z340=20,AH365,IF(Z340=21,AH366,IF(Z340=22,AH367,IF(Z340=23,AH368,IF(Z340=24,AH369,IF(Z340=25,AH370,IF(Z340=26,AH371,IF(Z340=27,AH372,IF(Z340=28,AH373,IF(Z340=29,AH374,IF(Z340=30,AH375))))))))))))))))))))))))))))))))</f>
        <v>0</v>
      </c>
      <c r="AJ340" s="253">
        <f>IF(V340&lt;&gt;0,SUM($F$34,V340,$N$36,MAX($AH$42:$AH$342),$T$36),0)</f>
        <v>0</v>
      </c>
      <c r="AK340" s="253">
        <f>IF(W340&lt;&gt;0,SUM($F$34,W340,$N$36,MAX($AH$42:$AH$342),$T$36),0)</f>
        <v>0</v>
      </c>
      <c r="AL340" s="253">
        <f>IF(X340&lt;&gt;0,SUM($F$34,X340,$N$36,MAX($AH$42:$AH$342),$T$36),0)</f>
        <v>0</v>
      </c>
      <c r="AM340" s="260">
        <f>IF(Y340&lt;&gt;0,SUM($F$34,Y340,$N$36,MAX($AH$42:$AH$342),$T$36),0)</f>
        <v>0</v>
      </c>
    </row>
    <row r="341" spans="1:39" x14ac:dyDescent="0.35">
      <c r="A341" s="259">
        <v>1759</v>
      </c>
      <c r="B341" s="58">
        <f>SUMIF([2]!Table2_23[ETA],'FIS Optimal Model (2)'!A341,[2]!Table2_23[FIS PAX])</f>
        <v>0</v>
      </c>
      <c r="C341" s="44">
        <f t="shared" si="201"/>
        <v>0</v>
      </c>
      <c r="D341" s="52">
        <f t="shared" si="208"/>
        <v>0</v>
      </c>
      <c r="E341" s="26">
        <f t="shared" si="189"/>
        <v>0</v>
      </c>
      <c r="F341" s="26">
        <f t="shared" si="190"/>
        <v>0</v>
      </c>
      <c r="G341" s="26">
        <f t="shared" si="191"/>
        <v>0</v>
      </c>
      <c r="H341" s="26">
        <f t="shared" si="192"/>
        <v>0</v>
      </c>
      <c r="I341" s="27">
        <f t="shared" si="211"/>
        <v>0</v>
      </c>
      <c r="J341" s="27">
        <f t="shared" si="211"/>
        <v>0</v>
      </c>
      <c r="K341" s="27">
        <f t="shared" si="211"/>
        <v>0</v>
      </c>
      <c r="L341" s="27">
        <f t="shared" si="209"/>
        <v>0</v>
      </c>
      <c r="M341" s="28">
        <f t="shared" si="218"/>
        <v>0</v>
      </c>
      <c r="N341" s="29">
        <f t="shared" si="219"/>
        <v>11</v>
      </c>
      <c r="O341" s="28">
        <f t="shared" si="220"/>
        <v>0</v>
      </c>
      <c r="P341" s="28">
        <f t="shared" si="221"/>
        <v>0</v>
      </c>
      <c r="Q341" s="28">
        <f t="shared" si="193"/>
        <v>11</v>
      </c>
      <c r="R341" s="22">
        <f t="shared" si="194"/>
        <v>0</v>
      </c>
      <c r="S341" s="22">
        <f t="shared" si="195"/>
        <v>0</v>
      </c>
      <c r="T341" s="22">
        <f t="shared" si="196"/>
        <v>0</v>
      </c>
      <c r="U341" s="22">
        <f t="shared" si="197"/>
        <v>0</v>
      </c>
      <c r="V341" s="21">
        <f t="shared" si="212"/>
        <v>0</v>
      </c>
      <c r="W341" s="21">
        <f t="shared" si="213"/>
        <v>0</v>
      </c>
      <c r="X341" s="21">
        <f t="shared" si="206"/>
        <v>0</v>
      </c>
      <c r="Y341" s="21">
        <f t="shared" si="207"/>
        <v>0</v>
      </c>
      <c r="Z341" s="221">
        <f t="shared" si="198"/>
        <v>0</v>
      </c>
      <c r="AA341" s="30">
        <f t="shared" si="185"/>
        <v>0</v>
      </c>
      <c r="AB341" s="30">
        <f t="shared" si="186"/>
        <v>0</v>
      </c>
      <c r="AC341" s="30">
        <f t="shared" si="187"/>
        <v>0</v>
      </c>
      <c r="AD341" s="30">
        <f t="shared" si="188"/>
        <v>0</v>
      </c>
      <c r="AE341" s="32">
        <f t="shared" si="199"/>
        <v>0</v>
      </c>
      <c r="AF341" s="33">
        <f t="shared" si="210"/>
        <v>0</v>
      </c>
      <c r="AG341" s="40">
        <f t="shared" si="200"/>
        <v>0</v>
      </c>
      <c r="AH341" s="224">
        <f>AG341*$P$36</f>
        <v>0</v>
      </c>
      <c r="AI341" s="226">
        <f>SUM(Z341,IF(Z341&lt;&gt;0,$F$34,0),IF(Z341&lt;&gt;0,$N$36,0),IF(Z341&lt;&gt;0,$T$36,0),IF(Z341=0,AH346,IF(Z341=1,AH347,IF(Z341=2,AH348,IF(Z341=3,AH349,IF(Z341=4,AH350,IF(Z341=5,AH351,IF(Z341=6,AH352,IF(Z341=7,AH353,IF(Z341=8,AH354,IF(Z341=9,AH355,IF(Z341=10,AH356,IF(Z341=11,AH357,IF(Z341=12,AH358,IF(Z341=13,AH359,IF(Z341=14,AH360,IF(Z341=15,AH361,IF(Z341=16,AH362,IF(Z341=17,AH363,IF(Z341=18,AH364,IF(Z341=19,AH365,IF(Z341=20,AH366,IF(Z341=21,AH367,IF(Z341=22,AH368,IF(Z341=23,AH369,IF(Z341=24,AH370,IF(Z341=25,AH371,IF(Z341=26,AH372,IF(Z341=27,AH373,IF(Z341=28,AH374,IF(Z341=29,AH375,IF(Z341=30,AH376))))))))))))))))))))))))))))))))</f>
        <v>0</v>
      </c>
      <c r="AJ341" s="253">
        <f>IF(V341&lt;&gt;0,SUM($F$34,V341,$N$36,MAX($AH$42:$AH$342),$T$36),0)</f>
        <v>0</v>
      </c>
      <c r="AK341" s="253">
        <f>IF(W341&lt;&gt;0,SUM($F$34,W341,$N$36,MAX($AH$42:$AH$342),$T$36),0)</f>
        <v>0</v>
      </c>
      <c r="AL341" s="253">
        <f>IF(X341&lt;&gt;0,SUM($F$34,X341,$N$36,MAX($AH$42:$AH$342),$T$36),0)</f>
        <v>0</v>
      </c>
      <c r="AM341" s="260">
        <f>IF(Y341&lt;&gt;0,SUM($F$34,Y341,$N$36,MAX($AH$42:$AH$342),$T$36),0)</f>
        <v>0</v>
      </c>
    </row>
    <row r="342" spans="1:39" ht="15" thickBot="1" x14ac:dyDescent="0.4">
      <c r="A342" s="261">
        <v>1800</v>
      </c>
      <c r="B342" s="59">
        <f>SUMIF([2]!Table2_23[ETA],'FIS Optimal Model (2)'!A342,[2]!Table2_23[FIS PAX])</f>
        <v>0</v>
      </c>
      <c r="C342" s="60">
        <f t="shared" si="201"/>
        <v>0</v>
      </c>
      <c r="D342" s="61">
        <f t="shared" si="208"/>
        <v>0</v>
      </c>
      <c r="E342" s="26">
        <f t="shared" si="189"/>
        <v>0</v>
      </c>
      <c r="F342" s="26">
        <f t="shared" si="190"/>
        <v>0</v>
      </c>
      <c r="G342" s="26">
        <f t="shared" si="191"/>
        <v>0</v>
      </c>
      <c r="H342" s="26">
        <f t="shared" si="192"/>
        <v>0</v>
      </c>
      <c r="I342" s="63">
        <f t="shared" si="211"/>
        <v>0</v>
      </c>
      <c r="J342" s="63">
        <f t="shared" si="211"/>
        <v>0</v>
      </c>
      <c r="K342" s="63">
        <f t="shared" si="211"/>
        <v>0</v>
      </c>
      <c r="L342" s="63">
        <f t="shared" si="209"/>
        <v>0</v>
      </c>
      <c r="M342" s="60">
        <f t="shared" si="218"/>
        <v>0</v>
      </c>
      <c r="N342" s="64">
        <f t="shared" si="219"/>
        <v>11</v>
      </c>
      <c r="O342" s="60">
        <f t="shared" si="220"/>
        <v>0</v>
      </c>
      <c r="P342" s="60">
        <f t="shared" si="221"/>
        <v>0</v>
      </c>
      <c r="Q342" s="60">
        <f t="shared" si="193"/>
        <v>11</v>
      </c>
      <c r="R342" s="65">
        <f t="shared" si="194"/>
        <v>0</v>
      </c>
      <c r="S342" s="65">
        <f t="shared" si="195"/>
        <v>0</v>
      </c>
      <c r="T342" s="65">
        <f t="shared" si="196"/>
        <v>0</v>
      </c>
      <c r="U342" s="65">
        <f t="shared" si="197"/>
        <v>0</v>
      </c>
      <c r="V342" s="66">
        <f t="shared" si="212"/>
        <v>0</v>
      </c>
      <c r="W342" s="66">
        <f t="shared" si="213"/>
        <v>0</v>
      </c>
      <c r="X342" s="66">
        <f t="shared" si="206"/>
        <v>0</v>
      </c>
      <c r="Y342" s="66">
        <f t="shared" si="207"/>
        <v>0</v>
      </c>
      <c r="Z342" s="228">
        <f t="shared" si="198"/>
        <v>0</v>
      </c>
      <c r="AA342" s="67">
        <f t="shared" si="185"/>
        <v>0</v>
      </c>
      <c r="AB342" s="67">
        <f t="shared" si="186"/>
        <v>0</v>
      </c>
      <c r="AC342" s="67">
        <f t="shared" si="187"/>
        <v>0</v>
      </c>
      <c r="AD342" s="67">
        <f t="shared" si="188"/>
        <v>0</v>
      </c>
      <c r="AE342" s="68">
        <f t="shared" si="199"/>
        <v>0</v>
      </c>
      <c r="AF342" s="69">
        <f t="shared" si="210"/>
        <v>0</v>
      </c>
      <c r="AG342" s="70">
        <f t="shared" si="200"/>
        <v>0</v>
      </c>
      <c r="AH342" s="225">
        <f>AG342*$P$36</f>
        <v>0</v>
      </c>
      <c r="AI342" s="262">
        <f>SUM(Z342,IF(Z342&lt;&gt;0,$F$34,0),IF(Z342&lt;&gt;0,$N$36,0),IF(Z342&lt;&gt;0,$T$36,0),IF(Z342=0,AH347,IF(Z342=1,AH348,IF(Z342=2,AH349,IF(Z342=3,AH350,IF(Z342=4,AH351,IF(Z342=5,AH352,IF(Z342=6,AH353,IF(Z342=7,AH354,IF(Z342=8,AH355,IF(Z342=9,AH356,IF(Z342=10,AH357,IF(Z342=11,AH358,IF(Z342=12,AH359,IF(Z342=13,AH360,IF(Z342=14,AH361,IF(Z342=15,AH362,IF(Z342=16,AH363,IF(Z342=17,AH364,IF(Z342=18,AH365,IF(Z342=19,AH366,IF(Z342=20,AH367,IF(Z342=21,AH368,IF(Z342=22,AH369,IF(Z342=23,AH370,IF(Z342=24,AH371,IF(Z342=25,AH372,IF(Z342=26,AH373,IF(Z342=27,AH374,IF(Z342=28,AH375,IF(Z342=29,AH376,IF(Z342=30,AH377))))))))))))))))))))))))))))))))</f>
        <v>0</v>
      </c>
      <c r="AJ342" s="263">
        <f>IF(V342&lt;&gt;0,SUM($F$34,V342,$N$36,MAX($AH$42:$AH$342),$T$36),0)</f>
        <v>0</v>
      </c>
      <c r="AK342" s="263">
        <f>IF(W342&lt;&gt;0,SUM($F$34,W342,$N$36,MAX($AH$42:$AH$342),$T$36),0)</f>
        <v>0</v>
      </c>
      <c r="AL342" s="263">
        <f>IF(X342&lt;&gt;0,SUM($F$34,X342,$N$36,MAX($AH$42:$AH$342),$T$36),0)</f>
        <v>0</v>
      </c>
      <c r="AM342" s="264">
        <f>IF(Y342&lt;&gt;0,SUM($F$34,Y342,$N$36,MAX($AH$42:$AH$342),$T$36),0)</f>
        <v>0</v>
      </c>
    </row>
  </sheetData>
  <mergeCells count="45">
    <mergeCell ref="N11:N12"/>
    <mergeCell ref="M22:M25"/>
    <mergeCell ref="L22:L25"/>
    <mergeCell ref="AJ40:AM40"/>
    <mergeCell ref="B38:AM38"/>
    <mergeCell ref="A39:AM39"/>
    <mergeCell ref="AA40:AE40"/>
    <mergeCell ref="B3:N3"/>
    <mergeCell ref="F4:I4"/>
    <mergeCell ref="L19:L21"/>
    <mergeCell ref="M19:M21"/>
    <mergeCell ref="C40:D40"/>
    <mergeCell ref="E40:H40"/>
    <mergeCell ref="I40:L40"/>
    <mergeCell ref="M40:Q40"/>
    <mergeCell ref="R40:U40"/>
    <mergeCell ref="V40:Y40"/>
    <mergeCell ref="P32:P35"/>
    <mergeCell ref="Q32:Q35"/>
    <mergeCell ref="E34:E36"/>
    <mergeCell ref="F34:F36"/>
    <mergeCell ref="L15:L18"/>
    <mergeCell ref="M15:M18"/>
    <mergeCell ref="B30:T30"/>
    <mergeCell ref="H31:J31"/>
    <mergeCell ref="S31:T31"/>
    <mergeCell ref="B32:C32"/>
    <mergeCell ref="E32:E33"/>
    <mergeCell ref="F32:F33"/>
    <mergeCell ref="L32:L35"/>
    <mergeCell ref="N32:N35"/>
    <mergeCell ref="L8:L10"/>
    <mergeCell ref="M8:M10"/>
    <mergeCell ref="L11:L12"/>
    <mergeCell ref="M11:M12"/>
    <mergeCell ref="L13:L14"/>
    <mergeCell ref="M13:M14"/>
    <mergeCell ref="B1:T2"/>
    <mergeCell ref="P3:V3"/>
    <mergeCell ref="B4:B5"/>
    <mergeCell ref="C4:D4"/>
    <mergeCell ref="Q4:V4"/>
    <mergeCell ref="W5:Z7"/>
    <mergeCell ref="L6:L7"/>
    <mergeCell ref="M6:M7"/>
  </mergeCells>
  <conditionalFormatting sqref="V42:Z342">
    <cfRule type="top10" dxfId="24" priority="2" rank="10"/>
    <cfRule type="top10" dxfId="23" priority="3" rank="3"/>
  </conditionalFormatting>
  <conditionalFormatting sqref="AH42:AH342">
    <cfRule type="top10" dxfId="22" priority="6" rank="5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54CB-99DE-4D02-97CB-926FAB7E8F14}">
  <dimension ref="A1:AI339"/>
  <sheetViews>
    <sheetView zoomScale="70" zoomScaleNormal="70" workbookViewId="0">
      <pane xSplit="1" topLeftCell="B1" activePane="topRight" state="frozen"/>
      <selection activeCell="A19" sqref="A19"/>
      <selection pane="topRight" activeCell="F15" sqref="F15"/>
    </sheetView>
  </sheetViews>
  <sheetFormatPr defaultColWidth="8.81640625" defaultRowHeight="14.5" x14ac:dyDescent="0.35"/>
  <cols>
    <col min="1" max="1" width="4.90625" bestFit="1" customWidth="1"/>
    <col min="2" max="2" width="14.6328125" bestFit="1" customWidth="1"/>
    <col min="3" max="3" width="21.1796875" bestFit="1" customWidth="1"/>
    <col min="4" max="4" width="12.1796875" bestFit="1" customWidth="1"/>
    <col min="5" max="5" width="13.54296875" customWidth="1"/>
    <col min="6" max="6" width="12.1796875" customWidth="1"/>
    <col min="7" max="7" width="11" bestFit="1" customWidth="1"/>
    <col min="8" max="8" width="13.1796875" bestFit="1" customWidth="1"/>
    <col min="9" max="9" width="21.1796875" bestFit="1" customWidth="1"/>
    <col min="10" max="10" width="22.54296875" bestFit="1" customWidth="1"/>
    <col min="11" max="11" width="11" bestFit="1" customWidth="1"/>
    <col min="12" max="12" width="17.08984375" customWidth="1"/>
    <col min="13" max="13" width="11.81640625" bestFit="1" customWidth="1"/>
    <col min="14" max="14" width="10.453125" bestFit="1" customWidth="1"/>
    <col min="15" max="15" width="10.6328125" customWidth="1"/>
    <col min="16" max="17" width="13.7265625" bestFit="1" customWidth="1"/>
    <col min="18" max="18" width="11.81640625" bestFit="1" customWidth="1"/>
    <col min="19" max="19" width="13.36328125" bestFit="1" customWidth="1"/>
    <col min="20" max="20" width="11.81640625" bestFit="1" customWidth="1"/>
    <col min="21" max="21" width="7.26953125" bestFit="1" customWidth="1"/>
    <col min="22" max="24" width="11.81640625" bestFit="1" customWidth="1"/>
    <col min="25" max="25" width="4.6328125" bestFit="1" customWidth="1"/>
    <col min="26" max="26" width="17.6328125" bestFit="1" customWidth="1"/>
    <col min="27" max="29" width="11.81640625" bestFit="1" customWidth="1"/>
    <col min="30" max="30" width="4.6328125" bestFit="1" customWidth="1"/>
    <col min="31" max="31" width="11.81640625" bestFit="1" customWidth="1"/>
    <col min="32" max="32" width="20.36328125" bestFit="1" customWidth="1"/>
    <col min="33" max="33" width="18.1796875" bestFit="1" customWidth="1"/>
    <col min="34" max="34" width="20" bestFit="1" customWidth="1"/>
    <col min="35" max="35" width="49.7265625" bestFit="1" customWidth="1"/>
    <col min="36" max="36" width="22.7265625" bestFit="1" customWidth="1"/>
  </cols>
  <sheetData>
    <row r="1" spans="1:29" x14ac:dyDescent="0.35">
      <c r="B1" s="162" t="s">
        <v>190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17"/>
      <c r="V1" s="117"/>
      <c r="W1" s="117"/>
      <c r="X1" s="117"/>
      <c r="Y1" s="117"/>
      <c r="Z1" s="117"/>
      <c r="AA1" s="117"/>
    </row>
    <row r="2" spans="1:29" ht="15" thickBot="1" x14ac:dyDescent="0.4">
      <c r="A2" s="117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17"/>
      <c r="V2" s="117"/>
      <c r="W2" s="117"/>
      <c r="X2" s="117"/>
      <c r="Y2" s="117"/>
      <c r="Z2" s="117"/>
      <c r="AA2" s="117"/>
    </row>
    <row r="3" spans="1:29" ht="18.5" x14ac:dyDescent="0.45">
      <c r="A3" s="117"/>
      <c r="B3" s="230" t="s">
        <v>140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2"/>
      <c r="O3" s="118"/>
      <c r="P3" s="191" t="s">
        <v>184</v>
      </c>
      <c r="Q3" s="192"/>
      <c r="R3" s="192"/>
      <c r="S3" s="192"/>
      <c r="T3" s="192"/>
      <c r="U3" s="192"/>
      <c r="V3" s="193"/>
      <c r="W3" s="117"/>
      <c r="X3" s="117"/>
      <c r="Y3" s="117"/>
      <c r="Z3" s="117"/>
      <c r="AA3" s="117"/>
      <c r="AB3" s="117"/>
      <c r="AC3" s="117"/>
    </row>
    <row r="4" spans="1:29" x14ac:dyDescent="0.35">
      <c r="A4" s="73"/>
      <c r="B4" s="194" t="s">
        <v>180</v>
      </c>
      <c r="C4" s="124" t="s">
        <v>177</v>
      </c>
      <c r="D4" s="244" t="s">
        <v>179</v>
      </c>
      <c r="E4" s="244"/>
      <c r="F4" s="244"/>
      <c r="G4" s="244"/>
      <c r="H4" s="244"/>
      <c r="I4" s="195" t="s">
        <v>209</v>
      </c>
      <c r="J4" s="195"/>
      <c r="K4" s="120"/>
      <c r="L4" s="120"/>
      <c r="M4" s="120"/>
      <c r="N4" s="121"/>
      <c r="O4" s="120"/>
      <c r="P4" s="138"/>
      <c r="Q4" s="196" t="s">
        <v>178</v>
      </c>
      <c r="R4" s="196"/>
      <c r="S4" s="196"/>
      <c r="T4" s="196"/>
      <c r="U4" s="196"/>
      <c r="V4" s="197"/>
      <c r="W4" s="117"/>
      <c r="X4" s="117"/>
      <c r="Y4" s="117"/>
      <c r="Z4" s="117"/>
      <c r="AA4" s="117"/>
      <c r="AB4" s="117"/>
      <c r="AC4" s="117"/>
    </row>
    <row r="5" spans="1:29" x14ac:dyDescent="0.35">
      <c r="A5" s="73"/>
      <c r="B5" s="194"/>
      <c r="C5" s="78" t="s">
        <v>143</v>
      </c>
      <c r="D5" s="127" t="s">
        <v>127</v>
      </c>
      <c r="E5" s="126" t="s">
        <v>128</v>
      </c>
      <c r="F5" s="126" t="s">
        <v>129</v>
      </c>
      <c r="G5" s="126" t="s">
        <v>4</v>
      </c>
      <c r="H5" s="126" t="s">
        <v>94</v>
      </c>
      <c r="I5" s="126" t="s">
        <v>206</v>
      </c>
      <c r="J5" s="126" t="s">
        <v>204</v>
      </c>
      <c r="K5" s="72"/>
      <c r="L5" s="96"/>
      <c r="M5" s="96"/>
      <c r="N5" s="128"/>
      <c r="O5" s="96"/>
      <c r="P5" s="71"/>
      <c r="Q5" s="75" t="s">
        <v>127</v>
      </c>
      <c r="R5" s="72" t="s">
        <v>128</v>
      </c>
      <c r="S5" s="72" t="s">
        <v>129</v>
      </c>
      <c r="T5" s="72" t="s">
        <v>4</v>
      </c>
      <c r="U5" s="72" t="s">
        <v>94</v>
      </c>
      <c r="V5" s="76" t="s">
        <v>130</v>
      </c>
      <c r="W5" s="198" t="s">
        <v>181</v>
      </c>
      <c r="X5" s="199"/>
      <c r="Y5" s="199"/>
      <c r="Z5" s="199"/>
      <c r="AA5" s="117"/>
      <c r="AB5" s="117"/>
      <c r="AC5" s="117"/>
    </row>
    <row r="6" spans="1:29" x14ac:dyDescent="0.35">
      <c r="A6" s="73"/>
      <c r="B6" s="77" t="s">
        <v>0</v>
      </c>
      <c r="C6" s="47">
        <f>SUMIFS([2]!Table2_23[FIS PAX],[2]!Table2_23[ETA],"&gt;1300",[2]!Table2_23[ETA],"&lt;1316")</f>
        <v>0</v>
      </c>
      <c r="D6" s="119">
        <f>M40</f>
        <v>0</v>
      </c>
      <c r="E6" s="119">
        <f t="shared" ref="E6:G6" si="0">N40</f>
        <v>6</v>
      </c>
      <c r="F6" s="119">
        <f t="shared" si="0"/>
        <v>0</v>
      </c>
      <c r="G6" s="119">
        <f t="shared" si="0"/>
        <v>0</v>
      </c>
      <c r="H6" s="46">
        <f t="shared" ref="H6:H25" si="1">U6</f>
        <v>6</v>
      </c>
      <c r="I6" s="51">
        <f>IF(SUM(Z39:Z54)&gt;0,AVERAGEIF(Z39:Z54,"&lt;&gt;0"),0)</f>
        <v>0</v>
      </c>
      <c r="J6" s="51">
        <f>IF(SUM(AI39:AI54)&gt;0,AVERAGEIF(AI39:AI54,"&lt;&gt;0"),0)</f>
        <v>0</v>
      </c>
      <c r="K6" s="72"/>
      <c r="L6" s="188" t="s">
        <v>138</v>
      </c>
      <c r="M6" s="219">
        <f>ROUNDUP(MAX(V39:Y339),0)</f>
        <v>26</v>
      </c>
      <c r="N6" s="130"/>
      <c r="O6" s="74"/>
      <c r="P6" s="133" t="s">
        <v>0</v>
      </c>
      <c r="Q6" s="74">
        <v>2</v>
      </c>
      <c r="R6" s="74">
        <v>2</v>
      </c>
      <c r="S6" s="73">
        <v>1</v>
      </c>
      <c r="T6" s="73">
        <v>1</v>
      </c>
      <c r="U6" s="123">
        <f>SUM(Q6:T6)</f>
        <v>6</v>
      </c>
      <c r="V6" s="141">
        <v>6</v>
      </c>
      <c r="W6" s="198"/>
      <c r="X6" s="199"/>
      <c r="Y6" s="199"/>
      <c r="Z6" s="199"/>
      <c r="AA6" s="117"/>
      <c r="AB6" s="117"/>
      <c r="AC6" s="117"/>
    </row>
    <row r="7" spans="1:29" ht="14.5" customHeight="1" x14ac:dyDescent="0.35">
      <c r="A7" s="73"/>
      <c r="B7" s="81" t="s">
        <v>96</v>
      </c>
      <c r="C7" s="47">
        <f>SUMIFS([2]!Table2_23[FIS PAX],[2]!Table2_23[ETA],"&gt;1315",[2]!Table2_23[ETA],"&lt;1331")</f>
        <v>0</v>
      </c>
      <c r="D7" s="119">
        <f>M40</f>
        <v>0</v>
      </c>
      <c r="E7" s="119">
        <f t="shared" ref="E7:G7" si="2">N40</f>
        <v>6</v>
      </c>
      <c r="F7" s="119">
        <f t="shared" si="2"/>
        <v>0</v>
      </c>
      <c r="G7" s="119">
        <f t="shared" si="2"/>
        <v>0</v>
      </c>
      <c r="H7" s="46">
        <f t="shared" si="1"/>
        <v>6</v>
      </c>
      <c r="I7" s="51">
        <f>IF(SUM($Z$55:$Z$69)&gt;0,AVERAGEIF($Z$55:$Z$69,"&lt;&gt;0"),0)</f>
        <v>0</v>
      </c>
      <c r="J7" s="51">
        <f>IF(SUM($AI$55:$AI$69)&gt;0,AVERAGEIF($AI$55:$AI$69,"&lt;&gt;0"),0)</f>
        <v>0</v>
      </c>
      <c r="K7" s="73"/>
      <c r="L7" s="188"/>
      <c r="M7" s="219"/>
      <c r="N7" s="130"/>
      <c r="O7" s="74"/>
      <c r="P7" s="134" t="s">
        <v>96</v>
      </c>
      <c r="Q7" s="74">
        <v>2</v>
      </c>
      <c r="R7" s="74">
        <v>2</v>
      </c>
      <c r="S7" s="73">
        <v>1</v>
      </c>
      <c r="T7" s="73">
        <v>1</v>
      </c>
      <c r="U7" s="123">
        <f t="shared" ref="U7:U25" si="3">SUM(Q7:T7)</f>
        <v>6</v>
      </c>
      <c r="V7" s="141">
        <v>6</v>
      </c>
      <c r="W7" s="198"/>
      <c r="X7" s="199"/>
      <c r="Y7" s="199"/>
      <c r="Z7" s="199"/>
      <c r="AA7" s="117"/>
      <c r="AB7" s="117"/>
      <c r="AC7" s="117"/>
    </row>
    <row r="8" spans="1:29" ht="14.5" customHeight="1" x14ac:dyDescent="0.35">
      <c r="A8" s="117"/>
      <c r="B8" s="77" t="s">
        <v>97</v>
      </c>
      <c r="C8" s="47">
        <f>SUMIFS([2]!Table2_23[FIS PAX],[2]!Table2_23[ETA],"&gt;1330",[2]!Table2_23[ETA],"&lt;1346")</f>
        <v>152</v>
      </c>
      <c r="D8" s="119">
        <f>M70</f>
        <v>0</v>
      </c>
      <c r="E8" s="119">
        <f t="shared" ref="E8:G8" si="4">N70</f>
        <v>6</v>
      </c>
      <c r="F8" s="119">
        <f t="shared" si="4"/>
        <v>0</v>
      </c>
      <c r="G8" s="119">
        <f t="shared" si="4"/>
        <v>0</v>
      </c>
      <c r="H8" s="46">
        <f t="shared" si="1"/>
        <v>6</v>
      </c>
      <c r="I8" s="51">
        <f>IF(SUM($Z$70:$Z$84)&gt;0,AVERAGEIF($Z$70:$Z$84,"&lt;&gt;0"),0)</f>
        <v>1</v>
      </c>
      <c r="J8" s="51">
        <f>IF(SUM($AI$70:$AI$84)&gt;0,AVERAGEIF($AI$70:AIZ$84,"&lt;&gt;0"),0)</f>
        <v>22</v>
      </c>
      <c r="K8" s="73"/>
      <c r="L8" s="188" t="s">
        <v>182</v>
      </c>
      <c r="M8" s="219">
        <f>ROUNDUP(SUM(F31,M6,N33,MAX(AH39:AH339),MAX(T29:T32)),0)</f>
        <v>59</v>
      </c>
      <c r="N8" s="140"/>
      <c r="O8" s="122"/>
      <c r="P8" s="133" t="s">
        <v>97</v>
      </c>
      <c r="Q8" s="74">
        <v>2</v>
      </c>
      <c r="R8" s="74">
        <v>2</v>
      </c>
      <c r="S8" s="73">
        <v>1</v>
      </c>
      <c r="T8" s="73">
        <v>1</v>
      </c>
      <c r="U8" s="123">
        <f t="shared" si="3"/>
        <v>6</v>
      </c>
      <c r="V8" s="141">
        <v>6</v>
      </c>
      <c r="W8" s="117"/>
      <c r="X8" s="117"/>
      <c r="Y8" s="117"/>
      <c r="Z8" s="117"/>
      <c r="AA8" s="117"/>
      <c r="AB8" s="117"/>
      <c r="AC8" s="117"/>
    </row>
    <row r="9" spans="1:29" x14ac:dyDescent="0.35">
      <c r="A9" s="117"/>
      <c r="B9" s="81" t="s">
        <v>98</v>
      </c>
      <c r="C9" s="47">
        <f>SUMIFS([2]!Table2_23[FIS PAX],[2]!Table2_23[ETA],"&gt;1345",[2]!Table2_23[ETA],"&lt;1401")</f>
        <v>0</v>
      </c>
      <c r="D9" s="119">
        <f>M85</f>
        <v>2</v>
      </c>
      <c r="E9" s="119">
        <f t="shared" ref="E9:G9" si="5">N85</f>
        <v>1</v>
      </c>
      <c r="F9" s="119">
        <f t="shared" si="5"/>
        <v>1</v>
      </c>
      <c r="G9" s="119">
        <f t="shared" si="5"/>
        <v>2</v>
      </c>
      <c r="H9" s="46">
        <f t="shared" si="1"/>
        <v>6</v>
      </c>
      <c r="I9" s="51">
        <f>IF(SUM($Z$85:$Z$99)&gt;0,AVERAGEIF($Z$85:$Z$99,"&lt;&gt;0"),0)</f>
        <v>9.2666666666666675</v>
      </c>
      <c r="J9" s="51">
        <f>IF(SUM($AI$85:$AI$99)&gt;0,AVERAGEIF($AI$85:$AI$99,"&lt;&gt;0"),0)</f>
        <v>30.266666666666666</v>
      </c>
      <c r="K9" s="73"/>
      <c r="L9" s="188"/>
      <c r="M9" s="219"/>
      <c r="N9" s="140"/>
      <c r="O9" s="122"/>
      <c r="P9" s="134" t="s">
        <v>98</v>
      </c>
      <c r="Q9" s="74">
        <v>2</v>
      </c>
      <c r="R9" s="74">
        <v>1</v>
      </c>
      <c r="S9" s="73">
        <v>1</v>
      </c>
      <c r="T9" s="73">
        <v>2</v>
      </c>
      <c r="U9" s="123">
        <f t="shared" si="3"/>
        <v>6</v>
      </c>
      <c r="V9" s="141">
        <v>6</v>
      </c>
      <c r="W9" s="117"/>
      <c r="X9" s="117"/>
      <c r="Y9" s="117"/>
      <c r="Z9" s="117"/>
      <c r="AA9" s="117"/>
      <c r="AB9" s="117"/>
      <c r="AC9" s="117"/>
    </row>
    <row r="10" spans="1:29" x14ac:dyDescent="0.35">
      <c r="A10" s="117"/>
      <c r="B10" s="77" t="s">
        <v>99</v>
      </c>
      <c r="C10" s="47">
        <f>SUMIFS([2]!Table2_23[FIS PAX],[2]!Table2_23[ETA],"&gt;1400",[2]!Table2_23[ETA],"&lt;1416")</f>
        <v>0</v>
      </c>
      <c r="D10" s="119">
        <f>M100</f>
        <v>2</v>
      </c>
      <c r="E10" s="119">
        <f t="shared" ref="E10:G10" si="6">N100</f>
        <v>4</v>
      </c>
      <c r="F10" s="119">
        <f t="shared" si="6"/>
        <v>0</v>
      </c>
      <c r="G10" s="119">
        <f t="shared" si="6"/>
        <v>0</v>
      </c>
      <c r="H10" s="46">
        <f t="shared" si="1"/>
        <v>6</v>
      </c>
      <c r="I10" s="51">
        <f>IF(SUM($Z$100:$Z$114)&gt;0,AVERAGEIF($Z$100:$Z$114,"&lt;&gt;0"),0)</f>
        <v>1.5</v>
      </c>
      <c r="J10" s="51">
        <f>IF(SUM($AI$100:$AI$114)&gt;0,AVERAGEIF($AI$100:$AI$114,"&lt;&gt;0"),0)</f>
        <v>22.5</v>
      </c>
      <c r="K10" s="73"/>
      <c r="L10" s="188"/>
      <c r="M10" s="219"/>
      <c r="N10" s="140"/>
      <c r="O10" s="82"/>
      <c r="P10" s="133" t="s">
        <v>99</v>
      </c>
      <c r="Q10" s="74">
        <v>2</v>
      </c>
      <c r="R10" s="74">
        <v>1</v>
      </c>
      <c r="S10" s="73">
        <v>2</v>
      </c>
      <c r="T10" s="73">
        <v>1</v>
      </c>
      <c r="U10" s="123">
        <f t="shared" si="3"/>
        <v>6</v>
      </c>
      <c r="V10" s="141">
        <v>6</v>
      </c>
      <c r="W10" s="117"/>
      <c r="X10" s="117"/>
      <c r="Y10" s="117"/>
      <c r="Z10" s="117"/>
      <c r="AA10" s="117"/>
      <c r="AB10" s="117"/>
      <c r="AC10" s="117"/>
    </row>
    <row r="11" spans="1:29" x14ac:dyDescent="0.35">
      <c r="A11" s="117"/>
      <c r="B11" s="81" t="s">
        <v>100</v>
      </c>
      <c r="C11" s="47">
        <f>SUMIFS([2]!Table2_23[FIS PAX],[2]!Table2_23[ETA],"&gt;1415",[2]!Table2_23[ETA],"&lt;1431")</f>
        <v>11</v>
      </c>
      <c r="D11" s="119">
        <f>M115</f>
        <v>0</v>
      </c>
      <c r="E11" s="119">
        <f t="shared" ref="E11:G11" si="7">N115</f>
        <v>11</v>
      </c>
      <c r="F11" s="119">
        <f t="shared" si="7"/>
        <v>0</v>
      </c>
      <c r="G11" s="119">
        <f t="shared" si="7"/>
        <v>0</v>
      </c>
      <c r="H11" s="46">
        <f t="shared" si="1"/>
        <v>11</v>
      </c>
      <c r="I11" s="51">
        <f>IF(SUM($Z$115:$Z$129)&gt;0,AVERAGEIF($Z$115:$Z$129,"&lt;&gt;0"),0)</f>
        <v>0</v>
      </c>
      <c r="J11" s="51">
        <f>IF(SUM($AI$115:$AI$129)&gt;0,AVERAGEIF($AI$115:$AI$129,"&lt;&gt;0"),0)</f>
        <v>0</v>
      </c>
      <c r="K11" s="73"/>
      <c r="L11" s="188" t="s">
        <v>207</v>
      </c>
      <c r="M11" s="219">
        <f>ROUNDUP(AVERAGEIF(Z39:Z339,"&lt;&gt;0"),0)</f>
        <v>7</v>
      </c>
      <c r="N11" s="130"/>
      <c r="O11" s="73"/>
      <c r="P11" s="134" t="s">
        <v>100</v>
      </c>
      <c r="Q11" s="74">
        <v>3</v>
      </c>
      <c r="R11" s="74">
        <v>6</v>
      </c>
      <c r="S11" s="73">
        <v>1</v>
      </c>
      <c r="T11" s="73">
        <v>1</v>
      </c>
      <c r="U11" s="123">
        <f t="shared" si="3"/>
        <v>11</v>
      </c>
      <c r="V11" s="141">
        <v>11</v>
      </c>
      <c r="W11" s="117"/>
      <c r="X11" s="117"/>
      <c r="Y11" s="117"/>
      <c r="Z11" s="117"/>
      <c r="AA11" s="117"/>
      <c r="AB11" s="117"/>
      <c r="AC11" s="117"/>
    </row>
    <row r="12" spans="1:29" x14ac:dyDescent="0.35">
      <c r="A12" s="117"/>
      <c r="B12" s="83" t="s">
        <v>101</v>
      </c>
      <c r="C12" s="47">
        <f>SUMIFS([2]!Table2_23[FIS PAX],[2]!Table2_23[ETA],"&gt;1430",[2]!Table2_23[ETA],"&lt;1446")</f>
        <v>453</v>
      </c>
      <c r="D12" s="119">
        <v>3</v>
      </c>
      <c r="E12" s="119">
        <v>6</v>
      </c>
      <c r="F12" s="119">
        <v>1</v>
      </c>
      <c r="G12" s="119">
        <v>1</v>
      </c>
      <c r="H12" s="46">
        <f t="shared" si="1"/>
        <v>11</v>
      </c>
      <c r="I12" s="51">
        <f>IF(SUM($Z$130:$Z$144)&gt;0,AVERAGEIF($Z$130:$Z$144,"&lt;&gt;0"),0)</f>
        <v>0</v>
      </c>
      <c r="J12" s="51">
        <f>IF(SUM($AI$130:$AI$144)&gt;0,AVERAGEIF($AI$130:$AI$144,"&lt;&gt;0"),0)</f>
        <v>0.14100778709090978</v>
      </c>
      <c r="K12" s="73"/>
      <c r="L12" s="188"/>
      <c r="M12" s="219"/>
      <c r="N12" s="130"/>
      <c r="O12" s="75"/>
      <c r="P12" s="135" t="s">
        <v>101</v>
      </c>
      <c r="Q12" s="74">
        <v>3</v>
      </c>
      <c r="R12" s="74">
        <v>6</v>
      </c>
      <c r="S12" s="73">
        <v>1</v>
      </c>
      <c r="T12" s="73">
        <v>1</v>
      </c>
      <c r="U12" s="123">
        <f t="shared" si="3"/>
        <v>11</v>
      </c>
      <c r="V12" s="141">
        <v>11</v>
      </c>
      <c r="W12" s="117"/>
      <c r="X12" s="117"/>
      <c r="Y12" s="117"/>
      <c r="Z12" s="117"/>
      <c r="AA12" s="117"/>
      <c r="AB12" s="117"/>
      <c r="AC12" s="117"/>
    </row>
    <row r="13" spans="1:29" x14ac:dyDescent="0.35">
      <c r="A13" s="117"/>
      <c r="B13" s="77" t="s">
        <v>102</v>
      </c>
      <c r="C13" s="47">
        <f>SUMIFS([2]!Table2_23[FIS PAX],[2]!Table2_23[ETA],"&gt;1445",[2]!Table2_23[ETA],"&lt;1501")</f>
        <v>186</v>
      </c>
      <c r="D13" s="119">
        <f>M145</f>
        <v>3</v>
      </c>
      <c r="E13" s="119">
        <f t="shared" ref="E13:G13" si="8">N145</f>
        <v>6</v>
      </c>
      <c r="F13" s="119">
        <f t="shared" si="8"/>
        <v>1</v>
      </c>
      <c r="G13" s="119">
        <f t="shared" si="8"/>
        <v>1</v>
      </c>
      <c r="H13" s="46">
        <f t="shared" si="1"/>
        <v>11</v>
      </c>
      <c r="I13" s="51">
        <f>IF(SUM($Z$145:$Z$159)&gt;0,AVERAGEIF($Z$145:$Z$159,"&lt;&gt;0"),0)</f>
        <v>6.0666666666666664</v>
      </c>
      <c r="J13" s="51">
        <f>IF(SUM($AI$145:$AI$159)&gt;0,AVERAGEIF($AI$145:$AI$159,"&lt;&gt;0"),0)</f>
        <v>27.284065434691563</v>
      </c>
      <c r="K13" s="73"/>
      <c r="L13" s="188" t="s">
        <v>208</v>
      </c>
      <c r="M13" s="219">
        <f>ROUNDUP(AVERAGEIF(AI39:AI339,"&lt;&gt;0"),0)</f>
        <v>29</v>
      </c>
      <c r="N13" s="130"/>
      <c r="O13" s="73"/>
      <c r="P13" s="133" t="s">
        <v>102</v>
      </c>
      <c r="Q13" s="74">
        <v>3</v>
      </c>
      <c r="R13" s="74">
        <v>6</v>
      </c>
      <c r="S13" s="73">
        <v>1</v>
      </c>
      <c r="T13" s="73">
        <v>1</v>
      </c>
      <c r="U13" s="123">
        <f t="shared" si="3"/>
        <v>11</v>
      </c>
      <c r="V13" s="141">
        <v>11</v>
      </c>
      <c r="W13" s="117"/>
      <c r="X13" s="117"/>
      <c r="Y13" s="117"/>
      <c r="Z13" s="117"/>
      <c r="AA13" s="117"/>
      <c r="AB13" s="117"/>
      <c r="AC13" s="117"/>
    </row>
    <row r="14" spans="1:29" x14ac:dyDescent="0.35">
      <c r="A14" s="117"/>
      <c r="B14" s="81" t="s">
        <v>103</v>
      </c>
      <c r="C14" s="47">
        <f>SUMIFS([2]!Table2_23[FIS PAX],[2]!Table2_23[ETA],"&gt;1500",[2]!Table2_23[ETA],"&lt;1516")</f>
        <v>86</v>
      </c>
      <c r="D14" s="119">
        <f>M160</f>
        <v>3</v>
      </c>
      <c r="E14" s="119">
        <f t="shared" ref="E14:G14" si="9">N160</f>
        <v>7</v>
      </c>
      <c r="F14" s="119">
        <f t="shared" si="9"/>
        <v>1</v>
      </c>
      <c r="G14" s="119">
        <f t="shared" si="9"/>
        <v>0</v>
      </c>
      <c r="H14" s="46">
        <f t="shared" si="1"/>
        <v>11</v>
      </c>
      <c r="I14" s="51">
        <f>IF(SUM($Z$160:$Z$174)&gt;0,AVERAGEIF($Z$160:$Z$174,"&lt;&gt;0"),0)</f>
        <v>11.2</v>
      </c>
      <c r="J14" s="51">
        <f>IF(SUM($AI$160:$AI$174)&gt;0,AVERAGEIF($AI$160:$AI$174,"&lt;&gt;0"),0)</f>
        <v>33.429121817278109</v>
      </c>
      <c r="K14" s="73"/>
      <c r="L14" s="188"/>
      <c r="M14" s="219"/>
      <c r="N14" s="130"/>
      <c r="O14" s="73"/>
      <c r="P14" s="134" t="s">
        <v>103</v>
      </c>
      <c r="Q14" s="74">
        <v>3</v>
      </c>
      <c r="R14" s="74">
        <v>6</v>
      </c>
      <c r="S14" s="73">
        <v>1</v>
      </c>
      <c r="T14" s="73">
        <v>1</v>
      </c>
      <c r="U14" s="123">
        <f t="shared" si="3"/>
        <v>11</v>
      </c>
      <c r="V14" s="141">
        <v>11</v>
      </c>
      <c r="W14" s="117"/>
      <c r="X14" s="117"/>
      <c r="Y14" s="117"/>
      <c r="Z14" s="117"/>
      <c r="AA14" s="117"/>
      <c r="AB14" s="117"/>
      <c r="AC14" s="117"/>
    </row>
    <row r="15" spans="1:29" ht="14.5" customHeight="1" x14ac:dyDescent="0.35">
      <c r="A15" s="117"/>
      <c r="B15" s="77" t="s">
        <v>104</v>
      </c>
      <c r="C15" s="47">
        <f>SUMIFS([2]!Table2_23[FIS PAX],[2]!Table2_23[ETA],"&gt;1515",[2]!Table2_23[ETA],"&lt;1531")</f>
        <v>0</v>
      </c>
      <c r="D15" s="119">
        <f>M175</f>
        <v>3</v>
      </c>
      <c r="E15" s="119">
        <f t="shared" ref="E15:G15" si="10">N175</f>
        <v>6</v>
      </c>
      <c r="F15" s="119">
        <f t="shared" si="10"/>
        <v>1</v>
      </c>
      <c r="G15" s="119">
        <f t="shared" si="10"/>
        <v>1</v>
      </c>
      <c r="H15" s="46">
        <f t="shared" si="1"/>
        <v>11</v>
      </c>
      <c r="I15" s="51">
        <f>IF(SUM($Z$175:$Z$189)&gt;0,AVERAGEIF($Z$175:$Z$189,"&lt;&gt;0"),0)</f>
        <v>14.266666666666667</v>
      </c>
      <c r="J15" s="51">
        <f>IF(SUM($AI$175:$AI$189)&gt;0,AVERAGEIF($AI$175:$AI$189,"&lt;&gt;0"),0)</f>
        <v>35.901249813357516</v>
      </c>
      <c r="K15" s="73"/>
      <c r="L15" s="188" t="s">
        <v>210</v>
      </c>
      <c r="M15" s="189">
        <f>(COUNTIFS(Z39:Z339,"&gt;0",Z39:Z339,"&lt;=16"))/(COUNTIF(Z39:Z339,"&gt;0"))*100</f>
        <v>99.459459459459467</v>
      </c>
      <c r="N15" s="129"/>
      <c r="O15" s="82"/>
      <c r="P15" s="133" t="s">
        <v>104</v>
      </c>
      <c r="Q15" s="74">
        <v>3</v>
      </c>
      <c r="R15" s="74">
        <v>6</v>
      </c>
      <c r="S15" s="73">
        <v>1</v>
      </c>
      <c r="T15" s="73">
        <v>1</v>
      </c>
      <c r="U15" s="123">
        <f t="shared" si="3"/>
        <v>11</v>
      </c>
      <c r="V15" s="141">
        <v>11</v>
      </c>
      <c r="W15" s="117"/>
      <c r="X15" s="117"/>
      <c r="Y15" s="117"/>
      <c r="Z15" s="117"/>
      <c r="AA15" s="117"/>
      <c r="AB15" s="117"/>
      <c r="AC15" s="117"/>
    </row>
    <row r="16" spans="1:29" x14ac:dyDescent="0.35">
      <c r="A16" s="117"/>
      <c r="B16" s="81" t="s">
        <v>105</v>
      </c>
      <c r="C16" s="47">
        <f>SUMIFS([2]!Table2_23[FIS PAX],[2]!Table2_23[ETA],"&gt;1530",[2]!Table2_23[ETA],"&lt;1546")</f>
        <v>185</v>
      </c>
      <c r="D16" s="119">
        <f>M190</f>
        <v>4</v>
      </c>
      <c r="E16" s="119">
        <f t="shared" ref="E16:G16" si="11">N190</f>
        <v>6</v>
      </c>
      <c r="F16" s="119">
        <f t="shared" si="11"/>
        <v>1</v>
      </c>
      <c r="G16" s="119">
        <f t="shared" si="11"/>
        <v>0</v>
      </c>
      <c r="H16" s="46">
        <f t="shared" si="1"/>
        <v>11</v>
      </c>
      <c r="I16" s="51">
        <f>IF(SUM($Z$190:$Z$204)&gt;0,AVERAGEIF($Z$190:$Z$204,"&lt;&gt;0"),0)</f>
        <v>3.5714285714285716</v>
      </c>
      <c r="J16" s="51">
        <f>IF(SUM($AI$190:$AI$204)&gt;0,AVERAGEIF($AI$190:$AI$204,"&lt;&gt;0"),0)</f>
        <v>23.051186749590766</v>
      </c>
      <c r="K16" s="73"/>
      <c r="L16" s="188"/>
      <c r="M16" s="189"/>
      <c r="N16" s="89"/>
      <c r="O16" s="73"/>
      <c r="P16" s="134" t="s">
        <v>105</v>
      </c>
      <c r="Q16" s="74">
        <v>4</v>
      </c>
      <c r="R16" s="74">
        <v>5</v>
      </c>
      <c r="S16" s="73">
        <v>1</v>
      </c>
      <c r="T16" s="73">
        <v>1</v>
      </c>
      <c r="U16" s="123">
        <f t="shared" si="3"/>
        <v>11</v>
      </c>
      <c r="V16" s="141">
        <v>11</v>
      </c>
      <c r="W16" s="117"/>
      <c r="X16" s="117"/>
      <c r="Y16" s="117"/>
      <c r="Z16" s="117"/>
      <c r="AA16" s="117"/>
      <c r="AB16" s="117"/>
      <c r="AC16" s="117"/>
    </row>
    <row r="17" spans="1:29" x14ac:dyDescent="0.35">
      <c r="A17" s="117"/>
      <c r="B17" s="81" t="s">
        <v>106</v>
      </c>
      <c r="C17" s="47">
        <f>SUMIFS([2]!Table2_23[FIS PAX],[2]!Table2_23[ETA],"&gt;1545",[2]!Table2_23[ETA],"&lt;1601")</f>
        <v>615</v>
      </c>
      <c r="D17" s="119">
        <f>M205</f>
        <v>4</v>
      </c>
      <c r="E17" s="119">
        <f t="shared" ref="E17:G17" si="12">N205</f>
        <v>5</v>
      </c>
      <c r="F17" s="119">
        <f t="shared" si="12"/>
        <v>1</v>
      </c>
      <c r="G17" s="119">
        <f t="shared" si="12"/>
        <v>1</v>
      </c>
      <c r="H17" s="46">
        <f t="shared" si="1"/>
        <v>11</v>
      </c>
      <c r="I17" s="51">
        <f>IF(SUM($Z$205:$Z$219)&gt;0,AVERAGEIF($Z$205:$Z$219,"&lt;&gt;0"),0)</f>
        <v>2.1333333333333333</v>
      </c>
      <c r="J17" s="51">
        <f>IF(SUM($AI$205:$AI$219)&gt;0,AVERAGEIF($AI$205:$AI$219,"&lt;&gt;0"),0)</f>
        <v>24.679529239816858</v>
      </c>
      <c r="K17" s="73"/>
      <c r="L17" s="188"/>
      <c r="M17" s="189"/>
      <c r="N17" s="89"/>
      <c r="O17" s="73"/>
      <c r="P17" s="134" t="s">
        <v>106</v>
      </c>
      <c r="Q17" s="74">
        <v>4</v>
      </c>
      <c r="R17" s="74">
        <v>5</v>
      </c>
      <c r="S17" s="73">
        <v>1</v>
      </c>
      <c r="T17" s="73">
        <v>1</v>
      </c>
      <c r="U17" s="123">
        <f t="shared" si="3"/>
        <v>11</v>
      </c>
      <c r="V17" s="141">
        <v>11</v>
      </c>
      <c r="W17" s="117"/>
      <c r="X17" s="117"/>
      <c r="Y17" s="117"/>
      <c r="Z17" s="117"/>
      <c r="AA17" s="117"/>
      <c r="AB17" s="117"/>
      <c r="AC17" s="117"/>
    </row>
    <row r="18" spans="1:29" x14ac:dyDescent="0.35">
      <c r="A18" s="117"/>
      <c r="B18" s="81" t="s">
        <v>107</v>
      </c>
      <c r="C18" s="47">
        <f>SUMIFS([2]!Table2_23[FIS PAX],[2]!Table2_23[ETA],"&gt;1600",[2]!Table2_23[ETA],"&lt;1616")</f>
        <v>0</v>
      </c>
      <c r="D18" s="119">
        <f>M220</f>
        <v>4</v>
      </c>
      <c r="E18" s="119">
        <f t="shared" ref="E18:G18" si="13">N220</f>
        <v>6</v>
      </c>
      <c r="F18" s="119">
        <f t="shared" si="13"/>
        <v>1</v>
      </c>
      <c r="G18" s="119">
        <f t="shared" si="13"/>
        <v>0</v>
      </c>
      <c r="H18" s="46">
        <f t="shared" si="1"/>
        <v>11</v>
      </c>
      <c r="I18" s="51">
        <f>IF(SUM($Z$220:$Z$234)&gt;0,AVERAGEIF($Z$220:$Z$234,"&lt;&gt;0"),0)</f>
        <v>4.4000000000000004</v>
      </c>
      <c r="J18" s="51">
        <f>IF(SUM($AI$220:$AI$234)&gt;0,AVERAGEIF($AI$220:$AI$234,"&lt;&gt;0"),0)</f>
        <v>29.549395101391646</v>
      </c>
      <c r="K18" s="73"/>
      <c r="L18" s="188"/>
      <c r="M18" s="189"/>
      <c r="N18" s="89"/>
      <c r="O18" s="73"/>
      <c r="P18" s="134" t="s">
        <v>107</v>
      </c>
      <c r="Q18" s="74">
        <v>4</v>
      </c>
      <c r="R18" s="74">
        <v>5</v>
      </c>
      <c r="S18" s="73">
        <v>1</v>
      </c>
      <c r="T18" s="73">
        <v>1</v>
      </c>
      <c r="U18" s="123">
        <f t="shared" si="3"/>
        <v>11</v>
      </c>
      <c r="V18" s="141">
        <v>11</v>
      </c>
      <c r="W18" s="117"/>
      <c r="X18" s="117"/>
      <c r="Y18" s="117"/>
      <c r="Z18" s="117"/>
      <c r="AA18" s="117"/>
      <c r="AB18" s="117"/>
      <c r="AC18" s="117"/>
    </row>
    <row r="19" spans="1:29" x14ac:dyDescent="0.35">
      <c r="A19" s="117"/>
      <c r="B19" s="81" t="s">
        <v>108</v>
      </c>
      <c r="C19" s="47">
        <f>SUMIFS([2]!Table2_23[FIS PAX],[2]!Table2_23[ETA],"&gt;1615",[2]!Table2_23[ETA],"&lt;1631")</f>
        <v>139</v>
      </c>
      <c r="D19" s="119">
        <f>M235</f>
        <v>3</v>
      </c>
      <c r="E19" s="119">
        <f t="shared" ref="E19:G19" si="14">N235</f>
        <v>6</v>
      </c>
      <c r="F19" s="119">
        <f t="shared" si="14"/>
        <v>1</v>
      </c>
      <c r="G19" s="119">
        <f t="shared" si="14"/>
        <v>1</v>
      </c>
      <c r="H19" s="46">
        <f t="shared" si="1"/>
        <v>11</v>
      </c>
      <c r="I19" s="51">
        <f>IF(SUM($Z$235:$Z$249)&gt;0,AVERAGEIF($Z$235:$Z$249,"&lt;&gt;0"),0)</f>
        <v>9.4</v>
      </c>
      <c r="J19" s="51">
        <f>IF(SUM($AI$235:$AI$249)&gt;0,AVERAGEIF($AI$235:$AI$249,"&lt;&gt;0"),0)</f>
        <v>36.588706919694481</v>
      </c>
      <c r="K19" s="73"/>
      <c r="L19" s="74"/>
      <c r="M19" s="73"/>
      <c r="N19" s="89"/>
      <c r="O19" s="73"/>
      <c r="P19" s="134" t="s">
        <v>108</v>
      </c>
      <c r="Q19" s="74">
        <v>3</v>
      </c>
      <c r="R19" s="74">
        <v>6</v>
      </c>
      <c r="S19" s="73">
        <v>1</v>
      </c>
      <c r="T19" s="73">
        <v>1</v>
      </c>
      <c r="U19" s="123">
        <f t="shared" si="3"/>
        <v>11</v>
      </c>
      <c r="V19" s="141">
        <v>11</v>
      </c>
      <c r="W19" s="117"/>
      <c r="X19" s="117"/>
      <c r="Y19" s="117"/>
      <c r="Z19" s="117"/>
      <c r="AA19" s="117"/>
      <c r="AB19" s="117"/>
      <c r="AC19" s="117"/>
    </row>
    <row r="20" spans="1:29" x14ac:dyDescent="0.35">
      <c r="A20" s="117"/>
      <c r="B20" s="81" t="s">
        <v>109</v>
      </c>
      <c r="C20" s="47">
        <f>SUMIFS([2]!Table2_23[FIS PAX],[2]!Table2_23[ETA],"&gt;1630",[2]!Table2_23[ETA],"&lt;1646")</f>
        <v>0</v>
      </c>
      <c r="D20" s="119">
        <f>M250</f>
        <v>3</v>
      </c>
      <c r="E20" s="119">
        <f t="shared" ref="E20:G20" si="15">N250</f>
        <v>7</v>
      </c>
      <c r="F20" s="119">
        <f t="shared" si="15"/>
        <v>1</v>
      </c>
      <c r="G20" s="119">
        <f t="shared" si="15"/>
        <v>0</v>
      </c>
      <c r="H20" s="46">
        <f t="shared" si="1"/>
        <v>11</v>
      </c>
      <c r="I20" s="51">
        <f>IF(SUM($Z$250:$Z$264)&gt;0,AVERAGEIF($Z$250:$Z$264,"&lt;&gt;0"),0)</f>
        <v>8.4</v>
      </c>
      <c r="J20" s="51">
        <f>IF(SUM($AI$250:$AI$264)&gt;0,AVERAGEIF($AI$250:$AI$264,"&lt;&gt;0"),0)</f>
        <v>35.396909708496523</v>
      </c>
      <c r="K20" s="73"/>
      <c r="L20" s="73"/>
      <c r="M20" s="73"/>
      <c r="N20" s="89"/>
      <c r="O20" s="73"/>
      <c r="P20" s="134" t="s">
        <v>109</v>
      </c>
      <c r="Q20" s="74">
        <v>3</v>
      </c>
      <c r="R20" s="74">
        <v>6</v>
      </c>
      <c r="S20" s="73">
        <v>1</v>
      </c>
      <c r="T20" s="73">
        <v>1</v>
      </c>
      <c r="U20" s="123">
        <f t="shared" si="3"/>
        <v>11</v>
      </c>
      <c r="V20" s="141">
        <v>11</v>
      </c>
      <c r="W20" s="117"/>
      <c r="X20" s="117"/>
      <c r="Y20" s="117"/>
      <c r="Z20" s="117"/>
      <c r="AA20" s="117"/>
      <c r="AB20" s="117"/>
      <c r="AC20" s="117"/>
    </row>
    <row r="21" spans="1:29" x14ac:dyDescent="0.35">
      <c r="A21" s="117"/>
      <c r="B21" s="81" t="s">
        <v>110</v>
      </c>
      <c r="C21" s="47">
        <f>SUMIFS([2]!Table2_23[FIS PAX],[2]!Table2_23[ETA],"&gt;1645",[2]!Table2_23[ETA],"&lt;1701")</f>
        <v>272</v>
      </c>
      <c r="D21" s="119">
        <f>M265</f>
        <v>3</v>
      </c>
      <c r="E21" s="119">
        <f t="shared" ref="E21:G21" si="16">N265</f>
        <v>7</v>
      </c>
      <c r="F21" s="119">
        <f t="shared" si="16"/>
        <v>0</v>
      </c>
      <c r="G21" s="119">
        <f t="shared" si="16"/>
        <v>1</v>
      </c>
      <c r="H21" s="46">
        <f t="shared" si="1"/>
        <v>11</v>
      </c>
      <c r="I21" s="51">
        <f>IF(SUM($Z$265:$Z$279)&gt;0,AVERAGEIF($Z$265:$Z$279,"&lt;&gt;0"),0)</f>
        <v>2.6666666666666665</v>
      </c>
      <c r="J21" s="51">
        <f>IF(SUM($AI$265:$AI$279)&gt;0,AVERAGEIF($AI$265:$AI$279,"&lt;&gt;0"),0)</f>
        <v>22.065518867769125</v>
      </c>
      <c r="K21" s="73"/>
      <c r="L21" s="73"/>
      <c r="M21" s="73"/>
      <c r="N21" s="89"/>
      <c r="O21" s="73"/>
      <c r="P21" s="134" t="s">
        <v>110</v>
      </c>
      <c r="Q21" s="74">
        <v>3</v>
      </c>
      <c r="R21" s="74">
        <v>6</v>
      </c>
      <c r="S21" s="73">
        <v>1</v>
      </c>
      <c r="T21" s="73">
        <v>1</v>
      </c>
      <c r="U21" s="123">
        <f t="shared" si="3"/>
        <v>11</v>
      </c>
      <c r="V21" s="141">
        <v>11</v>
      </c>
      <c r="W21" s="117"/>
      <c r="X21" s="117"/>
      <c r="Y21" s="117"/>
      <c r="Z21" s="117"/>
      <c r="AA21" s="117"/>
      <c r="AB21" s="117"/>
      <c r="AC21" s="117"/>
    </row>
    <row r="22" spans="1:29" x14ac:dyDescent="0.35">
      <c r="A22" s="117"/>
      <c r="B22" s="81" t="s">
        <v>111</v>
      </c>
      <c r="C22" s="47">
        <f>SUMIFS([2]!Table2_23[FIS PAX],[2]!Table2_23[ETA],"&gt;1700",[2]!Table2_23[ETA],"&lt;1716")</f>
        <v>104</v>
      </c>
      <c r="D22" s="119">
        <f>M280</f>
        <v>3</v>
      </c>
      <c r="E22" s="119">
        <f t="shared" ref="E22:G22" si="17">N280</f>
        <v>7</v>
      </c>
      <c r="F22" s="119">
        <f t="shared" si="17"/>
        <v>1</v>
      </c>
      <c r="G22" s="119">
        <f t="shared" si="17"/>
        <v>0</v>
      </c>
      <c r="H22" s="46">
        <f t="shared" si="1"/>
        <v>11</v>
      </c>
      <c r="I22" s="51">
        <f>IF(SUM($Z$280:$Z$294)&gt;0,AVERAGEIF($Z$280:$Z$294,"&lt;&gt;0"),0)</f>
        <v>4.2</v>
      </c>
      <c r="J22" s="51">
        <f>IF(SUM($AI$280:$AI$294)&gt;0,AVERAGEIF($AI$280:$AI$294,"&lt;&gt;0"),0)</f>
        <v>26.679525546786589</v>
      </c>
      <c r="K22" s="73"/>
      <c r="L22" s="73"/>
      <c r="M22" s="73"/>
      <c r="N22" s="89"/>
      <c r="O22" s="73"/>
      <c r="P22" s="134" t="s">
        <v>111</v>
      </c>
      <c r="Q22" s="74">
        <v>3</v>
      </c>
      <c r="R22" s="74">
        <v>6</v>
      </c>
      <c r="S22" s="73">
        <v>1</v>
      </c>
      <c r="T22" s="73">
        <v>1</v>
      </c>
      <c r="U22" s="123">
        <f t="shared" si="3"/>
        <v>11</v>
      </c>
      <c r="V22" s="141">
        <v>11</v>
      </c>
      <c r="W22" s="117"/>
      <c r="X22" s="117"/>
      <c r="Y22" s="117"/>
      <c r="Z22" s="117"/>
      <c r="AA22" s="117"/>
      <c r="AB22" s="117"/>
      <c r="AC22" s="117"/>
    </row>
    <row r="23" spans="1:29" x14ac:dyDescent="0.35">
      <c r="A23" s="117"/>
      <c r="B23" s="81" t="s">
        <v>112</v>
      </c>
      <c r="C23" s="47">
        <f>SUMIFS([2]!Table2_23[FIS PAX],[2]!Table2_23[ETA],"&gt;1715",[2]!Table2_23[ETA],"&lt;1731")</f>
        <v>0</v>
      </c>
      <c r="D23" s="119">
        <f>M295</f>
        <v>3</v>
      </c>
      <c r="E23" s="119">
        <f t="shared" ref="E23:G23" si="18">N295</f>
        <v>6</v>
      </c>
      <c r="F23" s="119">
        <f t="shared" si="18"/>
        <v>1</v>
      </c>
      <c r="G23" s="119">
        <f t="shared" si="18"/>
        <v>1</v>
      </c>
      <c r="H23" s="46">
        <f t="shared" si="1"/>
        <v>11</v>
      </c>
      <c r="I23" s="51">
        <f>IF(SUM($Z$295:$Z$309)&gt;0,AVERAGEIF($Z$295:$Z$309,"&lt;&gt;0"),0)</f>
        <v>3.2857142857142856</v>
      </c>
      <c r="J23" s="51">
        <f>IF(SUM($AI$295:$AI$309)&gt;0,AVERAGEIF($AI$295:$AI$309,"&lt;&gt;0"),0)</f>
        <v>25.180559161014052</v>
      </c>
      <c r="K23" s="73"/>
      <c r="L23" s="73"/>
      <c r="M23" s="73"/>
      <c r="N23" s="89"/>
      <c r="O23" s="73"/>
      <c r="P23" s="134" t="s">
        <v>112</v>
      </c>
      <c r="Q23" s="74">
        <v>3</v>
      </c>
      <c r="R23" s="74">
        <v>6</v>
      </c>
      <c r="S23" s="73">
        <v>1</v>
      </c>
      <c r="T23" s="73">
        <v>1</v>
      </c>
      <c r="U23" s="123">
        <f t="shared" si="3"/>
        <v>11</v>
      </c>
      <c r="V23" s="141">
        <v>11</v>
      </c>
      <c r="W23" s="117"/>
      <c r="X23" s="117"/>
      <c r="Y23" s="117"/>
      <c r="Z23" s="117"/>
      <c r="AA23" s="117"/>
      <c r="AB23" s="117"/>
      <c r="AC23" s="117"/>
    </row>
    <row r="24" spans="1:29" x14ac:dyDescent="0.35">
      <c r="A24" s="117"/>
      <c r="B24" s="77" t="s">
        <v>113</v>
      </c>
      <c r="C24" s="47">
        <f>SUMIFS([2]!Table2_23[FIS PAX],[2]!Table2_23[ETA],"&gt;1730",[2]!Table2_23[ETA],"&lt;1746")</f>
        <v>0</v>
      </c>
      <c r="D24" s="119">
        <f>M310</f>
        <v>0</v>
      </c>
      <c r="E24" s="119">
        <f t="shared" ref="E24:G24" si="19">N310</f>
        <v>11</v>
      </c>
      <c r="F24" s="119">
        <f t="shared" si="19"/>
        <v>0</v>
      </c>
      <c r="G24" s="119">
        <f t="shared" si="19"/>
        <v>0</v>
      </c>
      <c r="H24" s="46">
        <f t="shared" si="1"/>
        <v>11</v>
      </c>
      <c r="I24" s="51">
        <f>IF(SUM($Z$310:$Z$324)&gt;0,AVERAGEIF($Z$310:$Z$324,"&lt;&gt;0"),0)</f>
        <v>0</v>
      </c>
      <c r="J24" s="51">
        <f>IF(SUM($AI$310:$AI$324)&gt;0,AVERAGEIF($AI$310:$AI$324,"&lt;&gt;0"),0)</f>
        <v>0</v>
      </c>
      <c r="K24" s="74"/>
      <c r="L24" s="74"/>
      <c r="M24" s="74"/>
      <c r="N24" s="130"/>
      <c r="O24" s="74"/>
      <c r="P24" s="133" t="s">
        <v>113</v>
      </c>
      <c r="Q24" s="74">
        <v>3</v>
      </c>
      <c r="R24" s="74">
        <v>6</v>
      </c>
      <c r="S24" s="73">
        <v>1</v>
      </c>
      <c r="T24" s="73">
        <v>1</v>
      </c>
      <c r="U24" s="123">
        <f t="shared" si="3"/>
        <v>11</v>
      </c>
      <c r="V24" s="141">
        <v>11</v>
      </c>
      <c r="W24" s="117"/>
      <c r="X24" s="117"/>
      <c r="Y24" s="117"/>
      <c r="Z24" s="117"/>
      <c r="AA24" s="117"/>
      <c r="AB24" s="117"/>
      <c r="AC24" s="117"/>
    </row>
    <row r="25" spans="1:29" ht="15" thickBot="1" x14ac:dyDescent="0.4">
      <c r="A25" s="117"/>
      <c r="B25" s="84" t="s">
        <v>114</v>
      </c>
      <c r="C25" s="53">
        <f>SUMIFS([2]!Table2_23[FIS PAX],[2]!Table2_23[ETA],"&gt;1745",[2]!Table2_23[ETA],"&lt;1801")</f>
        <v>0</v>
      </c>
      <c r="D25" s="131">
        <f>M325</f>
        <v>0</v>
      </c>
      <c r="E25" s="131">
        <f t="shared" ref="E25:G25" si="20">N325</f>
        <v>11</v>
      </c>
      <c r="F25" s="131">
        <f t="shared" si="20"/>
        <v>0</v>
      </c>
      <c r="G25" s="131">
        <f t="shared" si="20"/>
        <v>0</v>
      </c>
      <c r="H25" s="54">
        <f t="shared" si="1"/>
        <v>11</v>
      </c>
      <c r="I25" s="51">
        <f>IF(SUM($Z$325:$Z$339)&gt;0,AVERAGEIF($Z$325:$Z$339,"&lt;&gt;0"),0)</f>
        <v>0</v>
      </c>
      <c r="J25" s="51">
        <f>IF(SUM($AI$325:$AI$339)&gt;0,AVERAGEIF($AI$325:$AI$339,"&lt;&gt;0"),0)</f>
        <v>0</v>
      </c>
      <c r="K25" s="86"/>
      <c r="L25" s="86"/>
      <c r="M25" s="86"/>
      <c r="N25" s="132"/>
      <c r="O25" s="74"/>
      <c r="P25" s="136" t="s">
        <v>114</v>
      </c>
      <c r="Q25" s="86">
        <v>4</v>
      </c>
      <c r="R25" s="86">
        <v>5</v>
      </c>
      <c r="S25" s="92">
        <v>1</v>
      </c>
      <c r="T25" s="92">
        <v>1</v>
      </c>
      <c r="U25" s="137">
        <f t="shared" si="3"/>
        <v>11</v>
      </c>
      <c r="V25" s="142">
        <v>11</v>
      </c>
      <c r="W25" s="117"/>
      <c r="X25" s="117"/>
      <c r="Y25" s="117"/>
      <c r="Z25" s="117"/>
      <c r="AA25" s="117"/>
      <c r="AB25" s="117"/>
      <c r="AC25" s="117"/>
    </row>
    <row r="26" spans="1:29" ht="15" thickBot="1" x14ac:dyDescent="0.4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</row>
    <row r="27" spans="1:29" ht="21" x14ac:dyDescent="0.5">
      <c r="A27" s="117"/>
      <c r="B27" s="167" t="s">
        <v>141</v>
      </c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7"/>
      <c r="U27" s="220"/>
      <c r="V27" s="220"/>
      <c r="W27" s="220"/>
      <c r="X27" s="220"/>
      <c r="Y27" s="117"/>
      <c r="Z27" s="117"/>
      <c r="AA27" s="117"/>
    </row>
    <row r="28" spans="1:29" x14ac:dyDescent="0.35">
      <c r="A28" s="117"/>
      <c r="B28" s="88"/>
      <c r="C28" s="73"/>
      <c r="D28" s="73"/>
      <c r="E28" s="73"/>
      <c r="F28" s="73"/>
      <c r="G28" s="148"/>
      <c r="H28" s="178" t="s">
        <v>144</v>
      </c>
      <c r="I28" s="178"/>
      <c r="J28" s="178"/>
      <c r="K28" s="73"/>
      <c r="L28" s="73"/>
      <c r="M28" s="73"/>
      <c r="N28" s="73"/>
      <c r="O28" s="73"/>
      <c r="P28" s="73"/>
      <c r="Q28" s="73"/>
      <c r="R28" s="73"/>
      <c r="S28" s="179" t="s">
        <v>174</v>
      </c>
      <c r="T28" s="180"/>
      <c r="U28" s="73"/>
      <c r="V28" s="73"/>
      <c r="W28" s="73"/>
      <c r="X28" s="73"/>
      <c r="Y28" s="117"/>
      <c r="Z28" s="117"/>
      <c r="AA28" s="117"/>
    </row>
    <row r="29" spans="1:29" ht="29" customHeight="1" x14ac:dyDescent="0.35">
      <c r="A29" s="117"/>
      <c r="B29" s="181" t="s">
        <v>1</v>
      </c>
      <c r="C29" s="182"/>
      <c r="D29" s="73"/>
      <c r="E29" s="183" t="s">
        <v>133</v>
      </c>
      <c r="F29" s="183" t="s">
        <v>175</v>
      </c>
      <c r="G29" s="145"/>
      <c r="H29" s="25"/>
      <c r="I29" s="97" t="s">
        <v>146</v>
      </c>
      <c r="J29" s="97" t="s">
        <v>145</v>
      </c>
      <c r="K29" s="73"/>
      <c r="L29" s="183" t="s">
        <v>137</v>
      </c>
      <c r="M29" s="73"/>
      <c r="N29" s="183" t="s">
        <v>84</v>
      </c>
      <c r="O29" s="73"/>
      <c r="P29" s="186" t="s">
        <v>88</v>
      </c>
      <c r="Q29" s="183" t="s">
        <v>115</v>
      </c>
      <c r="R29" s="73"/>
      <c r="S29" s="80" t="s">
        <v>85</v>
      </c>
      <c r="T29" s="116">
        <v>16</v>
      </c>
      <c r="U29" s="117"/>
      <c r="V29" s="117"/>
      <c r="W29" s="117"/>
      <c r="X29" s="117"/>
      <c r="Y29" s="117"/>
      <c r="Z29" s="117"/>
      <c r="AA29" s="117"/>
    </row>
    <row r="30" spans="1:29" x14ac:dyDescent="0.35">
      <c r="A30" s="117"/>
      <c r="B30" s="98" t="s">
        <v>2</v>
      </c>
      <c r="C30" s="94">
        <v>0.55279999999999996</v>
      </c>
      <c r="D30" s="73"/>
      <c r="E30" s="184"/>
      <c r="F30" s="184"/>
      <c r="G30" s="146"/>
      <c r="H30" s="80" t="s">
        <v>2</v>
      </c>
      <c r="I30" s="95">
        <v>0.40386</v>
      </c>
      <c r="J30" s="80">
        <f>1/I30</f>
        <v>2.4761055811419799</v>
      </c>
      <c r="K30" s="73"/>
      <c r="L30" s="184"/>
      <c r="M30" s="73"/>
      <c r="N30" s="184"/>
      <c r="O30" s="73"/>
      <c r="P30" s="187"/>
      <c r="Q30" s="184"/>
      <c r="R30" s="73"/>
      <c r="S30" s="80" t="s">
        <v>39</v>
      </c>
      <c r="T30" s="116">
        <v>3</v>
      </c>
      <c r="U30" s="117"/>
      <c r="V30" s="117"/>
      <c r="W30" s="117"/>
      <c r="X30" s="117"/>
      <c r="Y30" s="117"/>
      <c r="Z30" s="117"/>
      <c r="AA30" s="117"/>
    </row>
    <row r="31" spans="1:29" x14ac:dyDescent="0.35">
      <c r="A31" s="117"/>
      <c r="B31" s="98" t="s">
        <v>3</v>
      </c>
      <c r="C31" s="94">
        <v>0.23730000000000001</v>
      </c>
      <c r="D31" s="73"/>
      <c r="E31" s="163">
        <v>18</v>
      </c>
      <c r="F31" s="165">
        <f>ROUNDUP(4.93,0)</f>
        <v>5</v>
      </c>
      <c r="G31" s="145"/>
      <c r="H31" s="80" t="s">
        <v>3</v>
      </c>
      <c r="I31" s="95">
        <v>1.7152540000000001</v>
      </c>
      <c r="J31" s="80">
        <f>1/I31</f>
        <v>0.58300403322190186</v>
      </c>
      <c r="K31" s="73"/>
      <c r="L31" s="184"/>
      <c r="M31" s="73"/>
      <c r="N31" s="184"/>
      <c r="O31" s="73"/>
      <c r="P31" s="187"/>
      <c r="Q31" s="184"/>
      <c r="R31" s="73"/>
      <c r="S31" s="80" t="s">
        <v>87</v>
      </c>
      <c r="T31" s="116">
        <v>10</v>
      </c>
      <c r="U31" s="117"/>
      <c r="V31" s="117"/>
      <c r="W31" s="117"/>
      <c r="X31" s="117"/>
      <c r="Y31" s="117"/>
      <c r="Z31" s="117"/>
      <c r="AA31" s="117"/>
    </row>
    <row r="32" spans="1:29" x14ac:dyDescent="0.35">
      <c r="A32" s="117"/>
      <c r="B32" s="98" t="s">
        <v>5</v>
      </c>
      <c r="C32" s="94">
        <v>0.1636</v>
      </c>
      <c r="D32" s="73"/>
      <c r="E32" s="163"/>
      <c r="F32" s="165"/>
      <c r="G32" s="146"/>
      <c r="H32" s="80" t="s">
        <v>5</v>
      </c>
      <c r="I32" s="95">
        <v>0.34260699999999999</v>
      </c>
      <c r="J32" s="80">
        <f>1/I32</f>
        <v>2.9187961717069411</v>
      </c>
      <c r="K32" s="73"/>
      <c r="L32" s="185"/>
      <c r="M32" s="73"/>
      <c r="N32" s="184"/>
      <c r="O32" s="73"/>
      <c r="P32" s="187"/>
      <c r="Q32" s="184"/>
      <c r="R32" s="73"/>
      <c r="S32" s="80" t="s">
        <v>86</v>
      </c>
      <c r="T32" s="116">
        <v>15</v>
      </c>
      <c r="U32" s="117"/>
      <c r="V32" s="117"/>
      <c r="W32" s="117"/>
      <c r="X32" s="117"/>
      <c r="Y32" s="117"/>
      <c r="Z32" s="117"/>
      <c r="AA32" s="117"/>
    </row>
    <row r="33" spans="1:35" ht="15" thickBot="1" x14ac:dyDescent="0.4">
      <c r="A33" s="117"/>
      <c r="B33" s="99" t="s">
        <v>4</v>
      </c>
      <c r="C33" s="100">
        <v>4.6300000000000001E-2</v>
      </c>
      <c r="D33" s="92"/>
      <c r="E33" s="164"/>
      <c r="F33" s="166"/>
      <c r="G33" s="147"/>
      <c r="H33" s="87" t="s">
        <v>4</v>
      </c>
      <c r="I33" s="101">
        <v>0.46287899999999998</v>
      </c>
      <c r="J33" s="87">
        <f>1/I33</f>
        <v>2.1603918086584182</v>
      </c>
      <c r="K33" s="92"/>
      <c r="L33" s="85">
        <v>0.85</v>
      </c>
      <c r="M33" s="92"/>
      <c r="N33" s="102">
        <f>ROUNDUP(4.05,0)</f>
        <v>5</v>
      </c>
      <c r="O33" s="92"/>
      <c r="P33" s="87">
        <v>8.3868649946370943E-2</v>
      </c>
      <c r="Q33" s="87">
        <f>1/P33</f>
        <v>11.923406429451781</v>
      </c>
      <c r="R33" s="92"/>
      <c r="S33" s="87" t="s">
        <v>126</v>
      </c>
      <c r="T33" s="55">
        <f>AVERAGE(T29:T32)</f>
        <v>11</v>
      </c>
      <c r="U33" s="117"/>
      <c r="V33" s="117"/>
      <c r="W33" s="117"/>
      <c r="X33" s="117"/>
      <c r="Y33" s="117"/>
      <c r="Z33" s="117"/>
      <c r="AA33" s="117"/>
    </row>
    <row r="34" spans="1:35" ht="15" thickBot="1" x14ac:dyDescent="0.4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</row>
    <row r="35" spans="1:35" ht="21" x14ac:dyDescent="0.5">
      <c r="A35" s="117"/>
      <c r="B35" s="167" t="s">
        <v>142</v>
      </c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9"/>
    </row>
    <row r="36" spans="1:35" x14ac:dyDescent="0.35">
      <c r="A36" s="117"/>
      <c r="B36" s="170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2"/>
    </row>
    <row r="37" spans="1:35" ht="14.5" customHeight="1" x14ac:dyDescent="0.35">
      <c r="A37" s="117"/>
      <c r="B37" s="56" t="s">
        <v>147</v>
      </c>
      <c r="C37" s="173" t="s">
        <v>135</v>
      </c>
      <c r="D37" s="174"/>
      <c r="E37" s="173" t="s">
        <v>136</v>
      </c>
      <c r="F37" s="175"/>
      <c r="G37" s="175"/>
      <c r="H37" s="174"/>
      <c r="I37" s="173" t="s">
        <v>91</v>
      </c>
      <c r="J37" s="175"/>
      <c r="K37" s="175"/>
      <c r="L37" s="174"/>
      <c r="M37" s="173" t="s">
        <v>92</v>
      </c>
      <c r="N37" s="175"/>
      <c r="O37" s="175"/>
      <c r="P37" s="175"/>
      <c r="Q37" s="174"/>
      <c r="R37" s="173" t="s">
        <v>93</v>
      </c>
      <c r="S37" s="175"/>
      <c r="T37" s="175"/>
      <c r="U37" s="174"/>
      <c r="V37" s="173" t="s">
        <v>95</v>
      </c>
      <c r="W37" s="175"/>
      <c r="X37" s="175"/>
      <c r="Y37" s="174"/>
      <c r="Z37" s="49" t="s">
        <v>202</v>
      </c>
      <c r="AA37" s="158" t="s">
        <v>116</v>
      </c>
      <c r="AB37" s="158"/>
      <c r="AC37" s="158"/>
      <c r="AD37" s="158"/>
      <c r="AE37" s="158"/>
      <c r="AF37" s="23" t="s">
        <v>117</v>
      </c>
      <c r="AG37" s="23" t="s">
        <v>118</v>
      </c>
      <c r="AH37" s="222" t="s">
        <v>125</v>
      </c>
      <c r="AI37" s="229" t="s">
        <v>205</v>
      </c>
    </row>
    <row r="38" spans="1:35" ht="43.5" x14ac:dyDescent="0.35">
      <c r="A38" s="1" t="s">
        <v>89</v>
      </c>
      <c r="B38" s="56" t="s">
        <v>90</v>
      </c>
      <c r="C38" s="50" t="s">
        <v>139</v>
      </c>
      <c r="D38" s="43" t="s">
        <v>134</v>
      </c>
      <c r="E38" s="24" t="s">
        <v>2</v>
      </c>
      <c r="F38" s="25" t="s">
        <v>6</v>
      </c>
      <c r="G38" s="25" t="s">
        <v>5</v>
      </c>
      <c r="H38" s="24" t="s">
        <v>4</v>
      </c>
      <c r="I38" s="24" t="s">
        <v>2</v>
      </c>
      <c r="J38" s="25" t="s">
        <v>6</v>
      </c>
      <c r="K38" s="25" t="s">
        <v>5</v>
      </c>
      <c r="L38" s="24" t="s">
        <v>4</v>
      </c>
      <c r="M38" s="24" t="s">
        <v>2</v>
      </c>
      <c r="N38" s="25" t="s">
        <v>6</v>
      </c>
      <c r="O38" s="25" t="s">
        <v>5</v>
      </c>
      <c r="P38" s="24" t="s">
        <v>4</v>
      </c>
      <c r="Q38" s="24" t="s">
        <v>94</v>
      </c>
      <c r="R38" s="24" t="s">
        <v>2</v>
      </c>
      <c r="S38" s="25" t="s">
        <v>6</v>
      </c>
      <c r="T38" s="25" t="s">
        <v>5</v>
      </c>
      <c r="U38" s="24" t="s">
        <v>4</v>
      </c>
      <c r="V38" s="24" t="s">
        <v>2</v>
      </c>
      <c r="W38" s="25" t="s">
        <v>6</v>
      </c>
      <c r="X38" s="25" t="s">
        <v>5</v>
      </c>
      <c r="Y38" s="24" t="s">
        <v>4</v>
      </c>
      <c r="Z38" s="24" t="s">
        <v>203</v>
      </c>
      <c r="AA38" s="24" t="s">
        <v>2</v>
      </c>
      <c r="AB38" s="25" t="s">
        <v>6</v>
      </c>
      <c r="AC38" s="25" t="s">
        <v>5</v>
      </c>
      <c r="AD38" s="24" t="s">
        <v>4</v>
      </c>
      <c r="AE38" s="31" t="s">
        <v>94</v>
      </c>
      <c r="AF38" s="31" t="s">
        <v>94</v>
      </c>
      <c r="AG38" s="31" t="s">
        <v>94</v>
      </c>
      <c r="AH38" s="223" t="s">
        <v>94</v>
      </c>
      <c r="AI38" s="57" t="s">
        <v>94</v>
      </c>
    </row>
    <row r="39" spans="1:35" x14ac:dyDescent="0.35">
      <c r="A39" s="45">
        <v>1300</v>
      </c>
      <c r="B39" s="58">
        <f>SUMIF([2]!Table2_23[ETA],'FIS Optimal Model'!A39,[2]!Table2_23[FIS PAX])</f>
        <v>0</v>
      </c>
      <c r="C39" s="44">
        <f>MIN($E$31,D39)</f>
        <v>0</v>
      </c>
      <c r="D39" s="52">
        <f>IF(B39=0,0,18)</f>
        <v>0</v>
      </c>
      <c r="E39" s="26">
        <f>$C$30*C39</f>
        <v>0</v>
      </c>
      <c r="F39" s="26">
        <f>$C$31*C39</f>
        <v>0</v>
      </c>
      <c r="G39" s="26">
        <f>$C$32*C39</f>
        <v>0</v>
      </c>
      <c r="H39" s="26">
        <f>$C$33*C39</f>
        <v>0</v>
      </c>
      <c r="I39" s="27">
        <v>0</v>
      </c>
      <c r="J39" s="27">
        <v>0</v>
      </c>
      <c r="K39" s="27">
        <v>0</v>
      </c>
      <c r="L39" s="27">
        <v>0</v>
      </c>
      <c r="M39" s="28">
        <f>Q6</f>
        <v>2</v>
      </c>
      <c r="N39" s="28">
        <f>R6</f>
        <v>2</v>
      </c>
      <c r="O39" s="28">
        <f>S6</f>
        <v>1</v>
      </c>
      <c r="P39" s="28">
        <f>T6</f>
        <v>1</v>
      </c>
      <c r="Q39" s="28">
        <f>SUM(M39:P39)</f>
        <v>6</v>
      </c>
      <c r="R39" s="22">
        <f>E39</f>
        <v>0</v>
      </c>
      <c r="S39" s="22">
        <f>F39</f>
        <v>0</v>
      </c>
      <c r="T39" s="22">
        <f>G39</f>
        <v>0</v>
      </c>
      <c r="U39" s="22">
        <f>H39</f>
        <v>0</v>
      </c>
      <c r="V39" s="21">
        <f>R39*$I$30</f>
        <v>0</v>
      </c>
      <c r="W39" s="21">
        <f>S39*$I$31</f>
        <v>0</v>
      </c>
      <c r="X39" s="21">
        <f>T39*$I$32</f>
        <v>0</v>
      </c>
      <c r="Y39" s="21">
        <f>U39*$I$33</f>
        <v>0</v>
      </c>
      <c r="Z39" s="221">
        <f>ROUNDUP(SUM(V39*$C$30,W39*$C$31,X39*$C$32,Y39*$C$33),0)</f>
        <v>0</v>
      </c>
      <c r="AA39" s="30">
        <f t="shared" ref="AA39:AA102" si="21">IF(R39&lt;&gt;0,($J$30*M39*$L$33),0)</f>
        <v>0</v>
      </c>
      <c r="AB39" s="30">
        <f t="shared" ref="AB39:AB102" si="22">IF(W39&lt;&gt;0,($J$31*N39*$L$33),0)</f>
        <v>0</v>
      </c>
      <c r="AC39" s="30">
        <f t="shared" ref="AC39:AC102" si="23">IF(X39&lt;&gt;0,($J$32*O39*$L$33),0)</f>
        <v>0</v>
      </c>
      <c r="AD39" s="30">
        <f t="shared" ref="AD39:AD102" si="24">IF(Y39&lt;&gt;0,($J$33*P39*$L$33),0)</f>
        <v>0</v>
      </c>
      <c r="AE39" s="32">
        <f>SUM(AA39:AD39)</f>
        <v>0</v>
      </c>
      <c r="AF39" s="33">
        <v>0</v>
      </c>
      <c r="AG39" s="40">
        <v>0</v>
      </c>
      <c r="AH39" s="224">
        <f>AG39*$P$33</f>
        <v>0</v>
      </c>
      <c r="AI39" s="227">
        <f>SUM(Z39,IF(Z39&lt;&gt;0,$F$31,0),IF(Z39&lt;&gt;0,$N$33,0),IF(Z39&lt;&gt;0,$T$33,0),IF(Z39=0,AH44,IF(Z39=1,AH45,IF(Z39=2,AH46,IF(Z39=3,AH47,IF(Z39=4,AH48,IF(Z39=5,AH49,IF(Z39=6,AH50,IF(Z39=7,AH51,IF(Z39=8,AH52,IF(Z39=9,AH53,IF(Z39=10,AH54,IF(Z39=11,AH55,IF(Z39=12,AH56,IF(Z39=13,AH57,IF(Z39=14,AH58,IF(Z39=15,AH59,IF(Z39=16,AH60,IF(Z39=17,AH61,IF(Z39=18,AH62,IF(Z39=19,AH63,IF(Z39=20,AH64,IF(Z39=21,AH65,IF(Z39=22,AH66,IF(Z39=23,AH67,IF(Z39=24,AH68,IF(Z39=25,AH69,IF(Z39=26,AH70,IF(Z39=27,AH71,IF(Z39=28,AH72,IF(Z39=29,AH73,IF(Z39=30,AH74))))))))))))))))))))))))))))))))</f>
        <v>0</v>
      </c>
    </row>
    <row r="40" spans="1:35" x14ac:dyDescent="0.35">
      <c r="A40" s="45">
        <v>1301</v>
      </c>
      <c r="B40" s="58">
        <f>SUMIF([2]!Table2_23[ETA],'FIS Optimal Model'!A40,[2]!Table2_23[FIS PAX])</f>
        <v>0</v>
      </c>
      <c r="C40" s="44">
        <f>IF((D39-D40)&gt;-1,(D39-D40),18)</f>
        <v>0</v>
      </c>
      <c r="D40" s="52">
        <v>0</v>
      </c>
      <c r="E40" s="26">
        <f t="shared" ref="E40:E103" si="25">$C$30*C40</f>
        <v>0</v>
      </c>
      <c r="F40" s="26">
        <f t="shared" ref="F40:F103" si="26">$C$31*C40</f>
        <v>0</v>
      </c>
      <c r="G40" s="26">
        <f t="shared" ref="G40:G103" si="27">$C$32*C40</f>
        <v>0</v>
      </c>
      <c r="H40" s="26">
        <f>$C$33*C40</f>
        <v>0</v>
      </c>
      <c r="I40" s="27">
        <v>0</v>
      </c>
      <c r="J40" s="27">
        <v>0</v>
      </c>
      <c r="K40" s="27">
        <v>0</v>
      </c>
      <c r="L40" s="27">
        <v>0</v>
      </c>
      <c r="M40" s="28">
        <f>IF(R39=0,0,$Q$6)</f>
        <v>0</v>
      </c>
      <c r="N40" s="29">
        <f>$U$6-M40-O40-P40</f>
        <v>6</v>
      </c>
      <c r="O40" s="28">
        <f>IF(T39=0,0,$S$6)</f>
        <v>0</v>
      </c>
      <c r="P40" s="28">
        <f>IF(U39=0,0,$T$6)</f>
        <v>0</v>
      </c>
      <c r="Q40" s="28">
        <f t="shared" ref="Q40:Q103" si="28">SUM(M40:P40)</f>
        <v>6</v>
      </c>
      <c r="R40" s="22">
        <f t="shared" ref="R40:R103" si="29">MAX(R39-($J$30*M40*$L$33)+I40,0)</f>
        <v>0</v>
      </c>
      <c r="S40" s="22">
        <f t="shared" ref="S40:S103" si="30">IF(U40&lt;&gt;0,(MAX(S39-($J$31*N40*$L$33)+J40,0)),(MAX(S39-($J$31*(N40+P40)*$L$33)+J40,0)))</f>
        <v>0</v>
      </c>
      <c r="T40" s="22">
        <f t="shared" ref="T40:T103" si="31">MAX(T39-($J$32*O40*$L$33)+K40,0)</f>
        <v>0</v>
      </c>
      <c r="U40" s="22">
        <f t="shared" ref="U40:U103" si="32">MAX(U39-($J$33*P40*$L$33)+L40,0)</f>
        <v>0</v>
      </c>
      <c r="V40" s="21">
        <f>IFERROR(R40*($I$30/M40),0)</f>
        <v>0</v>
      </c>
      <c r="W40" s="21">
        <f>S40*($I$31/N40)</f>
        <v>0</v>
      </c>
      <c r="X40" s="21">
        <f>IFERROR(T40*($I$32/O40),0)</f>
        <v>0</v>
      </c>
      <c r="Y40" s="21">
        <f>IFERROR(U40*($I$33/P40),0)</f>
        <v>0</v>
      </c>
      <c r="Z40" s="221">
        <f t="shared" ref="Z40:Z103" si="33">ROUNDUP(SUM(V40*$C$30,W40*$C$31,X40*$C$32,Y40*$C$33),0)</f>
        <v>0</v>
      </c>
      <c r="AA40" s="30">
        <f t="shared" si="21"/>
        <v>0</v>
      </c>
      <c r="AB40" s="30">
        <f t="shared" si="22"/>
        <v>0</v>
      </c>
      <c r="AC40" s="30">
        <f t="shared" si="23"/>
        <v>0</v>
      </c>
      <c r="AD40" s="30">
        <f t="shared" si="24"/>
        <v>0</v>
      </c>
      <c r="AE40" s="32">
        <f t="shared" ref="AE40:AE103" si="34">SUM(AA40:AD40)</f>
        <v>0</v>
      </c>
      <c r="AF40" s="33">
        <v>0</v>
      </c>
      <c r="AG40" s="40">
        <f t="shared" ref="AG40:AG103" si="35">MAX(AG39-$Q$33+AF40,0)</f>
        <v>0</v>
      </c>
      <c r="AH40" s="224">
        <f>AG40*$P$33</f>
        <v>0</v>
      </c>
      <c r="AI40" s="227">
        <f t="shared" ref="AI40:AI103" si="36">SUM(Z40,IF(Z40&lt;&gt;0,$F$31,0),IF(Z40&lt;&gt;0,$N$33,0),IF(Z40&lt;&gt;0,$T$33,0),IF(Z40=0,AH45,IF(Z40=1,AH46,IF(Z40=2,AH47,IF(Z40=3,AH48,IF(Z40=4,AH49,IF(Z40=5,AH50,IF(Z40=6,AH51,IF(Z40=7,AH52,IF(Z40=8,AH53,IF(Z40=9,AH54,IF(Z40=10,AH55,IF(Z40=11,AH56,IF(Z40=12,AH57,IF(Z40=13,AH58,IF(Z40=14,AH59,IF(Z40=15,AH60,IF(Z40=16,AH61,IF(Z40=17,AH62,IF(Z40=18,AH63,IF(Z40=19,AH64,IF(Z40=20,AH65,IF(Z40=21,AH66,IF(Z40=22,AH67,IF(Z40=23,AH68,IF(Z40=24,AH69,IF(Z40=25,AH70,IF(Z40=26,AH71,IF(Z40=27,AH72,IF(Z40=28,AH73,IF(Z40=29,AH74,IF(Z40=30,AH75))))))))))))))))))))))))))))))))</f>
        <v>0</v>
      </c>
    </row>
    <row r="41" spans="1:35" x14ac:dyDescent="0.35">
      <c r="A41" s="45">
        <v>1302</v>
      </c>
      <c r="B41" s="58">
        <f>SUMIF([2]!Table2_23[ETA],'FIS Optimal Model'!A41,[2]!Table2_23[FIS PAX])</f>
        <v>0</v>
      </c>
      <c r="C41" s="44">
        <f t="shared" ref="C41:C104" si="37">IF((D40-D41)&gt;-1,(D40-D41),18)</f>
        <v>0</v>
      </c>
      <c r="D41" s="52">
        <f>MAX(D40-$E$31+B40,0)</f>
        <v>0</v>
      </c>
      <c r="E41" s="26">
        <f t="shared" si="25"/>
        <v>0</v>
      </c>
      <c r="F41" s="26">
        <f t="shared" si="26"/>
        <v>0</v>
      </c>
      <c r="G41" s="26">
        <f t="shared" si="27"/>
        <v>0</v>
      </c>
      <c r="H41" s="26">
        <f t="shared" ref="H41:H104" si="38">$C$33*C41</f>
        <v>0</v>
      </c>
      <c r="I41" s="27">
        <v>0</v>
      </c>
      <c r="J41" s="27">
        <v>0</v>
      </c>
      <c r="K41" s="27">
        <v>0</v>
      </c>
      <c r="L41" s="27">
        <v>0</v>
      </c>
      <c r="M41" s="28">
        <f>$M$40</f>
        <v>0</v>
      </c>
      <c r="N41" s="29">
        <f>$N$40</f>
        <v>6</v>
      </c>
      <c r="O41" s="28">
        <f>$O$40</f>
        <v>0</v>
      </c>
      <c r="P41" s="28">
        <f>$P$40</f>
        <v>0</v>
      </c>
      <c r="Q41" s="28">
        <f t="shared" si="28"/>
        <v>6</v>
      </c>
      <c r="R41" s="22">
        <f t="shared" si="29"/>
        <v>0</v>
      </c>
      <c r="S41" s="22">
        <f t="shared" si="30"/>
        <v>0</v>
      </c>
      <c r="T41" s="22">
        <f t="shared" si="31"/>
        <v>0</v>
      </c>
      <c r="U41" s="22">
        <f t="shared" si="32"/>
        <v>0</v>
      </c>
      <c r="V41" s="21">
        <f t="shared" ref="V41:V104" si="39">IFERROR(R41*($I$30/M41),0)</f>
        <v>0</v>
      </c>
      <c r="W41" s="21">
        <f t="shared" ref="W41:W104" si="40">S41*($I$31/N41)</f>
        <v>0</v>
      </c>
      <c r="X41" s="21">
        <f t="shared" ref="X41:X104" si="41">IFERROR(T41*($I$32/O41),0)</f>
        <v>0</v>
      </c>
      <c r="Y41" s="21">
        <f t="shared" ref="Y41:Y104" si="42">IFERROR(U41*($I$33/P41),0)</f>
        <v>0</v>
      </c>
      <c r="Z41" s="221">
        <f t="shared" si="33"/>
        <v>0</v>
      </c>
      <c r="AA41" s="30">
        <f t="shared" si="21"/>
        <v>0</v>
      </c>
      <c r="AB41" s="30">
        <f t="shared" si="22"/>
        <v>0</v>
      </c>
      <c r="AC41" s="30">
        <f t="shared" si="23"/>
        <v>0</v>
      </c>
      <c r="AD41" s="30">
        <f t="shared" si="24"/>
        <v>0</v>
      </c>
      <c r="AE41" s="32">
        <f t="shared" si="34"/>
        <v>0</v>
      </c>
      <c r="AF41" s="33">
        <v>0</v>
      </c>
      <c r="AG41" s="40">
        <f t="shared" si="35"/>
        <v>0</v>
      </c>
      <c r="AH41" s="224">
        <f>AG41*$P$33</f>
        <v>0</v>
      </c>
      <c r="AI41" s="227">
        <f>SUM(Z41,IF(Z41&lt;&gt;0,$F$31,0),IF(Z41&lt;&gt;0,$N$33,0),IF(Z41&lt;&gt;0,$T$33,0),IF(Z41=0,AH46,IF(Z41=1,AH47,IF(Z41=2,AH48,IF(Z41=3,AH49,IF(Z41=4,AH50,IF(Z41=5,AH51,IF(Z41=6,AH52,IF(Z41=7,AH53,IF(Z41=8,AH54,IF(Z41=9,AH55,IF(Z41=10,AH56,IF(Z41=11,AH57,IF(Z41=12,AH58,IF(Z41=13,AH59,IF(Z41=14,AH60,IF(Z41=15,AH61,IF(Z41=16,AH62,IF(Z41=17,AH63,IF(Z41=18,AH64,IF(Z41=19,AH65,IF(Z41=20,AH66,IF(Z41=21,AH67,IF(Z41=22,AH68,IF(Z41=23,AH69,IF(Z41=24,AH70,IF(Z41=25,AH71,IF(Z41=26,AH72,IF(Z41=27,AH73,IF(Z41=28,AH74,IF(Z41=29,AH75,IF(Z41=30,AH76))))))))))))))))))))))))))))))))</f>
        <v>0</v>
      </c>
    </row>
    <row r="42" spans="1:35" x14ac:dyDescent="0.35">
      <c r="A42" s="45">
        <v>1303</v>
      </c>
      <c r="B42" s="58">
        <f>SUMIF([2]!Table2_23[ETA],'FIS Optimal Model'!A42,[2]!Table2_23[FIS PAX])</f>
        <v>0</v>
      </c>
      <c r="C42" s="44">
        <f t="shared" si="37"/>
        <v>0</v>
      </c>
      <c r="D42" s="52">
        <f t="shared" ref="D42:D105" si="43">MAX(D41-$E$31+B41,0)</f>
        <v>0</v>
      </c>
      <c r="E42" s="26">
        <f t="shared" si="25"/>
        <v>0</v>
      </c>
      <c r="F42" s="26">
        <f t="shared" si="26"/>
        <v>0</v>
      </c>
      <c r="G42" s="26">
        <f t="shared" si="27"/>
        <v>0</v>
      </c>
      <c r="H42" s="26">
        <f t="shared" si="38"/>
        <v>0</v>
      </c>
      <c r="I42" s="27">
        <v>0</v>
      </c>
      <c r="J42" s="27">
        <v>0</v>
      </c>
      <c r="K42" s="27">
        <v>0</v>
      </c>
      <c r="L42" s="27">
        <v>0</v>
      </c>
      <c r="M42" s="28">
        <f t="shared" ref="M42:M54" si="44">$M$40</f>
        <v>0</v>
      </c>
      <c r="N42" s="29">
        <f t="shared" ref="N42:N54" si="45">$N$40</f>
        <v>6</v>
      </c>
      <c r="O42" s="28">
        <f t="shared" ref="O42:O54" si="46">$O$40</f>
        <v>0</v>
      </c>
      <c r="P42" s="28">
        <f t="shared" ref="P42:P54" si="47">$P$40</f>
        <v>0</v>
      </c>
      <c r="Q42" s="28">
        <f t="shared" si="28"/>
        <v>6</v>
      </c>
      <c r="R42" s="22">
        <f t="shared" si="29"/>
        <v>0</v>
      </c>
      <c r="S42" s="22">
        <f t="shared" si="30"/>
        <v>0</v>
      </c>
      <c r="T42" s="22">
        <f t="shared" si="31"/>
        <v>0</v>
      </c>
      <c r="U42" s="22">
        <f t="shared" si="32"/>
        <v>0</v>
      </c>
      <c r="V42" s="21">
        <f t="shared" si="39"/>
        <v>0</v>
      </c>
      <c r="W42" s="21">
        <f t="shared" si="40"/>
        <v>0</v>
      </c>
      <c r="X42" s="21">
        <f t="shared" si="41"/>
        <v>0</v>
      </c>
      <c r="Y42" s="21">
        <f t="shared" si="42"/>
        <v>0</v>
      </c>
      <c r="Z42" s="221">
        <f t="shared" si="33"/>
        <v>0</v>
      </c>
      <c r="AA42" s="30">
        <f t="shared" si="21"/>
        <v>0</v>
      </c>
      <c r="AB42" s="30">
        <f t="shared" si="22"/>
        <v>0</v>
      </c>
      <c r="AC42" s="30">
        <f t="shared" si="23"/>
        <v>0</v>
      </c>
      <c r="AD42" s="30">
        <f t="shared" si="24"/>
        <v>0</v>
      </c>
      <c r="AE42" s="32">
        <f t="shared" si="34"/>
        <v>0</v>
      </c>
      <c r="AF42" s="33">
        <v>0</v>
      </c>
      <c r="AG42" s="40">
        <f t="shared" si="35"/>
        <v>0</v>
      </c>
      <c r="AH42" s="224">
        <f>AG42*$P$33</f>
        <v>0</v>
      </c>
      <c r="AI42" s="227">
        <f t="shared" si="36"/>
        <v>0</v>
      </c>
    </row>
    <row r="43" spans="1:35" x14ac:dyDescent="0.35">
      <c r="A43" s="45">
        <v>1304</v>
      </c>
      <c r="B43" s="58">
        <f>SUMIF([2]!Table2_23[ETA],'FIS Optimal Model'!A43,[2]!Table2_23[FIS PAX])</f>
        <v>0</v>
      </c>
      <c r="C43" s="44">
        <f>IF((D42-D43)&gt;-1,(D42-D43),18)</f>
        <v>0</v>
      </c>
      <c r="D43" s="52">
        <f t="shared" si="43"/>
        <v>0</v>
      </c>
      <c r="E43" s="26">
        <f t="shared" si="25"/>
        <v>0</v>
      </c>
      <c r="F43" s="26">
        <f t="shared" si="26"/>
        <v>0</v>
      </c>
      <c r="G43" s="26">
        <f t="shared" si="27"/>
        <v>0</v>
      </c>
      <c r="H43" s="26">
        <f t="shared" si="38"/>
        <v>0</v>
      </c>
      <c r="I43" s="27">
        <v>0</v>
      </c>
      <c r="J43" s="27">
        <v>0</v>
      </c>
      <c r="K43" s="27">
        <v>0</v>
      </c>
      <c r="L43" s="27">
        <v>0</v>
      </c>
      <c r="M43" s="28">
        <f t="shared" si="44"/>
        <v>0</v>
      </c>
      <c r="N43" s="29">
        <f t="shared" si="45"/>
        <v>6</v>
      </c>
      <c r="O43" s="28">
        <f t="shared" si="46"/>
        <v>0</v>
      </c>
      <c r="P43" s="28">
        <f t="shared" si="47"/>
        <v>0</v>
      </c>
      <c r="Q43" s="28">
        <f t="shared" si="28"/>
        <v>6</v>
      </c>
      <c r="R43" s="22">
        <f t="shared" si="29"/>
        <v>0</v>
      </c>
      <c r="S43" s="22">
        <f t="shared" si="30"/>
        <v>0</v>
      </c>
      <c r="T43" s="22">
        <f t="shared" si="31"/>
        <v>0</v>
      </c>
      <c r="U43" s="22">
        <f t="shared" si="32"/>
        <v>0</v>
      </c>
      <c r="V43" s="21">
        <f t="shared" si="39"/>
        <v>0</v>
      </c>
      <c r="W43" s="21">
        <f t="shared" si="40"/>
        <v>0</v>
      </c>
      <c r="X43" s="21">
        <f t="shared" si="41"/>
        <v>0</v>
      </c>
      <c r="Y43" s="21">
        <f t="shared" si="42"/>
        <v>0</v>
      </c>
      <c r="Z43" s="221">
        <f t="shared" si="33"/>
        <v>0</v>
      </c>
      <c r="AA43" s="30">
        <f t="shared" si="21"/>
        <v>0</v>
      </c>
      <c r="AB43" s="30">
        <f t="shared" si="22"/>
        <v>0</v>
      </c>
      <c r="AC43" s="30">
        <f t="shared" si="23"/>
        <v>0</v>
      </c>
      <c r="AD43" s="30">
        <f t="shared" si="24"/>
        <v>0</v>
      </c>
      <c r="AE43" s="32">
        <f t="shared" si="34"/>
        <v>0</v>
      </c>
      <c r="AF43" s="33">
        <f>AE39</f>
        <v>0</v>
      </c>
      <c r="AG43" s="40">
        <f t="shared" si="35"/>
        <v>0</v>
      </c>
      <c r="AH43" s="224">
        <f>AG43*$P$33</f>
        <v>0</v>
      </c>
      <c r="AI43" s="227">
        <f t="shared" si="36"/>
        <v>0</v>
      </c>
    </row>
    <row r="44" spans="1:35" x14ac:dyDescent="0.35">
      <c r="A44" s="45">
        <v>1305</v>
      </c>
      <c r="B44" s="58">
        <f>SUMIF([2]!Table2_23[ETA],'FIS Optimal Model'!A44,[2]!Table2_23[FIS PAX])</f>
        <v>0</v>
      </c>
      <c r="C44" s="44">
        <f t="shared" si="37"/>
        <v>0</v>
      </c>
      <c r="D44" s="52">
        <f t="shared" si="43"/>
        <v>0</v>
      </c>
      <c r="E44" s="26">
        <f t="shared" si="25"/>
        <v>0</v>
      </c>
      <c r="F44" s="26">
        <f t="shared" si="26"/>
        <v>0</v>
      </c>
      <c r="G44" s="26">
        <f t="shared" si="27"/>
        <v>0</v>
      </c>
      <c r="H44" s="26">
        <f t="shared" si="38"/>
        <v>0</v>
      </c>
      <c r="I44" s="27">
        <f>E39</f>
        <v>0</v>
      </c>
      <c r="J44" s="27">
        <f t="shared" ref="J44:L59" si="48">F39</f>
        <v>0</v>
      </c>
      <c r="K44" s="27">
        <f t="shared" si="48"/>
        <v>0</v>
      </c>
      <c r="L44" s="27">
        <f t="shared" si="48"/>
        <v>0</v>
      </c>
      <c r="M44" s="28">
        <f t="shared" si="44"/>
        <v>0</v>
      </c>
      <c r="N44" s="29">
        <f t="shared" si="45"/>
        <v>6</v>
      </c>
      <c r="O44" s="28">
        <f t="shared" si="46"/>
        <v>0</v>
      </c>
      <c r="P44" s="28">
        <f t="shared" si="47"/>
        <v>0</v>
      </c>
      <c r="Q44" s="28">
        <f t="shared" si="28"/>
        <v>6</v>
      </c>
      <c r="R44" s="22">
        <f t="shared" si="29"/>
        <v>0</v>
      </c>
      <c r="S44" s="22">
        <f t="shared" si="30"/>
        <v>0</v>
      </c>
      <c r="T44" s="22">
        <f t="shared" si="31"/>
        <v>0</v>
      </c>
      <c r="U44" s="22">
        <f t="shared" si="32"/>
        <v>0</v>
      </c>
      <c r="V44" s="21">
        <f t="shared" si="39"/>
        <v>0</v>
      </c>
      <c r="W44" s="21">
        <f t="shared" si="40"/>
        <v>0</v>
      </c>
      <c r="X44" s="21">
        <f t="shared" si="41"/>
        <v>0</v>
      </c>
      <c r="Y44" s="21">
        <f t="shared" si="42"/>
        <v>0</v>
      </c>
      <c r="Z44" s="221">
        <f t="shared" si="33"/>
        <v>0</v>
      </c>
      <c r="AA44" s="30">
        <f t="shared" si="21"/>
        <v>0</v>
      </c>
      <c r="AB44" s="30">
        <f t="shared" si="22"/>
        <v>0</v>
      </c>
      <c r="AC44" s="30">
        <f t="shared" si="23"/>
        <v>0</v>
      </c>
      <c r="AD44" s="30">
        <f t="shared" si="24"/>
        <v>0</v>
      </c>
      <c r="AE44" s="32">
        <f t="shared" si="34"/>
        <v>0</v>
      </c>
      <c r="AF44" s="33">
        <f t="shared" ref="AF44:AF107" si="49">AE40</f>
        <v>0</v>
      </c>
      <c r="AG44" s="40">
        <f t="shared" si="35"/>
        <v>0</v>
      </c>
      <c r="AH44" s="224">
        <f>AG44*$P$33</f>
        <v>0</v>
      </c>
      <c r="AI44" s="227">
        <f t="shared" si="36"/>
        <v>0</v>
      </c>
    </row>
    <row r="45" spans="1:35" x14ac:dyDescent="0.35">
      <c r="A45" s="45">
        <v>1306</v>
      </c>
      <c r="B45" s="58">
        <f>SUMIF([2]!Table2_23[ETA],'FIS Optimal Model'!A45,[2]!Table2_23[FIS PAX])</f>
        <v>0</v>
      </c>
      <c r="C45" s="44">
        <f t="shared" si="37"/>
        <v>0</v>
      </c>
      <c r="D45" s="52">
        <f>MAX(D44-$E$31+B44,0)</f>
        <v>0</v>
      </c>
      <c r="E45" s="26">
        <f t="shared" si="25"/>
        <v>0</v>
      </c>
      <c r="F45" s="26">
        <f>$C$31*C45</f>
        <v>0</v>
      </c>
      <c r="G45" s="26">
        <f t="shared" si="27"/>
        <v>0</v>
      </c>
      <c r="H45" s="26">
        <f t="shared" si="38"/>
        <v>0</v>
      </c>
      <c r="I45" s="27">
        <f t="shared" ref="I45:L108" si="50">E40</f>
        <v>0</v>
      </c>
      <c r="J45" s="27">
        <f t="shared" si="48"/>
        <v>0</v>
      </c>
      <c r="K45" s="27">
        <f t="shared" si="48"/>
        <v>0</v>
      </c>
      <c r="L45" s="27">
        <f>H40</f>
        <v>0</v>
      </c>
      <c r="M45" s="28">
        <f t="shared" si="44"/>
        <v>0</v>
      </c>
      <c r="N45" s="29">
        <f t="shared" si="45"/>
        <v>6</v>
      </c>
      <c r="O45" s="28">
        <f t="shared" si="46"/>
        <v>0</v>
      </c>
      <c r="P45" s="28">
        <f t="shared" si="47"/>
        <v>0</v>
      </c>
      <c r="Q45" s="28">
        <f t="shared" si="28"/>
        <v>6</v>
      </c>
      <c r="R45" s="22">
        <f t="shared" si="29"/>
        <v>0</v>
      </c>
      <c r="S45" s="22">
        <f t="shared" si="30"/>
        <v>0</v>
      </c>
      <c r="T45" s="22">
        <f t="shared" si="31"/>
        <v>0</v>
      </c>
      <c r="U45" s="22">
        <f t="shared" si="32"/>
        <v>0</v>
      </c>
      <c r="V45" s="21">
        <f t="shared" si="39"/>
        <v>0</v>
      </c>
      <c r="W45" s="21">
        <f t="shared" si="40"/>
        <v>0</v>
      </c>
      <c r="X45" s="21">
        <f t="shared" si="41"/>
        <v>0</v>
      </c>
      <c r="Y45" s="21">
        <f t="shared" si="42"/>
        <v>0</v>
      </c>
      <c r="Z45" s="221">
        <f t="shared" si="33"/>
        <v>0</v>
      </c>
      <c r="AA45" s="30">
        <f t="shared" si="21"/>
        <v>0</v>
      </c>
      <c r="AB45" s="30">
        <f t="shared" si="22"/>
        <v>0</v>
      </c>
      <c r="AC45" s="30">
        <f t="shared" si="23"/>
        <v>0</v>
      </c>
      <c r="AD45" s="30">
        <f t="shared" si="24"/>
        <v>0</v>
      </c>
      <c r="AE45" s="32">
        <f t="shared" si="34"/>
        <v>0</v>
      </c>
      <c r="AF45" s="33">
        <f t="shared" si="49"/>
        <v>0</v>
      </c>
      <c r="AG45" s="40">
        <f t="shared" si="35"/>
        <v>0</v>
      </c>
      <c r="AH45" s="224">
        <f>AG45*$P$33</f>
        <v>0</v>
      </c>
      <c r="AI45" s="227">
        <f t="shared" si="36"/>
        <v>0</v>
      </c>
    </row>
    <row r="46" spans="1:35" x14ac:dyDescent="0.35">
      <c r="A46" s="45">
        <v>1307</v>
      </c>
      <c r="B46" s="58">
        <f>SUMIF([2]!Table2_23[ETA],'FIS Optimal Model'!A46,[2]!Table2_23[FIS PAX])</f>
        <v>0</v>
      </c>
      <c r="C46" s="44">
        <f t="shared" si="37"/>
        <v>0</v>
      </c>
      <c r="D46" s="52">
        <f t="shared" si="43"/>
        <v>0</v>
      </c>
      <c r="E46" s="26">
        <f t="shared" si="25"/>
        <v>0</v>
      </c>
      <c r="F46" s="26">
        <f t="shared" si="26"/>
        <v>0</v>
      </c>
      <c r="G46" s="26">
        <f t="shared" si="27"/>
        <v>0</v>
      </c>
      <c r="H46" s="26">
        <f t="shared" si="38"/>
        <v>0</v>
      </c>
      <c r="I46" s="27">
        <f t="shared" si="50"/>
        <v>0</v>
      </c>
      <c r="J46" s="27">
        <f t="shared" si="48"/>
        <v>0</v>
      </c>
      <c r="K46" s="27">
        <f t="shared" si="48"/>
        <v>0</v>
      </c>
      <c r="L46" s="27">
        <f>H41</f>
        <v>0</v>
      </c>
      <c r="M46" s="28">
        <f t="shared" si="44"/>
        <v>0</v>
      </c>
      <c r="N46" s="29">
        <f t="shared" si="45"/>
        <v>6</v>
      </c>
      <c r="O46" s="28">
        <f t="shared" si="46"/>
        <v>0</v>
      </c>
      <c r="P46" s="28">
        <f t="shared" si="47"/>
        <v>0</v>
      </c>
      <c r="Q46" s="28">
        <f t="shared" si="28"/>
        <v>6</v>
      </c>
      <c r="R46" s="22">
        <f t="shared" si="29"/>
        <v>0</v>
      </c>
      <c r="S46" s="22">
        <f t="shared" si="30"/>
        <v>0</v>
      </c>
      <c r="T46" s="22">
        <f t="shared" si="31"/>
        <v>0</v>
      </c>
      <c r="U46" s="22">
        <f t="shared" si="32"/>
        <v>0</v>
      </c>
      <c r="V46" s="21">
        <f t="shared" si="39"/>
        <v>0</v>
      </c>
      <c r="W46" s="21">
        <f t="shared" si="40"/>
        <v>0</v>
      </c>
      <c r="X46" s="21">
        <f t="shared" si="41"/>
        <v>0</v>
      </c>
      <c r="Y46" s="21">
        <f t="shared" si="42"/>
        <v>0</v>
      </c>
      <c r="Z46" s="221">
        <f t="shared" si="33"/>
        <v>0</v>
      </c>
      <c r="AA46" s="30">
        <f t="shared" si="21"/>
        <v>0</v>
      </c>
      <c r="AB46" s="30">
        <f t="shared" si="22"/>
        <v>0</v>
      </c>
      <c r="AC46" s="30">
        <f t="shared" si="23"/>
        <v>0</v>
      </c>
      <c r="AD46" s="30">
        <f t="shared" si="24"/>
        <v>0</v>
      </c>
      <c r="AE46" s="32">
        <f t="shared" si="34"/>
        <v>0</v>
      </c>
      <c r="AF46" s="33">
        <f t="shared" si="49"/>
        <v>0</v>
      </c>
      <c r="AG46" s="40">
        <f t="shared" si="35"/>
        <v>0</v>
      </c>
      <c r="AH46" s="224">
        <f>AG46*$P$33</f>
        <v>0</v>
      </c>
      <c r="AI46" s="227">
        <f t="shared" si="36"/>
        <v>0</v>
      </c>
    </row>
    <row r="47" spans="1:35" x14ac:dyDescent="0.35">
      <c r="A47" s="45">
        <v>1308</v>
      </c>
      <c r="B47" s="58">
        <f>SUMIF([2]!Table2_23[ETA],'FIS Optimal Model'!A47,[2]!Table2_23[FIS PAX])</f>
        <v>0</v>
      </c>
      <c r="C47" s="44">
        <f t="shared" si="37"/>
        <v>0</v>
      </c>
      <c r="D47" s="52">
        <f t="shared" si="43"/>
        <v>0</v>
      </c>
      <c r="E47" s="26">
        <f t="shared" si="25"/>
        <v>0</v>
      </c>
      <c r="F47" s="26">
        <f t="shared" si="26"/>
        <v>0</v>
      </c>
      <c r="G47" s="26">
        <f t="shared" si="27"/>
        <v>0</v>
      </c>
      <c r="H47" s="26">
        <f t="shared" si="38"/>
        <v>0</v>
      </c>
      <c r="I47" s="27">
        <f t="shared" si="50"/>
        <v>0</v>
      </c>
      <c r="J47" s="27">
        <f t="shared" si="48"/>
        <v>0</v>
      </c>
      <c r="K47" s="27">
        <f t="shared" si="48"/>
        <v>0</v>
      </c>
      <c r="L47" s="27">
        <f>H42</f>
        <v>0</v>
      </c>
      <c r="M47" s="28">
        <f t="shared" si="44"/>
        <v>0</v>
      </c>
      <c r="N47" s="29">
        <f t="shared" si="45"/>
        <v>6</v>
      </c>
      <c r="O47" s="28">
        <f t="shared" si="46"/>
        <v>0</v>
      </c>
      <c r="P47" s="28">
        <f t="shared" si="47"/>
        <v>0</v>
      </c>
      <c r="Q47" s="28">
        <f t="shared" si="28"/>
        <v>6</v>
      </c>
      <c r="R47" s="22">
        <f t="shared" si="29"/>
        <v>0</v>
      </c>
      <c r="S47" s="22">
        <f t="shared" si="30"/>
        <v>0</v>
      </c>
      <c r="T47" s="22">
        <f t="shared" si="31"/>
        <v>0</v>
      </c>
      <c r="U47" s="22">
        <f t="shared" si="32"/>
        <v>0</v>
      </c>
      <c r="V47" s="21">
        <f t="shared" si="39"/>
        <v>0</v>
      </c>
      <c r="W47" s="21">
        <f t="shared" si="40"/>
        <v>0</v>
      </c>
      <c r="X47" s="21">
        <f t="shared" si="41"/>
        <v>0</v>
      </c>
      <c r="Y47" s="21">
        <f t="shared" si="42"/>
        <v>0</v>
      </c>
      <c r="Z47" s="221">
        <f t="shared" si="33"/>
        <v>0</v>
      </c>
      <c r="AA47" s="30">
        <f t="shared" si="21"/>
        <v>0</v>
      </c>
      <c r="AB47" s="30">
        <f t="shared" si="22"/>
        <v>0</v>
      </c>
      <c r="AC47" s="30">
        <f t="shared" si="23"/>
        <v>0</v>
      </c>
      <c r="AD47" s="30">
        <f t="shared" si="24"/>
        <v>0</v>
      </c>
      <c r="AE47" s="32">
        <f t="shared" si="34"/>
        <v>0</v>
      </c>
      <c r="AF47" s="33">
        <f t="shared" si="49"/>
        <v>0</v>
      </c>
      <c r="AG47" s="40">
        <f t="shared" si="35"/>
        <v>0</v>
      </c>
      <c r="AH47" s="224">
        <f>AG47*$P$33</f>
        <v>0</v>
      </c>
      <c r="AI47" s="227">
        <f t="shared" si="36"/>
        <v>0</v>
      </c>
    </row>
    <row r="48" spans="1:35" x14ac:dyDescent="0.35">
      <c r="A48" s="45">
        <v>1309</v>
      </c>
      <c r="B48" s="58">
        <f>SUMIF([2]!Table2_23[ETA],'FIS Optimal Model'!A48,[2]!Table2_23[FIS PAX])</f>
        <v>0</v>
      </c>
      <c r="C48" s="44">
        <f t="shared" si="37"/>
        <v>0</v>
      </c>
      <c r="D48" s="52">
        <f t="shared" si="43"/>
        <v>0</v>
      </c>
      <c r="E48" s="26">
        <f t="shared" si="25"/>
        <v>0</v>
      </c>
      <c r="F48" s="26">
        <f t="shared" si="26"/>
        <v>0</v>
      </c>
      <c r="G48" s="26">
        <f t="shared" si="27"/>
        <v>0</v>
      </c>
      <c r="H48" s="26">
        <f t="shared" si="38"/>
        <v>0</v>
      </c>
      <c r="I48" s="27">
        <f t="shared" si="50"/>
        <v>0</v>
      </c>
      <c r="J48" s="27">
        <f t="shared" si="48"/>
        <v>0</v>
      </c>
      <c r="K48" s="27">
        <f t="shared" si="48"/>
        <v>0</v>
      </c>
      <c r="L48" s="27">
        <f t="shared" si="48"/>
        <v>0</v>
      </c>
      <c r="M48" s="28">
        <f t="shared" si="44"/>
        <v>0</v>
      </c>
      <c r="N48" s="29">
        <f t="shared" si="45"/>
        <v>6</v>
      </c>
      <c r="O48" s="28">
        <f t="shared" si="46"/>
        <v>0</v>
      </c>
      <c r="P48" s="28">
        <f t="shared" si="47"/>
        <v>0</v>
      </c>
      <c r="Q48" s="28">
        <f t="shared" si="28"/>
        <v>6</v>
      </c>
      <c r="R48" s="22">
        <f t="shared" si="29"/>
        <v>0</v>
      </c>
      <c r="S48" s="22">
        <f t="shared" si="30"/>
        <v>0</v>
      </c>
      <c r="T48" s="22">
        <f t="shared" si="31"/>
        <v>0</v>
      </c>
      <c r="U48" s="22">
        <f t="shared" si="32"/>
        <v>0</v>
      </c>
      <c r="V48" s="21">
        <f t="shared" si="39"/>
        <v>0</v>
      </c>
      <c r="W48" s="21">
        <f t="shared" si="40"/>
        <v>0</v>
      </c>
      <c r="X48" s="21">
        <f t="shared" si="41"/>
        <v>0</v>
      </c>
      <c r="Y48" s="21">
        <f t="shared" si="42"/>
        <v>0</v>
      </c>
      <c r="Z48" s="221">
        <f t="shared" si="33"/>
        <v>0</v>
      </c>
      <c r="AA48" s="30">
        <f t="shared" si="21"/>
        <v>0</v>
      </c>
      <c r="AB48" s="30">
        <f t="shared" si="22"/>
        <v>0</v>
      </c>
      <c r="AC48" s="30">
        <f t="shared" si="23"/>
        <v>0</v>
      </c>
      <c r="AD48" s="30">
        <f t="shared" si="24"/>
        <v>0</v>
      </c>
      <c r="AE48" s="32">
        <f t="shared" si="34"/>
        <v>0</v>
      </c>
      <c r="AF48" s="33">
        <f t="shared" si="49"/>
        <v>0</v>
      </c>
      <c r="AG48" s="40">
        <f t="shared" si="35"/>
        <v>0</v>
      </c>
      <c r="AH48" s="224">
        <f>AG48*$P$33</f>
        <v>0</v>
      </c>
      <c r="AI48" s="227">
        <f t="shared" si="36"/>
        <v>0</v>
      </c>
    </row>
    <row r="49" spans="1:35" x14ac:dyDescent="0.35">
      <c r="A49" s="45">
        <v>1310</v>
      </c>
      <c r="B49" s="58">
        <f>SUMIF([2]!Table2_23[ETA],'FIS Optimal Model'!A49,[2]!Table2_23[FIS PAX])</f>
        <v>0</v>
      </c>
      <c r="C49" s="44">
        <f t="shared" si="37"/>
        <v>0</v>
      </c>
      <c r="D49" s="52">
        <f t="shared" si="43"/>
        <v>0</v>
      </c>
      <c r="E49" s="26">
        <f t="shared" si="25"/>
        <v>0</v>
      </c>
      <c r="F49" s="26">
        <f t="shared" si="26"/>
        <v>0</v>
      </c>
      <c r="G49" s="26">
        <f t="shared" si="27"/>
        <v>0</v>
      </c>
      <c r="H49" s="26">
        <f t="shared" si="38"/>
        <v>0</v>
      </c>
      <c r="I49" s="27">
        <f t="shared" si="50"/>
        <v>0</v>
      </c>
      <c r="J49" s="27">
        <f t="shared" si="48"/>
        <v>0</v>
      </c>
      <c r="K49" s="27">
        <f t="shared" si="48"/>
        <v>0</v>
      </c>
      <c r="L49" s="27">
        <f t="shared" si="48"/>
        <v>0</v>
      </c>
      <c r="M49" s="28">
        <f t="shared" si="44"/>
        <v>0</v>
      </c>
      <c r="N49" s="29">
        <f t="shared" si="45"/>
        <v>6</v>
      </c>
      <c r="O49" s="28">
        <f t="shared" si="46"/>
        <v>0</v>
      </c>
      <c r="P49" s="28">
        <f t="shared" si="47"/>
        <v>0</v>
      </c>
      <c r="Q49" s="28">
        <f t="shared" si="28"/>
        <v>6</v>
      </c>
      <c r="R49" s="22">
        <f t="shared" si="29"/>
        <v>0</v>
      </c>
      <c r="S49" s="22">
        <f t="shared" si="30"/>
        <v>0</v>
      </c>
      <c r="T49" s="22">
        <f t="shared" si="31"/>
        <v>0</v>
      </c>
      <c r="U49" s="22">
        <f t="shared" si="32"/>
        <v>0</v>
      </c>
      <c r="V49" s="21">
        <f t="shared" si="39"/>
        <v>0</v>
      </c>
      <c r="W49" s="21">
        <f t="shared" si="40"/>
        <v>0</v>
      </c>
      <c r="X49" s="21">
        <f t="shared" si="41"/>
        <v>0</v>
      </c>
      <c r="Y49" s="21">
        <f t="shared" si="42"/>
        <v>0</v>
      </c>
      <c r="Z49" s="221">
        <f t="shared" si="33"/>
        <v>0</v>
      </c>
      <c r="AA49" s="30">
        <f t="shared" si="21"/>
        <v>0</v>
      </c>
      <c r="AB49" s="30">
        <f t="shared" si="22"/>
        <v>0</v>
      </c>
      <c r="AC49" s="30">
        <f t="shared" si="23"/>
        <v>0</v>
      </c>
      <c r="AD49" s="30">
        <f t="shared" si="24"/>
        <v>0</v>
      </c>
      <c r="AE49" s="32">
        <f t="shared" si="34"/>
        <v>0</v>
      </c>
      <c r="AF49" s="33">
        <f t="shared" si="49"/>
        <v>0</v>
      </c>
      <c r="AG49" s="40">
        <f t="shared" si="35"/>
        <v>0</v>
      </c>
      <c r="AH49" s="224">
        <f>AG49*$P$33</f>
        <v>0</v>
      </c>
      <c r="AI49" s="227">
        <f t="shared" si="36"/>
        <v>0</v>
      </c>
    </row>
    <row r="50" spans="1:35" x14ac:dyDescent="0.35">
      <c r="A50" s="45">
        <v>1311</v>
      </c>
      <c r="B50" s="58">
        <f>SUMIF([2]!Table2_23[ETA],'FIS Optimal Model'!A50,[2]!Table2_23[FIS PAX])</f>
        <v>0</v>
      </c>
      <c r="C50" s="44">
        <f t="shared" si="37"/>
        <v>0</v>
      </c>
      <c r="D50" s="52">
        <f t="shared" si="43"/>
        <v>0</v>
      </c>
      <c r="E50" s="26">
        <f t="shared" si="25"/>
        <v>0</v>
      </c>
      <c r="F50" s="26">
        <f t="shared" si="26"/>
        <v>0</v>
      </c>
      <c r="G50" s="26">
        <f t="shared" si="27"/>
        <v>0</v>
      </c>
      <c r="H50" s="26">
        <f t="shared" si="38"/>
        <v>0</v>
      </c>
      <c r="I50" s="27">
        <f t="shared" si="50"/>
        <v>0</v>
      </c>
      <c r="J50" s="27">
        <f t="shared" si="48"/>
        <v>0</v>
      </c>
      <c r="K50" s="27">
        <f t="shared" si="48"/>
        <v>0</v>
      </c>
      <c r="L50" s="27">
        <f t="shared" si="48"/>
        <v>0</v>
      </c>
      <c r="M50" s="28">
        <f t="shared" si="44"/>
        <v>0</v>
      </c>
      <c r="N50" s="29">
        <f t="shared" si="45"/>
        <v>6</v>
      </c>
      <c r="O50" s="28">
        <f t="shared" si="46"/>
        <v>0</v>
      </c>
      <c r="P50" s="28">
        <f t="shared" si="47"/>
        <v>0</v>
      </c>
      <c r="Q50" s="28">
        <f t="shared" si="28"/>
        <v>6</v>
      </c>
      <c r="R50" s="22">
        <f t="shared" si="29"/>
        <v>0</v>
      </c>
      <c r="S50" s="22">
        <f t="shared" si="30"/>
        <v>0</v>
      </c>
      <c r="T50" s="22">
        <f t="shared" si="31"/>
        <v>0</v>
      </c>
      <c r="U50" s="22">
        <f t="shared" si="32"/>
        <v>0</v>
      </c>
      <c r="V50" s="21">
        <f t="shared" si="39"/>
        <v>0</v>
      </c>
      <c r="W50" s="21">
        <f t="shared" si="40"/>
        <v>0</v>
      </c>
      <c r="X50" s="21">
        <f t="shared" si="41"/>
        <v>0</v>
      </c>
      <c r="Y50" s="21">
        <f t="shared" si="42"/>
        <v>0</v>
      </c>
      <c r="Z50" s="221">
        <f t="shared" si="33"/>
        <v>0</v>
      </c>
      <c r="AA50" s="30">
        <f t="shared" si="21"/>
        <v>0</v>
      </c>
      <c r="AB50" s="30">
        <f t="shared" si="22"/>
        <v>0</v>
      </c>
      <c r="AC50" s="30">
        <f t="shared" si="23"/>
        <v>0</v>
      </c>
      <c r="AD50" s="30">
        <f t="shared" si="24"/>
        <v>0</v>
      </c>
      <c r="AE50" s="32">
        <f t="shared" si="34"/>
        <v>0</v>
      </c>
      <c r="AF50" s="33">
        <f t="shared" si="49"/>
        <v>0</v>
      </c>
      <c r="AG50" s="40">
        <f t="shared" si="35"/>
        <v>0</v>
      </c>
      <c r="AH50" s="224">
        <f>AG50*$P$33</f>
        <v>0</v>
      </c>
      <c r="AI50" s="227">
        <f t="shared" si="36"/>
        <v>0</v>
      </c>
    </row>
    <row r="51" spans="1:35" x14ac:dyDescent="0.35">
      <c r="A51" s="45">
        <v>1312</v>
      </c>
      <c r="B51" s="58">
        <f>SUMIF([2]!Table2_23[ETA],'FIS Optimal Model'!A51,[2]!Table2_23[FIS PAX])</f>
        <v>0</v>
      </c>
      <c r="C51" s="44">
        <f t="shared" si="37"/>
        <v>0</v>
      </c>
      <c r="D51" s="52">
        <f t="shared" si="43"/>
        <v>0</v>
      </c>
      <c r="E51" s="26">
        <f t="shared" si="25"/>
        <v>0</v>
      </c>
      <c r="F51" s="26">
        <f t="shared" si="26"/>
        <v>0</v>
      </c>
      <c r="G51" s="26">
        <f t="shared" si="27"/>
        <v>0</v>
      </c>
      <c r="H51" s="26">
        <f t="shared" si="38"/>
        <v>0</v>
      </c>
      <c r="I51" s="27">
        <f t="shared" si="50"/>
        <v>0</v>
      </c>
      <c r="J51" s="27">
        <f t="shared" si="48"/>
        <v>0</v>
      </c>
      <c r="K51" s="27">
        <f t="shared" si="48"/>
        <v>0</v>
      </c>
      <c r="L51" s="27">
        <f t="shared" si="48"/>
        <v>0</v>
      </c>
      <c r="M51" s="28">
        <f t="shared" si="44"/>
        <v>0</v>
      </c>
      <c r="N51" s="29">
        <f t="shared" si="45"/>
        <v>6</v>
      </c>
      <c r="O51" s="28">
        <f t="shared" si="46"/>
        <v>0</v>
      </c>
      <c r="P51" s="28">
        <f t="shared" si="47"/>
        <v>0</v>
      </c>
      <c r="Q51" s="28">
        <f t="shared" si="28"/>
        <v>6</v>
      </c>
      <c r="R51" s="22">
        <f t="shared" si="29"/>
        <v>0</v>
      </c>
      <c r="S51" s="22">
        <f t="shared" si="30"/>
        <v>0</v>
      </c>
      <c r="T51" s="22">
        <f t="shared" si="31"/>
        <v>0</v>
      </c>
      <c r="U51" s="22">
        <f t="shared" si="32"/>
        <v>0</v>
      </c>
      <c r="V51" s="21">
        <f t="shared" si="39"/>
        <v>0</v>
      </c>
      <c r="W51" s="21">
        <f t="shared" si="40"/>
        <v>0</v>
      </c>
      <c r="X51" s="21">
        <f t="shared" si="41"/>
        <v>0</v>
      </c>
      <c r="Y51" s="21">
        <f t="shared" si="42"/>
        <v>0</v>
      </c>
      <c r="Z51" s="221">
        <f t="shared" si="33"/>
        <v>0</v>
      </c>
      <c r="AA51" s="30">
        <f t="shared" si="21"/>
        <v>0</v>
      </c>
      <c r="AB51" s="30">
        <f t="shared" si="22"/>
        <v>0</v>
      </c>
      <c r="AC51" s="30">
        <f t="shared" si="23"/>
        <v>0</v>
      </c>
      <c r="AD51" s="30">
        <f t="shared" si="24"/>
        <v>0</v>
      </c>
      <c r="AE51" s="32">
        <f t="shared" si="34"/>
        <v>0</v>
      </c>
      <c r="AF51" s="33">
        <f t="shared" si="49"/>
        <v>0</v>
      </c>
      <c r="AG51" s="40">
        <f t="shared" si="35"/>
        <v>0</v>
      </c>
      <c r="AH51" s="224">
        <f>AG51*$P$33</f>
        <v>0</v>
      </c>
      <c r="AI51" s="227">
        <f t="shared" si="36"/>
        <v>0</v>
      </c>
    </row>
    <row r="52" spans="1:35" x14ac:dyDescent="0.35">
      <c r="A52" s="45">
        <v>1313</v>
      </c>
      <c r="B52" s="58">
        <f>SUMIF([2]!Table2_23[ETA],'FIS Optimal Model'!A52,[2]!Table2_23[FIS PAX])</f>
        <v>0</v>
      </c>
      <c r="C52" s="44">
        <f t="shared" si="37"/>
        <v>0</v>
      </c>
      <c r="D52" s="52">
        <f t="shared" si="43"/>
        <v>0</v>
      </c>
      <c r="E52" s="26">
        <f t="shared" si="25"/>
        <v>0</v>
      </c>
      <c r="F52" s="26">
        <f t="shared" si="26"/>
        <v>0</v>
      </c>
      <c r="G52" s="26">
        <f t="shared" si="27"/>
        <v>0</v>
      </c>
      <c r="H52" s="26">
        <f t="shared" si="38"/>
        <v>0</v>
      </c>
      <c r="I52" s="27">
        <f t="shared" si="50"/>
        <v>0</v>
      </c>
      <c r="J52" s="27">
        <f t="shared" si="48"/>
        <v>0</v>
      </c>
      <c r="K52" s="27">
        <f t="shared" si="48"/>
        <v>0</v>
      </c>
      <c r="L52" s="27">
        <f t="shared" si="48"/>
        <v>0</v>
      </c>
      <c r="M52" s="28">
        <f t="shared" si="44"/>
        <v>0</v>
      </c>
      <c r="N52" s="29">
        <f t="shared" si="45"/>
        <v>6</v>
      </c>
      <c r="O52" s="28">
        <f t="shared" si="46"/>
        <v>0</v>
      </c>
      <c r="P52" s="28">
        <f t="shared" si="47"/>
        <v>0</v>
      </c>
      <c r="Q52" s="28">
        <f t="shared" si="28"/>
        <v>6</v>
      </c>
      <c r="R52" s="22">
        <f t="shared" si="29"/>
        <v>0</v>
      </c>
      <c r="S52" s="22">
        <f t="shared" si="30"/>
        <v>0</v>
      </c>
      <c r="T52" s="22">
        <f t="shared" si="31"/>
        <v>0</v>
      </c>
      <c r="U52" s="22">
        <f t="shared" si="32"/>
        <v>0</v>
      </c>
      <c r="V52" s="21">
        <f t="shared" si="39"/>
        <v>0</v>
      </c>
      <c r="W52" s="21">
        <f t="shared" si="40"/>
        <v>0</v>
      </c>
      <c r="X52" s="21">
        <f t="shared" si="41"/>
        <v>0</v>
      </c>
      <c r="Y52" s="21">
        <f t="shared" si="42"/>
        <v>0</v>
      </c>
      <c r="Z52" s="221">
        <f t="shared" si="33"/>
        <v>0</v>
      </c>
      <c r="AA52" s="30">
        <f t="shared" si="21"/>
        <v>0</v>
      </c>
      <c r="AB52" s="30">
        <f t="shared" si="22"/>
        <v>0</v>
      </c>
      <c r="AC52" s="30">
        <f t="shared" si="23"/>
        <v>0</v>
      </c>
      <c r="AD52" s="30">
        <f t="shared" si="24"/>
        <v>0</v>
      </c>
      <c r="AE52" s="32">
        <f t="shared" si="34"/>
        <v>0</v>
      </c>
      <c r="AF52" s="33">
        <f t="shared" si="49"/>
        <v>0</v>
      </c>
      <c r="AG52" s="40">
        <f t="shared" si="35"/>
        <v>0</v>
      </c>
      <c r="AH52" s="224">
        <f>AG52*$P$33</f>
        <v>0</v>
      </c>
      <c r="AI52" s="227">
        <f t="shared" si="36"/>
        <v>0</v>
      </c>
    </row>
    <row r="53" spans="1:35" x14ac:dyDescent="0.35">
      <c r="A53" s="45">
        <v>1314</v>
      </c>
      <c r="B53" s="58">
        <f>SUMIF([2]!Table2_23[ETA],'FIS Optimal Model'!A53,[2]!Table2_23[FIS PAX])</f>
        <v>0</v>
      </c>
      <c r="C53" s="44">
        <f t="shared" si="37"/>
        <v>0</v>
      </c>
      <c r="D53" s="52">
        <f t="shared" si="43"/>
        <v>0</v>
      </c>
      <c r="E53" s="26">
        <f t="shared" si="25"/>
        <v>0</v>
      </c>
      <c r="F53" s="26">
        <f t="shared" si="26"/>
        <v>0</v>
      </c>
      <c r="G53" s="26">
        <f t="shared" si="27"/>
        <v>0</v>
      </c>
      <c r="H53" s="26">
        <f t="shared" si="38"/>
        <v>0</v>
      </c>
      <c r="I53" s="27">
        <f t="shared" si="50"/>
        <v>0</v>
      </c>
      <c r="J53" s="27">
        <f t="shared" si="48"/>
        <v>0</v>
      </c>
      <c r="K53" s="27">
        <f t="shared" si="48"/>
        <v>0</v>
      </c>
      <c r="L53" s="27">
        <f t="shared" si="48"/>
        <v>0</v>
      </c>
      <c r="M53" s="28">
        <f t="shared" si="44"/>
        <v>0</v>
      </c>
      <c r="N53" s="29">
        <f t="shared" si="45"/>
        <v>6</v>
      </c>
      <c r="O53" s="28">
        <f t="shared" si="46"/>
        <v>0</v>
      </c>
      <c r="P53" s="28">
        <f t="shared" si="47"/>
        <v>0</v>
      </c>
      <c r="Q53" s="28">
        <f t="shared" si="28"/>
        <v>6</v>
      </c>
      <c r="R53" s="22">
        <f t="shared" si="29"/>
        <v>0</v>
      </c>
      <c r="S53" s="22">
        <f t="shared" si="30"/>
        <v>0</v>
      </c>
      <c r="T53" s="22">
        <f t="shared" si="31"/>
        <v>0</v>
      </c>
      <c r="U53" s="22">
        <f t="shared" si="32"/>
        <v>0</v>
      </c>
      <c r="V53" s="21">
        <f t="shared" si="39"/>
        <v>0</v>
      </c>
      <c r="W53" s="21">
        <f t="shared" si="40"/>
        <v>0</v>
      </c>
      <c r="X53" s="21">
        <f t="shared" si="41"/>
        <v>0</v>
      </c>
      <c r="Y53" s="21">
        <f t="shared" si="42"/>
        <v>0</v>
      </c>
      <c r="Z53" s="221">
        <f t="shared" si="33"/>
        <v>0</v>
      </c>
      <c r="AA53" s="30">
        <f t="shared" si="21"/>
        <v>0</v>
      </c>
      <c r="AB53" s="30">
        <f t="shared" si="22"/>
        <v>0</v>
      </c>
      <c r="AC53" s="30">
        <f t="shared" si="23"/>
        <v>0</v>
      </c>
      <c r="AD53" s="30">
        <f t="shared" si="24"/>
        <v>0</v>
      </c>
      <c r="AE53" s="32">
        <f t="shared" si="34"/>
        <v>0</v>
      </c>
      <c r="AF53" s="33">
        <f t="shared" si="49"/>
        <v>0</v>
      </c>
      <c r="AG53" s="40">
        <f t="shared" si="35"/>
        <v>0</v>
      </c>
      <c r="AH53" s="224">
        <f>AG53*$P$33</f>
        <v>0</v>
      </c>
      <c r="AI53" s="227">
        <f t="shared" si="36"/>
        <v>0</v>
      </c>
    </row>
    <row r="54" spans="1:35" x14ac:dyDescent="0.35">
      <c r="A54" s="45">
        <v>1315</v>
      </c>
      <c r="B54" s="58">
        <f>SUMIF([2]!Table2_23[ETA],'FIS Optimal Model'!A54,[2]!Table2_23[FIS PAX])</f>
        <v>0</v>
      </c>
      <c r="C54" s="44">
        <f t="shared" si="37"/>
        <v>0</v>
      </c>
      <c r="D54" s="52">
        <f t="shared" si="43"/>
        <v>0</v>
      </c>
      <c r="E54" s="26">
        <f t="shared" si="25"/>
        <v>0</v>
      </c>
      <c r="F54" s="26">
        <f t="shared" si="26"/>
        <v>0</v>
      </c>
      <c r="G54" s="26">
        <f t="shared" si="27"/>
        <v>0</v>
      </c>
      <c r="H54" s="26">
        <f t="shared" si="38"/>
        <v>0</v>
      </c>
      <c r="I54" s="27">
        <f t="shared" si="50"/>
        <v>0</v>
      </c>
      <c r="J54" s="27">
        <f t="shared" si="48"/>
        <v>0</v>
      </c>
      <c r="K54" s="27">
        <f t="shared" si="48"/>
        <v>0</v>
      </c>
      <c r="L54" s="27">
        <f t="shared" si="48"/>
        <v>0</v>
      </c>
      <c r="M54" s="28">
        <f t="shared" si="44"/>
        <v>0</v>
      </c>
      <c r="N54" s="29">
        <f t="shared" si="45"/>
        <v>6</v>
      </c>
      <c r="O54" s="28">
        <f t="shared" si="46"/>
        <v>0</v>
      </c>
      <c r="P54" s="28">
        <f t="shared" si="47"/>
        <v>0</v>
      </c>
      <c r="Q54" s="28">
        <f t="shared" si="28"/>
        <v>6</v>
      </c>
      <c r="R54" s="22">
        <f t="shared" si="29"/>
        <v>0</v>
      </c>
      <c r="S54" s="22">
        <f t="shared" si="30"/>
        <v>0</v>
      </c>
      <c r="T54" s="22">
        <f t="shared" si="31"/>
        <v>0</v>
      </c>
      <c r="U54" s="22">
        <f t="shared" si="32"/>
        <v>0</v>
      </c>
      <c r="V54" s="21">
        <f t="shared" si="39"/>
        <v>0</v>
      </c>
      <c r="W54" s="21">
        <f t="shared" si="40"/>
        <v>0</v>
      </c>
      <c r="X54" s="21">
        <f t="shared" si="41"/>
        <v>0</v>
      </c>
      <c r="Y54" s="21">
        <f t="shared" si="42"/>
        <v>0</v>
      </c>
      <c r="Z54" s="221">
        <f t="shared" si="33"/>
        <v>0</v>
      </c>
      <c r="AA54" s="30">
        <f t="shared" si="21"/>
        <v>0</v>
      </c>
      <c r="AB54" s="30">
        <f t="shared" si="22"/>
        <v>0</v>
      </c>
      <c r="AC54" s="30">
        <f t="shared" si="23"/>
        <v>0</v>
      </c>
      <c r="AD54" s="30">
        <f t="shared" si="24"/>
        <v>0</v>
      </c>
      <c r="AE54" s="32">
        <f t="shared" si="34"/>
        <v>0</v>
      </c>
      <c r="AF54" s="33">
        <f t="shared" si="49"/>
        <v>0</v>
      </c>
      <c r="AG54" s="40">
        <f t="shared" si="35"/>
        <v>0</v>
      </c>
      <c r="AH54" s="224">
        <f>AG54*$P$33</f>
        <v>0</v>
      </c>
      <c r="AI54" s="227">
        <f t="shared" si="36"/>
        <v>0</v>
      </c>
    </row>
    <row r="55" spans="1:35" x14ac:dyDescent="0.35">
      <c r="A55" s="45">
        <v>1316</v>
      </c>
      <c r="B55" s="58">
        <f>SUMIF([2]!Table2_23[ETA],'FIS Optimal Model'!A55,[2]!Table2_23[FIS PAX])</f>
        <v>0</v>
      </c>
      <c r="C55" s="44">
        <f t="shared" si="37"/>
        <v>0</v>
      </c>
      <c r="D55" s="52">
        <f t="shared" si="43"/>
        <v>0</v>
      </c>
      <c r="E55" s="26">
        <f t="shared" si="25"/>
        <v>0</v>
      </c>
      <c r="F55" s="26">
        <f t="shared" si="26"/>
        <v>0</v>
      </c>
      <c r="G55" s="26">
        <f t="shared" si="27"/>
        <v>0</v>
      </c>
      <c r="H55" s="26">
        <f t="shared" si="38"/>
        <v>0</v>
      </c>
      <c r="I55" s="27">
        <f t="shared" si="50"/>
        <v>0</v>
      </c>
      <c r="J55" s="27">
        <f t="shared" si="48"/>
        <v>0</v>
      </c>
      <c r="K55" s="27">
        <f t="shared" si="48"/>
        <v>0</v>
      </c>
      <c r="L55" s="27">
        <f t="shared" si="48"/>
        <v>0</v>
      </c>
      <c r="M55" s="28">
        <f>IF(R54=0,0,$Q$7)</f>
        <v>0</v>
      </c>
      <c r="N55" s="29">
        <f>$U$7-M55-O55-P55</f>
        <v>6</v>
      </c>
      <c r="O55" s="28">
        <f>IF(T54=0,0,$S$7)</f>
        <v>0</v>
      </c>
      <c r="P55" s="28">
        <f>IF(U54=0,0,$T$7)</f>
        <v>0</v>
      </c>
      <c r="Q55" s="28">
        <f t="shared" si="28"/>
        <v>6</v>
      </c>
      <c r="R55" s="22">
        <f t="shared" si="29"/>
        <v>0</v>
      </c>
      <c r="S55" s="22">
        <f t="shared" si="30"/>
        <v>0</v>
      </c>
      <c r="T55" s="22">
        <f t="shared" si="31"/>
        <v>0</v>
      </c>
      <c r="U55" s="22">
        <f t="shared" si="32"/>
        <v>0</v>
      </c>
      <c r="V55" s="21">
        <f t="shared" si="39"/>
        <v>0</v>
      </c>
      <c r="W55" s="21">
        <f t="shared" si="40"/>
        <v>0</v>
      </c>
      <c r="X55" s="21">
        <f t="shared" si="41"/>
        <v>0</v>
      </c>
      <c r="Y55" s="21">
        <f t="shared" si="42"/>
        <v>0</v>
      </c>
      <c r="Z55" s="221">
        <f t="shared" si="33"/>
        <v>0</v>
      </c>
      <c r="AA55" s="30">
        <f t="shared" si="21"/>
        <v>0</v>
      </c>
      <c r="AB55" s="30">
        <f t="shared" si="22"/>
        <v>0</v>
      </c>
      <c r="AC55" s="30">
        <f t="shared" si="23"/>
        <v>0</v>
      </c>
      <c r="AD55" s="30">
        <f t="shared" si="24"/>
        <v>0</v>
      </c>
      <c r="AE55" s="32">
        <f t="shared" si="34"/>
        <v>0</v>
      </c>
      <c r="AF55" s="33">
        <f t="shared" si="49"/>
        <v>0</v>
      </c>
      <c r="AG55" s="40">
        <f t="shared" si="35"/>
        <v>0</v>
      </c>
      <c r="AH55" s="224">
        <f>AG55*$P$33</f>
        <v>0</v>
      </c>
      <c r="AI55" s="227">
        <f t="shared" si="36"/>
        <v>0</v>
      </c>
    </row>
    <row r="56" spans="1:35" x14ac:dyDescent="0.35">
      <c r="A56" s="45">
        <v>1317</v>
      </c>
      <c r="B56" s="58">
        <f>SUMIF([2]!Table2_23[ETA],'FIS Optimal Model'!A56,[2]!Table2_23[FIS PAX])</f>
        <v>0</v>
      </c>
      <c r="C56" s="44">
        <f t="shared" si="37"/>
        <v>0</v>
      </c>
      <c r="D56" s="52">
        <f t="shared" si="43"/>
        <v>0</v>
      </c>
      <c r="E56" s="26">
        <f t="shared" si="25"/>
        <v>0</v>
      </c>
      <c r="F56" s="26">
        <f t="shared" si="26"/>
        <v>0</v>
      </c>
      <c r="G56" s="26">
        <f t="shared" si="27"/>
        <v>0</v>
      </c>
      <c r="H56" s="26">
        <f t="shared" si="38"/>
        <v>0</v>
      </c>
      <c r="I56" s="27">
        <f t="shared" si="50"/>
        <v>0</v>
      </c>
      <c r="J56" s="27">
        <f t="shared" si="48"/>
        <v>0</v>
      </c>
      <c r="K56" s="27">
        <f t="shared" si="48"/>
        <v>0</v>
      </c>
      <c r="L56" s="27">
        <f t="shared" si="48"/>
        <v>0</v>
      </c>
      <c r="M56" s="28">
        <f>$M$55</f>
        <v>0</v>
      </c>
      <c r="N56" s="29">
        <f>$N$55</f>
        <v>6</v>
      </c>
      <c r="O56" s="28">
        <f>$O$55</f>
        <v>0</v>
      </c>
      <c r="P56" s="28">
        <f>$P$55</f>
        <v>0</v>
      </c>
      <c r="Q56" s="28">
        <f t="shared" si="28"/>
        <v>6</v>
      </c>
      <c r="R56" s="22">
        <f t="shared" si="29"/>
        <v>0</v>
      </c>
      <c r="S56" s="22">
        <f t="shared" si="30"/>
        <v>0</v>
      </c>
      <c r="T56" s="22">
        <f t="shared" si="31"/>
        <v>0</v>
      </c>
      <c r="U56" s="22">
        <f t="shared" si="32"/>
        <v>0</v>
      </c>
      <c r="V56" s="21">
        <f t="shared" si="39"/>
        <v>0</v>
      </c>
      <c r="W56" s="21">
        <f t="shared" si="40"/>
        <v>0</v>
      </c>
      <c r="X56" s="21">
        <f t="shared" si="41"/>
        <v>0</v>
      </c>
      <c r="Y56" s="21">
        <f t="shared" si="42"/>
        <v>0</v>
      </c>
      <c r="Z56" s="221">
        <f t="shared" si="33"/>
        <v>0</v>
      </c>
      <c r="AA56" s="30">
        <f t="shared" si="21"/>
        <v>0</v>
      </c>
      <c r="AB56" s="30">
        <f t="shared" si="22"/>
        <v>0</v>
      </c>
      <c r="AC56" s="30">
        <f t="shared" si="23"/>
        <v>0</v>
      </c>
      <c r="AD56" s="30">
        <f t="shared" si="24"/>
        <v>0</v>
      </c>
      <c r="AE56" s="32">
        <f t="shared" si="34"/>
        <v>0</v>
      </c>
      <c r="AF56" s="33">
        <f t="shared" si="49"/>
        <v>0</v>
      </c>
      <c r="AG56" s="40">
        <f t="shared" si="35"/>
        <v>0</v>
      </c>
      <c r="AH56" s="224">
        <f>AG56*$P$33</f>
        <v>0</v>
      </c>
      <c r="AI56" s="227">
        <f t="shared" si="36"/>
        <v>0</v>
      </c>
    </row>
    <row r="57" spans="1:35" x14ac:dyDescent="0.35">
      <c r="A57" s="45">
        <v>1318</v>
      </c>
      <c r="B57" s="58">
        <f>SUMIF([2]!Table2_23[ETA],'FIS Optimal Model'!A57,[2]!Table2_23[FIS PAX])</f>
        <v>0</v>
      </c>
      <c r="C57" s="44">
        <f t="shared" si="37"/>
        <v>0</v>
      </c>
      <c r="D57" s="52">
        <f t="shared" si="43"/>
        <v>0</v>
      </c>
      <c r="E57" s="26">
        <f t="shared" si="25"/>
        <v>0</v>
      </c>
      <c r="F57" s="26">
        <f t="shared" si="26"/>
        <v>0</v>
      </c>
      <c r="G57" s="26">
        <f t="shared" si="27"/>
        <v>0</v>
      </c>
      <c r="H57" s="26">
        <f t="shared" si="38"/>
        <v>0</v>
      </c>
      <c r="I57" s="27">
        <f t="shared" si="50"/>
        <v>0</v>
      </c>
      <c r="J57" s="27">
        <f t="shared" si="48"/>
        <v>0</v>
      </c>
      <c r="K57" s="27">
        <f t="shared" si="48"/>
        <v>0</v>
      </c>
      <c r="L57" s="27">
        <f t="shared" si="48"/>
        <v>0</v>
      </c>
      <c r="M57" s="28">
        <f t="shared" ref="M57:M69" si="51">$M$55</f>
        <v>0</v>
      </c>
      <c r="N57" s="29">
        <f t="shared" ref="N57:N69" si="52">$N$55</f>
        <v>6</v>
      </c>
      <c r="O57" s="28">
        <f t="shared" ref="O57:O69" si="53">$O$55</f>
        <v>0</v>
      </c>
      <c r="P57" s="28">
        <f t="shared" ref="P57:P69" si="54">$P$55</f>
        <v>0</v>
      </c>
      <c r="Q57" s="28">
        <f t="shared" si="28"/>
        <v>6</v>
      </c>
      <c r="R57" s="22">
        <f t="shared" si="29"/>
        <v>0</v>
      </c>
      <c r="S57" s="22">
        <f t="shared" si="30"/>
        <v>0</v>
      </c>
      <c r="T57" s="22">
        <f t="shared" si="31"/>
        <v>0</v>
      </c>
      <c r="U57" s="22">
        <f t="shared" si="32"/>
        <v>0</v>
      </c>
      <c r="V57" s="21">
        <f t="shared" si="39"/>
        <v>0</v>
      </c>
      <c r="W57" s="21">
        <f t="shared" si="40"/>
        <v>0</v>
      </c>
      <c r="X57" s="21">
        <f t="shared" si="41"/>
        <v>0</v>
      </c>
      <c r="Y57" s="21">
        <f t="shared" si="42"/>
        <v>0</v>
      </c>
      <c r="Z57" s="221">
        <f t="shared" si="33"/>
        <v>0</v>
      </c>
      <c r="AA57" s="30">
        <f t="shared" si="21"/>
        <v>0</v>
      </c>
      <c r="AB57" s="30">
        <f t="shared" si="22"/>
        <v>0</v>
      </c>
      <c r="AC57" s="30">
        <f t="shared" si="23"/>
        <v>0</v>
      </c>
      <c r="AD57" s="30">
        <f t="shared" si="24"/>
        <v>0</v>
      </c>
      <c r="AE57" s="32">
        <f t="shared" si="34"/>
        <v>0</v>
      </c>
      <c r="AF57" s="33">
        <f t="shared" si="49"/>
        <v>0</v>
      </c>
      <c r="AG57" s="40">
        <f t="shared" si="35"/>
        <v>0</v>
      </c>
      <c r="AH57" s="224">
        <f>AG57*$P$33</f>
        <v>0</v>
      </c>
      <c r="AI57" s="227">
        <f t="shared" si="36"/>
        <v>0</v>
      </c>
    </row>
    <row r="58" spans="1:35" x14ac:dyDescent="0.35">
      <c r="A58" s="45">
        <v>1319</v>
      </c>
      <c r="B58" s="58">
        <f>SUMIF([2]!Table2_23[ETA],'FIS Optimal Model'!A58,[2]!Table2_23[FIS PAX])</f>
        <v>0</v>
      </c>
      <c r="C58" s="44">
        <f t="shared" si="37"/>
        <v>0</v>
      </c>
      <c r="D58" s="52">
        <f t="shared" si="43"/>
        <v>0</v>
      </c>
      <c r="E58" s="26">
        <f t="shared" si="25"/>
        <v>0</v>
      </c>
      <c r="F58" s="26">
        <f t="shared" si="26"/>
        <v>0</v>
      </c>
      <c r="G58" s="26">
        <f t="shared" si="27"/>
        <v>0</v>
      </c>
      <c r="H58" s="26">
        <f t="shared" si="38"/>
        <v>0</v>
      </c>
      <c r="I58" s="27">
        <f t="shared" si="50"/>
        <v>0</v>
      </c>
      <c r="J58" s="27">
        <f t="shared" si="48"/>
        <v>0</v>
      </c>
      <c r="K58" s="27">
        <f t="shared" si="48"/>
        <v>0</v>
      </c>
      <c r="L58" s="27">
        <f t="shared" si="48"/>
        <v>0</v>
      </c>
      <c r="M58" s="28">
        <f t="shared" si="51"/>
        <v>0</v>
      </c>
      <c r="N58" s="29">
        <f t="shared" si="52"/>
        <v>6</v>
      </c>
      <c r="O58" s="28">
        <f t="shared" si="53"/>
        <v>0</v>
      </c>
      <c r="P58" s="28">
        <f t="shared" si="54"/>
        <v>0</v>
      </c>
      <c r="Q58" s="28">
        <f t="shared" si="28"/>
        <v>6</v>
      </c>
      <c r="R58" s="22">
        <f t="shared" si="29"/>
        <v>0</v>
      </c>
      <c r="S58" s="22">
        <f t="shared" si="30"/>
        <v>0</v>
      </c>
      <c r="T58" s="22">
        <f t="shared" si="31"/>
        <v>0</v>
      </c>
      <c r="U58" s="22">
        <f t="shared" si="32"/>
        <v>0</v>
      </c>
      <c r="V58" s="21">
        <f t="shared" si="39"/>
        <v>0</v>
      </c>
      <c r="W58" s="21">
        <f t="shared" si="40"/>
        <v>0</v>
      </c>
      <c r="X58" s="21">
        <f t="shared" si="41"/>
        <v>0</v>
      </c>
      <c r="Y58" s="21">
        <f t="shared" si="42"/>
        <v>0</v>
      </c>
      <c r="Z58" s="221">
        <f t="shared" si="33"/>
        <v>0</v>
      </c>
      <c r="AA58" s="30">
        <f t="shared" si="21"/>
        <v>0</v>
      </c>
      <c r="AB58" s="30">
        <f t="shared" si="22"/>
        <v>0</v>
      </c>
      <c r="AC58" s="30">
        <f t="shared" si="23"/>
        <v>0</v>
      </c>
      <c r="AD58" s="30">
        <f t="shared" si="24"/>
        <v>0</v>
      </c>
      <c r="AE58" s="32">
        <f t="shared" si="34"/>
        <v>0</v>
      </c>
      <c r="AF58" s="33">
        <f t="shared" si="49"/>
        <v>0</v>
      </c>
      <c r="AG58" s="40">
        <f t="shared" si="35"/>
        <v>0</v>
      </c>
      <c r="AH58" s="224">
        <f>AG58*$P$33</f>
        <v>0</v>
      </c>
      <c r="AI58" s="227">
        <f t="shared" si="36"/>
        <v>0</v>
      </c>
    </row>
    <row r="59" spans="1:35" x14ac:dyDescent="0.35">
      <c r="A59" s="45">
        <v>1320</v>
      </c>
      <c r="B59" s="58">
        <f>SUMIF([2]!Table2_23[ETA],'FIS Optimal Model'!A59,[2]!Table2_23[FIS PAX])</f>
        <v>0</v>
      </c>
      <c r="C59" s="44">
        <f t="shared" si="37"/>
        <v>0</v>
      </c>
      <c r="D59" s="52">
        <f t="shared" si="43"/>
        <v>0</v>
      </c>
      <c r="E59" s="26">
        <f t="shared" si="25"/>
        <v>0</v>
      </c>
      <c r="F59" s="26">
        <f t="shared" si="26"/>
        <v>0</v>
      </c>
      <c r="G59" s="26">
        <f t="shared" si="27"/>
        <v>0</v>
      </c>
      <c r="H59" s="26">
        <f t="shared" si="38"/>
        <v>0</v>
      </c>
      <c r="I59" s="27">
        <f t="shared" si="50"/>
        <v>0</v>
      </c>
      <c r="J59" s="27">
        <f t="shared" si="48"/>
        <v>0</v>
      </c>
      <c r="K59" s="27">
        <f t="shared" si="48"/>
        <v>0</v>
      </c>
      <c r="L59" s="27">
        <f t="shared" si="48"/>
        <v>0</v>
      </c>
      <c r="M59" s="28">
        <f t="shared" si="51"/>
        <v>0</v>
      </c>
      <c r="N59" s="29">
        <f t="shared" si="52"/>
        <v>6</v>
      </c>
      <c r="O59" s="28">
        <f t="shared" si="53"/>
        <v>0</v>
      </c>
      <c r="P59" s="28">
        <f t="shared" si="54"/>
        <v>0</v>
      </c>
      <c r="Q59" s="28">
        <f t="shared" si="28"/>
        <v>6</v>
      </c>
      <c r="R59" s="22">
        <f t="shared" si="29"/>
        <v>0</v>
      </c>
      <c r="S59" s="22">
        <f t="shared" si="30"/>
        <v>0</v>
      </c>
      <c r="T59" s="22">
        <f t="shared" si="31"/>
        <v>0</v>
      </c>
      <c r="U59" s="22">
        <f t="shared" si="32"/>
        <v>0</v>
      </c>
      <c r="V59" s="21">
        <f t="shared" si="39"/>
        <v>0</v>
      </c>
      <c r="W59" s="21">
        <f t="shared" si="40"/>
        <v>0</v>
      </c>
      <c r="X59" s="21">
        <f t="shared" si="41"/>
        <v>0</v>
      </c>
      <c r="Y59" s="21">
        <f t="shared" si="42"/>
        <v>0</v>
      </c>
      <c r="Z59" s="221">
        <f t="shared" si="33"/>
        <v>0</v>
      </c>
      <c r="AA59" s="30">
        <f t="shared" si="21"/>
        <v>0</v>
      </c>
      <c r="AB59" s="30">
        <f t="shared" si="22"/>
        <v>0</v>
      </c>
      <c r="AC59" s="30">
        <f t="shared" si="23"/>
        <v>0</v>
      </c>
      <c r="AD59" s="30">
        <f t="shared" si="24"/>
        <v>0</v>
      </c>
      <c r="AE59" s="32">
        <f t="shared" si="34"/>
        <v>0</v>
      </c>
      <c r="AF59" s="33">
        <f t="shared" si="49"/>
        <v>0</v>
      </c>
      <c r="AG59" s="40">
        <f t="shared" si="35"/>
        <v>0</v>
      </c>
      <c r="AH59" s="224">
        <f>AG59*$P$33</f>
        <v>0</v>
      </c>
      <c r="AI59" s="227">
        <f t="shared" si="36"/>
        <v>0</v>
      </c>
    </row>
    <row r="60" spans="1:35" x14ac:dyDescent="0.35">
      <c r="A60" s="45">
        <v>1321</v>
      </c>
      <c r="B60" s="58">
        <f>SUMIF([2]!Table2_23[ETA],'FIS Optimal Model'!A60,[2]!Table2_23[FIS PAX])</f>
        <v>0</v>
      </c>
      <c r="C60" s="44">
        <f t="shared" si="37"/>
        <v>0</v>
      </c>
      <c r="D60" s="52">
        <f t="shared" si="43"/>
        <v>0</v>
      </c>
      <c r="E60" s="26">
        <f t="shared" si="25"/>
        <v>0</v>
      </c>
      <c r="F60" s="26">
        <f t="shared" si="26"/>
        <v>0</v>
      </c>
      <c r="G60" s="26">
        <f t="shared" si="27"/>
        <v>0</v>
      </c>
      <c r="H60" s="26">
        <f t="shared" si="38"/>
        <v>0</v>
      </c>
      <c r="I60" s="27">
        <f t="shared" si="50"/>
        <v>0</v>
      </c>
      <c r="J60" s="27">
        <f t="shared" si="50"/>
        <v>0</v>
      </c>
      <c r="K60" s="27">
        <f t="shared" si="50"/>
        <v>0</v>
      </c>
      <c r="L60" s="27">
        <f t="shared" si="50"/>
        <v>0</v>
      </c>
      <c r="M60" s="28">
        <f t="shared" si="51"/>
        <v>0</v>
      </c>
      <c r="N60" s="29">
        <f t="shared" si="52"/>
        <v>6</v>
      </c>
      <c r="O60" s="28">
        <f t="shared" si="53"/>
        <v>0</v>
      </c>
      <c r="P60" s="28">
        <f t="shared" si="54"/>
        <v>0</v>
      </c>
      <c r="Q60" s="28">
        <f t="shared" si="28"/>
        <v>6</v>
      </c>
      <c r="R60" s="22">
        <f t="shared" si="29"/>
        <v>0</v>
      </c>
      <c r="S60" s="22">
        <f t="shared" si="30"/>
        <v>0</v>
      </c>
      <c r="T60" s="22">
        <f t="shared" si="31"/>
        <v>0</v>
      </c>
      <c r="U60" s="22">
        <f t="shared" si="32"/>
        <v>0</v>
      </c>
      <c r="V60" s="21">
        <f t="shared" si="39"/>
        <v>0</v>
      </c>
      <c r="W60" s="21">
        <f t="shared" si="40"/>
        <v>0</v>
      </c>
      <c r="X60" s="21">
        <f t="shared" si="41"/>
        <v>0</v>
      </c>
      <c r="Y60" s="21">
        <f t="shared" si="42"/>
        <v>0</v>
      </c>
      <c r="Z60" s="221">
        <f t="shared" si="33"/>
        <v>0</v>
      </c>
      <c r="AA60" s="30">
        <f t="shared" si="21"/>
        <v>0</v>
      </c>
      <c r="AB60" s="30">
        <f t="shared" si="22"/>
        <v>0</v>
      </c>
      <c r="AC60" s="30">
        <f t="shared" si="23"/>
        <v>0</v>
      </c>
      <c r="AD60" s="30">
        <f t="shared" si="24"/>
        <v>0</v>
      </c>
      <c r="AE60" s="32">
        <f t="shared" si="34"/>
        <v>0</v>
      </c>
      <c r="AF60" s="33">
        <f t="shared" si="49"/>
        <v>0</v>
      </c>
      <c r="AG60" s="40">
        <f t="shared" si="35"/>
        <v>0</v>
      </c>
      <c r="AH60" s="224">
        <f>AG60*$P$33</f>
        <v>0</v>
      </c>
      <c r="AI60" s="227">
        <f t="shared" si="36"/>
        <v>0</v>
      </c>
    </row>
    <row r="61" spans="1:35" x14ac:dyDescent="0.35">
      <c r="A61" s="45">
        <v>1322</v>
      </c>
      <c r="B61" s="58">
        <f>SUMIF([2]!Table2_23[ETA],'FIS Optimal Model'!A61,[2]!Table2_23[FIS PAX])</f>
        <v>0</v>
      </c>
      <c r="C61" s="44">
        <f t="shared" si="37"/>
        <v>0</v>
      </c>
      <c r="D61" s="52">
        <f t="shared" si="43"/>
        <v>0</v>
      </c>
      <c r="E61" s="26">
        <f t="shared" si="25"/>
        <v>0</v>
      </c>
      <c r="F61" s="26">
        <f t="shared" si="26"/>
        <v>0</v>
      </c>
      <c r="G61" s="26">
        <f t="shared" si="27"/>
        <v>0</v>
      </c>
      <c r="H61" s="26">
        <f t="shared" si="38"/>
        <v>0</v>
      </c>
      <c r="I61" s="27">
        <f t="shared" si="50"/>
        <v>0</v>
      </c>
      <c r="J61" s="27">
        <f t="shared" si="50"/>
        <v>0</v>
      </c>
      <c r="K61" s="27">
        <f t="shared" si="50"/>
        <v>0</v>
      </c>
      <c r="L61" s="27">
        <f t="shared" si="50"/>
        <v>0</v>
      </c>
      <c r="M61" s="28">
        <f t="shared" si="51"/>
        <v>0</v>
      </c>
      <c r="N61" s="29">
        <f t="shared" si="52"/>
        <v>6</v>
      </c>
      <c r="O61" s="28">
        <f t="shared" si="53"/>
        <v>0</v>
      </c>
      <c r="P61" s="28">
        <f t="shared" si="54"/>
        <v>0</v>
      </c>
      <c r="Q61" s="28">
        <f t="shared" si="28"/>
        <v>6</v>
      </c>
      <c r="R61" s="22">
        <f t="shared" si="29"/>
        <v>0</v>
      </c>
      <c r="S61" s="22">
        <f t="shared" si="30"/>
        <v>0</v>
      </c>
      <c r="T61" s="22">
        <f t="shared" si="31"/>
        <v>0</v>
      </c>
      <c r="U61" s="22">
        <f t="shared" si="32"/>
        <v>0</v>
      </c>
      <c r="V61" s="21">
        <f t="shared" si="39"/>
        <v>0</v>
      </c>
      <c r="W61" s="21">
        <f t="shared" si="40"/>
        <v>0</v>
      </c>
      <c r="X61" s="21">
        <f t="shared" si="41"/>
        <v>0</v>
      </c>
      <c r="Y61" s="21">
        <f t="shared" si="42"/>
        <v>0</v>
      </c>
      <c r="Z61" s="221">
        <f t="shared" si="33"/>
        <v>0</v>
      </c>
      <c r="AA61" s="30">
        <f t="shared" si="21"/>
        <v>0</v>
      </c>
      <c r="AB61" s="30">
        <f t="shared" si="22"/>
        <v>0</v>
      </c>
      <c r="AC61" s="30">
        <f t="shared" si="23"/>
        <v>0</v>
      </c>
      <c r="AD61" s="30">
        <f t="shared" si="24"/>
        <v>0</v>
      </c>
      <c r="AE61" s="32">
        <f t="shared" si="34"/>
        <v>0</v>
      </c>
      <c r="AF61" s="33">
        <f t="shared" si="49"/>
        <v>0</v>
      </c>
      <c r="AG61" s="40">
        <f t="shared" si="35"/>
        <v>0</v>
      </c>
      <c r="AH61" s="224">
        <f>AG61*$P$33</f>
        <v>0</v>
      </c>
      <c r="AI61" s="227">
        <f t="shared" si="36"/>
        <v>0</v>
      </c>
    </row>
    <row r="62" spans="1:35" x14ac:dyDescent="0.35">
      <c r="A62" s="45">
        <v>1323</v>
      </c>
      <c r="B62" s="58">
        <f>SUMIF([2]!Table2_23[ETA],'FIS Optimal Model'!A62,[2]!Table2_23[FIS PAX])</f>
        <v>0</v>
      </c>
      <c r="C62" s="44">
        <f t="shared" si="37"/>
        <v>0</v>
      </c>
      <c r="D62" s="52">
        <f t="shared" si="43"/>
        <v>0</v>
      </c>
      <c r="E62" s="26">
        <f t="shared" si="25"/>
        <v>0</v>
      </c>
      <c r="F62" s="26">
        <f t="shared" si="26"/>
        <v>0</v>
      </c>
      <c r="G62" s="26">
        <f t="shared" si="27"/>
        <v>0</v>
      </c>
      <c r="H62" s="26">
        <f t="shared" si="38"/>
        <v>0</v>
      </c>
      <c r="I62" s="27">
        <f t="shared" si="50"/>
        <v>0</v>
      </c>
      <c r="J62" s="27">
        <f t="shared" si="50"/>
        <v>0</v>
      </c>
      <c r="K62" s="27">
        <f t="shared" si="50"/>
        <v>0</v>
      </c>
      <c r="L62" s="27">
        <f t="shared" si="50"/>
        <v>0</v>
      </c>
      <c r="M62" s="28">
        <f t="shared" si="51"/>
        <v>0</v>
      </c>
      <c r="N62" s="29">
        <f t="shared" si="52"/>
        <v>6</v>
      </c>
      <c r="O62" s="28">
        <f t="shared" si="53"/>
        <v>0</v>
      </c>
      <c r="P62" s="28">
        <f t="shared" si="54"/>
        <v>0</v>
      </c>
      <c r="Q62" s="28">
        <f t="shared" si="28"/>
        <v>6</v>
      </c>
      <c r="R62" s="22">
        <f t="shared" si="29"/>
        <v>0</v>
      </c>
      <c r="S62" s="22">
        <f t="shared" si="30"/>
        <v>0</v>
      </c>
      <c r="T62" s="22">
        <f t="shared" si="31"/>
        <v>0</v>
      </c>
      <c r="U62" s="22">
        <f t="shared" si="32"/>
        <v>0</v>
      </c>
      <c r="V62" s="21">
        <f t="shared" si="39"/>
        <v>0</v>
      </c>
      <c r="W62" s="21">
        <f t="shared" si="40"/>
        <v>0</v>
      </c>
      <c r="X62" s="21">
        <f t="shared" si="41"/>
        <v>0</v>
      </c>
      <c r="Y62" s="21">
        <f t="shared" si="42"/>
        <v>0</v>
      </c>
      <c r="Z62" s="221">
        <f t="shared" si="33"/>
        <v>0</v>
      </c>
      <c r="AA62" s="30">
        <f t="shared" si="21"/>
        <v>0</v>
      </c>
      <c r="AB62" s="30">
        <f t="shared" si="22"/>
        <v>0</v>
      </c>
      <c r="AC62" s="30">
        <f t="shared" si="23"/>
        <v>0</v>
      </c>
      <c r="AD62" s="30">
        <f t="shared" si="24"/>
        <v>0</v>
      </c>
      <c r="AE62" s="32">
        <f t="shared" si="34"/>
        <v>0</v>
      </c>
      <c r="AF62" s="33">
        <f t="shared" si="49"/>
        <v>0</v>
      </c>
      <c r="AG62" s="40">
        <f t="shared" si="35"/>
        <v>0</v>
      </c>
      <c r="AH62" s="224">
        <f>AG62*$P$33</f>
        <v>0</v>
      </c>
      <c r="AI62" s="227">
        <f t="shared" si="36"/>
        <v>0</v>
      </c>
    </row>
    <row r="63" spans="1:35" x14ac:dyDescent="0.35">
      <c r="A63" s="45">
        <v>1324</v>
      </c>
      <c r="B63" s="58">
        <f>SUMIF([2]!Table2_23[ETA],'FIS Optimal Model'!A63,[2]!Table2_23[FIS PAX])</f>
        <v>0</v>
      </c>
      <c r="C63" s="44">
        <f t="shared" si="37"/>
        <v>0</v>
      </c>
      <c r="D63" s="52">
        <f t="shared" si="43"/>
        <v>0</v>
      </c>
      <c r="E63" s="26">
        <f t="shared" si="25"/>
        <v>0</v>
      </c>
      <c r="F63" s="26">
        <f t="shared" si="26"/>
        <v>0</v>
      </c>
      <c r="G63" s="26">
        <f t="shared" si="27"/>
        <v>0</v>
      </c>
      <c r="H63" s="26">
        <f t="shared" si="38"/>
        <v>0</v>
      </c>
      <c r="I63" s="27">
        <f t="shared" si="50"/>
        <v>0</v>
      </c>
      <c r="J63" s="27">
        <f t="shared" si="50"/>
        <v>0</v>
      </c>
      <c r="K63" s="27">
        <f t="shared" si="50"/>
        <v>0</v>
      </c>
      <c r="L63" s="27">
        <f t="shared" si="50"/>
        <v>0</v>
      </c>
      <c r="M63" s="28">
        <f t="shared" si="51"/>
        <v>0</v>
      </c>
      <c r="N63" s="29">
        <f t="shared" si="52"/>
        <v>6</v>
      </c>
      <c r="O63" s="28">
        <f t="shared" si="53"/>
        <v>0</v>
      </c>
      <c r="P63" s="28">
        <f t="shared" si="54"/>
        <v>0</v>
      </c>
      <c r="Q63" s="28">
        <f t="shared" si="28"/>
        <v>6</v>
      </c>
      <c r="R63" s="22">
        <f t="shared" si="29"/>
        <v>0</v>
      </c>
      <c r="S63" s="22">
        <f t="shared" si="30"/>
        <v>0</v>
      </c>
      <c r="T63" s="22">
        <f t="shared" si="31"/>
        <v>0</v>
      </c>
      <c r="U63" s="22">
        <f t="shared" si="32"/>
        <v>0</v>
      </c>
      <c r="V63" s="21">
        <f t="shared" si="39"/>
        <v>0</v>
      </c>
      <c r="W63" s="21">
        <f t="shared" si="40"/>
        <v>0</v>
      </c>
      <c r="X63" s="21">
        <f t="shared" si="41"/>
        <v>0</v>
      </c>
      <c r="Y63" s="21">
        <f t="shared" si="42"/>
        <v>0</v>
      </c>
      <c r="Z63" s="221">
        <f t="shared" si="33"/>
        <v>0</v>
      </c>
      <c r="AA63" s="30">
        <f t="shared" si="21"/>
        <v>0</v>
      </c>
      <c r="AB63" s="30">
        <f t="shared" si="22"/>
        <v>0</v>
      </c>
      <c r="AC63" s="30">
        <f t="shared" si="23"/>
        <v>0</v>
      </c>
      <c r="AD63" s="30">
        <f t="shared" si="24"/>
        <v>0</v>
      </c>
      <c r="AE63" s="32">
        <f t="shared" si="34"/>
        <v>0</v>
      </c>
      <c r="AF63" s="33">
        <f t="shared" si="49"/>
        <v>0</v>
      </c>
      <c r="AG63" s="40">
        <f t="shared" si="35"/>
        <v>0</v>
      </c>
      <c r="AH63" s="224">
        <f>AG63*$P$33</f>
        <v>0</v>
      </c>
      <c r="AI63" s="227">
        <f t="shared" si="36"/>
        <v>0</v>
      </c>
    </row>
    <row r="64" spans="1:35" x14ac:dyDescent="0.35">
      <c r="A64" s="45">
        <v>1325</v>
      </c>
      <c r="B64" s="58">
        <f>SUMIF([2]!Table2_23[ETA],'FIS Optimal Model'!A64,[2]!Table2_23[FIS PAX])</f>
        <v>0</v>
      </c>
      <c r="C64" s="44">
        <f t="shared" si="37"/>
        <v>0</v>
      </c>
      <c r="D64" s="52">
        <f t="shared" si="43"/>
        <v>0</v>
      </c>
      <c r="E64" s="26">
        <f t="shared" si="25"/>
        <v>0</v>
      </c>
      <c r="F64" s="26">
        <f t="shared" si="26"/>
        <v>0</v>
      </c>
      <c r="G64" s="26">
        <f t="shared" si="27"/>
        <v>0</v>
      </c>
      <c r="H64" s="26">
        <f t="shared" si="38"/>
        <v>0</v>
      </c>
      <c r="I64" s="27">
        <f t="shared" si="50"/>
        <v>0</v>
      </c>
      <c r="J64" s="27">
        <f t="shared" si="50"/>
        <v>0</v>
      </c>
      <c r="K64" s="27">
        <f t="shared" si="50"/>
        <v>0</v>
      </c>
      <c r="L64" s="27">
        <f t="shared" si="50"/>
        <v>0</v>
      </c>
      <c r="M64" s="28">
        <f t="shared" si="51"/>
        <v>0</v>
      </c>
      <c r="N64" s="29">
        <f t="shared" si="52"/>
        <v>6</v>
      </c>
      <c r="O64" s="28">
        <f t="shared" si="53"/>
        <v>0</v>
      </c>
      <c r="P64" s="28">
        <f t="shared" si="54"/>
        <v>0</v>
      </c>
      <c r="Q64" s="28">
        <f t="shared" si="28"/>
        <v>6</v>
      </c>
      <c r="R64" s="22">
        <f t="shared" si="29"/>
        <v>0</v>
      </c>
      <c r="S64" s="22">
        <f t="shared" si="30"/>
        <v>0</v>
      </c>
      <c r="T64" s="22">
        <f t="shared" si="31"/>
        <v>0</v>
      </c>
      <c r="U64" s="22">
        <f t="shared" si="32"/>
        <v>0</v>
      </c>
      <c r="V64" s="21">
        <f t="shared" si="39"/>
        <v>0</v>
      </c>
      <c r="W64" s="21">
        <f t="shared" si="40"/>
        <v>0</v>
      </c>
      <c r="X64" s="21">
        <f t="shared" si="41"/>
        <v>0</v>
      </c>
      <c r="Y64" s="21">
        <f t="shared" si="42"/>
        <v>0</v>
      </c>
      <c r="Z64" s="221">
        <f t="shared" si="33"/>
        <v>0</v>
      </c>
      <c r="AA64" s="30">
        <f t="shared" si="21"/>
        <v>0</v>
      </c>
      <c r="AB64" s="30">
        <f t="shared" si="22"/>
        <v>0</v>
      </c>
      <c r="AC64" s="30">
        <f t="shared" si="23"/>
        <v>0</v>
      </c>
      <c r="AD64" s="30">
        <f t="shared" si="24"/>
        <v>0</v>
      </c>
      <c r="AE64" s="32">
        <f t="shared" si="34"/>
        <v>0</v>
      </c>
      <c r="AF64" s="33">
        <f t="shared" si="49"/>
        <v>0</v>
      </c>
      <c r="AG64" s="40">
        <f t="shared" si="35"/>
        <v>0</v>
      </c>
      <c r="AH64" s="224">
        <f>AG64*$P$33</f>
        <v>0</v>
      </c>
      <c r="AI64" s="227">
        <f t="shared" si="36"/>
        <v>0</v>
      </c>
    </row>
    <row r="65" spans="1:35" x14ac:dyDescent="0.35">
      <c r="A65" s="45">
        <v>1326</v>
      </c>
      <c r="B65" s="58">
        <f>SUMIF([2]!Table2_23[ETA],'FIS Optimal Model'!A65,[2]!Table2_23[FIS PAX])</f>
        <v>0</v>
      </c>
      <c r="C65" s="44">
        <f t="shared" si="37"/>
        <v>0</v>
      </c>
      <c r="D65" s="52">
        <f t="shared" si="43"/>
        <v>0</v>
      </c>
      <c r="E65" s="26">
        <f t="shared" si="25"/>
        <v>0</v>
      </c>
      <c r="F65" s="26">
        <f t="shared" si="26"/>
        <v>0</v>
      </c>
      <c r="G65" s="26">
        <f t="shared" si="27"/>
        <v>0</v>
      </c>
      <c r="H65" s="26">
        <f t="shared" si="38"/>
        <v>0</v>
      </c>
      <c r="I65" s="27">
        <f t="shared" si="50"/>
        <v>0</v>
      </c>
      <c r="J65" s="27">
        <f t="shared" si="50"/>
        <v>0</v>
      </c>
      <c r="K65" s="27">
        <f t="shared" si="50"/>
        <v>0</v>
      </c>
      <c r="L65" s="27">
        <f t="shared" si="50"/>
        <v>0</v>
      </c>
      <c r="M65" s="28">
        <f t="shared" si="51"/>
        <v>0</v>
      </c>
      <c r="N65" s="29">
        <f t="shared" si="52"/>
        <v>6</v>
      </c>
      <c r="O65" s="28">
        <f t="shared" si="53"/>
        <v>0</v>
      </c>
      <c r="P65" s="28">
        <f t="shared" si="54"/>
        <v>0</v>
      </c>
      <c r="Q65" s="28">
        <f t="shared" si="28"/>
        <v>6</v>
      </c>
      <c r="R65" s="22">
        <f t="shared" si="29"/>
        <v>0</v>
      </c>
      <c r="S65" s="22">
        <f t="shared" si="30"/>
        <v>0</v>
      </c>
      <c r="T65" s="22">
        <f t="shared" si="31"/>
        <v>0</v>
      </c>
      <c r="U65" s="22">
        <f t="shared" si="32"/>
        <v>0</v>
      </c>
      <c r="V65" s="21">
        <f t="shared" si="39"/>
        <v>0</v>
      </c>
      <c r="W65" s="21">
        <f t="shared" si="40"/>
        <v>0</v>
      </c>
      <c r="X65" s="21">
        <f t="shared" si="41"/>
        <v>0</v>
      </c>
      <c r="Y65" s="21">
        <f t="shared" si="42"/>
        <v>0</v>
      </c>
      <c r="Z65" s="221">
        <f t="shared" si="33"/>
        <v>0</v>
      </c>
      <c r="AA65" s="30">
        <f t="shared" si="21"/>
        <v>0</v>
      </c>
      <c r="AB65" s="30">
        <f t="shared" si="22"/>
        <v>0</v>
      </c>
      <c r="AC65" s="30">
        <f t="shared" si="23"/>
        <v>0</v>
      </c>
      <c r="AD65" s="30">
        <f t="shared" si="24"/>
        <v>0</v>
      </c>
      <c r="AE65" s="32">
        <f t="shared" si="34"/>
        <v>0</v>
      </c>
      <c r="AF65" s="33">
        <f t="shared" si="49"/>
        <v>0</v>
      </c>
      <c r="AG65" s="40">
        <f t="shared" si="35"/>
        <v>0</v>
      </c>
      <c r="AH65" s="224">
        <f>AG65*$P$33</f>
        <v>0</v>
      </c>
      <c r="AI65" s="227">
        <f t="shared" si="36"/>
        <v>0</v>
      </c>
    </row>
    <row r="66" spans="1:35" x14ac:dyDescent="0.35">
      <c r="A66" s="45">
        <v>1327</v>
      </c>
      <c r="B66" s="58">
        <f>SUMIF([2]!Table2_23[ETA],'FIS Optimal Model'!A66,[2]!Table2_23[FIS PAX])</f>
        <v>0</v>
      </c>
      <c r="C66" s="44">
        <f t="shared" si="37"/>
        <v>0</v>
      </c>
      <c r="D66" s="52">
        <f t="shared" si="43"/>
        <v>0</v>
      </c>
      <c r="E66" s="26">
        <f t="shared" si="25"/>
        <v>0</v>
      </c>
      <c r="F66" s="26">
        <f t="shared" si="26"/>
        <v>0</v>
      </c>
      <c r="G66" s="26">
        <f t="shared" si="27"/>
        <v>0</v>
      </c>
      <c r="H66" s="26">
        <f t="shared" si="38"/>
        <v>0</v>
      </c>
      <c r="I66" s="27">
        <f t="shared" si="50"/>
        <v>0</v>
      </c>
      <c r="J66" s="27">
        <f t="shared" si="50"/>
        <v>0</v>
      </c>
      <c r="K66" s="27">
        <f t="shared" si="50"/>
        <v>0</v>
      </c>
      <c r="L66" s="27">
        <f t="shared" si="50"/>
        <v>0</v>
      </c>
      <c r="M66" s="28">
        <f t="shared" si="51"/>
        <v>0</v>
      </c>
      <c r="N66" s="29">
        <f t="shared" si="52"/>
        <v>6</v>
      </c>
      <c r="O66" s="28">
        <f t="shared" si="53"/>
        <v>0</v>
      </c>
      <c r="P66" s="28">
        <f t="shared" si="54"/>
        <v>0</v>
      </c>
      <c r="Q66" s="28">
        <f t="shared" si="28"/>
        <v>6</v>
      </c>
      <c r="R66" s="22">
        <f t="shared" si="29"/>
        <v>0</v>
      </c>
      <c r="S66" s="22">
        <f t="shared" si="30"/>
        <v>0</v>
      </c>
      <c r="T66" s="22">
        <f t="shared" si="31"/>
        <v>0</v>
      </c>
      <c r="U66" s="22">
        <f t="shared" si="32"/>
        <v>0</v>
      </c>
      <c r="V66" s="21">
        <f t="shared" si="39"/>
        <v>0</v>
      </c>
      <c r="W66" s="21">
        <f t="shared" si="40"/>
        <v>0</v>
      </c>
      <c r="X66" s="21">
        <f t="shared" si="41"/>
        <v>0</v>
      </c>
      <c r="Y66" s="21">
        <f t="shared" si="42"/>
        <v>0</v>
      </c>
      <c r="Z66" s="221">
        <f t="shared" si="33"/>
        <v>0</v>
      </c>
      <c r="AA66" s="30">
        <f t="shared" si="21"/>
        <v>0</v>
      </c>
      <c r="AB66" s="30">
        <f t="shared" si="22"/>
        <v>0</v>
      </c>
      <c r="AC66" s="30">
        <f t="shared" si="23"/>
        <v>0</v>
      </c>
      <c r="AD66" s="30">
        <f t="shared" si="24"/>
        <v>0</v>
      </c>
      <c r="AE66" s="32">
        <f t="shared" si="34"/>
        <v>0</v>
      </c>
      <c r="AF66" s="33">
        <f t="shared" si="49"/>
        <v>0</v>
      </c>
      <c r="AG66" s="40">
        <f t="shared" si="35"/>
        <v>0</v>
      </c>
      <c r="AH66" s="224">
        <f>AG66*$P$33</f>
        <v>0</v>
      </c>
      <c r="AI66" s="227">
        <f t="shared" si="36"/>
        <v>0</v>
      </c>
    </row>
    <row r="67" spans="1:35" x14ac:dyDescent="0.35">
      <c r="A67" s="45">
        <v>1328</v>
      </c>
      <c r="B67" s="58">
        <f>SUMIF([2]!Table2_23[ETA],'FIS Optimal Model'!A67,[2]!Table2_23[FIS PAX])</f>
        <v>0</v>
      </c>
      <c r="C67" s="44">
        <f t="shared" si="37"/>
        <v>0</v>
      </c>
      <c r="D67" s="52">
        <f t="shared" si="43"/>
        <v>0</v>
      </c>
      <c r="E67" s="26">
        <f t="shared" si="25"/>
        <v>0</v>
      </c>
      <c r="F67" s="26">
        <f t="shared" si="26"/>
        <v>0</v>
      </c>
      <c r="G67" s="26">
        <f t="shared" si="27"/>
        <v>0</v>
      </c>
      <c r="H67" s="26">
        <f t="shared" si="38"/>
        <v>0</v>
      </c>
      <c r="I67" s="27">
        <f t="shared" si="50"/>
        <v>0</v>
      </c>
      <c r="J67" s="27">
        <f t="shared" si="50"/>
        <v>0</v>
      </c>
      <c r="K67" s="27">
        <f t="shared" si="50"/>
        <v>0</v>
      </c>
      <c r="L67" s="27">
        <f t="shared" si="50"/>
        <v>0</v>
      </c>
      <c r="M67" s="28">
        <f t="shared" si="51"/>
        <v>0</v>
      </c>
      <c r="N67" s="29">
        <f t="shared" si="52"/>
        <v>6</v>
      </c>
      <c r="O67" s="28">
        <f t="shared" si="53"/>
        <v>0</v>
      </c>
      <c r="P67" s="28">
        <f t="shared" si="54"/>
        <v>0</v>
      </c>
      <c r="Q67" s="28">
        <f t="shared" si="28"/>
        <v>6</v>
      </c>
      <c r="R67" s="22">
        <f t="shared" si="29"/>
        <v>0</v>
      </c>
      <c r="S67" s="22">
        <f t="shared" si="30"/>
        <v>0</v>
      </c>
      <c r="T67" s="22">
        <f t="shared" si="31"/>
        <v>0</v>
      </c>
      <c r="U67" s="22">
        <f t="shared" si="32"/>
        <v>0</v>
      </c>
      <c r="V67" s="21">
        <f t="shared" si="39"/>
        <v>0</v>
      </c>
      <c r="W67" s="21">
        <f t="shared" si="40"/>
        <v>0</v>
      </c>
      <c r="X67" s="21">
        <f t="shared" si="41"/>
        <v>0</v>
      </c>
      <c r="Y67" s="21">
        <f t="shared" si="42"/>
        <v>0</v>
      </c>
      <c r="Z67" s="221">
        <f t="shared" si="33"/>
        <v>0</v>
      </c>
      <c r="AA67" s="30">
        <f t="shared" si="21"/>
        <v>0</v>
      </c>
      <c r="AB67" s="30">
        <f t="shared" si="22"/>
        <v>0</v>
      </c>
      <c r="AC67" s="30">
        <f t="shared" si="23"/>
        <v>0</v>
      </c>
      <c r="AD67" s="30">
        <f t="shared" si="24"/>
        <v>0</v>
      </c>
      <c r="AE67" s="32">
        <f t="shared" si="34"/>
        <v>0</v>
      </c>
      <c r="AF67" s="33">
        <f t="shared" si="49"/>
        <v>0</v>
      </c>
      <c r="AG67" s="40">
        <f t="shared" si="35"/>
        <v>0</v>
      </c>
      <c r="AH67" s="224">
        <f>AG67*$P$33</f>
        <v>0</v>
      </c>
      <c r="AI67" s="227">
        <f t="shared" si="36"/>
        <v>0</v>
      </c>
    </row>
    <row r="68" spans="1:35" x14ac:dyDescent="0.35">
      <c r="A68" s="45">
        <v>1329</v>
      </c>
      <c r="B68" s="58">
        <f>SUMIF([2]!Table2_23[ETA],'FIS Optimal Model'!A68,[2]!Table2_23[FIS PAX])</f>
        <v>0</v>
      </c>
      <c r="C68" s="44">
        <f t="shared" si="37"/>
        <v>0</v>
      </c>
      <c r="D68" s="52">
        <f t="shared" si="43"/>
        <v>0</v>
      </c>
      <c r="E68" s="26">
        <f t="shared" si="25"/>
        <v>0</v>
      </c>
      <c r="F68" s="26">
        <f t="shared" si="26"/>
        <v>0</v>
      </c>
      <c r="G68" s="26">
        <f t="shared" si="27"/>
        <v>0</v>
      </c>
      <c r="H68" s="26">
        <f t="shared" si="38"/>
        <v>0</v>
      </c>
      <c r="I68" s="27">
        <f t="shared" si="50"/>
        <v>0</v>
      </c>
      <c r="J68" s="27">
        <f t="shared" si="50"/>
        <v>0</v>
      </c>
      <c r="K68" s="27">
        <f t="shared" si="50"/>
        <v>0</v>
      </c>
      <c r="L68" s="27">
        <f t="shared" si="50"/>
        <v>0</v>
      </c>
      <c r="M68" s="28">
        <f t="shared" si="51"/>
        <v>0</v>
      </c>
      <c r="N68" s="29">
        <f t="shared" si="52"/>
        <v>6</v>
      </c>
      <c r="O68" s="28">
        <f t="shared" si="53"/>
        <v>0</v>
      </c>
      <c r="P68" s="28">
        <f t="shared" si="54"/>
        <v>0</v>
      </c>
      <c r="Q68" s="28">
        <f t="shared" si="28"/>
        <v>6</v>
      </c>
      <c r="R68" s="22">
        <f t="shared" si="29"/>
        <v>0</v>
      </c>
      <c r="S68" s="22">
        <f t="shared" si="30"/>
        <v>0</v>
      </c>
      <c r="T68" s="22">
        <f t="shared" si="31"/>
        <v>0</v>
      </c>
      <c r="U68" s="22">
        <f t="shared" si="32"/>
        <v>0</v>
      </c>
      <c r="V68" s="21">
        <f t="shared" si="39"/>
        <v>0</v>
      </c>
      <c r="W68" s="21">
        <f t="shared" si="40"/>
        <v>0</v>
      </c>
      <c r="X68" s="21">
        <f t="shared" si="41"/>
        <v>0</v>
      </c>
      <c r="Y68" s="21">
        <f t="shared" si="42"/>
        <v>0</v>
      </c>
      <c r="Z68" s="221">
        <f t="shared" si="33"/>
        <v>0</v>
      </c>
      <c r="AA68" s="30">
        <f t="shared" si="21"/>
        <v>0</v>
      </c>
      <c r="AB68" s="30">
        <f t="shared" si="22"/>
        <v>0</v>
      </c>
      <c r="AC68" s="30">
        <f t="shared" si="23"/>
        <v>0</v>
      </c>
      <c r="AD68" s="30">
        <f t="shared" si="24"/>
        <v>0</v>
      </c>
      <c r="AE68" s="32">
        <f t="shared" si="34"/>
        <v>0</v>
      </c>
      <c r="AF68" s="33">
        <f t="shared" si="49"/>
        <v>0</v>
      </c>
      <c r="AG68" s="40">
        <f t="shared" si="35"/>
        <v>0</v>
      </c>
      <c r="AH68" s="224">
        <f>AG68*$P$33</f>
        <v>0</v>
      </c>
      <c r="AI68" s="227">
        <f t="shared" si="36"/>
        <v>0</v>
      </c>
    </row>
    <row r="69" spans="1:35" x14ac:dyDescent="0.35">
      <c r="A69" s="45">
        <v>1330</v>
      </c>
      <c r="B69" s="58">
        <f>SUMIF([2]!Table2_23[ETA],'FIS Optimal Model'!A69,[2]!Table2_23[FIS PAX])</f>
        <v>0</v>
      </c>
      <c r="C69" s="44">
        <f t="shared" si="37"/>
        <v>0</v>
      </c>
      <c r="D69" s="52">
        <f t="shared" si="43"/>
        <v>0</v>
      </c>
      <c r="E69" s="26">
        <f t="shared" si="25"/>
        <v>0</v>
      </c>
      <c r="F69" s="26">
        <f t="shared" si="26"/>
        <v>0</v>
      </c>
      <c r="G69" s="26">
        <f t="shared" si="27"/>
        <v>0</v>
      </c>
      <c r="H69" s="26">
        <f t="shared" si="38"/>
        <v>0</v>
      </c>
      <c r="I69" s="27">
        <f t="shared" si="50"/>
        <v>0</v>
      </c>
      <c r="J69" s="27">
        <f t="shared" si="50"/>
        <v>0</v>
      </c>
      <c r="K69" s="27">
        <f t="shared" si="50"/>
        <v>0</v>
      </c>
      <c r="L69" s="27">
        <f t="shared" si="50"/>
        <v>0</v>
      </c>
      <c r="M69" s="28">
        <f t="shared" si="51"/>
        <v>0</v>
      </c>
      <c r="N69" s="29">
        <f t="shared" si="52"/>
        <v>6</v>
      </c>
      <c r="O69" s="28">
        <f t="shared" si="53"/>
        <v>0</v>
      </c>
      <c r="P69" s="28">
        <f t="shared" si="54"/>
        <v>0</v>
      </c>
      <c r="Q69" s="28">
        <f t="shared" si="28"/>
        <v>6</v>
      </c>
      <c r="R69" s="22">
        <f t="shared" si="29"/>
        <v>0</v>
      </c>
      <c r="S69" s="22">
        <f t="shared" si="30"/>
        <v>0</v>
      </c>
      <c r="T69" s="22">
        <f t="shared" si="31"/>
        <v>0</v>
      </c>
      <c r="U69" s="22">
        <f t="shared" si="32"/>
        <v>0</v>
      </c>
      <c r="V69" s="21">
        <f t="shared" si="39"/>
        <v>0</v>
      </c>
      <c r="W69" s="21">
        <f t="shared" si="40"/>
        <v>0</v>
      </c>
      <c r="X69" s="21">
        <f t="shared" si="41"/>
        <v>0</v>
      </c>
      <c r="Y69" s="21">
        <f t="shared" si="42"/>
        <v>0</v>
      </c>
      <c r="Z69" s="221">
        <f t="shared" si="33"/>
        <v>0</v>
      </c>
      <c r="AA69" s="30">
        <f t="shared" si="21"/>
        <v>0</v>
      </c>
      <c r="AB69" s="30">
        <f t="shared" si="22"/>
        <v>0</v>
      </c>
      <c r="AC69" s="30">
        <f t="shared" si="23"/>
        <v>0</v>
      </c>
      <c r="AD69" s="30">
        <f t="shared" si="24"/>
        <v>0</v>
      </c>
      <c r="AE69" s="32">
        <f t="shared" si="34"/>
        <v>0</v>
      </c>
      <c r="AF69" s="33">
        <f t="shared" si="49"/>
        <v>0</v>
      </c>
      <c r="AG69" s="40">
        <f t="shared" si="35"/>
        <v>0</v>
      </c>
      <c r="AH69" s="224">
        <f>AG69*$P$33</f>
        <v>0</v>
      </c>
      <c r="AI69" s="227">
        <f t="shared" si="36"/>
        <v>0</v>
      </c>
    </row>
    <row r="70" spans="1:35" x14ac:dyDescent="0.35">
      <c r="A70" s="45">
        <v>1331</v>
      </c>
      <c r="B70" s="58">
        <f>SUMIF([2]!Table2_23[ETA],'FIS Optimal Model'!A70,[2]!Table2_23[FIS PAX])</f>
        <v>0</v>
      </c>
      <c r="C70" s="44">
        <f t="shared" si="37"/>
        <v>0</v>
      </c>
      <c r="D70" s="52">
        <f t="shared" si="43"/>
        <v>0</v>
      </c>
      <c r="E70" s="26">
        <f t="shared" si="25"/>
        <v>0</v>
      </c>
      <c r="F70" s="26">
        <f t="shared" si="26"/>
        <v>0</v>
      </c>
      <c r="G70" s="26">
        <f t="shared" si="27"/>
        <v>0</v>
      </c>
      <c r="H70" s="26">
        <f t="shared" si="38"/>
        <v>0</v>
      </c>
      <c r="I70" s="27">
        <f t="shared" si="50"/>
        <v>0</v>
      </c>
      <c r="J70" s="27">
        <f t="shared" si="50"/>
        <v>0</v>
      </c>
      <c r="K70" s="27">
        <f t="shared" si="50"/>
        <v>0</v>
      </c>
      <c r="L70" s="27">
        <f t="shared" si="50"/>
        <v>0</v>
      </c>
      <c r="M70" s="28">
        <f>IF(R69=0,0,$Q$8)</f>
        <v>0</v>
      </c>
      <c r="N70" s="29">
        <f>$U$8-M70-O70-P70</f>
        <v>6</v>
      </c>
      <c r="O70" s="28">
        <f>IF(T69=0,0,$S$8)</f>
        <v>0</v>
      </c>
      <c r="P70" s="28">
        <f>IF(U69=0,0,$T$8)</f>
        <v>0</v>
      </c>
      <c r="Q70" s="28">
        <f t="shared" si="28"/>
        <v>6</v>
      </c>
      <c r="R70" s="22">
        <f t="shared" si="29"/>
        <v>0</v>
      </c>
      <c r="S70" s="22">
        <f t="shared" si="30"/>
        <v>0</v>
      </c>
      <c r="T70" s="22">
        <f t="shared" si="31"/>
        <v>0</v>
      </c>
      <c r="U70" s="22">
        <f t="shared" si="32"/>
        <v>0</v>
      </c>
      <c r="V70" s="21">
        <f t="shared" si="39"/>
        <v>0</v>
      </c>
      <c r="W70" s="21">
        <f t="shared" si="40"/>
        <v>0</v>
      </c>
      <c r="X70" s="21">
        <f t="shared" si="41"/>
        <v>0</v>
      </c>
      <c r="Y70" s="21">
        <f t="shared" si="42"/>
        <v>0</v>
      </c>
      <c r="Z70" s="221">
        <f t="shared" si="33"/>
        <v>0</v>
      </c>
      <c r="AA70" s="30">
        <f t="shared" si="21"/>
        <v>0</v>
      </c>
      <c r="AB70" s="30">
        <f t="shared" si="22"/>
        <v>0</v>
      </c>
      <c r="AC70" s="30">
        <f t="shared" si="23"/>
        <v>0</v>
      </c>
      <c r="AD70" s="30">
        <f t="shared" si="24"/>
        <v>0</v>
      </c>
      <c r="AE70" s="32">
        <f t="shared" si="34"/>
        <v>0</v>
      </c>
      <c r="AF70" s="33">
        <f t="shared" si="49"/>
        <v>0</v>
      </c>
      <c r="AG70" s="40">
        <f t="shared" si="35"/>
        <v>0</v>
      </c>
      <c r="AH70" s="224">
        <f>AG70*$P$33</f>
        <v>0</v>
      </c>
      <c r="AI70" s="227">
        <f t="shared" si="36"/>
        <v>0</v>
      </c>
    </row>
    <row r="71" spans="1:35" x14ac:dyDescent="0.35">
      <c r="A71" s="45">
        <v>1332</v>
      </c>
      <c r="B71" s="58">
        <f>SUMIF([2]!Table2_23[ETA],'FIS Optimal Model'!A71,[2]!Table2_23[FIS PAX])</f>
        <v>0</v>
      </c>
      <c r="C71" s="44">
        <f t="shared" si="37"/>
        <v>0</v>
      </c>
      <c r="D71" s="52">
        <f t="shared" si="43"/>
        <v>0</v>
      </c>
      <c r="E71" s="26">
        <f t="shared" si="25"/>
        <v>0</v>
      </c>
      <c r="F71" s="26">
        <f t="shared" si="26"/>
        <v>0</v>
      </c>
      <c r="G71" s="26">
        <f t="shared" si="27"/>
        <v>0</v>
      </c>
      <c r="H71" s="26">
        <f t="shared" si="38"/>
        <v>0</v>
      </c>
      <c r="I71" s="27">
        <f t="shared" si="50"/>
        <v>0</v>
      </c>
      <c r="J71" s="27">
        <f t="shared" si="50"/>
        <v>0</v>
      </c>
      <c r="K71" s="27">
        <f t="shared" si="50"/>
        <v>0</v>
      </c>
      <c r="L71" s="27">
        <f t="shared" si="50"/>
        <v>0</v>
      </c>
      <c r="M71" s="28">
        <f>M70</f>
        <v>0</v>
      </c>
      <c r="N71" s="29">
        <f>N70</f>
        <v>6</v>
      </c>
      <c r="O71" s="28">
        <f>O70</f>
        <v>0</v>
      </c>
      <c r="P71" s="28">
        <f>P70</f>
        <v>0</v>
      </c>
      <c r="Q71" s="28">
        <f t="shared" si="28"/>
        <v>6</v>
      </c>
      <c r="R71" s="22">
        <f t="shared" si="29"/>
        <v>0</v>
      </c>
      <c r="S71" s="22">
        <f t="shared" si="30"/>
        <v>0</v>
      </c>
      <c r="T71" s="22">
        <f t="shared" si="31"/>
        <v>0</v>
      </c>
      <c r="U71" s="22">
        <f t="shared" si="32"/>
        <v>0</v>
      </c>
      <c r="V71" s="21">
        <f t="shared" si="39"/>
        <v>0</v>
      </c>
      <c r="W71" s="21">
        <f t="shared" si="40"/>
        <v>0</v>
      </c>
      <c r="X71" s="21">
        <f t="shared" si="41"/>
        <v>0</v>
      </c>
      <c r="Y71" s="21">
        <f t="shared" si="42"/>
        <v>0</v>
      </c>
      <c r="Z71" s="221">
        <f t="shared" si="33"/>
        <v>0</v>
      </c>
      <c r="AA71" s="30">
        <f t="shared" si="21"/>
        <v>0</v>
      </c>
      <c r="AB71" s="30">
        <f t="shared" si="22"/>
        <v>0</v>
      </c>
      <c r="AC71" s="30">
        <f t="shared" si="23"/>
        <v>0</v>
      </c>
      <c r="AD71" s="30">
        <f t="shared" si="24"/>
        <v>0</v>
      </c>
      <c r="AE71" s="32">
        <f t="shared" si="34"/>
        <v>0</v>
      </c>
      <c r="AF71" s="33">
        <f t="shared" si="49"/>
        <v>0</v>
      </c>
      <c r="AG71" s="40">
        <f t="shared" si="35"/>
        <v>0</v>
      </c>
      <c r="AH71" s="224">
        <f>AG71*$P$33</f>
        <v>0</v>
      </c>
      <c r="AI71" s="227">
        <f t="shared" si="36"/>
        <v>0</v>
      </c>
    </row>
    <row r="72" spans="1:35" x14ac:dyDescent="0.35">
      <c r="A72" s="45">
        <v>1333</v>
      </c>
      <c r="B72" s="58">
        <f>SUMIF([2]!Table2_23[ETA],'FIS Optimal Model'!A72,[2]!Table2_23[FIS PAX])</f>
        <v>0</v>
      </c>
      <c r="C72" s="44">
        <f t="shared" si="37"/>
        <v>0</v>
      </c>
      <c r="D72" s="52">
        <f t="shared" si="43"/>
        <v>0</v>
      </c>
      <c r="E72" s="26">
        <f t="shared" si="25"/>
        <v>0</v>
      </c>
      <c r="F72" s="26">
        <f t="shared" si="26"/>
        <v>0</v>
      </c>
      <c r="G72" s="26">
        <f t="shared" si="27"/>
        <v>0</v>
      </c>
      <c r="H72" s="26">
        <f t="shared" si="38"/>
        <v>0</v>
      </c>
      <c r="I72" s="27">
        <f t="shared" si="50"/>
        <v>0</v>
      </c>
      <c r="J72" s="27">
        <f t="shared" si="50"/>
        <v>0</v>
      </c>
      <c r="K72" s="27">
        <f t="shared" si="50"/>
        <v>0</v>
      </c>
      <c r="L72" s="27">
        <f t="shared" si="50"/>
        <v>0</v>
      </c>
      <c r="M72" s="28">
        <f t="shared" ref="M72:P84" si="55">M71</f>
        <v>0</v>
      </c>
      <c r="N72" s="29">
        <f t="shared" si="55"/>
        <v>6</v>
      </c>
      <c r="O72" s="28">
        <f t="shared" si="55"/>
        <v>0</v>
      </c>
      <c r="P72" s="28">
        <f t="shared" si="55"/>
        <v>0</v>
      </c>
      <c r="Q72" s="28">
        <f t="shared" si="28"/>
        <v>6</v>
      </c>
      <c r="R72" s="22">
        <f t="shared" si="29"/>
        <v>0</v>
      </c>
      <c r="S72" s="22">
        <f t="shared" si="30"/>
        <v>0</v>
      </c>
      <c r="T72" s="22">
        <f t="shared" si="31"/>
        <v>0</v>
      </c>
      <c r="U72" s="22">
        <f t="shared" si="32"/>
        <v>0</v>
      </c>
      <c r="V72" s="21">
        <f t="shared" si="39"/>
        <v>0</v>
      </c>
      <c r="W72" s="21">
        <f t="shared" si="40"/>
        <v>0</v>
      </c>
      <c r="X72" s="21">
        <f t="shared" si="41"/>
        <v>0</v>
      </c>
      <c r="Y72" s="21">
        <f t="shared" si="42"/>
        <v>0</v>
      </c>
      <c r="Z72" s="221">
        <f t="shared" si="33"/>
        <v>0</v>
      </c>
      <c r="AA72" s="30">
        <f t="shared" si="21"/>
        <v>0</v>
      </c>
      <c r="AB72" s="30">
        <f t="shared" si="22"/>
        <v>0</v>
      </c>
      <c r="AC72" s="30">
        <f t="shared" si="23"/>
        <v>0</v>
      </c>
      <c r="AD72" s="30">
        <f t="shared" si="24"/>
        <v>0</v>
      </c>
      <c r="AE72" s="32">
        <f t="shared" si="34"/>
        <v>0</v>
      </c>
      <c r="AF72" s="33">
        <f t="shared" si="49"/>
        <v>0</v>
      </c>
      <c r="AG72" s="40">
        <f t="shared" si="35"/>
        <v>0</v>
      </c>
      <c r="AH72" s="224">
        <f>AG72*$P$33</f>
        <v>0</v>
      </c>
      <c r="AI72" s="227">
        <f t="shared" si="36"/>
        <v>0</v>
      </c>
    </row>
    <row r="73" spans="1:35" x14ac:dyDescent="0.35">
      <c r="A73" s="45">
        <v>1334</v>
      </c>
      <c r="B73" s="58">
        <f>SUMIF([2]!Table2_23[ETA],'FIS Optimal Model'!A73,[2]!Table2_23[FIS PAX])</f>
        <v>152</v>
      </c>
      <c r="C73" s="44">
        <f>IF((D72-D73)&gt;-1,(D72-D73),18)</f>
        <v>0</v>
      </c>
      <c r="D73" s="52">
        <f t="shared" si="43"/>
        <v>0</v>
      </c>
      <c r="E73" s="26">
        <f t="shared" si="25"/>
        <v>0</v>
      </c>
      <c r="F73" s="26">
        <f t="shared" si="26"/>
        <v>0</v>
      </c>
      <c r="G73" s="26">
        <f t="shared" si="27"/>
        <v>0</v>
      </c>
      <c r="H73" s="26">
        <f t="shared" si="38"/>
        <v>0</v>
      </c>
      <c r="I73" s="27">
        <f t="shared" si="50"/>
        <v>0</v>
      </c>
      <c r="J73" s="27">
        <f t="shared" si="50"/>
        <v>0</v>
      </c>
      <c r="K73" s="27">
        <f t="shared" si="50"/>
        <v>0</v>
      </c>
      <c r="L73" s="27">
        <f t="shared" si="50"/>
        <v>0</v>
      </c>
      <c r="M73" s="28">
        <f t="shared" si="55"/>
        <v>0</v>
      </c>
      <c r="N73" s="29">
        <f t="shared" si="55"/>
        <v>6</v>
      </c>
      <c r="O73" s="28">
        <f t="shared" si="55"/>
        <v>0</v>
      </c>
      <c r="P73" s="28">
        <f t="shared" si="55"/>
        <v>0</v>
      </c>
      <c r="Q73" s="28">
        <f t="shared" si="28"/>
        <v>6</v>
      </c>
      <c r="R73" s="22">
        <f t="shared" si="29"/>
        <v>0</v>
      </c>
      <c r="S73" s="22">
        <f t="shared" si="30"/>
        <v>0</v>
      </c>
      <c r="T73" s="22">
        <f t="shared" si="31"/>
        <v>0</v>
      </c>
      <c r="U73" s="22">
        <f t="shared" si="32"/>
        <v>0</v>
      </c>
      <c r="V73" s="21">
        <f t="shared" si="39"/>
        <v>0</v>
      </c>
      <c r="W73" s="21">
        <f t="shared" si="40"/>
        <v>0</v>
      </c>
      <c r="X73" s="21">
        <f t="shared" si="41"/>
        <v>0</v>
      </c>
      <c r="Y73" s="21">
        <f t="shared" si="42"/>
        <v>0</v>
      </c>
      <c r="Z73" s="221">
        <f t="shared" si="33"/>
        <v>0</v>
      </c>
      <c r="AA73" s="30">
        <f t="shared" si="21"/>
        <v>0</v>
      </c>
      <c r="AB73" s="30">
        <f t="shared" si="22"/>
        <v>0</v>
      </c>
      <c r="AC73" s="30">
        <f t="shared" si="23"/>
        <v>0</v>
      </c>
      <c r="AD73" s="30">
        <f t="shared" si="24"/>
        <v>0</v>
      </c>
      <c r="AE73" s="32">
        <f t="shared" si="34"/>
        <v>0</v>
      </c>
      <c r="AF73" s="33">
        <f t="shared" si="49"/>
        <v>0</v>
      </c>
      <c r="AG73" s="40">
        <f t="shared" si="35"/>
        <v>0</v>
      </c>
      <c r="AH73" s="224">
        <f>AG73*$P$33</f>
        <v>0</v>
      </c>
      <c r="AI73" s="227">
        <f t="shared" si="36"/>
        <v>0</v>
      </c>
    </row>
    <row r="74" spans="1:35" x14ac:dyDescent="0.35">
      <c r="A74" s="45">
        <v>1335</v>
      </c>
      <c r="B74" s="58">
        <f>SUMIF([2]!Table2_23[ETA],'FIS Optimal Model'!A74,[2]!Table2_23[FIS PAX])</f>
        <v>0</v>
      </c>
      <c r="C74" s="44">
        <f t="shared" si="37"/>
        <v>18</v>
      </c>
      <c r="D74" s="52">
        <f t="shared" si="43"/>
        <v>134</v>
      </c>
      <c r="E74" s="26">
        <f t="shared" si="25"/>
        <v>9.9503999999999984</v>
      </c>
      <c r="F74" s="26">
        <f t="shared" si="26"/>
        <v>4.2713999999999999</v>
      </c>
      <c r="G74" s="26">
        <f t="shared" si="27"/>
        <v>2.9447999999999999</v>
      </c>
      <c r="H74" s="26">
        <f t="shared" si="38"/>
        <v>0.83340000000000003</v>
      </c>
      <c r="I74" s="27">
        <f t="shared" si="50"/>
        <v>0</v>
      </c>
      <c r="J74" s="27">
        <f t="shared" si="50"/>
        <v>0</v>
      </c>
      <c r="K74" s="27">
        <f t="shared" si="50"/>
        <v>0</v>
      </c>
      <c r="L74" s="27">
        <f t="shared" si="50"/>
        <v>0</v>
      </c>
      <c r="M74" s="28">
        <f t="shared" si="55"/>
        <v>0</v>
      </c>
      <c r="N74" s="29">
        <f t="shared" si="55"/>
        <v>6</v>
      </c>
      <c r="O74" s="28">
        <f t="shared" si="55"/>
        <v>0</v>
      </c>
      <c r="P74" s="28">
        <f t="shared" si="55"/>
        <v>0</v>
      </c>
      <c r="Q74" s="28">
        <f t="shared" si="28"/>
        <v>6</v>
      </c>
      <c r="R74" s="22">
        <f t="shared" si="29"/>
        <v>0</v>
      </c>
      <c r="S74" s="22">
        <f t="shared" si="30"/>
        <v>0</v>
      </c>
      <c r="T74" s="22">
        <f t="shared" si="31"/>
        <v>0</v>
      </c>
      <c r="U74" s="22">
        <f t="shared" si="32"/>
        <v>0</v>
      </c>
      <c r="V74" s="21">
        <f t="shared" si="39"/>
        <v>0</v>
      </c>
      <c r="W74" s="21">
        <f t="shared" si="40"/>
        <v>0</v>
      </c>
      <c r="X74" s="21">
        <f t="shared" si="41"/>
        <v>0</v>
      </c>
      <c r="Y74" s="21">
        <f t="shared" si="42"/>
        <v>0</v>
      </c>
      <c r="Z74" s="221">
        <f t="shared" si="33"/>
        <v>0</v>
      </c>
      <c r="AA74" s="30">
        <f t="shared" si="21"/>
        <v>0</v>
      </c>
      <c r="AB74" s="30">
        <f t="shared" si="22"/>
        <v>0</v>
      </c>
      <c r="AC74" s="30">
        <f t="shared" si="23"/>
        <v>0</v>
      </c>
      <c r="AD74" s="30">
        <f t="shared" si="24"/>
        <v>0</v>
      </c>
      <c r="AE74" s="32">
        <f t="shared" si="34"/>
        <v>0</v>
      </c>
      <c r="AF74" s="33">
        <f t="shared" si="49"/>
        <v>0</v>
      </c>
      <c r="AG74" s="40">
        <f t="shared" si="35"/>
        <v>0</v>
      </c>
      <c r="AH74" s="224">
        <f>AG74*$P$33</f>
        <v>0</v>
      </c>
      <c r="AI74" s="227">
        <f t="shared" si="36"/>
        <v>0</v>
      </c>
    </row>
    <row r="75" spans="1:35" x14ac:dyDescent="0.35">
      <c r="A75" s="45">
        <v>1336</v>
      </c>
      <c r="B75" s="58">
        <f>SUMIF([2]!Table2_23[ETA],'FIS Optimal Model'!A75,[2]!Table2_23[FIS PAX])</f>
        <v>0</v>
      </c>
      <c r="C75" s="44">
        <f t="shared" si="37"/>
        <v>18</v>
      </c>
      <c r="D75" s="52">
        <f t="shared" si="43"/>
        <v>116</v>
      </c>
      <c r="E75" s="26">
        <f t="shared" si="25"/>
        <v>9.9503999999999984</v>
      </c>
      <c r="F75" s="26">
        <f t="shared" si="26"/>
        <v>4.2713999999999999</v>
      </c>
      <c r="G75" s="26">
        <f t="shared" si="27"/>
        <v>2.9447999999999999</v>
      </c>
      <c r="H75" s="26">
        <f t="shared" si="38"/>
        <v>0.83340000000000003</v>
      </c>
      <c r="I75" s="27">
        <f t="shared" si="50"/>
        <v>0</v>
      </c>
      <c r="J75" s="27">
        <f t="shared" si="50"/>
        <v>0</v>
      </c>
      <c r="K75" s="27">
        <f t="shared" si="50"/>
        <v>0</v>
      </c>
      <c r="L75" s="27">
        <f t="shared" si="50"/>
        <v>0</v>
      </c>
      <c r="M75" s="28">
        <f t="shared" si="55"/>
        <v>0</v>
      </c>
      <c r="N75" s="29">
        <f t="shared" si="55"/>
        <v>6</v>
      </c>
      <c r="O75" s="28">
        <f t="shared" si="55"/>
        <v>0</v>
      </c>
      <c r="P75" s="28">
        <f t="shared" si="55"/>
        <v>0</v>
      </c>
      <c r="Q75" s="28">
        <f t="shared" si="28"/>
        <v>6</v>
      </c>
      <c r="R75" s="22">
        <f t="shared" si="29"/>
        <v>0</v>
      </c>
      <c r="S75" s="22">
        <f t="shared" si="30"/>
        <v>0</v>
      </c>
      <c r="T75" s="22">
        <f t="shared" si="31"/>
        <v>0</v>
      </c>
      <c r="U75" s="22">
        <f t="shared" si="32"/>
        <v>0</v>
      </c>
      <c r="V75" s="21">
        <f t="shared" si="39"/>
        <v>0</v>
      </c>
      <c r="W75" s="21">
        <f t="shared" si="40"/>
        <v>0</v>
      </c>
      <c r="X75" s="21">
        <f t="shared" si="41"/>
        <v>0</v>
      </c>
      <c r="Y75" s="21">
        <f t="shared" si="42"/>
        <v>0</v>
      </c>
      <c r="Z75" s="221">
        <f t="shared" si="33"/>
        <v>0</v>
      </c>
      <c r="AA75" s="30">
        <f t="shared" si="21"/>
        <v>0</v>
      </c>
      <c r="AB75" s="30">
        <f t="shared" si="22"/>
        <v>0</v>
      </c>
      <c r="AC75" s="30">
        <f t="shared" si="23"/>
        <v>0</v>
      </c>
      <c r="AD75" s="30">
        <f t="shared" si="24"/>
        <v>0</v>
      </c>
      <c r="AE75" s="32">
        <f t="shared" si="34"/>
        <v>0</v>
      </c>
      <c r="AF75" s="33">
        <f t="shared" si="49"/>
        <v>0</v>
      </c>
      <c r="AG75" s="40">
        <f t="shared" si="35"/>
        <v>0</v>
      </c>
      <c r="AH75" s="224">
        <f>AG75*$P$33</f>
        <v>0</v>
      </c>
      <c r="AI75" s="227">
        <f t="shared" si="36"/>
        <v>0</v>
      </c>
    </row>
    <row r="76" spans="1:35" x14ac:dyDescent="0.35">
      <c r="A76" s="45">
        <v>1337</v>
      </c>
      <c r="B76" s="58">
        <f>SUMIF([2]!Table2_23[ETA],'FIS Optimal Model'!A76,[2]!Table2_23[FIS PAX])</f>
        <v>0</v>
      </c>
      <c r="C76" s="44">
        <f t="shared" si="37"/>
        <v>18</v>
      </c>
      <c r="D76" s="52">
        <f t="shared" si="43"/>
        <v>98</v>
      </c>
      <c r="E76" s="26">
        <f t="shared" si="25"/>
        <v>9.9503999999999984</v>
      </c>
      <c r="F76" s="26">
        <f t="shared" si="26"/>
        <v>4.2713999999999999</v>
      </c>
      <c r="G76" s="26">
        <f t="shared" si="27"/>
        <v>2.9447999999999999</v>
      </c>
      <c r="H76" s="26">
        <f t="shared" si="38"/>
        <v>0.83340000000000003</v>
      </c>
      <c r="I76" s="27">
        <f t="shared" si="50"/>
        <v>0</v>
      </c>
      <c r="J76" s="27">
        <f t="shared" si="50"/>
        <v>0</v>
      </c>
      <c r="K76" s="27">
        <f t="shared" si="50"/>
        <v>0</v>
      </c>
      <c r="L76" s="27">
        <f t="shared" si="50"/>
        <v>0</v>
      </c>
      <c r="M76" s="28">
        <f t="shared" si="55"/>
        <v>0</v>
      </c>
      <c r="N76" s="29">
        <f t="shared" si="55"/>
        <v>6</v>
      </c>
      <c r="O76" s="28">
        <f t="shared" si="55"/>
        <v>0</v>
      </c>
      <c r="P76" s="28">
        <f t="shared" si="55"/>
        <v>0</v>
      </c>
      <c r="Q76" s="28">
        <f t="shared" si="28"/>
        <v>6</v>
      </c>
      <c r="R76" s="22">
        <f t="shared" si="29"/>
        <v>0</v>
      </c>
      <c r="S76" s="22">
        <f t="shared" si="30"/>
        <v>0</v>
      </c>
      <c r="T76" s="22">
        <f t="shared" si="31"/>
        <v>0</v>
      </c>
      <c r="U76" s="22">
        <f t="shared" si="32"/>
        <v>0</v>
      </c>
      <c r="V76" s="21">
        <f t="shared" si="39"/>
        <v>0</v>
      </c>
      <c r="W76" s="21">
        <f t="shared" si="40"/>
        <v>0</v>
      </c>
      <c r="X76" s="21">
        <f t="shared" si="41"/>
        <v>0</v>
      </c>
      <c r="Y76" s="21">
        <f t="shared" si="42"/>
        <v>0</v>
      </c>
      <c r="Z76" s="221">
        <f t="shared" si="33"/>
        <v>0</v>
      </c>
      <c r="AA76" s="30">
        <f t="shared" si="21"/>
        <v>0</v>
      </c>
      <c r="AB76" s="30">
        <f t="shared" si="22"/>
        <v>0</v>
      </c>
      <c r="AC76" s="30">
        <f t="shared" si="23"/>
        <v>0</v>
      </c>
      <c r="AD76" s="30">
        <f t="shared" si="24"/>
        <v>0</v>
      </c>
      <c r="AE76" s="32">
        <f t="shared" si="34"/>
        <v>0</v>
      </c>
      <c r="AF76" s="33">
        <f t="shared" si="49"/>
        <v>0</v>
      </c>
      <c r="AG76" s="40">
        <f t="shared" si="35"/>
        <v>0</v>
      </c>
      <c r="AH76" s="224">
        <f>AG76*$P$33</f>
        <v>0</v>
      </c>
      <c r="AI76" s="227">
        <f t="shared" si="36"/>
        <v>0</v>
      </c>
    </row>
    <row r="77" spans="1:35" x14ac:dyDescent="0.35">
      <c r="A77" s="45">
        <v>1338</v>
      </c>
      <c r="B77" s="58">
        <f>SUMIF([2]!Table2_23[ETA],'FIS Optimal Model'!A77,[2]!Table2_23[FIS PAX])</f>
        <v>0</v>
      </c>
      <c r="C77" s="44">
        <f t="shared" si="37"/>
        <v>18</v>
      </c>
      <c r="D77" s="52">
        <f t="shared" si="43"/>
        <v>80</v>
      </c>
      <c r="E77" s="26">
        <f t="shared" si="25"/>
        <v>9.9503999999999984</v>
      </c>
      <c r="F77" s="26">
        <f t="shared" si="26"/>
        <v>4.2713999999999999</v>
      </c>
      <c r="G77" s="26">
        <f t="shared" si="27"/>
        <v>2.9447999999999999</v>
      </c>
      <c r="H77" s="26">
        <f t="shared" si="38"/>
        <v>0.83340000000000003</v>
      </c>
      <c r="I77" s="27">
        <f t="shared" si="50"/>
        <v>0</v>
      </c>
      <c r="J77" s="27">
        <f t="shared" si="50"/>
        <v>0</v>
      </c>
      <c r="K77" s="27">
        <f t="shared" si="50"/>
        <v>0</v>
      </c>
      <c r="L77" s="27">
        <f t="shared" si="50"/>
        <v>0</v>
      </c>
      <c r="M77" s="28">
        <f t="shared" si="55"/>
        <v>0</v>
      </c>
      <c r="N77" s="29">
        <f t="shared" si="55"/>
        <v>6</v>
      </c>
      <c r="O77" s="28">
        <f t="shared" si="55"/>
        <v>0</v>
      </c>
      <c r="P77" s="28">
        <f t="shared" si="55"/>
        <v>0</v>
      </c>
      <c r="Q77" s="28">
        <f t="shared" si="28"/>
        <v>6</v>
      </c>
      <c r="R77" s="22">
        <f t="shared" si="29"/>
        <v>0</v>
      </c>
      <c r="S77" s="22">
        <f t="shared" si="30"/>
        <v>0</v>
      </c>
      <c r="T77" s="22">
        <f t="shared" si="31"/>
        <v>0</v>
      </c>
      <c r="U77" s="22">
        <f t="shared" si="32"/>
        <v>0</v>
      </c>
      <c r="V77" s="21">
        <f t="shared" si="39"/>
        <v>0</v>
      </c>
      <c r="W77" s="21">
        <f t="shared" si="40"/>
        <v>0</v>
      </c>
      <c r="X77" s="21">
        <f t="shared" si="41"/>
        <v>0</v>
      </c>
      <c r="Y77" s="21">
        <f t="shared" si="42"/>
        <v>0</v>
      </c>
      <c r="Z77" s="221">
        <f t="shared" si="33"/>
        <v>0</v>
      </c>
      <c r="AA77" s="30">
        <f t="shared" si="21"/>
        <v>0</v>
      </c>
      <c r="AB77" s="30">
        <f t="shared" si="22"/>
        <v>0</v>
      </c>
      <c r="AC77" s="30">
        <f t="shared" si="23"/>
        <v>0</v>
      </c>
      <c r="AD77" s="30">
        <f t="shared" si="24"/>
        <v>0</v>
      </c>
      <c r="AE77" s="32">
        <f t="shared" si="34"/>
        <v>0</v>
      </c>
      <c r="AF77" s="33">
        <f t="shared" si="49"/>
        <v>0</v>
      </c>
      <c r="AG77" s="40">
        <f t="shared" si="35"/>
        <v>0</v>
      </c>
      <c r="AH77" s="224">
        <f>AG77*$P$33</f>
        <v>0</v>
      </c>
      <c r="AI77" s="227">
        <f t="shared" si="36"/>
        <v>0</v>
      </c>
    </row>
    <row r="78" spans="1:35" x14ac:dyDescent="0.35">
      <c r="A78" s="45">
        <v>1339</v>
      </c>
      <c r="B78" s="58">
        <f>SUMIF([2]!Table2_23[ETA],'FIS Optimal Model'!A78,[2]!Table2_23[FIS PAX])</f>
        <v>0</v>
      </c>
      <c r="C78" s="44">
        <f t="shared" si="37"/>
        <v>18</v>
      </c>
      <c r="D78" s="52">
        <f t="shared" si="43"/>
        <v>62</v>
      </c>
      <c r="E78" s="26">
        <f t="shared" si="25"/>
        <v>9.9503999999999984</v>
      </c>
      <c r="F78" s="26">
        <f t="shared" si="26"/>
        <v>4.2713999999999999</v>
      </c>
      <c r="G78" s="26">
        <f t="shared" si="27"/>
        <v>2.9447999999999999</v>
      </c>
      <c r="H78" s="26">
        <f t="shared" si="38"/>
        <v>0.83340000000000003</v>
      </c>
      <c r="I78" s="27">
        <f t="shared" si="50"/>
        <v>0</v>
      </c>
      <c r="J78" s="27">
        <f t="shared" si="50"/>
        <v>0</v>
      </c>
      <c r="K78" s="27">
        <f t="shared" si="50"/>
        <v>0</v>
      </c>
      <c r="L78" s="27">
        <f t="shared" si="50"/>
        <v>0</v>
      </c>
      <c r="M78" s="28">
        <f t="shared" si="55"/>
        <v>0</v>
      </c>
      <c r="N78" s="29">
        <f t="shared" si="55"/>
        <v>6</v>
      </c>
      <c r="O78" s="28">
        <f t="shared" si="55"/>
        <v>0</v>
      </c>
      <c r="P78" s="28">
        <f t="shared" si="55"/>
        <v>0</v>
      </c>
      <c r="Q78" s="28">
        <f t="shared" si="28"/>
        <v>6</v>
      </c>
      <c r="R78" s="22">
        <f t="shared" si="29"/>
        <v>0</v>
      </c>
      <c r="S78" s="22">
        <f t="shared" si="30"/>
        <v>0</v>
      </c>
      <c r="T78" s="22">
        <f t="shared" si="31"/>
        <v>0</v>
      </c>
      <c r="U78" s="22">
        <f t="shared" si="32"/>
        <v>0</v>
      </c>
      <c r="V78" s="21">
        <f t="shared" si="39"/>
        <v>0</v>
      </c>
      <c r="W78" s="21">
        <f t="shared" si="40"/>
        <v>0</v>
      </c>
      <c r="X78" s="21">
        <f t="shared" si="41"/>
        <v>0</v>
      </c>
      <c r="Y78" s="21">
        <f t="shared" si="42"/>
        <v>0</v>
      </c>
      <c r="Z78" s="221">
        <f t="shared" si="33"/>
        <v>0</v>
      </c>
      <c r="AA78" s="30">
        <f t="shared" si="21"/>
        <v>0</v>
      </c>
      <c r="AB78" s="30">
        <f t="shared" si="22"/>
        <v>0</v>
      </c>
      <c r="AC78" s="30">
        <f t="shared" si="23"/>
        <v>0</v>
      </c>
      <c r="AD78" s="30">
        <f t="shared" si="24"/>
        <v>0</v>
      </c>
      <c r="AE78" s="32">
        <f t="shared" si="34"/>
        <v>0</v>
      </c>
      <c r="AF78" s="33">
        <f t="shared" si="49"/>
        <v>0</v>
      </c>
      <c r="AG78" s="40">
        <f t="shared" si="35"/>
        <v>0</v>
      </c>
      <c r="AH78" s="224">
        <f>AG78*$P$33</f>
        <v>0</v>
      </c>
      <c r="AI78" s="227">
        <f t="shared" si="36"/>
        <v>0</v>
      </c>
    </row>
    <row r="79" spans="1:35" x14ac:dyDescent="0.35">
      <c r="A79" s="45">
        <v>1340</v>
      </c>
      <c r="B79" s="58">
        <f>SUMIF([2]!Table2_23[ETA],'FIS Optimal Model'!A79,[2]!Table2_23[FIS PAX])</f>
        <v>0</v>
      </c>
      <c r="C79" s="44">
        <f t="shared" si="37"/>
        <v>18</v>
      </c>
      <c r="D79" s="52">
        <f t="shared" si="43"/>
        <v>44</v>
      </c>
      <c r="E79" s="26">
        <f t="shared" si="25"/>
        <v>9.9503999999999984</v>
      </c>
      <c r="F79" s="26">
        <f t="shared" si="26"/>
        <v>4.2713999999999999</v>
      </c>
      <c r="G79" s="26">
        <f t="shared" si="27"/>
        <v>2.9447999999999999</v>
      </c>
      <c r="H79" s="26">
        <f t="shared" si="38"/>
        <v>0.83340000000000003</v>
      </c>
      <c r="I79" s="27">
        <f t="shared" si="50"/>
        <v>9.9503999999999984</v>
      </c>
      <c r="J79" s="27">
        <f t="shared" si="50"/>
        <v>4.2713999999999999</v>
      </c>
      <c r="K79" s="27">
        <f t="shared" si="50"/>
        <v>2.9447999999999999</v>
      </c>
      <c r="L79" s="27">
        <f t="shared" si="50"/>
        <v>0.83340000000000003</v>
      </c>
      <c r="M79" s="28">
        <f t="shared" si="55"/>
        <v>0</v>
      </c>
      <c r="N79" s="29">
        <f t="shared" si="55"/>
        <v>6</v>
      </c>
      <c r="O79" s="28">
        <f t="shared" si="55"/>
        <v>0</v>
      </c>
      <c r="P79" s="28">
        <f t="shared" si="55"/>
        <v>0</v>
      </c>
      <c r="Q79" s="28">
        <f t="shared" si="28"/>
        <v>6</v>
      </c>
      <c r="R79" s="22">
        <f t="shared" si="29"/>
        <v>9.9503999999999984</v>
      </c>
      <c r="S79" s="22">
        <f t="shared" si="30"/>
        <v>1.2980794305683006</v>
      </c>
      <c r="T79" s="22">
        <f t="shared" si="31"/>
        <v>2.9447999999999999</v>
      </c>
      <c r="U79" s="22">
        <f t="shared" si="32"/>
        <v>0.83340000000000003</v>
      </c>
      <c r="V79" s="21">
        <f t="shared" si="39"/>
        <v>0</v>
      </c>
      <c r="W79" s="21">
        <f t="shared" si="40"/>
        <v>0.37108932259999999</v>
      </c>
      <c r="X79" s="21">
        <f t="shared" si="41"/>
        <v>0</v>
      </c>
      <c r="Y79" s="21">
        <f t="shared" si="42"/>
        <v>0</v>
      </c>
      <c r="Z79" s="221">
        <f t="shared" si="33"/>
        <v>1</v>
      </c>
      <c r="AA79" s="30">
        <f t="shared" si="21"/>
        <v>0</v>
      </c>
      <c r="AB79" s="30">
        <f t="shared" si="22"/>
        <v>2.9733205694316993</v>
      </c>
      <c r="AC79" s="30">
        <f t="shared" si="23"/>
        <v>0</v>
      </c>
      <c r="AD79" s="30">
        <f t="shared" si="24"/>
        <v>0</v>
      </c>
      <c r="AE79" s="32">
        <f t="shared" si="34"/>
        <v>2.9733205694316993</v>
      </c>
      <c r="AF79" s="33">
        <f t="shared" si="49"/>
        <v>0</v>
      </c>
      <c r="AG79" s="40">
        <f t="shared" si="35"/>
        <v>0</v>
      </c>
      <c r="AH79" s="224">
        <f>AG79*$P$33</f>
        <v>0</v>
      </c>
      <c r="AI79" s="227">
        <f t="shared" si="36"/>
        <v>22</v>
      </c>
    </row>
    <row r="80" spans="1:35" x14ac:dyDescent="0.35">
      <c r="A80" s="45">
        <v>1341</v>
      </c>
      <c r="B80" s="58">
        <f>SUMIF([2]!Table2_23[ETA],'FIS Optimal Model'!A80,[2]!Table2_23[FIS PAX])</f>
        <v>0</v>
      </c>
      <c r="C80" s="44">
        <f t="shared" si="37"/>
        <v>18</v>
      </c>
      <c r="D80" s="52">
        <f t="shared" si="43"/>
        <v>26</v>
      </c>
      <c r="E80" s="26">
        <f t="shared" si="25"/>
        <v>9.9503999999999984</v>
      </c>
      <c r="F80" s="26">
        <f t="shared" si="26"/>
        <v>4.2713999999999999</v>
      </c>
      <c r="G80" s="26">
        <f t="shared" si="27"/>
        <v>2.9447999999999999</v>
      </c>
      <c r="H80" s="26">
        <f t="shared" si="38"/>
        <v>0.83340000000000003</v>
      </c>
      <c r="I80" s="27">
        <f t="shared" si="50"/>
        <v>9.9503999999999984</v>
      </c>
      <c r="J80" s="27">
        <f t="shared" si="50"/>
        <v>4.2713999999999999</v>
      </c>
      <c r="K80" s="27">
        <f t="shared" si="50"/>
        <v>2.9447999999999999</v>
      </c>
      <c r="L80" s="27">
        <f t="shared" si="50"/>
        <v>0.83340000000000003</v>
      </c>
      <c r="M80" s="28">
        <f t="shared" si="55"/>
        <v>0</v>
      </c>
      <c r="N80" s="29">
        <f t="shared" si="55"/>
        <v>6</v>
      </c>
      <c r="O80" s="28">
        <f t="shared" si="55"/>
        <v>0</v>
      </c>
      <c r="P80" s="28">
        <f t="shared" si="55"/>
        <v>0</v>
      </c>
      <c r="Q80" s="28">
        <f t="shared" si="28"/>
        <v>6</v>
      </c>
      <c r="R80" s="22">
        <f t="shared" si="29"/>
        <v>19.900799999999997</v>
      </c>
      <c r="S80" s="22">
        <f t="shared" si="30"/>
        <v>2.5961588611366011</v>
      </c>
      <c r="T80" s="22">
        <f t="shared" si="31"/>
        <v>5.8895999999999997</v>
      </c>
      <c r="U80" s="22">
        <f t="shared" si="32"/>
        <v>1.6668000000000001</v>
      </c>
      <c r="V80" s="21">
        <f t="shared" si="39"/>
        <v>0</v>
      </c>
      <c r="W80" s="21">
        <f t="shared" si="40"/>
        <v>0.74217864519999999</v>
      </c>
      <c r="X80" s="21">
        <f t="shared" si="41"/>
        <v>0</v>
      </c>
      <c r="Y80" s="21">
        <f t="shared" si="42"/>
        <v>0</v>
      </c>
      <c r="Z80" s="221">
        <f t="shared" si="33"/>
        <v>1</v>
      </c>
      <c r="AA80" s="30">
        <f t="shared" si="21"/>
        <v>0</v>
      </c>
      <c r="AB80" s="30">
        <f t="shared" si="22"/>
        <v>2.9733205694316993</v>
      </c>
      <c r="AC80" s="30">
        <f t="shared" si="23"/>
        <v>0</v>
      </c>
      <c r="AD80" s="30">
        <f t="shared" si="24"/>
        <v>0</v>
      </c>
      <c r="AE80" s="32">
        <f t="shared" si="34"/>
        <v>2.9733205694316993</v>
      </c>
      <c r="AF80" s="33">
        <f t="shared" si="49"/>
        <v>0</v>
      </c>
      <c r="AG80" s="40">
        <f t="shared" si="35"/>
        <v>0</v>
      </c>
      <c r="AH80" s="224">
        <f>AG80*$P$33</f>
        <v>0</v>
      </c>
      <c r="AI80" s="227">
        <f t="shared" si="36"/>
        <v>22</v>
      </c>
    </row>
    <row r="81" spans="1:35" x14ac:dyDescent="0.35">
      <c r="A81" s="45">
        <v>1342</v>
      </c>
      <c r="B81" s="58">
        <f>SUMIF([2]!Table2_23[ETA],'FIS Optimal Model'!A81,[2]!Table2_23[FIS PAX])</f>
        <v>0</v>
      </c>
      <c r="C81" s="44">
        <f t="shared" si="37"/>
        <v>18</v>
      </c>
      <c r="D81" s="52">
        <f t="shared" si="43"/>
        <v>8</v>
      </c>
      <c r="E81" s="26">
        <f t="shared" si="25"/>
        <v>9.9503999999999984</v>
      </c>
      <c r="F81" s="26">
        <f t="shared" si="26"/>
        <v>4.2713999999999999</v>
      </c>
      <c r="G81" s="26">
        <f t="shared" si="27"/>
        <v>2.9447999999999999</v>
      </c>
      <c r="H81" s="26">
        <f t="shared" si="38"/>
        <v>0.83340000000000003</v>
      </c>
      <c r="I81" s="27">
        <f t="shared" si="50"/>
        <v>9.9503999999999984</v>
      </c>
      <c r="J81" s="27">
        <f t="shared" si="50"/>
        <v>4.2713999999999999</v>
      </c>
      <c r="K81" s="27">
        <f t="shared" si="50"/>
        <v>2.9447999999999999</v>
      </c>
      <c r="L81" s="27">
        <f t="shared" si="50"/>
        <v>0.83340000000000003</v>
      </c>
      <c r="M81" s="28">
        <f t="shared" si="55"/>
        <v>0</v>
      </c>
      <c r="N81" s="29">
        <f t="shared" si="55"/>
        <v>6</v>
      </c>
      <c r="O81" s="28">
        <f t="shared" si="55"/>
        <v>0</v>
      </c>
      <c r="P81" s="28">
        <f t="shared" si="55"/>
        <v>0</v>
      </c>
      <c r="Q81" s="28">
        <f t="shared" si="28"/>
        <v>6</v>
      </c>
      <c r="R81" s="22">
        <f t="shared" si="29"/>
        <v>29.851199999999995</v>
      </c>
      <c r="S81" s="22">
        <f t="shared" si="30"/>
        <v>3.8942382917049017</v>
      </c>
      <c r="T81" s="22">
        <f t="shared" si="31"/>
        <v>8.8343999999999987</v>
      </c>
      <c r="U81" s="22">
        <f t="shared" si="32"/>
        <v>2.5002</v>
      </c>
      <c r="V81" s="21">
        <f t="shared" si="39"/>
        <v>0</v>
      </c>
      <c r="W81" s="21">
        <f t="shared" si="40"/>
        <v>1.1132679677999999</v>
      </c>
      <c r="X81" s="21">
        <f t="shared" si="41"/>
        <v>0</v>
      </c>
      <c r="Y81" s="21">
        <f t="shared" si="42"/>
        <v>0</v>
      </c>
      <c r="Z81" s="221">
        <f t="shared" si="33"/>
        <v>1</v>
      </c>
      <c r="AA81" s="30">
        <f t="shared" si="21"/>
        <v>0</v>
      </c>
      <c r="AB81" s="30">
        <f t="shared" si="22"/>
        <v>2.9733205694316993</v>
      </c>
      <c r="AC81" s="30">
        <f t="shared" si="23"/>
        <v>0</v>
      </c>
      <c r="AD81" s="30">
        <f t="shared" si="24"/>
        <v>0</v>
      </c>
      <c r="AE81" s="32">
        <f t="shared" si="34"/>
        <v>2.9733205694316993</v>
      </c>
      <c r="AF81" s="33">
        <f t="shared" si="49"/>
        <v>0</v>
      </c>
      <c r="AG81" s="40">
        <f t="shared" si="35"/>
        <v>0</v>
      </c>
      <c r="AH81" s="224">
        <f>AG81*$P$33</f>
        <v>0</v>
      </c>
      <c r="AI81" s="227">
        <f t="shared" si="36"/>
        <v>22</v>
      </c>
    </row>
    <row r="82" spans="1:35" x14ac:dyDescent="0.35">
      <c r="A82" s="45">
        <v>1343</v>
      </c>
      <c r="B82" s="58">
        <f>SUMIF([2]!Table2_23[ETA],'FIS Optimal Model'!A82,[2]!Table2_23[FIS PAX])</f>
        <v>0</v>
      </c>
      <c r="C82" s="44">
        <f t="shared" si="37"/>
        <v>8</v>
      </c>
      <c r="D82" s="52">
        <f t="shared" si="43"/>
        <v>0</v>
      </c>
      <c r="E82" s="26">
        <f t="shared" si="25"/>
        <v>4.4223999999999997</v>
      </c>
      <c r="F82" s="26">
        <f t="shared" si="26"/>
        <v>1.8984000000000001</v>
      </c>
      <c r="G82" s="26">
        <f t="shared" si="27"/>
        <v>1.3088</v>
      </c>
      <c r="H82" s="26">
        <f t="shared" si="38"/>
        <v>0.37040000000000001</v>
      </c>
      <c r="I82" s="27">
        <f t="shared" si="50"/>
        <v>9.9503999999999984</v>
      </c>
      <c r="J82" s="27">
        <f t="shared" si="50"/>
        <v>4.2713999999999999</v>
      </c>
      <c r="K82" s="27">
        <f t="shared" si="50"/>
        <v>2.9447999999999999</v>
      </c>
      <c r="L82" s="27">
        <f t="shared" si="50"/>
        <v>0.83340000000000003</v>
      </c>
      <c r="M82" s="28">
        <f t="shared" si="55"/>
        <v>0</v>
      </c>
      <c r="N82" s="29">
        <f t="shared" si="55"/>
        <v>6</v>
      </c>
      <c r="O82" s="28">
        <f t="shared" si="55"/>
        <v>0</v>
      </c>
      <c r="P82" s="28">
        <f t="shared" si="55"/>
        <v>0</v>
      </c>
      <c r="Q82" s="28">
        <f t="shared" si="28"/>
        <v>6</v>
      </c>
      <c r="R82" s="22">
        <f t="shared" si="29"/>
        <v>39.801599999999993</v>
      </c>
      <c r="S82" s="22">
        <f t="shared" si="30"/>
        <v>5.1923177222732022</v>
      </c>
      <c r="T82" s="22">
        <f t="shared" si="31"/>
        <v>11.779199999999999</v>
      </c>
      <c r="U82" s="22">
        <f t="shared" si="32"/>
        <v>3.3336000000000001</v>
      </c>
      <c r="V82" s="21">
        <f t="shared" si="39"/>
        <v>0</v>
      </c>
      <c r="W82" s="21">
        <f t="shared" si="40"/>
        <v>1.4843572904</v>
      </c>
      <c r="X82" s="21">
        <f t="shared" si="41"/>
        <v>0</v>
      </c>
      <c r="Y82" s="21">
        <f t="shared" si="42"/>
        <v>0</v>
      </c>
      <c r="Z82" s="221">
        <f t="shared" si="33"/>
        <v>1</v>
      </c>
      <c r="AA82" s="30">
        <f t="shared" si="21"/>
        <v>0</v>
      </c>
      <c r="AB82" s="30">
        <f t="shared" si="22"/>
        <v>2.9733205694316993</v>
      </c>
      <c r="AC82" s="30">
        <f t="shared" si="23"/>
        <v>0</v>
      </c>
      <c r="AD82" s="30">
        <f t="shared" si="24"/>
        <v>0</v>
      </c>
      <c r="AE82" s="32">
        <f t="shared" si="34"/>
        <v>2.9733205694316993</v>
      </c>
      <c r="AF82" s="33">
        <f t="shared" si="49"/>
        <v>0</v>
      </c>
      <c r="AG82" s="40">
        <f t="shared" si="35"/>
        <v>0</v>
      </c>
      <c r="AH82" s="224">
        <f>AG82*$P$33</f>
        <v>0</v>
      </c>
      <c r="AI82" s="227">
        <f t="shared" si="36"/>
        <v>22</v>
      </c>
    </row>
    <row r="83" spans="1:35" x14ac:dyDescent="0.35">
      <c r="A83" s="45">
        <v>1344</v>
      </c>
      <c r="B83" s="58">
        <f>SUMIF([2]!Table2_23[ETA],'FIS Optimal Model'!A83,[2]!Table2_23[FIS PAX])</f>
        <v>0</v>
      </c>
      <c r="C83" s="44">
        <f t="shared" si="37"/>
        <v>0</v>
      </c>
      <c r="D83" s="52">
        <f t="shared" si="43"/>
        <v>0</v>
      </c>
      <c r="E83" s="26">
        <f t="shared" si="25"/>
        <v>0</v>
      </c>
      <c r="F83" s="26">
        <f t="shared" si="26"/>
        <v>0</v>
      </c>
      <c r="G83" s="26">
        <f t="shared" si="27"/>
        <v>0</v>
      </c>
      <c r="H83" s="26">
        <f t="shared" si="38"/>
        <v>0</v>
      </c>
      <c r="I83" s="27">
        <f t="shared" si="50"/>
        <v>9.9503999999999984</v>
      </c>
      <c r="J83" s="27">
        <f t="shared" si="50"/>
        <v>4.2713999999999999</v>
      </c>
      <c r="K83" s="27">
        <f t="shared" si="50"/>
        <v>2.9447999999999999</v>
      </c>
      <c r="L83" s="27">
        <f t="shared" si="50"/>
        <v>0.83340000000000003</v>
      </c>
      <c r="M83" s="28">
        <f t="shared" si="55"/>
        <v>0</v>
      </c>
      <c r="N83" s="29">
        <f t="shared" si="55"/>
        <v>6</v>
      </c>
      <c r="O83" s="28">
        <f t="shared" si="55"/>
        <v>0</v>
      </c>
      <c r="P83" s="28">
        <f t="shared" si="55"/>
        <v>0</v>
      </c>
      <c r="Q83" s="28">
        <f t="shared" si="28"/>
        <v>6</v>
      </c>
      <c r="R83" s="22">
        <f t="shared" si="29"/>
        <v>49.751999999999995</v>
      </c>
      <c r="S83" s="22">
        <f t="shared" si="30"/>
        <v>6.4903971528415028</v>
      </c>
      <c r="T83" s="22">
        <f t="shared" si="31"/>
        <v>14.724</v>
      </c>
      <c r="U83" s="22">
        <f t="shared" si="32"/>
        <v>4.1669999999999998</v>
      </c>
      <c r="V83" s="21">
        <f t="shared" si="39"/>
        <v>0</v>
      </c>
      <c r="W83" s="21">
        <f t="shared" si="40"/>
        <v>1.855446613</v>
      </c>
      <c r="X83" s="21">
        <f t="shared" si="41"/>
        <v>0</v>
      </c>
      <c r="Y83" s="21">
        <f t="shared" si="42"/>
        <v>0</v>
      </c>
      <c r="Z83" s="221">
        <f t="shared" si="33"/>
        <v>1</v>
      </c>
      <c r="AA83" s="30">
        <f t="shared" si="21"/>
        <v>0</v>
      </c>
      <c r="AB83" s="30">
        <f t="shared" si="22"/>
        <v>2.9733205694316993</v>
      </c>
      <c r="AC83" s="30">
        <f t="shared" si="23"/>
        <v>0</v>
      </c>
      <c r="AD83" s="30">
        <f t="shared" si="24"/>
        <v>0</v>
      </c>
      <c r="AE83" s="32">
        <f t="shared" si="34"/>
        <v>2.9733205694316993</v>
      </c>
      <c r="AF83" s="33">
        <f t="shared" si="49"/>
        <v>2.9733205694316993</v>
      </c>
      <c r="AG83" s="40">
        <f t="shared" si="35"/>
        <v>0</v>
      </c>
      <c r="AH83" s="224">
        <f>AG83*$P$33</f>
        <v>0</v>
      </c>
      <c r="AI83" s="227">
        <f t="shared" si="36"/>
        <v>22</v>
      </c>
    </row>
    <row r="84" spans="1:35" x14ac:dyDescent="0.35">
      <c r="A84" s="45">
        <v>1345</v>
      </c>
      <c r="B84" s="58">
        <f>SUMIF([2]!Table2_23[ETA],'FIS Optimal Model'!A84,[2]!Table2_23[FIS PAX])</f>
        <v>0</v>
      </c>
      <c r="C84" s="44">
        <f t="shared" si="37"/>
        <v>0</v>
      </c>
      <c r="D84" s="52">
        <f t="shared" si="43"/>
        <v>0</v>
      </c>
      <c r="E84" s="26">
        <f t="shared" si="25"/>
        <v>0</v>
      </c>
      <c r="F84" s="26">
        <f t="shared" si="26"/>
        <v>0</v>
      </c>
      <c r="G84" s="26">
        <f t="shared" si="27"/>
        <v>0</v>
      </c>
      <c r="H84" s="26">
        <f t="shared" si="38"/>
        <v>0</v>
      </c>
      <c r="I84" s="27">
        <f t="shared" si="50"/>
        <v>9.9503999999999984</v>
      </c>
      <c r="J84" s="27">
        <f t="shared" si="50"/>
        <v>4.2713999999999999</v>
      </c>
      <c r="K84" s="27">
        <f t="shared" si="50"/>
        <v>2.9447999999999999</v>
      </c>
      <c r="L84" s="27">
        <f t="shared" si="50"/>
        <v>0.83340000000000003</v>
      </c>
      <c r="M84" s="28">
        <f t="shared" si="55"/>
        <v>0</v>
      </c>
      <c r="N84" s="29">
        <f t="shared" si="55"/>
        <v>6</v>
      </c>
      <c r="O84" s="28">
        <f t="shared" si="55"/>
        <v>0</v>
      </c>
      <c r="P84" s="28">
        <f t="shared" si="55"/>
        <v>0</v>
      </c>
      <c r="Q84" s="28">
        <f t="shared" si="28"/>
        <v>6</v>
      </c>
      <c r="R84" s="22">
        <f t="shared" si="29"/>
        <v>59.702399999999997</v>
      </c>
      <c r="S84" s="22">
        <f t="shared" si="30"/>
        <v>7.7884765834098033</v>
      </c>
      <c r="T84" s="22">
        <f t="shared" si="31"/>
        <v>17.668800000000001</v>
      </c>
      <c r="U84" s="22">
        <f t="shared" si="32"/>
        <v>5.0004</v>
      </c>
      <c r="V84" s="21">
        <f t="shared" si="39"/>
        <v>0</v>
      </c>
      <c r="W84" s="21">
        <f t="shared" si="40"/>
        <v>2.2265359355999998</v>
      </c>
      <c r="X84" s="21">
        <f t="shared" si="41"/>
        <v>0</v>
      </c>
      <c r="Y84" s="21">
        <f t="shared" si="42"/>
        <v>0</v>
      </c>
      <c r="Z84" s="221">
        <f t="shared" si="33"/>
        <v>1</v>
      </c>
      <c r="AA84" s="30">
        <f t="shared" si="21"/>
        <v>0</v>
      </c>
      <c r="AB84" s="30">
        <f t="shared" si="22"/>
        <v>2.9733205694316993</v>
      </c>
      <c r="AC84" s="30">
        <f t="shared" si="23"/>
        <v>0</v>
      </c>
      <c r="AD84" s="30">
        <f t="shared" si="24"/>
        <v>0</v>
      </c>
      <c r="AE84" s="32">
        <f t="shared" si="34"/>
        <v>2.9733205694316993</v>
      </c>
      <c r="AF84" s="33">
        <f t="shared" si="49"/>
        <v>2.9733205694316993</v>
      </c>
      <c r="AG84" s="40">
        <f t="shared" si="35"/>
        <v>0</v>
      </c>
      <c r="AH84" s="224">
        <f>AG84*$P$33</f>
        <v>0</v>
      </c>
      <c r="AI84" s="227">
        <f t="shared" si="36"/>
        <v>22</v>
      </c>
    </row>
    <row r="85" spans="1:35" x14ac:dyDescent="0.35">
      <c r="A85" s="45">
        <v>1346</v>
      </c>
      <c r="B85" s="58">
        <f>SUMIF([2]!Table2_23[ETA],'FIS Optimal Model'!A85,[2]!Table2_23[FIS PAX])</f>
        <v>0</v>
      </c>
      <c r="C85" s="44">
        <f t="shared" si="37"/>
        <v>0</v>
      </c>
      <c r="D85" s="52">
        <f t="shared" si="43"/>
        <v>0</v>
      </c>
      <c r="E85" s="26">
        <f t="shared" si="25"/>
        <v>0</v>
      </c>
      <c r="F85" s="26">
        <f t="shared" si="26"/>
        <v>0</v>
      </c>
      <c r="G85" s="26">
        <f t="shared" si="27"/>
        <v>0</v>
      </c>
      <c r="H85" s="26">
        <f t="shared" si="38"/>
        <v>0</v>
      </c>
      <c r="I85" s="27">
        <f t="shared" si="50"/>
        <v>9.9503999999999984</v>
      </c>
      <c r="J85" s="27">
        <f t="shared" si="50"/>
        <v>4.2713999999999999</v>
      </c>
      <c r="K85" s="27">
        <f t="shared" si="50"/>
        <v>2.9447999999999999</v>
      </c>
      <c r="L85" s="27">
        <f t="shared" si="50"/>
        <v>0.83340000000000003</v>
      </c>
      <c r="M85" s="28">
        <f>IF(R84=0,0,$Q$9)</f>
        <v>2</v>
      </c>
      <c r="N85" s="29">
        <f>$U$9-M85-O85-P85</f>
        <v>1</v>
      </c>
      <c r="O85" s="28">
        <f>IF(T84=0,0,$S$9)</f>
        <v>1</v>
      </c>
      <c r="P85" s="28">
        <f>IF(U84=0,0,$T$9)</f>
        <v>2</v>
      </c>
      <c r="Q85" s="28">
        <f t="shared" si="28"/>
        <v>6</v>
      </c>
      <c r="R85" s="22">
        <f t="shared" si="29"/>
        <v>65.443420512058637</v>
      </c>
      <c r="S85" s="22">
        <f t="shared" si="30"/>
        <v>11.564323155171188</v>
      </c>
      <c r="T85" s="22">
        <f t="shared" si="31"/>
        <v>18.132623254049101</v>
      </c>
      <c r="U85" s="22">
        <f t="shared" si="32"/>
        <v>2.1611339252806894</v>
      </c>
      <c r="V85" s="21">
        <f t="shared" si="39"/>
        <v>13.214989904000001</v>
      </c>
      <c r="W85" s="21">
        <f t="shared" si="40"/>
        <v>19.835751549200001</v>
      </c>
      <c r="X85" s="21">
        <f t="shared" si="41"/>
        <v>6.2123636551999999</v>
      </c>
      <c r="Y85" s="21">
        <f t="shared" si="42"/>
        <v>0.50017175510000011</v>
      </c>
      <c r="Z85" s="221">
        <f t="shared" si="33"/>
        <v>14</v>
      </c>
      <c r="AA85" s="30">
        <f t="shared" si="21"/>
        <v>4.2093794879413657</v>
      </c>
      <c r="AB85" s="30">
        <f t="shared" si="22"/>
        <v>0.49555342823861659</v>
      </c>
      <c r="AC85" s="30">
        <f t="shared" si="23"/>
        <v>2.4809767459508998</v>
      </c>
      <c r="AD85" s="30">
        <f t="shared" si="24"/>
        <v>3.6726660747193107</v>
      </c>
      <c r="AE85" s="32">
        <f t="shared" si="34"/>
        <v>10.858575736850193</v>
      </c>
      <c r="AF85" s="33">
        <f t="shared" si="49"/>
        <v>2.9733205694316993</v>
      </c>
      <c r="AG85" s="40">
        <f t="shared" si="35"/>
        <v>0</v>
      </c>
      <c r="AH85" s="224">
        <f>AG85*$P$33</f>
        <v>0</v>
      </c>
      <c r="AI85" s="227">
        <f t="shared" si="36"/>
        <v>35</v>
      </c>
    </row>
    <row r="86" spans="1:35" x14ac:dyDescent="0.35">
      <c r="A86" s="45">
        <v>1347</v>
      </c>
      <c r="B86" s="58">
        <f>SUMIF([2]!Table2_23[ETA],'FIS Optimal Model'!A86,[2]!Table2_23[FIS PAX])</f>
        <v>0</v>
      </c>
      <c r="C86" s="44">
        <f t="shared" si="37"/>
        <v>0</v>
      </c>
      <c r="D86" s="52">
        <f t="shared" si="43"/>
        <v>0</v>
      </c>
      <c r="E86" s="26">
        <f t="shared" si="25"/>
        <v>0</v>
      </c>
      <c r="F86" s="26">
        <f t="shared" si="26"/>
        <v>0</v>
      </c>
      <c r="G86" s="26">
        <f t="shared" si="27"/>
        <v>0</v>
      </c>
      <c r="H86" s="26">
        <f t="shared" si="38"/>
        <v>0</v>
      </c>
      <c r="I86" s="27">
        <f t="shared" si="50"/>
        <v>9.9503999999999984</v>
      </c>
      <c r="J86" s="27">
        <f t="shared" si="50"/>
        <v>4.2713999999999999</v>
      </c>
      <c r="K86" s="27">
        <f t="shared" si="50"/>
        <v>2.9447999999999999</v>
      </c>
      <c r="L86" s="27">
        <f t="shared" si="50"/>
        <v>0.83340000000000003</v>
      </c>
      <c r="M86" s="28">
        <f>$M$85</f>
        <v>2</v>
      </c>
      <c r="N86" s="29">
        <f>$N$85</f>
        <v>1</v>
      </c>
      <c r="O86" s="28">
        <f>$O$85</f>
        <v>1</v>
      </c>
      <c r="P86" s="28">
        <f>$P$85</f>
        <v>2</v>
      </c>
      <c r="Q86" s="28">
        <f t="shared" si="28"/>
        <v>6</v>
      </c>
      <c r="R86" s="22">
        <f t="shared" si="29"/>
        <v>71.184441024117277</v>
      </c>
      <c r="S86" s="22">
        <f t="shared" si="30"/>
        <v>14.349062870455338</v>
      </c>
      <c r="T86" s="22">
        <f t="shared" si="31"/>
        <v>18.5964465080982</v>
      </c>
      <c r="U86" s="22">
        <f t="shared" si="32"/>
        <v>0</v>
      </c>
      <c r="V86" s="21">
        <f t="shared" si="39"/>
        <v>14.374274176000002</v>
      </c>
      <c r="W86" s="21">
        <f t="shared" si="40"/>
        <v>24.6122874848</v>
      </c>
      <c r="X86" s="21">
        <f t="shared" si="41"/>
        <v>6.3712727488000001</v>
      </c>
      <c r="Y86" s="21">
        <f t="shared" si="42"/>
        <v>0</v>
      </c>
      <c r="Z86" s="221">
        <f t="shared" si="33"/>
        <v>15</v>
      </c>
      <c r="AA86" s="30">
        <f t="shared" si="21"/>
        <v>4.2093794879413657</v>
      </c>
      <c r="AB86" s="30">
        <f t="shared" si="22"/>
        <v>0.49555342823861659</v>
      </c>
      <c r="AC86" s="30">
        <f t="shared" si="23"/>
        <v>2.4809767459508998</v>
      </c>
      <c r="AD86" s="30">
        <f t="shared" si="24"/>
        <v>0</v>
      </c>
      <c r="AE86" s="32">
        <f t="shared" si="34"/>
        <v>7.1859096621308822</v>
      </c>
      <c r="AF86" s="33">
        <f t="shared" si="49"/>
        <v>2.9733205694316993</v>
      </c>
      <c r="AG86" s="40">
        <f t="shared" si="35"/>
        <v>0</v>
      </c>
      <c r="AH86" s="224">
        <f>AG86*$P$33</f>
        <v>0</v>
      </c>
      <c r="AI86" s="227">
        <f t="shared" si="36"/>
        <v>36</v>
      </c>
    </row>
    <row r="87" spans="1:35" x14ac:dyDescent="0.35">
      <c r="A87" s="45">
        <v>1348</v>
      </c>
      <c r="B87" s="58">
        <f>SUMIF([2]!Table2_23[ETA],'FIS Optimal Model'!A87,[2]!Table2_23[FIS PAX])</f>
        <v>0</v>
      </c>
      <c r="C87" s="44">
        <f t="shared" si="37"/>
        <v>0</v>
      </c>
      <c r="D87" s="52">
        <f t="shared" si="43"/>
        <v>0</v>
      </c>
      <c r="E87" s="26">
        <f t="shared" si="25"/>
        <v>0</v>
      </c>
      <c r="F87" s="26">
        <f t="shared" si="26"/>
        <v>0</v>
      </c>
      <c r="G87" s="26">
        <f t="shared" si="27"/>
        <v>0</v>
      </c>
      <c r="H87" s="26">
        <f t="shared" si="38"/>
        <v>0</v>
      </c>
      <c r="I87" s="27">
        <f t="shared" si="50"/>
        <v>4.4223999999999997</v>
      </c>
      <c r="J87" s="27">
        <f t="shared" si="50"/>
        <v>1.8984000000000001</v>
      </c>
      <c r="K87" s="27">
        <f t="shared" si="50"/>
        <v>1.3088</v>
      </c>
      <c r="L87" s="27">
        <f t="shared" si="50"/>
        <v>0.37040000000000001</v>
      </c>
      <c r="M87" s="28">
        <f t="shared" ref="M87:M99" si="56">$M$85</f>
        <v>2</v>
      </c>
      <c r="N87" s="29">
        <f t="shared" ref="N87:N99" si="57">$N$85</f>
        <v>1</v>
      </c>
      <c r="O87" s="28">
        <f t="shared" ref="O87:O99" si="58">$O$85</f>
        <v>1</v>
      </c>
      <c r="P87" s="28">
        <f t="shared" ref="P87:P99" si="59">$P$85</f>
        <v>2</v>
      </c>
      <c r="Q87" s="28">
        <f t="shared" si="28"/>
        <v>6</v>
      </c>
      <c r="R87" s="22">
        <f t="shared" si="29"/>
        <v>71.397461536175911</v>
      </c>
      <c r="S87" s="22">
        <f t="shared" si="30"/>
        <v>14.760802585739489</v>
      </c>
      <c r="T87" s="22">
        <f t="shared" si="31"/>
        <v>17.424269762147301</v>
      </c>
      <c r="U87" s="22">
        <f t="shared" si="32"/>
        <v>0</v>
      </c>
      <c r="V87" s="21">
        <f t="shared" si="39"/>
        <v>14.417289408000002</v>
      </c>
      <c r="W87" s="21">
        <f t="shared" si="40"/>
        <v>25.3185256784</v>
      </c>
      <c r="X87" s="21">
        <f t="shared" si="41"/>
        <v>5.9696767904000003</v>
      </c>
      <c r="Y87" s="21">
        <f t="shared" si="42"/>
        <v>0</v>
      </c>
      <c r="Z87" s="221">
        <f t="shared" si="33"/>
        <v>15</v>
      </c>
      <c r="AA87" s="30">
        <f t="shared" si="21"/>
        <v>4.2093794879413657</v>
      </c>
      <c r="AB87" s="30">
        <f t="shared" si="22"/>
        <v>0.49555342823861659</v>
      </c>
      <c r="AC87" s="30">
        <f t="shared" si="23"/>
        <v>2.4809767459508998</v>
      </c>
      <c r="AD87" s="30">
        <f t="shared" si="24"/>
        <v>0</v>
      </c>
      <c r="AE87" s="32">
        <f t="shared" si="34"/>
        <v>7.1859096621308822</v>
      </c>
      <c r="AF87" s="33">
        <f t="shared" si="49"/>
        <v>2.9733205694316993</v>
      </c>
      <c r="AG87" s="40">
        <f t="shared" si="35"/>
        <v>0</v>
      </c>
      <c r="AH87" s="224">
        <f>AG87*$P$33</f>
        <v>0</v>
      </c>
      <c r="AI87" s="227">
        <f t="shared" si="36"/>
        <v>36</v>
      </c>
    </row>
    <row r="88" spans="1:35" x14ac:dyDescent="0.35">
      <c r="A88" s="45">
        <v>1349</v>
      </c>
      <c r="B88" s="58">
        <f>SUMIF([2]!Table2_23[ETA],'FIS Optimal Model'!A88,[2]!Table2_23[FIS PAX])</f>
        <v>0</v>
      </c>
      <c r="C88" s="44">
        <f t="shared" si="37"/>
        <v>0</v>
      </c>
      <c r="D88" s="52">
        <f t="shared" si="43"/>
        <v>0</v>
      </c>
      <c r="E88" s="26">
        <f t="shared" si="25"/>
        <v>0</v>
      </c>
      <c r="F88" s="26">
        <f t="shared" si="26"/>
        <v>0</v>
      </c>
      <c r="G88" s="26">
        <f t="shared" si="27"/>
        <v>0</v>
      </c>
      <c r="H88" s="26">
        <f t="shared" si="38"/>
        <v>0</v>
      </c>
      <c r="I88" s="27">
        <f t="shared" si="50"/>
        <v>0</v>
      </c>
      <c r="J88" s="27">
        <f t="shared" si="50"/>
        <v>0</v>
      </c>
      <c r="K88" s="27">
        <f t="shared" si="50"/>
        <v>0</v>
      </c>
      <c r="L88" s="27">
        <f t="shared" si="50"/>
        <v>0</v>
      </c>
      <c r="M88" s="28">
        <f t="shared" si="56"/>
        <v>2</v>
      </c>
      <c r="N88" s="29">
        <f t="shared" si="57"/>
        <v>1</v>
      </c>
      <c r="O88" s="28">
        <f t="shared" si="58"/>
        <v>1</v>
      </c>
      <c r="P88" s="28">
        <f t="shared" si="59"/>
        <v>2</v>
      </c>
      <c r="Q88" s="28">
        <f t="shared" si="28"/>
        <v>6</v>
      </c>
      <c r="R88" s="22">
        <f t="shared" si="29"/>
        <v>67.188082048234548</v>
      </c>
      <c r="S88" s="22">
        <f t="shared" si="30"/>
        <v>13.274142301023639</v>
      </c>
      <c r="T88" s="22">
        <f t="shared" si="31"/>
        <v>14.943293016196401</v>
      </c>
      <c r="U88" s="22">
        <f t="shared" si="32"/>
        <v>0</v>
      </c>
      <c r="V88" s="21">
        <f t="shared" si="39"/>
        <v>13.567289408000002</v>
      </c>
      <c r="W88" s="21">
        <f t="shared" si="40"/>
        <v>22.768525678400003</v>
      </c>
      <c r="X88" s="21">
        <f t="shared" si="41"/>
        <v>5.1196767904000007</v>
      </c>
      <c r="Y88" s="21">
        <f t="shared" si="42"/>
        <v>0</v>
      </c>
      <c r="Z88" s="221">
        <f t="shared" si="33"/>
        <v>14</v>
      </c>
      <c r="AA88" s="30">
        <f t="shared" si="21"/>
        <v>4.2093794879413657</v>
      </c>
      <c r="AB88" s="30">
        <f t="shared" si="22"/>
        <v>0.49555342823861659</v>
      </c>
      <c r="AC88" s="30">
        <f t="shared" si="23"/>
        <v>2.4809767459508998</v>
      </c>
      <c r="AD88" s="30">
        <f t="shared" si="24"/>
        <v>0</v>
      </c>
      <c r="AE88" s="32">
        <f t="shared" si="34"/>
        <v>7.1859096621308822</v>
      </c>
      <c r="AF88" s="33">
        <f t="shared" si="49"/>
        <v>2.9733205694316993</v>
      </c>
      <c r="AG88" s="40">
        <f t="shared" si="35"/>
        <v>0</v>
      </c>
      <c r="AH88" s="224">
        <f>AG88*$P$33</f>
        <v>0</v>
      </c>
      <c r="AI88" s="227">
        <f t="shared" si="36"/>
        <v>35</v>
      </c>
    </row>
    <row r="89" spans="1:35" x14ac:dyDescent="0.35">
      <c r="A89" s="45">
        <v>1350</v>
      </c>
      <c r="B89" s="58">
        <f>SUMIF([2]!Table2_23[ETA],'FIS Optimal Model'!A89,[2]!Table2_23[FIS PAX])</f>
        <v>0</v>
      </c>
      <c r="C89" s="44">
        <f t="shared" si="37"/>
        <v>0</v>
      </c>
      <c r="D89" s="52">
        <f t="shared" si="43"/>
        <v>0</v>
      </c>
      <c r="E89" s="26">
        <f t="shared" si="25"/>
        <v>0</v>
      </c>
      <c r="F89" s="26">
        <f t="shared" si="26"/>
        <v>0</v>
      </c>
      <c r="G89" s="26">
        <f t="shared" si="27"/>
        <v>0</v>
      </c>
      <c r="H89" s="26">
        <f t="shared" si="38"/>
        <v>0</v>
      </c>
      <c r="I89" s="27">
        <f t="shared" si="50"/>
        <v>0</v>
      </c>
      <c r="J89" s="27">
        <f t="shared" si="50"/>
        <v>0</v>
      </c>
      <c r="K89" s="27">
        <f t="shared" si="50"/>
        <v>0</v>
      </c>
      <c r="L89" s="27">
        <f t="shared" si="50"/>
        <v>0</v>
      </c>
      <c r="M89" s="28">
        <f t="shared" si="56"/>
        <v>2</v>
      </c>
      <c r="N89" s="29">
        <f t="shared" si="57"/>
        <v>1</v>
      </c>
      <c r="O89" s="28">
        <f t="shared" si="58"/>
        <v>1</v>
      </c>
      <c r="P89" s="28">
        <f t="shared" si="59"/>
        <v>2</v>
      </c>
      <c r="Q89" s="28">
        <f t="shared" si="28"/>
        <v>6</v>
      </c>
      <c r="R89" s="22">
        <f t="shared" si="29"/>
        <v>62.978702560293186</v>
      </c>
      <c r="S89" s="22">
        <f t="shared" si="30"/>
        <v>11.78748201630779</v>
      </c>
      <c r="T89" s="22">
        <f t="shared" si="31"/>
        <v>12.462316270245502</v>
      </c>
      <c r="U89" s="22">
        <f t="shared" si="32"/>
        <v>0</v>
      </c>
      <c r="V89" s="21">
        <f t="shared" si="39"/>
        <v>12.717289408000003</v>
      </c>
      <c r="W89" s="21">
        <f t="shared" si="40"/>
        <v>20.218525678400002</v>
      </c>
      <c r="X89" s="21">
        <f t="shared" si="41"/>
        <v>4.269676790400001</v>
      </c>
      <c r="Y89" s="21">
        <f t="shared" si="42"/>
        <v>0</v>
      </c>
      <c r="Z89" s="221">
        <f t="shared" si="33"/>
        <v>13</v>
      </c>
      <c r="AA89" s="30">
        <f t="shared" si="21"/>
        <v>4.2093794879413657</v>
      </c>
      <c r="AB89" s="30">
        <f t="shared" si="22"/>
        <v>0.49555342823861659</v>
      </c>
      <c r="AC89" s="30">
        <f t="shared" si="23"/>
        <v>2.4809767459508998</v>
      </c>
      <c r="AD89" s="30">
        <f t="shared" si="24"/>
        <v>0</v>
      </c>
      <c r="AE89" s="32">
        <f t="shared" si="34"/>
        <v>7.1859096621308822</v>
      </c>
      <c r="AF89" s="33">
        <f t="shared" si="49"/>
        <v>10.858575736850193</v>
      </c>
      <c r="AG89" s="40">
        <f t="shared" si="35"/>
        <v>0</v>
      </c>
      <c r="AH89" s="224">
        <f>AG89*$P$33</f>
        <v>0</v>
      </c>
      <c r="AI89" s="227">
        <f t="shared" si="36"/>
        <v>34</v>
      </c>
    </row>
    <row r="90" spans="1:35" x14ac:dyDescent="0.35">
      <c r="A90" s="45">
        <v>1351</v>
      </c>
      <c r="B90" s="58">
        <f>SUMIF([2]!Table2_23[ETA],'FIS Optimal Model'!A90,[2]!Table2_23[FIS PAX])</f>
        <v>0</v>
      </c>
      <c r="C90" s="44">
        <f t="shared" si="37"/>
        <v>0</v>
      </c>
      <c r="D90" s="52">
        <f t="shared" si="43"/>
        <v>0</v>
      </c>
      <c r="E90" s="26">
        <f t="shared" si="25"/>
        <v>0</v>
      </c>
      <c r="F90" s="26">
        <f t="shared" si="26"/>
        <v>0</v>
      </c>
      <c r="G90" s="26">
        <f t="shared" si="27"/>
        <v>0</v>
      </c>
      <c r="H90" s="26">
        <f t="shared" si="38"/>
        <v>0</v>
      </c>
      <c r="I90" s="27">
        <f t="shared" si="50"/>
        <v>0</v>
      </c>
      <c r="J90" s="27">
        <f t="shared" si="50"/>
        <v>0</v>
      </c>
      <c r="K90" s="27">
        <f t="shared" si="50"/>
        <v>0</v>
      </c>
      <c r="L90" s="27">
        <f t="shared" si="50"/>
        <v>0</v>
      </c>
      <c r="M90" s="28">
        <f t="shared" si="56"/>
        <v>2</v>
      </c>
      <c r="N90" s="29">
        <f t="shared" si="57"/>
        <v>1</v>
      </c>
      <c r="O90" s="28">
        <f t="shared" si="58"/>
        <v>1</v>
      </c>
      <c r="P90" s="28">
        <f t="shared" si="59"/>
        <v>2</v>
      </c>
      <c r="Q90" s="28">
        <f t="shared" si="28"/>
        <v>6</v>
      </c>
      <c r="R90" s="22">
        <f t="shared" si="29"/>
        <v>58.769323072351824</v>
      </c>
      <c r="S90" s="22">
        <f t="shared" si="30"/>
        <v>10.30082173159194</v>
      </c>
      <c r="T90" s="22">
        <f t="shared" si="31"/>
        <v>9.9813395242946026</v>
      </c>
      <c r="U90" s="22">
        <f t="shared" si="32"/>
        <v>0</v>
      </c>
      <c r="V90" s="21">
        <f t="shared" si="39"/>
        <v>11.867289408000003</v>
      </c>
      <c r="W90" s="21">
        <f t="shared" si="40"/>
        <v>17.668525678400002</v>
      </c>
      <c r="X90" s="21">
        <f t="shared" si="41"/>
        <v>3.4196767904000009</v>
      </c>
      <c r="Y90" s="21">
        <f t="shared" si="42"/>
        <v>0</v>
      </c>
      <c r="Z90" s="221">
        <f t="shared" si="33"/>
        <v>12</v>
      </c>
      <c r="AA90" s="30">
        <f t="shared" si="21"/>
        <v>4.2093794879413657</v>
      </c>
      <c r="AB90" s="30">
        <f t="shared" si="22"/>
        <v>0.49555342823861659</v>
      </c>
      <c r="AC90" s="30">
        <f t="shared" si="23"/>
        <v>2.4809767459508998</v>
      </c>
      <c r="AD90" s="30">
        <f t="shared" si="24"/>
        <v>0</v>
      </c>
      <c r="AE90" s="32">
        <f t="shared" si="34"/>
        <v>7.1859096621308822</v>
      </c>
      <c r="AF90" s="33">
        <f t="shared" si="49"/>
        <v>7.1859096621308822</v>
      </c>
      <c r="AG90" s="40">
        <f t="shared" si="35"/>
        <v>0</v>
      </c>
      <c r="AH90" s="224">
        <f>AG90*$P$33</f>
        <v>0</v>
      </c>
      <c r="AI90" s="227">
        <f t="shared" si="36"/>
        <v>33</v>
      </c>
    </row>
    <row r="91" spans="1:35" x14ac:dyDescent="0.35">
      <c r="A91" s="45">
        <v>1352</v>
      </c>
      <c r="B91" s="58">
        <f>SUMIF([2]!Table2_23[ETA],'FIS Optimal Model'!A91,[2]!Table2_23[FIS PAX])</f>
        <v>0</v>
      </c>
      <c r="C91" s="44">
        <f t="shared" si="37"/>
        <v>0</v>
      </c>
      <c r="D91" s="52">
        <f t="shared" si="43"/>
        <v>0</v>
      </c>
      <c r="E91" s="26">
        <f t="shared" si="25"/>
        <v>0</v>
      </c>
      <c r="F91" s="26">
        <f t="shared" si="26"/>
        <v>0</v>
      </c>
      <c r="G91" s="26">
        <f t="shared" si="27"/>
        <v>0</v>
      </c>
      <c r="H91" s="26">
        <f t="shared" si="38"/>
        <v>0</v>
      </c>
      <c r="I91" s="27">
        <f t="shared" si="50"/>
        <v>0</v>
      </c>
      <c r="J91" s="27">
        <f t="shared" si="50"/>
        <v>0</v>
      </c>
      <c r="K91" s="27">
        <f t="shared" si="50"/>
        <v>0</v>
      </c>
      <c r="L91" s="27">
        <f t="shared" si="50"/>
        <v>0</v>
      </c>
      <c r="M91" s="28">
        <f t="shared" si="56"/>
        <v>2</v>
      </c>
      <c r="N91" s="29">
        <f t="shared" si="57"/>
        <v>1</v>
      </c>
      <c r="O91" s="28">
        <f t="shared" si="58"/>
        <v>1</v>
      </c>
      <c r="P91" s="28">
        <f t="shared" si="59"/>
        <v>2</v>
      </c>
      <c r="Q91" s="28">
        <f t="shared" si="28"/>
        <v>6</v>
      </c>
      <c r="R91" s="22">
        <f t="shared" si="29"/>
        <v>54.559943584410462</v>
      </c>
      <c r="S91" s="22">
        <f t="shared" si="30"/>
        <v>8.8141614468760903</v>
      </c>
      <c r="T91" s="22">
        <f t="shared" si="31"/>
        <v>7.5003627783437032</v>
      </c>
      <c r="U91" s="22">
        <f t="shared" si="32"/>
        <v>0</v>
      </c>
      <c r="V91" s="21">
        <f t="shared" si="39"/>
        <v>11.017289408000005</v>
      </c>
      <c r="W91" s="21">
        <f t="shared" si="40"/>
        <v>15.118525678400001</v>
      </c>
      <c r="X91" s="21">
        <f t="shared" si="41"/>
        <v>2.5696767904000013</v>
      </c>
      <c r="Y91" s="21">
        <f t="shared" si="42"/>
        <v>0</v>
      </c>
      <c r="Z91" s="221">
        <f t="shared" si="33"/>
        <v>11</v>
      </c>
      <c r="AA91" s="30">
        <f t="shared" si="21"/>
        <v>4.2093794879413657</v>
      </c>
      <c r="AB91" s="30">
        <f t="shared" si="22"/>
        <v>0.49555342823861659</v>
      </c>
      <c r="AC91" s="30">
        <f t="shared" si="23"/>
        <v>2.4809767459508998</v>
      </c>
      <c r="AD91" s="30">
        <f t="shared" si="24"/>
        <v>0</v>
      </c>
      <c r="AE91" s="32">
        <f t="shared" si="34"/>
        <v>7.1859096621308822</v>
      </c>
      <c r="AF91" s="33">
        <f t="shared" si="49"/>
        <v>7.1859096621308822</v>
      </c>
      <c r="AG91" s="40">
        <f t="shared" si="35"/>
        <v>0</v>
      </c>
      <c r="AH91" s="224">
        <f>AG91*$P$33</f>
        <v>0</v>
      </c>
      <c r="AI91" s="227">
        <f t="shared" si="36"/>
        <v>32</v>
      </c>
    </row>
    <row r="92" spans="1:35" x14ac:dyDescent="0.35">
      <c r="A92" s="45">
        <v>1353</v>
      </c>
      <c r="B92" s="58">
        <f>SUMIF([2]!Table2_23[ETA],'FIS Optimal Model'!A92,[2]!Table2_23[FIS PAX])</f>
        <v>0</v>
      </c>
      <c r="C92" s="44">
        <f t="shared" si="37"/>
        <v>0</v>
      </c>
      <c r="D92" s="52">
        <f t="shared" si="43"/>
        <v>0</v>
      </c>
      <c r="E92" s="26">
        <f t="shared" si="25"/>
        <v>0</v>
      </c>
      <c r="F92" s="26">
        <f t="shared" si="26"/>
        <v>0</v>
      </c>
      <c r="G92" s="26">
        <f t="shared" si="27"/>
        <v>0</v>
      </c>
      <c r="H92" s="26">
        <f t="shared" si="38"/>
        <v>0</v>
      </c>
      <c r="I92" s="27">
        <f t="shared" si="50"/>
        <v>0</v>
      </c>
      <c r="J92" s="27">
        <f t="shared" si="50"/>
        <v>0</v>
      </c>
      <c r="K92" s="27">
        <f t="shared" si="50"/>
        <v>0</v>
      </c>
      <c r="L92" s="27">
        <f t="shared" si="50"/>
        <v>0</v>
      </c>
      <c r="M92" s="28">
        <f t="shared" si="56"/>
        <v>2</v>
      </c>
      <c r="N92" s="29">
        <f t="shared" si="57"/>
        <v>1</v>
      </c>
      <c r="O92" s="28">
        <f t="shared" si="58"/>
        <v>1</v>
      </c>
      <c r="P92" s="28">
        <f t="shared" si="59"/>
        <v>2</v>
      </c>
      <c r="Q92" s="28">
        <f t="shared" si="28"/>
        <v>6</v>
      </c>
      <c r="R92" s="22">
        <f t="shared" si="29"/>
        <v>50.3505640964691</v>
      </c>
      <c r="S92" s="22">
        <f t="shared" si="30"/>
        <v>7.3275011621602406</v>
      </c>
      <c r="T92" s="22">
        <f t="shared" si="31"/>
        <v>5.0193860323928039</v>
      </c>
      <c r="U92" s="22">
        <f t="shared" si="32"/>
        <v>0</v>
      </c>
      <c r="V92" s="21">
        <f t="shared" si="39"/>
        <v>10.167289408000006</v>
      </c>
      <c r="W92" s="21">
        <f t="shared" si="40"/>
        <v>12.568525678400002</v>
      </c>
      <c r="X92" s="21">
        <f t="shared" si="41"/>
        <v>1.7196767904000014</v>
      </c>
      <c r="Y92" s="21">
        <f t="shared" si="42"/>
        <v>0</v>
      </c>
      <c r="Z92" s="221">
        <f t="shared" si="33"/>
        <v>9</v>
      </c>
      <c r="AA92" s="30">
        <f t="shared" si="21"/>
        <v>4.2093794879413657</v>
      </c>
      <c r="AB92" s="30">
        <f t="shared" si="22"/>
        <v>0.49555342823861659</v>
      </c>
      <c r="AC92" s="30">
        <f t="shared" si="23"/>
        <v>2.4809767459508998</v>
      </c>
      <c r="AD92" s="30">
        <f t="shared" si="24"/>
        <v>0</v>
      </c>
      <c r="AE92" s="32">
        <f t="shared" si="34"/>
        <v>7.1859096621308822</v>
      </c>
      <c r="AF92" s="33">
        <f t="shared" si="49"/>
        <v>7.1859096621308822</v>
      </c>
      <c r="AG92" s="40">
        <f t="shared" si="35"/>
        <v>0</v>
      </c>
      <c r="AH92" s="224">
        <f>AG92*$P$33</f>
        <v>0</v>
      </c>
      <c r="AI92" s="227">
        <f t="shared" si="36"/>
        <v>30</v>
      </c>
    </row>
    <row r="93" spans="1:35" x14ac:dyDescent="0.35">
      <c r="A93" s="45">
        <v>1354</v>
      </c>
      <c r="B93" s="58">
        <f>SUMIF([2]!Table2_23[ETA],'FIS Optimal Model'!A93,[2]!Table2_23[FIS PAX])</f>
        <v>0</v>
      </c>
      <c r="C93" s="44">
        <f t="shared" si="37"/>
        <v>0</v>
      </c>
      <c r="D93" s="52">
        <f t="shared" si="43"/>
        <v>0</v>
      </c>
      <c r="E93" s="26">
        <f t="shared" si="25"/>
        <v>0</v>
      </c>
      <c r="F93" s="26">
        <f t="shared" si="26"/>
        <v>0</v>
      </c>
      <c r="G93" s="26">
        <f t="shared" si="27"/>
        <v>0</v>
      </c>
      <c r="H93" s="26">
        <f t="shared" si="38"/>
        <v>0</v>
      </c>
      <c r="I93" s="27">
        <f t="shared" si="50"/>
        <v>0</v>
      </c>
      <c r="J93" s="27">
        <f t="shared" si="50"/>
        <v>0</v>
      </c>
      <c r="K93" s="27">
        <f t="shared" si="50"/>
        <v>0</v>
      </c>
      <c r="L93" s="27">
        <f t="shared" si="50"/>
        <v>0</v>
      </c>
      <c r="M93" s="28">
        <f t="shared" si="56"/>
        <v>2</v>
      </c>
      <c r="N93" s="29">
        <f t="shared" si="57"/>
        <v>1</v>
      </c>
      <c r="O93" s="28">
        <f t="shared" si="58"/>
        <v>1</v>
      </c>
      <c r="P93" s="28">
        <f t="shared" si="59"/>
        <v>2</v>
      </c>
      <c r="Q93" s="28">
        <f t="shared" si="28"/>
        <v>6</v>
      </c>
      <c r="R93" s="22">
        <f t="shared" si="29"/>
        <v>46.141184608527738</v>
      </c>
      <c r="S93" s="22">
        <f t="shared" si="30"/>
        <v>5.840840877444391</v>
      </c>
      <c r="T93" s="22">
        <f t="shared" si="31"/>
        <v>2.5384092864419041</v>
      </c>
      <c r="U93" s="22">
        <f t="shared" si="32"/>
        <v>0</v>
      </c>
      <c r="V93" s="21">
        <f t="shared" si="39"/>
        <v>9.3172894080000059</v>
      </c>
      <c r="W93" s="21">
        <f t="shared" si="40"/>
        <v>10.018525678400001</v>
      </c>
      <c r="X93" s="21">
        <f t="shared" si="41"/>
        <v>0.86967679040000145</v>
      </c>
      <c r="Y93" s="21">
        <f t="shared" si="42"/>
        <v>0</v>
      </c>
      <c r="Z93" s="221">
        <f t="shared" si="33"/>
        <v>8</v>
      </c>
      <c r="AA93" s="30">
        <f t="shared" si="21"/>
        <v>4.2093794879413657</v>
      </c>
      <c r="AB93" s="30">
        <f t="shared" si="22"/>
        <v>0.49555342823861659</v>
      </c>
      <c r="AC93" s="30">
        <f t="shared" si="23"/>
        <v>2.4809767459508998</v>
      </c>
      <c r="AD93" s="30">
        <f t="shared" si="24"/>
        <v>0</v>
      </c>
      <c r="AE93" s="32">
        <f t="shared" si="34"/>
        <v>7.1859096621308822</v>
      </c>
      <c r="AF93" s="33">
        <f t="shared" si="49"/>
        <v>7.1859096621308822</v>
      </c>
      <c r="AG93" s="40">
        <f t="shared" si="35"/>
        <v>0</v>
      </c>
      <c r="AH93" s="224">
        <f>AG93*$P$33</f>
        <v>0</v>
      </c>
      <c r="AI93" s="227">
        <f t="shared" si="36"/>
        <v>29</v>
      </c>
    </row>
    <row r="94" spans="1:35" x14ac:dyDescent="0.35">
      <c r="A94" s="45">
        <v>1355</v>
      </c>
      <c r="B94" s="58">
        <f>SUMIF([2]!Table2_23[ETA],'FIS Optimal Model'!A94,[2]!Table2_23[FIS PAX])</f>
        <v>0</v>
      </c>
      <c r="C94" s="44">
        <f t="shared" si="37"/>
        <v>0</v>
      </c>
      <c r="D94" s="52">
        <f t="shared" si="43"/>
        <v>0</v>
      </c>
      <c r="E94" s="26">
        <f t="shared" si="25"/>
        <v>0</v>
      </c>
      <c r="F94" s="26">
        <f t="shared" si="26"/>
        <v>0</v>
      </c>
      <c r="G94" s="26">
        <f t="shared" si="27"/>
        <v>0</v>
      </c>
      <c r="H94" s="26">
        <f t="shared" si="38"/>
        <v>0</v>
      </c>
      <c r="I94" s="27">
        <f t="shared" si="50"/>
        <v>0</v>
      </c>
      <c r="J94" s="27">
        <f t="shared" si="50"/>
        <v>0</v>
      </c>
      <c r="K94" s="27">
        <f t="shared" si="50"/>
        <v>0</v>
      </c>
      <c r="L94" s="27">
        <f t="shared" si="50"/>
        <v>0</v>
      </c>
      <c r="M94" s="28">
        <f t="shared" si="56"/>
        <v>2</v>
      </c>
      <c r="N94" s="29">
        <f t="shared" si="57"/>
        <v>1</v>
      </c>
      <c r="O94" s="28">
        <f t="shared" si="58"/>
        <v>1</v>
      </c>
      <c r="P94" s="28">
        <f t="shared" si="59"/>
        <v>2</v>
      </c>
      <c r="Q94" s="28">
        <f t="shared" si="28"/>
        <v>6</v>
      </c>
      <c r="R94" s="22">
        <f t="shared" si="29"/>
        <v>41.931805120586375</v>
      </c>
      <c r="S94" s="22">
        <f t="shared" si="30"/>
        <v>4.3541805927285413</v>
      </c>
      <c r="T94" s="22">
        <f t="shared" si="31"/>
        <v>5.7432540491004325E-2</v>
      </c>
      <c r="U94" s="22">
        <f t="shared" si="32"/>
        <v>0</v>
      </c>
      <c r="V94" s="21">
        <f t="shared" si="39"/>
        <v>8.4672894080000063</v>
      </c>
      <c r="W94" s="21">
        <f t="shared" si="40"/>
        <v>7.4685256784000016</v>
      </c>
      <c r="X94" s="21">
        <f t="shared" si="41"/>
        <v>1.9676790400001518E-2</v>
      </c>
      <c r="Y94" s="21">
        <f t="shared" si="42"/>
        <v>0</v>
      </c>
      <c r="Z94" s="221">
        <f t="shared" si="33"/>
        <v>7</v>
      </c>
      <c r="AA94" s="30">
        <f t="shared" si="21"/>
        <v>4.2093794879413657</v>
      </c>
      <c r="AB94" s="30">
        <f t="shared" si="22"/>
        <v>0.49555342823861659</v>
      </c>
      <c r="AC94" s="30">
        <f t="shared" si="23"/>
        <v>2.4809767459508998</v>
      </c>
      <c r="AD94" s="30">
        <f t="shared" si="24"/>
        <v>0</v>
      </c>
      <c r="AE94" s="32">
        <f t="shared" si="34"/>
        <v>7.1859096621308822</v>
      </c>
      <c r="AF94" s="33">
        <f t="shared" si="49"/>
        <v>7.1859096621308822</v>
      </c>
      <c r="AG94" s="40">
        <f t="shared" si="35"/>
        <v>0</v>
      </c>
      <c r="AH94" s="224">
        <f>AG94*$P$33</f>
        <v>0</v>
      </c>
      <c r="AI94" s="227">
        <f t="shared" si="36"/>
        <v>28</v>
      </c>
    </row>
    <row r="95" spans="1:35" x14ac:dyDescent="0.35">
      <c r="A95" s="45">
        <v>1356</v>
      </c>
      <c r="B95" s="58">
        <f>SUMIF([2]!Table2_23[ETA],'FIS Optimal Model'!A95,[2]!Table2_23[FIS PAX])</f>
        <v>0</v>
      </c>
      <c r="C95" s="44">
        <f t="shared" si="37"/>
        <v>0</v>
      </c>
      <c r="D95" s="52">
        <f t="shared" si="43"/>
        <v>0</v>
      </c>
      <c r="E95" s="26">
        <f t="shared" si="25"/>
        <v>0</v>
      </c>
      <c r="F95" s="26">
        <f t="shared" si="26"/>
        <v>0</v>
      </c>
      <c r="G95" s="26">
        <f t="shared" si="27"/>
        <v>0</v>
      </c>
      <c r="H95" s="26">
        <f t="shared" si="38"/>
        <v>0</v>
      </c>
      <c r="I95" s="27">
        <f t="shared" si="50"/>
        <v>0</v>
      </c>
      <c r="J95" s="27">
        <f t="shared" si="50"/>
        <v>0</v>
      </c>
      <c r="K95" s="27">
        <f t="shared" si="50"/>
        <v>0</v>
      </c>
      <c r="L95" s="27">
        <f t="shared" si="50"/>
        <v>0</v>
      </c>
      <c r="M95" s="28">
        <f t="shared" si="56"/>
        <v>2</v>
      </c>
      <c r="N95" s="29">
        <f t="shared" si="57"/>
        <v>1</v>
      </c>
      <c r="O95" s="28">
        <f t="shared" si="58"/>
        <v>1</v>
      </c>
      <c r="P95" s="28">
        <f t="shared" si="59"/>
        <v>2</v>
      </c>
      <c r="Q95" s="28">
        <f t="shared" si="28"/>
        <v>6</v>
      </c>
      <c r="R95" s="22">
        <f t="shared" si="29"/>
        <v>37.722425632645013</v>
      </c>
      <c r="S95" s="22">
        <f t="shared" si="30"/>
        <v>2.8675203080126916</v>
      </c>
      <c r="T95" s="22">
        <f t="shared" si="31"/>
        <v>0</v>
      </c>
      <c r="U95" s="22">
        <f t="shared" si="32"/>
        <v>0</v>
      </c>
      <c r="V95" s="21">
        <f t="shared" si="39"/>
        <v>7.6172894080000075</v>
      </c>
      <c r="W95" s="21">
        <f t="shared" si="40"/>
        <v>4.9185256784000018</v>
      </c>
      <c r="X95" s="21">
        <f t="shared" si="41"/>
        <v>0</v>
      </c>
      <c r="Y95" s="21">
        <f t="shared" si="42"/>
        <v>0</v>
      </c>
      <c r="Z95" s="221">
        <f t="shared" si="33"/>
        <v>6</v>
      </c>
      <c r="AA95" s="30">
        <f t="shared" si="21"/>
        <v>4.2093794879413657</v>
      </c>
      <c r="AB95" s="30">
        <f t="shared" si="22"/>
        <v>0.49555342823861659</v>
      </c>
      <c r="AC95" s="30">
        <f t="shared" si="23"/>
        <v>0</v>
      </c>
      <c r="AD95" s="30">
        <f t="shared" si="24"/>
        <v>0</v>
      </c>
      <c r="AE95" s="32">
        <f t="shared" si="34"/>
        <v>4.704932916179982</v>
      </c>
      <c r="AF95" s="33">
        <f t="shared" si="49"/>
        <v>7.1859096621308822</v>
      </c>
      <c r="AG95" s="40">
        <f t="shared" si="35"/>
        <v>0</v>
      </c>
      <c r="AH95" s="224">
        <f>AG95*$P$33</f>
        <v>0</v>
      </c>
      <c r="AI95" s="227">
        <f t="shared" si="36"/>
        <v>27</v>
      </c>
    </row>
    <row r="96" spans="1:35" x14ac:dyDescent="0.35">
      <c r="A96" s="45">
        <v>1357</v>
      </c>
      <c r="B96" s="58">
        <f>SUMIF([2]!Table2_23[ETA],'FIS Optimal Model'!A96,[2]!Table2_23[FIS PAX])</f>
        <v>0</v>
      </c>
      <c r="C96" s="44">
        <f t="shared" si="37"/>
        <v>0</v>
      </c>
      <c r="D96" s="52">
        <f t="shared" si="43"/>
        <v>0</v>
      </c>
      <c r="E96" s="26">
        <f t="shared" si="25"/>
        <v>0</v>
      </c>
      <c r="F96" s="26">
        <f t="shared" si="26"/>
        <v>0</v>
      </c>
      <c r="G96" s="26">
        <f t="shared" si="27"/>
        <v>0</v>
      </c>
      <c r="H96" s="26">
        <f t="shared" si="38"/>
        <v>0</v>
      </c>
      <c r="I96" s="27">
        <f t="shared" si="50"/>
        <v>0</v>
      </c>
      <c r="J96" s="27">
        <f t="shared" si="50"/>
        <v>0</v>
      </c>
      <c r="K96" s="27">
        <f t="shared" si="50"/>
        <v>0</v>
      </c>
      <c r="L96" s="27">
        <f t="shared" si="50"/>
        <v>0</v>
      </c>
      <c r="M96" s="28">
        <f t="shared" si="56"/>
        <v>2</v>
      </c>
      <c r="N96" s="29">
        <f t="shared" si="57"/>
        <v>1</v>
      </c>
      <c r="O96" s="28">
        <f t="shared" si="58"/>
        <v>1</v>
      </c>
      <c r="P96" s="28">
        <f t="shared" si="59"/>
        <v>2</v>
      </c>
      <c r="Q96" s="28">
        <f t="shared" si="28"/>
        <v>6</v>
      </c>
      <c r="R96" s="22">
        <f t="shared" si="29"/>
        <v>33.513046144703651</v>
      </c>
      <c r="S96" s="22">
        <f t="shared" si="30"/>
        <v>1.380860023296842</v>
      </c>
      <c r="T96" s="22">
        <f t="shared" si="31"/>
        <v>0</v>
      </c>
      <c r="U96" s="22">
        <f t="shared" si="32"/>
        <v>0</v>
      </c>
      <c r="V96" s="21">
        <f t="shared" si="39"/>
        <v>6.7672894080000079</v>
      </c>
      <c r="W96" s="21">
        <f t="shared" si="40"/>
        <v>2.3685256784000015</v>
      </c>
      <c r="X96" s="21">
        <f t="shared" si="41"/>
        <v>0</v>
      </c>
      <c r="Y96" s="21">
        <f t="shared" si="42"/>
        <v>0</v>
      </c>
      <c r="Z96" s="221">
        <f t="shared" si="33"/>
        <v>5</v>
      </c>
      <c r="AA96" s="30">
        <f t="shared" si="21"/>
        <v>4.2093794879413657</v>
      </c>
      <c r="AB96" s="30">
        <f t="shared" si="22"/>
        <v>0.49555342823861659</v>
      </c>
      <c r="AC96" s="30">
        <f t="shared" si="23"/>
        <v>0</v>
      </c>
      <c r="AD96" s="30">
        <f t="shared" si="24"/>
        <v>0</v>
      </c>
      <c r="AE96" s="32">
        <f t="shared" si="34"/>
        <v>4.704932916179982</v>
      </c>
      <c r="AF96" s="33">
        <f t="shared" si="49"/>
        <v>7.1859096621308822</v>
      </c>
      <c r="AG96" s="40">
        <f t="shared" si="35"/>
        <v>0</v>
      </c>
      <c r="AH96" s="224">
        <f>AG96*$P$33</f>
        <v>0</v>
      </c>
      <c r="AI96" s="227">
        <f t="shared" si="36"/>
        <v>26</v>
      </c>
    </row>
    <row r="97" spans="1:35" x14ac:dyDescent="0.35">
      <c r="A97" s="45">
        <v>1358</v>
      </c>
      <c r="B97" s="58">
        <f>SUMIF([2]!Table2_23[ETA],'FIS Optimal Model'!A97,[2]!Table2_23[FIS PAX])</f>
        <v>0</v>
      </c>
      <c r="C97" s="44">
        <f t="shared" si="37"/>
        <v>0</v>
      </c>
      <c r="D97" s="52">
        <f t="shared" si="43"/>
        <v>0</v>
      </c>
      <c r="E97" s="26">
        <f t="shared" si="25"/>
        <v>0</v>
      </c>
      <c r="F97" s="26">
        <f t="shared" si="26"/>
        <v>0</v>
      </c>
      <c r="G97" s="26">
        <f t="shared" si="27"/>
        <v>0</v>
      </c>
      <c r="H97" s="26">
        <f t="shared" si="38"/>
        <v>0</v>
      </c>
      <c r="I97" s="27">
        <f t="shared" si="50"/>
        <v>0</v>
      </c>
      <c r="J97" s="27">
        <f t="shared" si="50"/>
        <v>0</v>
      </c>
      <c r="K97" s="27">
        <f t="shared" si="50"/>
        <v>0</v>
      </c>
      <c r="L97" s="27">
        <f t="shared" si="50"/>
        <v>0</v>
      </c>
      <c r="M97" s="28">
        <f t="shared" si="56"/>
        <v>2</v>
      </c>
      <c r="N97" s="29">
        <f t="shared" si="57"/>
        <v>1</v>
      </c>
      <c r="O97" s="28">
        <f t="shared" si="58"/>
        <v>1</v>
      </c>
      <c r="P97" s="28">
        <f t="shared" si="59"/>
        <v>2</v>
      </c>
      <c r="Q97" s="28">
        <f t="shared" si="28"/>
        <v>6</v>
      </c>
      <c r="R97" s="22">
        <f t="shared" si="29"/>
        <v>29.303666656762285</v>
      </c>
      <c r="S97" s="22">
        <f t="shared" si="30"/>
        <v>0</v>
      </c>
      <c r="T97" s="22">
        <f t="shared" si="31"/>
        <v>0</v>
      </c>
      <c r="U97" s="22">
        <f t="shared" si="32"/>
        <v>0</v>
      </c>
      <c r="V97" s="21">
        <f t="shared" si="39"/>
        <v>5.9172894080000082</v>
      </c>
      <c r="W97" s="21">
        <f t="shared" si="40"/>
        <v>0</v>
      </c>
      <c r="X97" s="21">
        <f t="shared" si="41"/>
        <v>0</v>
      </c>
      <c r="Y97" s="21">
        <f t="shared" si="42"/>
        <v>0</v>
      </c>
      <c r="Z97" s="221">
        <f t="shared" si="33"/>
        <v>4</v>
      </c>
      <c r="AA97" s="30">
        <f t="shared" si="21"/>
        <v>4.2093794879413657</v>
      </c>
      <c r="AB97" s="30">
        <f t="shared" si="22"/>
        <v>0</v>
      </c>
      <c r="AC97" s="30">
        <f t="shared" si="23"/>
        <v>0</v>
      </c>
      <c r="AD97" s="30">
        <f t="shared" si="24"/>
        <v>0</v>
      </c>
      <c r="AE97" s="32">
        <f t="shared" si="34"/>
        <v>4.2093794879413657</v>
      </c>
      <c r="AF97" s="33">
        <f t="shared" si="49"/>
        <v>7.1859096621308822</v>
      </c>
      <c r="AG97" s="40">
        <f t="shared" si="35"/>
        <v>0</v>
      </c>
      <c r="AH97" s="224">
        <f>AG97*$P$33</f>
        <v>0</v>
      </c>
      <c r="AI97" s="227">
        <f t="shared" si="36"/>
        <v>25</v>
      </c>
    </row>
    <row r="98" spans="1:35" x14ac:dyDescent="0.35">
      <c r="A98" s="45">
        <v>1359</v>
      </c>
      <c r="B98" s="58">
        <f>SUMIF([2]!Table2_23[ETA],'FIS Optimal Model'!A98,[2]!Table2_23[FIS PAX])</f>
        <v>0</v>
      </c>
      <c r="C98" s="44">
        <f t="shared" si="37"/>
        <v>0</v>
      </c>
      <c r="D98" s="52">
        <f t="shared" si="43"/>
        <v>0</v>
      </c>
      <c r="E98" s="26">
        <f t="shared" si="25"/>
        <v>0</v>
      </c>
      <c r="F98" s="26">
        <f t="shared" si="26"/>
        <v>0</v>
      </c>
      <c r="G98" s="26">
        <f t="shared" si="27"/>
        <v>0</v>
      </c>
      <c r="H98" s="26">
        <f t="shared" si="38"/>
        <v>0</v>
      </c>
      <c r="I98" s="27">
        <f t="shared" si="50"/>
        <v>0</v>
      </c>
      <c r="J98" s="27">
        <f t="shared" si="50"/>
        <v>0</v>
      </c>
      <c r="K98" s="27">
        <f t="shared" si="50"/>
        <v>0</v>
      </c>
      <c r="L98" s="27">
        <f t="shared" si="50"/>
        <v>0</v>
      </c>
      <c r="M98" s="28">
        <f t="shared" si="56"/>
        <v>2</v>
      </c>
      <c r="N98" s="29">
        <f t="shared" si="57"/>
        <v>1</v>
      </c>
      <c r="O98" s="28">
        <f t="shared" si="58"/>
        <v>1</v>
      </c>
      <c r="P98" s="28">
        <f t="shared" si="59"/>
        <v>2</v>
      </c>
      <c r="Q98" s="28">
        <f t="shared" si="28"/>
        <v>6</v>
      </c>
      <c r="R98" s="22">
        <f t="shared" si="29"/>
        <v>25.094287168820919</v>
      </c>
      <c r="S98" s="22">
        <f t="shared" si="30"/>
        <v>0</v>
      </c>
      <c r="T98" s="22">
        <f t="shared" si="31"/>
        <v>0</v>
      </c>
      <c r="U98" s="22">
        <f t="shared" si="32"/>
        <v>0</v>
      </c>
      <c r="V98" s="21">
        <f t="shared" si="39"/>
        <v>5.0672894080000086</v>
      </c>
      <c r="W98" s="21">
        <f t="shared" si="40"/>
        <v>0</v>
      </c>
      <c r="X98" s="21">
        <f t="shared" si="41"/>
        <v>0</v>
      </c>
      <c r="Y98" s="21">
        <f t="shared" si="42"/>
        <v>0</v>
      </c>
      <c r="Z98" s="221">
        <f t="shared" si="33"/>
        <v>3</v>
      </c>
      <c r="AA98" s="30">
        <f t="shared" si="21"/>
        <v>4.2093794879413657</v>
      </c>
      <c r="AB98" s="30">
        <f t="shared" si="22"/>
        <v>0</v>
      </c>
      <c r="AC98" s="30">
        <f t="shared" si="23"/>
        <v>0</v>
      </c>
      <c r="AD98" s="30">
        <f t="shared" si="24"/>
        <v>0</v>
      </c>
      <c r="AE98" s="32">
        <f t="shared" si="34"/>
        <v>4.2093794879413657</v>
      </c>
      <c r="AF98" s="33">
        <f t="shared" si="49"/>
        <v>7.1859096621308822</v>
      </c>
      <c r="AG98" s="40">
        <f t="shared" si="35"/>
        <v>0</v>
      </c>
      <c r="AH98" s="224">
        <f>AG98*$P$33</f>
        <v>0</v>
      </c>
      <c r="AI98" s="227">
        <f t="shared" si="36"/>
        <v>24</v>
      </c>
    </row>
    <row r="99" spans="1:35" x14ac:dyDescent="0.35">
      <c r="A99" s="45">
        <v>1400</v>
      </c>
      <c r="B99" s="58">
        <f>SUMIF([2]!Table2_23[ETA],'FIS Optimal Model'!A99,[2]!Table2_23[FIS PAX])</f>
        <v>0</v>
      </c>
      <c r="C99" s="44">
        <f t="shared" si="37"/>
        <v>0</v>
      </c>
      <c r="D99" s="52">
        <f t="shared" si="43"/>
        <v>0</v>
      </c>
      <c r="E99" s="26">
        <f t="shared" si="25"/>
        <v>0</v>
      </c>
      <c r="F99" s="26">
        <f t="shared" si="26"/>
        <v>0</v>
      </c>
      <c r="G99" s="26">
        <f t="shared" si="27"/>
        <v>0</v>
      </c>
      <c r="H99" s="26">
        <f t="shared" si="38"/>
        <v>0</v>
      </c>
      <c r="I99" s="27">
        <f t="shared" si="50"/>
        <v>0</v>
      </c>
      <c r="J99" s="27">
        <f t="shared" si="50"/>
        <v>0</v>
      </c>
      <c r="K99" s="27">
        <f t="shared" si="50"/>
        <v>0</v>
      </c>
      <c r="L99" s="27">
        <f t="shared" si="50"/>
        <v>0</v>
      </c>
      <c r="M99" s="28">
        <f t="shared" si="56"/>
        <v>2</v>
      </c>
      <c r="N99" s="29">
        <f t="shared" si="57"/>
        <v>1</v>
      </c>
      <c r="O99" s="28">
        <f t="shared" si="58"/>
        <v>1</v>
      </c>
      <c r="P99" s="28">
        <f t="shared" si="59"/>
        <v>2</v>
      </c>
      <c r="Q99" s="28">
        <f t="shared" si="28"/>
        <v>6</v>
      </c>
      <c r="R99" s="22">
        <f t="shared" si="29"/>
        <v>20.884907680879554</v>
      </c>
      <c r="S99" s="22">
        <f t="shared" si="30"/>
        <v>0</v>
      </c>
      <c r="T99" s="22">
        <f t="shared" si="31"/>
        <v>0</v>
      </c>
      <c r="U99" s="22">
        <f t="shared" si="32"/>
        <v>0</v>
      </c>
      <c r="V99" s="21">
        <f t="shared" si="39"/>
        <v>4.2172894080000081</v>
      </c>
      <c r="W99" s="21">
        <f t="shared" si="40"/>
        <v>0</v>
      </c>
      <c r="X99" s="21">
        <f t="shared" si="41"/>
        <v>0</v>
      </c>
      <c r="Y99" s="21">
        <f t="shared" si="42"/>
        <v>0</v>
      </c>
      <c r="Z99" s="221">
        <f t="shared" si="33"/>
        <v>3</v>
      </c>
      <c r="AA99" s="30">
        <f t="shared" si="21"/>
        <v>4.2093794879413657</v>
      </c>
      <c r="AB99" s="30">
        <f t="shared" si="22"/>
        <v>0</v>
      </c>
      <c r="AC99" s="30">
        <f t="shared" si="23"/>
        <v>0</v>
      </c>
      <c r="AD99" s="30">
        <f t="shared" si="24"/>
        <v>0</v>
      </c>
      <c r="AE99" s="32">
        <f t="shared" si="34"/>
        <v>4.2093794879413657</v>
      </c>
      <c r="AF99" s="33">
        <f t="shared" si="49"/>
        <v>4.704932916179982</v>
      </c>
      <c r="AG99" s="40">
        <f t="shared" si="35"/>
        <v>0</v>
      </c>
      <c r="AH99" s="224">
        <f>AG99*$P$33</f>
        <v>0</v>
      </c>
      <c r="AI99" s="227">
        <f t="shared" si="36"/>
        <v>24</v>
      </c>
    </row>
    <row r="100" spans="1:35" x14ac:dyDescent="0.35">
      <c r="A100" s="45">
        <v>1401</v>
      </c>
      <c r="B100" s="58">
        <f>SUMIF([2]!Table2_23[ETA],'FIS Optimal Model'!A100,[2]!Table2_23[FIS PAX])</f>
        <v>0</v>
      </c>
      <c r="C100" s="44">
        <f t="shared" si="37"/>
        <v>0</v>
      </c>
      <c r="D100" s="52">
        <f t="shared" si="43"/>
        <v>0</v>
      </c>
      <c r="E100" s="26">
        <f t="shared" si="25"/>
        <v>0</v>
      </c>
      <c r="F100" s="26">
        <f t="shared" si="26"/>
        <v>0</v>
      </c>
      <c r="G100" s="26">
        <f t="shared" si="27"/>
        <v>0</v>
      </c>
      <c r="H100" s="26">
        <f t="shared" si="38"/>
        <v>0</v>
      </c>
      <c r="I100" s="27">
        <f t="shared" si="50"/>
        <v>0</v>
      </c>
      <c r="J100" s="27">
        <f t="shared" si="50"/>
        <v>0</v>
      </c>
      <c r="K100" s="27">
        <f t="shared" si="50"/>
        <v>0</v>
      </c>
      <c r="L100" s="27">
        <f t="shared" si="50"/>
        <v>0</v>
      </c>
      <c r="M100" s="28">
        <f>IF(R99=0,0,$Q$10)</f>
        <v>2</v>
      </c>
      <c r="N100" s="29">
        <f>$U$10-M100-O100-P100</f>
        <v>4</v>
      </c>
      <c r="O100" s="28">
        <f>IF(T99=0,0,$S$10)</f>
        <v>0</v>
      </c>
      <c r="P100" s="28">
        <f>IF(U99=0,0,$T$10)</f>
        <v>0</v>
      </c>
      <c r="Q100" s="28">
        <f t="shared" si="28"/>
        <v>6</v>
      </c>
      <c r="R100" s="22">
        <f t="shared" si="29"/>
        <v>16.675528192938188</v>
      </c>
      <c r="S100" s="22">
        <f t="shared" si="30"/>
        <v>0</v>
      </c>
      <c r="T100" s="22">
        <f t="shared" si="31"/>
        <v>0</v>
      </c>
      <c r="U100" s="22">
        <f t="shared" si="32"/>
        <v>0</v>
      </c>
      <c r="V100" s="21">
        <f t="shared" si="39"/>
        <v>3.3672894080000084</v>
      </c>
      <c r="W100" s="21">
        <f t="shared" si="40"/>
        <v>0</v>
      </c>
      <c r="X100" s="21">
        <f t="shared" si="41"/>
        <v>0</v>
      </c>
      <c r="Y100" s="21">
        <f t="shared" si="42"/>
        <v>0</v>
      </c>
      <c r="Z100" s="221">
        <f t="shared" si="33"/>
        <v>2</v>
      </c>
      <c r="AA100" s="30">
        <f t="shared" si="21"/>
        <v>4.2093794879413657</v>
      </c>
      <c r="AB100" s="30">
        <f t="shared" si="22"/>
        <v>0</v>
      </c>
      <c r="AC100" s="30">
        <f t="shared" si="23"/>
        <v>0</v>
      </c>
      <c r="AD100" s="30">
        <f t="shared" si="24"/>
        <v>0</v>
      </c>
      <c r="AE100" s="32">
        <f t="shared" si="34"/>
        <v>4.2093794879413657</v>
      </c>
      <c r="AF100" s="33">
        <f t="shared" si="49"/>
        <v>4.704932916179982</v>
      </c>
      <c r="AG100" s="40">
        <f t="shared" si="35"/>
        <v>0</v>
      </c>
      <c r="AH100" s="224">
        <f>AG100*$P$33</f>
        <v>0</v>
      </c>
      <c r="AI100" s="227">
        <f t="shared" si="36"/>
        <v>23</v>
      </c>
    </row>
    <row r="101" spans="1:35" x14ac:dyDescent="0.35">
      <c r="A101" s="45">
        <v>1402</v>
      </c>
      <c r="B101" s="58">
        <f>SUMIF([2]!Table2_23[ETA],'FIS Optimal Model'!A101,[2]!Table2_23[FIS PAX])</f>
        <v>0</v>
      </c>
      <c r="C101" s="44">
        <f t="shared" si="37"/>
        <v>0</v>
      </c>
      <c r="D101" s="52">
        <f t="shared" si="43"/>
        <v>0</v>
      </c>
      <c r="E101" s="26">
        <f t="shared" si="25"/>
        <v>0</v>
      </c>
      <c r="F101" s="26">
        <f t="shared" si="26"/>
        <v>0</v>
      </c>
      <c r="G101" s="26">
        <f t="shared" si="27"/>
        <v>0</v>
      </c>
      <c r="H101" s="26">
        <f t="shared" si="38"/>
        <v>0</v>
      </c>
      <c r="I101" s="27">
        <f t="shared" si="50"/>
        <v>0</v>
      </c>
      <c r="J101" s="27">
        <f t="shared" si="50"/>
        <v>0</v>
      </c>
      <c r="K101" s="27">
        <f t="shared" si="50"/>
        <v>0</v>
      </c>
      <c r="L101" s="27">
        <f t="shared" si="50"/>
        <v>0</v>
      </c>
      <c r="M101" s="28">
        <f>$M$100</f>
        <v>2</v>
      </c>
      <c r="N101" s="29">
        <f>$N$100</f>
        <v>4</v>
      </c>
      <c r="O101" s="28">
        <f>$O$100</f>
        <v>0</v>
      </c>
      <c r="P101" s="28">
        <f>$P$100</f>
        <v>0</v>
      </c>
      <c r="Q101" s="28">
        <f t="shared" si="28"/>
        <v>6</v>
      </c>
      <c r="R101" s="22">
        <f t="shared" si="29"/>
        <v>12.466148704996822</v>
      </c>
      <c r="S101" s="22">
        <f t="shared" si="30"/>
        <v>0</v>
      </c>
      <c r="T101" s="22">
        <f t="shared" si="31"/>
        <v>0</v>
      </c>
      <c r="U101" s="22">
        <f t="shared" si="32"/>
        <v>0</v>
      </c>
      <c r="V101" s="21">
        <f t="shared" si="39"/>
        <v>2.5172894080000083</v>
      </c>
      <c r="W101" s="21">
        <f t="shared" si="40"/>
        <v>0</v>
      </c>
      <c r="X101" s="21">
        <f t="shared" si="41"/>
        <v>0</v>
      </c>
      <c r="Y101" s="21">
        <f t="shared" si="42"/>
        <v>0</v>
      </c>
      <c r="Z101" s="221">
        <f t="shared" si="33"/>
        <v>2</v>
      </c>
      <c r="AA101" s="30">
        <f t="shared" si="21"/>
        <v>4.2093794879413657</v>
      </c>
      <c r="AB101" s="30">
        <f t="shared" si="22"/>
        <v>0</v>
      </c>
      <c r="AC101" s="30">
        <f t="shared" si="23"/>
        <v>0</v>
      </c>
      <c r="AD101" s="30">
        <f t="shared" si="24"/>
        <v>0</v>
      </c>
      <c r="AE101" s="32">
        <f t="shared" si="34"/>
        <v>4.2093794879413657</v>
      </c>
      <c r="AF101" s="33">
        <f t="shared" si="49"/>
        <v>4.2093794879413657</v>
      </c>
      <c r="AG101" s="40">
        <f t="shared" si="35"/>
        <v>0</v>
      </c>
      <c r="AH101" s="224">
        <f>AG101*$P$33</f>
        <v>0</v>
      </c>
      <c r="AI101" s="227">
        <f t="shared" si="36"/>
        <v>23</v>
      </c>
    </row>
    <row r="102" spans="1:35" x14ac:dyDescent="0.35">
      <c r="A102" s="45">
        <v>1403</v>
      </c>
      <c r="B102" s="58">
        <f>SUMIF([2]!Table2_23[ETA],'FIS Optimal Model'!A102,[2]!Table2_23[FIS PAX])</f>
        <v>0</v>
      </c>
      <c r="C102" s="44">
        <f t="shared" si="37"/>
        <v>0</v>
      </c>
      <c r="D102" s="52">
        <f t="shared" si="43"/>
        <v>0</v>
      </c>
      <c r="E102" s="26">
        <f t="shared" si="25"/>
        <v>0</v>
      </c>
      <c r="F102" s="26">
        <f t="shared" si="26"/>
        <v>0</v>
      </c>
      <c r="G102" s="26">
        <f t="shared" si="27"/>
        <v>0</v>
      </c>
      <c r="H102" s="26">
        <f t="shared" si="38"/>
        <v>0</v>
      </c>
      <c r="I102" s="27">
        <f t="shared" si="50"/>
        <v>0</v>
      </c>
      <c r="J102" s="27">
        <f t="shared" si="50"/>
        <v>0</v>
      </c>
      <c r="K102" s="27">
        <f t="shared" si="50"/>
        <v>0</v>
      </c>
      <c r="L102" s="27">
        <f t="shared" si="50"/>
        <v>0</v>
      </c>
      <c r="M102" s="28">
        <f t="shared" ref="M102:M114" si="60">$M$100</f>
        <v>2</v>
      </c>
      <c r="N102" s="29">
        <f t="shared" ref="N102:N114" si="61">$N$100</f>
        <v>4</v>
      </c>
      <c r="O102" s="28">
        <f t="shared" ref="O102:O114" si="62">$O$100</f>
        <v>0</v>
      </c>
      <c r="P102" s="28">
        <f t="shared" ref="P102:P114" si="63">$P$100</f>
        <v>0</v>
      </c>
      <c r="Q102" s="28">
        <f t="shared" si="28"/>
        <v>6</v>
      </c>
      <c r="R102" s="22">
        <f t="shared" si="29"/>
        <v>8.2567692170554565</v>
      </c>
      <c r="S102" s="22">
        <f t="shared" si="30"/>
        <v>0</v>
      </c>
      <c r="T102" s="22">
        <f t="shared" si="31"/>
        <v>0</v>
      </c>
      <c r="U102" s="22">
        <f t="shared" si="32"/>
        <v>0</v>
      </c>
      <c r="V102" s="21">
        <f t="shared" si="39"/>
        <v>1.6672894080000082</v>
      </c>
      <c r="W102" s="21">
        <f t="shared" si="40"/>
        <v>0</v>
      </c>
      <c r="X102" s="21">
        <f t="shared" si="41"/>
        <v>0</v>
      </c>
      <c r="Y102" s="21">
        <f t="shared" si="42"/>
        <v>0</v>
      </c>
      <c r="Z102" s="221">
        <f t="shared" si="33"/>
        <v>1</v>
      </c>
      <c r="AA102" s="30">
        <f t="shared" si="21"/>
        <v>4.2093794879413657</v>
      </c>
      <c r="AB102" s="30">
        <f t="shared" si="22"/>
        <v>0</v>
      </c>
      <c r="AC102" s="30">
        <f t="shared" si="23"/>
        <v>0</v>
      </c>
      <c r="AD102" s="30">
        <f t="shared" si="24"/>
        <v>0</v>
      </c>
      <c r="AE102" s="32">
        <f t="shared" si="34"/>
        <v>4.2093794879413657</v>
      </c>
      <c r="AF102" s="33">
        <f t="shared" si="49"/>
        <v>4.2093794879413657</v>
      </c>
      <c r="AG102" s="40">
        <f t="shared" si="35"/>
        <v>0</v>
      </c>
      <c r="AH102" s="224">
        <f>AG102*$P$33</f>
        <v>0</v>
      </c>
      <c r="AI102" s="227">
        <f t="shared" si="36"/>
        <v>22</v>
      </c>
    </row>
    <row r="103" spans="1:35" x14ac:dyDescent="0.35">
      <c r="A103" s="45">
        <v>1404</v>
      </c>
      <c r="B103" s="58">
        <f>SUMIF([2]!Table2_23[ETA],'FIS Optimal Model'!A103,[2]!Table2_23[FIS PAX])</f>
        <v>0</v>
      </c>
      <c r="C103" s="44">
        <f t="shared" si="37"/>
        <v>0</v>
      </c>
      <c r="D103" s="52">
        <f t="shared" si="43"/>
        <v>0</v>
      </c>
      <c r="E103" s="26">
        <f t="shared" si="25"/>
        <v>0</v>
      </c>
      <c r="F103" s="26">
        <f t="shared" si="26"/>
        <v>0</v>
      </c>
      <c r="G103" s="26">
        <f t="shared" si="27"/>
        <v>0</v>
      </c>
      <c r="H103" s="26">
        <f t="shared" si="38"/>
        <v>0</v>
      </c>
      <c r="I103" s="27">
        <f t="shared" si="50"/>
        <v>0</v>
      </c>
      <c r="J103" s="27">
        <f t="shared" si="50"/>
        <v>0</v>
      </c>
      <c r="K103" s="27">
        <f t="shared" si="50"/>
        <v>0</v>
      </c>
      <c r="L103" s="27">
        <f t="shared" si="50"/>
        <v>0</v>
      </c>
      <c r="M103" s="28">
        <f t="shared" si="60"/>
        <v>2</v>
      </c>
      <c r="N103" s="29">
        <f t="shared" si="61"/>
        <v>4</v>
      </c>
      <c r="O103" s="28">
        <f t="shared" si="62"/>
        <v>0</v>
      </c>
      <c r="P103" s="28">
        <f t="shared" si="63"/>
        <v>0</v>
      </c>
      <c r="Q103" s="28">
        <f t="shared" si="28"/>
        <v>6</v>
      </c>
      <c r="R103" s="22">
        <f t="shared" si="29"/>
        <v>4.0473897291140908</v>
      </c>
      <c r="S103" s="22">
        <f t="shared" si="30"/>
        <v>0</v>
      </c>
      <c r="T103" s="22">
        <f t="shared" si="31"/>
        <v>0</v>
      </c>
      <c r="U103" s="22">
        <f t="shared" si="32"/>
        <v>0</v>
      </c>
      <c r="V103" s="21">
        <f t="shared" si="39"/>
        <v>0.81728940800000838</v>
      </c>
      <c r="W103" s="21">
        <f t="shared" si="40"/>
        <v>0</v>
      </c>
      <c r="X103" s="21">
        <f t="shared" si="41"/>
        <v>0</v>
      </c>
      <c r="Y103" s="21">
        <f t="shared" si="42"/>
        <v>0</v>
      </c>
      <c r="Z103" s="221">
        <f t="shared" si="33"/>
        <v>1</v>
      </c>
      <c r="AA103" s="30">
        <f t="shared" ref="AA103:AA166" si="64">IF(R103&lt;&gt;0,($J$30*M103*$L$33),0)</f>
        <v>4.2093794879413657</v>
      </c>
      <c r="AB103" s="30">
        <f t="shared" ref="AB103:AB166" si="65">IF(W103&lt;&gt;0,($J$31*N103*$L$33),0)</f>
        <v>0</v>
      </c>
      <c r="AC103" s="30">
        <f t="shared" ref="AC103:AC166" si="66">IF(X103&lt;&gt;0,($J$32*O103*$L$33),0)</f>
        <v>0</v>
      </c>
      <c r="AD103" s="30">
        <f t="shared" ref="AD103:AD166" si="67">IF(Y103&lt;&gt;0,($J$33*P103*$L$33),0)</f>
        <v>0</v>
      </c>
      <c r="AE103" s="32">
        <f t="shared" si="34"/>
        <v>4.2093794879413657</v>
      </c>
      <c r="AF103" s="33">
        <f t="shared" si="49"/>
        <v>4.2093794879413657</v>
      </c>
      <c r="AG103" s="40">
        <f t="shared" si="35"/>
        <v>0</v>
      </c>
      <c r="AH103" s="224">
        <f>AG103*$P$33</f>
        <v>0</v>
      </c>
      <c r="AI103" s="227">
        <f t="shared" si="36"/>
        <v>22</v>
      </c>
    </row>
    <row r="104" spans="1:35" x14ac:dyDescent="0.35">
      <c r="A104" s="45">
        <v>1405</v>
      </c>
      <c r="B104" s="58">
        <f>SUMIF([2]!Table2_23[ETA],'FIS Optimal Model'!A104,[2]!Table2_23[FIS PAX])</f>
        <v>0</v>
      </c>
      <c r="C104" s="44">
        <f t="shared" si="37"/>
        <v>0</v>
      </c>
      <c r="D104" s="52">
        <f t="shared" si="43"/>
        <v>0</v>
      </c>
      <c r="E104" s="26">
        <f t="shared" ref="E104:E167" si="68">$C$30*C104</f>
        <v>0</v>
      </c>
      <c r="F104" s="26">
        <f t="shared" ref="F104:F167" si="69">$C$31*C104</f>
        <v>0</v>
      </c>
      <c r="G104" s="26">
        <f t="shared" ref="G104:G167" si="70">$C$32*C104</f>
        <v>0</v>
      </c>
      <c r="H104" s="26">
        <f t="shared" si="38"/>
        <v>0</v>
      </c>
      <c r="I104" s="27">
        <f t="shared" si="50"/>
        <v>0</v>
      </c>
      <c r="J104" s="27">
        <f t="shared" si="50"/>
        <v>0</v>
      </c>
      <c r="K104" s="27">
        <f t="shared" si="50"/>
        <v>0</v>
      </c>
      <c r="L104" s="27">
        <f t="shared" si="50"/>
        <v>0</v>
      </c>
      <c r="M104" s="28">
        <f t="shared" si="60"/>
        <v>2</v>
      </c>
      <c r="N104" s="29">
        <f t="shared" si="61"/>
        <v>4</v>
      </c>
      <c r="O104" s="28">
        <f t="shared" si="62"/>
        <v>0</v>
      </c>
      <c r="P104" s="28">
        <f t="shared" si="63"/>
        <v>0</v>
      </c>
      <c r="Q104" s="28">
        <f t="shared" ref="Q104:Q167" si="71">SUM(M104:P104)</f>
        <v>6</v>
      </c>
      <c r="R104" s="22">
        <f t="shared" ref="R104:R167" si="72">MAX(R103-($J$30*M104*$L$33)+I104,0)</f>
        <v>0</v>
      </c>
      <c r="S104" s="22">
        <f t="shared" ref="S104:S167" si="73">IF(U104&lt;&gt;0,(MAX(S103-($J$31*N104*$L$33)+J104,0)),(MAX(S103-($J$31*(N104+P104)*$L$33)+J104,0)))</f>
        <v>0</v>
      </c>
      <c r="T104" s="22">
        <f t="shared" ref="T104:T167" si="74">MAX(T103-($J$32*O104*$L$33)+K104,0)</f>
        <v>0</v>
      </c>
      <c r="U104" s="22">
        <f t="shared" ref="U104:U167" si="75">MAX(U103-($J$33*P104*$L$33)+L104,0)</f>
        <v>0</v>
      </c>
      <c r="V104" s="21">
        <f t="shared" si="39"/>
        <v>0</v>
      </c>
      <c r="W104" s="21">
        <f t="shared" si="40"/>
        <v>0</v>
      </c>
      <c r="X104" s="21">
        <f t="shared" si="41"/>
        <v>0</v>
      </c>
      <c r="Y104" s="21">
        <f t="shared" si="42"/>
        <v>0</v>
      </c>
      <c r="Z104" s="221">
        <f t="shared" ref="Z104:Z167" si="76">ROUNDUP(SUM(V104*$C$30,W104*$C$31,X104*$C$32,Y104*$C$33),0)</f>
        <v>0</v>
      </c>
      <c r="AA104" s="30">
        <f t="shared" si="64"/>
        <v>0</v>
      </c>
      <c r="AB104" s="30">
        <f t="shared" si="65"/>
        <v>0</v>
      </c>
      <c r="AC104" s="30">
        <f t="shared" si="66"/>
        <v>0</v>
      </c>
      <c r="AD104" s="30">
        <f t="shared" si="67"/>
        <v>0</v>
      </c>
      <c r="AE104" s="32">
        <f t="shared" ref="AE104:AE167" si="77">SUM(AA104:AD104)</f>
        <v>0</v>
      </c>
      <c r="AF104" s="33">
        <f t="shared" si="49"/>
        <v>4.2093794879413657</v>
      </c>
      <c r="AG104" s="40">
        <f t="shared" ref="AG104:AG167" si="78">MAX(AG103-$Q$33+AF104,0)</f>
        <v>0</v>
      </c>
      <c r="AH104" s="224">
        <f>AG104*$P$33</f>
        <v>0</v>
      </c>
      <c r="AI104" s="227">
        <f t="shared" ref="AI104:AI167" si="79">SUM(Z104,IF(Z104&lt;&gt;0,$F$31,0),IF(Z104&lt;&gt;0,$N$33,0),IF(Z104&lt;&gt;0,$T$33,0),IF(Z104=0,AH109,IF(Z104=1,AH110,IF(Z104=2,AH111,IF(Z104=3,AH112,IF(Z104=4,AH113,IF(Z104=5,AH114,IF(Z104=6,AH115,IF(Z104=7,AH116,IF(Z104=8,AH117,IF(Z104=9,AH118,IF(Z104=10,AH119,IF(Z104=11,AH120,IF(Z104=12,AH121,IF(Z104=13,AH122,IF(Z104=14,AH123,IF(Z104=15,AH124,IF(Z104=16,AH125,IF(Z104=17,AH126,IF(Z104=18,AH127,IF(Z104=19,AH128,IF(Z104=20,AH129,IF(Z104=21,AH130,IF(Z104=22,AH131,IF(Z104=23,AH132,IF(Z104=24,AH133,IF(Z104=25,AH134,IF(Z104=26,AH135,IF(Z104=27,AH136,IF(Z104=28,AH137,IF(Z104=29,AH138,IF(Z104=30,AH139))))))))))))))))))))))))))))))))</f>
        <v>0</v>
      </c>
    </row>
    <row r="105" spans="1:35" x14ac:dyDescent="0.35">
      <c r="A105" s="45">
        <v>1406</v>
      </c>
      <c r="B105" s="58">
        <f>SUMIF([2]!Table2_23[ETA],'FIS Optimal Model'!A105,[2]!Table2_23[FIS PAX])</f>
        <v>0</v>
      </c>
      <c r="C105" s="44">
        <f t="shared" ref="C105:C168" si="80">IF((D104-D105)&gt;-1,(D104-D105),18)</f>
        <v>0</v>
      </c>
      <c r="D105" s="52">
        <f t="shared" si="43"/>
        <v>0</v>
      </c>
      <c r="E105" s="26">
        <f t="shared" si="68"/>
        <v>0</v>
      </c>
      <c r="F105" s="26">
        <f t="shared" si="69"/>
        <v>0</v>
      </c>
      <c r="G105" s="26">
        <f t="shared" si="70"/>
        <v>0</v>
      </c>
      <c r="H105" s="26">
        <f t="shared" ref="H105:H168" si="81">$C$33*C105</f>
        <v>0</v>
      </c>
      <c r="I105" s="27">
        <f t="shared" si="50"/>
        <v>0</v>
      </c>
      <c r="J105" s="27">
        <f t="shared" si="50"/>
        <v>0</v>
      </c>
      <c r="K105" s="27">
        <f t="shared" si="50"/>
        <v>0</v>
      </c>
      <c r="L105" s="27">
        <f t="shared" si="50"/>
        <v>0</v>
      </c>
      <c r="M105" s="28">
        <f t="shared" si="60"/>
        <v>2</v>
      </c>
      <c r="N105" s="29">
        <f t="shared" si="61"/>
        <v>4</v>
      </c>
      <c r="O105" s="28">
        <f t="shared" si="62"/>
        <v>0</v>
      </c>
      <c r="P105" s="28">
        <f t="shared" si="63"/>
        <v>0</v>
      </c>
      <c r="Q105" s="28">
        <f t="shared" si="71"/>
        <v>6</v>
      </c>
      <c r="R105" s="22">
        <f t="shared" si="72"/>
        <v>0</v>
      </c>
      <c r="S105" s="22">
        <f t="shared" si="73"/>
        <v>0</v>
      </c>
      <c r="T105" s="22">
        <f t="shared" si="74"/>
        <v>0</v>
      </c>
      <c r="U105" s="22">
        <f t="shared" si="75"/>
        <v>0</v>
      </c>
      <c r="V105" s="21">
        <f t="shared" ref="V105:V114" si="82">IFERROR(R105*($I$30/M105),0)</f>
        <v>0</v>
      </c>
      <c r="W105" s="21">
        <f t="shared" ref="W105:W115" si="83">S105*($I$31/N105)</f>
        <v>0</v>
      </c>
      <c r="X105" s="21">
        <f t="shared" ref="X105:X168" si="84">IFERROR(T105*($I$32/O105),0)</f>
        <v>0</v>
      </c>
      <c r="Y105" s="21">
        <f t="shared" ref="Y105:Y168" si="85">IFERROR(U105*($I$33/P105),0)</f>
        <v>0</v>
      </c>
      <c r="Z105" s="221">
        <f t="shared" si="76"/>
        <v>0</v>
      </c>
      <c r="AA105" s="30">
        <f t="shared" si="64"/>
        <v>0</v>
      </c>
      <c r="AB105" s="30">
        <f t="shared" si="65"/>
        <v>0</v>
      </c>
      <c r="AC105" s="30">
        <f t="shared" si="66"/>
        <v>0</v>
      </c>
      <c r="AD105" s="30">
        <f t="shared" si="67"/>
        <v>0</v>
      </c>
      <c r="AE105" s="32">
        <f t="shared" si="77"/>
        <v>0</v>
      </c>
      <c r="AF105" s="33">
        <f t="shared" si="49"/>
        <v>4.2093794879413657</v>
      </c>
      <c r="AG105" s="40">
        <f t="shared" si="78"/>
        <v>0</v>
      </c>
      <c r="AH105" s="224">
        <f>AG105*$P$33</f>
        <v>0</v>
      </c>
      <c r="AI105" s="227">
        <f t="shared" si="79"/>
        <v>0</v>
      </c>
    </row>
    <row r="106" spans="1:35" x14ac:dyDescent="0.35">
      <c r="A106" s="45">
        <v>1407</v>
      </c>
      <c r="B106" s="58">
        <f>SUMIF([2]!Table2_23[ETA],'FIS Optimal Model'!A106,[2]!Table2_23[FIS PAX])</f>
        <v>0</v>
      </c>
      <c r="C106" s="44">
        <f t="shared" si="80"/>
        <v>0</v>
      </c>
      <c r="D106" s="52">
        <f t="shared" ref="D106:D169" si="86">MAX(D105-$E$31+B105,0)</f>
        <v>0</v>
      </c>
      <c r="E106" s="26">
        <f t="shared" si="68"/>
        <v>0</v>
      </c>
      <c r="F106" s="26">
        <f t="shared" si="69"/>
        <v>0</v>
      </c>
      <c r="G106" s="26">
        <f t="shared" si="70"/>
        <v>0</v>
      </c>
      <c r="H106" s="26">
        <f t="shared" si="81"/>
        <v>0</v>
      </c>
      <c r="I106" s="27">
        <f t="shared" si="50"/>
        <v>0</v>
      </c>
      <c r="J106" s="27">
        <f t="shared" si="50"/>
        <v>0</v>
      </c>
      <c r="K106" s="27">
        <f t="shared" si="50"/>
        <v>0</v>
      </c>
      <c r="L106" s="27">
        <f t="shared" si="50"/>
        <v>0</v>
      </c>
      <c r="M106" s="28">
        <f t="shared" si="60"/>
        <v>2</v>
      </c>
      <c r="N106" s="29">
        <f t="shared" si="61"/>
        <v>4</v>
      </c>
      <c r="O106" s="28">
        <f t="shared" si="62"/>
        <v>0</v>
      </c>
      <c r="P106" s="28">
        <f t="shared" si="63"/>
        <v>0</v>
      </c>
      <c r="Q106" s="28">
        <f t="shared" si="71"/>
        <v>6</v>
      </c>
      <c r="R106" s="22">
        <f t="shared" si="72"/>
        <v>0</v>
      </c>
      <c r="S106" s="22">
        <f t="shared" si="73"/>
        <v>0</v>
      </c>
      <c r="T106" s="22">
        <f t="shared" si="74"/>
        <v>0</v>
      </c>
      <c r="U106" s="22">
        <f t="shared" si="75"/>
        <v>0</v>
      </c>
      <c r="V106" s="21">
        <f t="shared" si="82"/>
        <v>0</v>
      </c>
      <c r="W106" s="21">
        <f t="shared" si="83"/>
        <v>0</v>
      </c>
      <c r="X106" s="21">
        <f t="shared" si="84"/>
        <v>0</v>
      </c>
      <c r="Y106" s="21">
        <f t="shared" si="85"/>
        <v>0</v>
      </c>
      <c r="Z106" s="221">
        <f t="shared" si="76"/>
        <v>0</v>
      </c>
      <c r="AA106" s="30">
        <f t="shared" si="64"/>
        <v>0</v>
      </c>
      <c r="AB106" s="30">
        <f t="shared" si="65"/>
        <v>0</v>
      </c>
      <c r="AC106" s="30">
        <f t="shared" si="66"/>
        <v>0</v>
      </c>
      <c r="AD106" s="30">
        <f t="shared" si="67"/>
        <v>0</v>
      </c>
      <c r="AE106" s="32">
        <f t="shared" si="77"/>
        <v>0</v>
      </c>
      <c r="AF106" s="33">
        <f t="shared" si="49"/>
        <v>4.2093794879413657</v>
      </c>
      <c r="AG106" s="40">
        <f t="shared" si="78"/>
        <v>0</v>
      </c>
      <c r="AH106" s="224">
        <f>AG106*$P$33</f>
        <v>0</v>
      </c>
      <c r="AI106" s="227">
        <f t="shared" si="79"/>
        <v>0</v>
      </c>
    </row>
    <row r="107" spans="1:35" x14ac:dyDescent="0.35">
      <c r="A107" s="45">
        <v>1408</v>
      </c>
      <c r="B107" s="58">
        <f>SUMIF([2]!Table2_23[ETA],'FIS Optimal Model'!A107,[2]!Table2_23[FIS PAX])</f>
        <v>0</v>
      </c>
      <c r="C107" s="44">
        <f t="shared" si="80"/>
        <v>0</v>
      </c>
      <c r="D107" s="52">
        <f t="shared" si="86"/>
        <v>0</v>
      </c>
      <c r="E107" s="26">
        <f t="shared" si="68"/>
        <v>0</v>
      </c>
      <c r="F107" s="26">
        <f t="shared" si="69"/>
        <v>0</v>
      </c>
      <c r="G107" s="26">
        <f t="shared" si="70"/>
        <v>0</v>
      </c>
      <c r="H107" s="26">
        <f t="shared" si="81"/>
        <v>0</v>
      </c>
      <c r="I107" s="27">
        <f t="shared" si="50"/>
        <v>0</v>
      </c>
      <c r="J107" s="27">
        <f t="shared" si="50"/>
        <v>0</v>
      </c>
      <c r="K107" s="27">
        <f t="shared" si="50"/>
        <v>0</v>
      </c>
      <c r="L107" s="27">
        <f t="shared" si="50"/>
        <v>0</v>
      </c>
      <c r="M107" s="28">
        <f t="shared" si="60"/>
        <v>2</v>
      </c>
      <c r="N107" s="29">
        <f t="shared" si="61"/>
        <v>4</v>
      </c>
      <c r="O107" s="28">
        <f t="shared" si="62"/>
        <v>0</v>
      </c>
      <c r="P107" s="28">
        <f t="shared" si="63"/>
        <v>0</v>
      </c>
      <c r="Q107" s="28">
        <f t="shared" si="71"/>
        <v>6</v>
      </c>
      <c r="R107" s="22">
        <f t="shared" si="72"/>
        <v>0</v>
      </c>
      <c r="S107" s="22">
        <f t="shared" si="73"/>
        <v>0</v>
      </c>
      <c r="T107" s="22">
        <f t="shared" si="74"/>
        <v>0</v>
      </c>
      <c r="U107" s="22">
        <f t="shared" si="75"/>
        <v>0</v>
      </c>
      <c r="V107" s="21">
        <f t="shared" si="82"/>
        <v>0</v>
      </c>
      <c r="W107" s="21">
        <f t="shared" si="83"/>
        <v>0</v>
      </c>
      <c r="X107" s="21">
        <f t="shared" si="84"/>
        <v>0</v>
      </c>
      <c r="Y107" s="21">
        <f t="shared" si="85"/>
        <v>0</v>
      </c>
      <c r="Z107" s="221">
        <f t="shared" si="76"/>
        <v>0</v>
      </c>
      <c r="AA107" s="30">
        <f t="shared" si="64"/>
        <v>0</v>
      </c>
      <c r="AB107" s="30">
        <f t="shared" si="65"/>
        <v>0</v>
      </c>
      <c r="AC107" s="30">
        <f t="shared" si="66"/>
        <v>0</v>
      </c>
      <c r="AD107" s="30">
        <f t="shared" si="67"/>
        <v>0</v>
      </c>
      <c r="AE107" s="32">
        <f t="shared" si="77"/>
        <v>0</v>
      </c>
      <c r="AF107" s="33">
        <f t="shared" si="49"/>
        <v>4.2093794879413657</v>
      </c>
      <c r="AG107" s="40">
        <f t="shared" si="78"/>
        <v>0</v>
      </c>
      <c r="AH107" s="224">
        <f>AG107*$P$33</f>
        <v>0</v>
      </c>
      <c r="AI107" s="227">
        <f t="shared" si="79"/>
        <v>0</v>
      </c>
    </row>
    <row r="108" spans="1:35" x14ac:dyDescent="0.35">
      <c r="A108" s="45">
        <v>1409</v>
      </c>
      <c r="B108" s="58">
        <f>SUMIF([2]!Table2_23[ETA],'FIS Optimal Model'!A108,[2]!Table2_23[FIS PAX])</f>
        <v>0</v>
      </c>
      <c r="C108" s="44">
        <f t="shared" si="80"/>
        <v>0</v>
      </c>
      <c r="D108" s="52">
        <f t="shared" si="86"/>
        <v>0</v>
      </c>
      <c r="E108" s="26">
        <f t="shared" si="68"/>
        <v>0</v>
      </c>
      <c r="F108" s="26">
        <f t="shared" si="69"/>
        <v>0</v>
      </c>
      <c r="G108" s="26">
        <f t="shared" si="70"/>
        <v>0</v>
      </c>
      <c r="H108" s="26">
        <f t="shared" si="81"/>
        <v>0</v>
      </c>
      <c r="I108" s="27">
        <f t="shared" si="50"/>
        <v>0</v>
      </c>
      <c r="J108" s="27">
        <f t="shared" si="50"/>
        <v>0</v>
      </c>
      <c r="K108" s="27">
        <f t="shared" si="50"/>
        <v>0</v>
      </c>
      <c r="L108" s="27">
        <f t="shared" si="50"/>
        <v>0</v>
      </c>
      <c r="M108" s="28">
        <f t="shared" si="60"/>
        <v>2</v>
      </c>
      <c r="N108" s="29">
        <f t="shared" si="61"/>
        <v>4</v>
      </c>
      <c r="O108" s="28">
        <f t="shared" si="62"/>
        <v>0</v>
      </c>
      <c r="P108" s="28">
        <f t="shared" si="63"/>
        <v>0</v>
      </c>
      <c r="Q108" s="28">
        <f t="shared" si="71"/>
        <v>6</v>
      </c>
      <c r="R108" s="22">
        <f t="shared" si="72"/>
        <v>0</v>
      </c>
      <c r="S108" s="22">
        <f t="shared" si="73"/>
        <v>0</v>
      </c>
      <c r="T108" s="22">
        <f t="shared" si="74"/>
        <v>0</v>
      </c>
      <c r="U108" s="22">
        <f t="shared" si="75"/>
        <v>0</v>
      </c>
      <c r="V108" s="21">
        <f t="shared" si="82"/>
        <v>0</v>
      </c>
      <c r="W108" s="21">
        <f t="shared" si="83"/>
        <v>0</v>
      </c>
      <c r="X108" s="21">
        <f t="shared" si="84"/>
        <v>0</v>
      </c>
      <c r="Y108" s="21">
        <f t="shared" si="85"/>
        <v>0</v>
      </c>
      <c r="Z108" s="221">
        <f t="shared" si="76"/>
        <v>0</v>
      </c>
      <c r="AA108" s="30">
        <f t="shared" si="64"/>
        <v>0</v>
      </c>
      <c r="AB108" s="30">
        <f t="shared" si="65"/>
        <v>0</v>
      </c>
      <c r="AC108" s="30">
        <f t="shared" si="66"/>
        <v>0</v>
      </c>
      <c r="AD108" s="30">
        <f t="shared" si="67"/>
        <v>0</v>
      </c>
      <c r="AE108" s="32">
        <f t="shared" si="77"/>
        <v>0</v>
      </c>
      <c r="AF108" s="33">
        <f t="shared" ref="AF108:AF171" si="87">AE104</f>
        <v>0</v>
      </c>
      <c r="AG108" s="40">
        <f t="shared" si="78"/>
        <v>0</v>
      </c>
      <c r="AH108" s="224">
        <f>AG108*$P$33</f>
        <v>0</v>
      </c>
      <c r="AI108" s="227">
        <f t="shared" si="79"/>
        <v>0</v>
      </c>
    </row>
    <row r="109" spans="1:35" x14ac:dyDescent="0.35">
      <c r="A109" s="45">
        <v>1410</v>
      </c>
      <c r="B109" s="58">
        <f>SUMIF([2]!Table2_23[ETA],'FIS Optimal Model'!A109,[2]!Table2_23[FIS PAX])</f>
        <v>0</v>
      </c>
      <c r="C109" s="44">
        <f t="shared" si="80"/>
        <v>0</v>
      </c>
      <c r="D109" s="52">
        <f t="shared" si="86"/>
        <v>0</v>
      </c>
      <c r="E109" s="26">
        <f t="shared" si="68"/>
        <v>0</v>
      </c>
      <c r="F109" s="26">
        <f t="shared" si="69"/>
        <v>0</v>
      </c>
      <c r="G109" s="26">
        <f t="shared" si="70"/>
        <v>0</v>
      </c>
      <c r="H109" s="26">
        <f t="shared" si="81"/>
        <v>0</v>
      </c>
      <c r="I109" s="27">
        <f t="shared" ref="I109:L172" si="88">E104</f>
        <v>0</v>
      </c>
      <c r="J109" s="27">
        <f t="shared" si="88"/>
        <v>0</v>
      </c>
      <c r="K109" s="27">
        <f t="shared" si="88"/>
        <v>0</v>
      </c>
      <c r="L109" s="27">
        <f t="shared" si="88"/>
        <v>0</v>
      </c>
      <c r="M109" s="28">
        <f t="shared" si="60"/>
        <v>2</v>
      </c>
      <c r="N109" s="29">
        <f t="shared" si="61"/>
        <v>4</v>
      </c>
      <c r="O109" s="28">
        <f t="shared" si="62"/>
        <v>0</v>
      </c>
      <c r="P109" s="28">
        <f t="shared" si="63"/>
        <v>0</v>
      </c>
      <c r="Q109" s="28">
        <f t="shared" si="71"/>
        <v>6</v>
      </c>
      <c r="R109" s="22">
        <f t="shared" si="72"/>
        <v>0</v>
      </c>
      <c r="S109" s="22">
        <f t="shared" si="73"/>
        <v>0</v>
      </c>
      <c r="T109" s="22">
        <f t="shared" si="74"/>
        <v>0</v>
      </c>
      <c r="U109" s="22">
        <f t="shared" si="75"/>
        <v>0</v>
      </c>
      <c r="V109" s="21">
        <f t="shared" si="82"/>
        <v>0</v>
      </c>
      <c r="W109" s="21">
        <f t="shared" si="83"/>
        <v>0</v>
      </c>
      <c r="X109" s="21">
        <f t="shared" si="84"/>
        <v>0</v>
      </c>
      <c r="Y109" s="21">
        <f t="shared" si="85"/>
        <v>0</v>
      </c>
      <c r="Z109" s="221">
        <f t="shared" si="76"/>
        <v>0</v>
      </c>
      <c r="AA109" s="30">
        <f t="shared" si="64"/>
        <v>0</v>
      </c>
      <c r="AB109" s="30">
        <f t="shared" si="65"/>
        <v>0</v>
      </c>
      <c r="AC109" s="30">
        <f t="shared" si="66"/>
        <v>0</v>
      </c>
      <c r="AD109" s="30">
        <f t="shared" si="67"/>
        <v>0</v>
      </c>
      <c r="AE109" s="32">
        <f t="shared" si="77"/>
        <v>0</v>
      </c>
      <c r="AF109" s="33">
        <f t="shared" si="87"/>
        <v>0</v>
      </c>
      <c r="AG109" s="40">
        <f t="shared" si="78"/>
        <v>0</v>
      </c>
      <c r="AH109" s="224">
        <f>AG109*$P$33</f>
        <v>0</v>
      </c>
      <c r="AI109" s="227">
        <f t="shared" si="79"/>
        <v>0</v>
      </c>
    </row>
    <row r="110" spans="1:35" x14ac:dyDescent="0.35">
      <c r="A110" s="45">
        <v>1411</v>
      </c>
      <c r="B110" s="58">
        <f>SUMIF([2]!Table2_23[ETA],'FIS Optimal Model'!A110,[2]!Table2_23[FIS PAX])</f>
        <v>0</v>
      </c>
      <c r="C110" s="44">
        <f t="shared" si="80"/>
        <v>0</v>
      </c>
      <c r="D110" s="52">
        <f t="shared" si="86"/>
        <v>0</v>
      </c>
      <c r="E110" s="26">
        <f t="shared" si="68"/>
        <v>0</v>
      </c>
      <c r="F110" s="26">
        <f t="shared" si="69"/>
        <v>0</v>
      </c>
      <c r="G110" s="26">
        <f t="shared" si="70"/>
        <v>0</v>
      </c>
      <c r="H110" s="26">
        <f t="shared" si="81"/>
        <v>0</v>
      </c>
      <c r="I110" s="27">
        <f t="shared" si="88"/>
        <v>0</v>
      </c>
      <c r="J110" s="27">
        <f t="shared" si="88"/>
        <v>0</v>
      </c>
      <c r="K110" s="27">
        <f t="shared" si="88"/>
        <v>0</v>
      </c>
      <c r="L110" s="27">
        <f t="shared" si="88"/>
        <v>0</v>
      </c>
      <c r="M110" s="28">
        <f t="shared" si="60"/>
        <v>2</v>
      </c>
      <c r="N110" s="29">
        <f t="shared" si="61"/>
        <v>4</v>
      </c>
      <c r="O110" s="28">
        <f t="shared" si="62"/>
        <v>0</v>
      </c>
      <c r="P110" s="28">
        <f t="shared" si="63"/>
        <v>0</v>
      </c>
      <c r="Q110" s="28">
        <f t="shared" si="71"/>
        <v>6</v>
      </c>
      <c r="R110" s="22">
        <f t="shared" si="72"/>
        <v>0</v>
      </c>
      <c r="S110" s="22">
        <f t="shared" si="73"/>
        <v>0</v>
      </c>
      <c r="T110" s="22">
        <f t="shared" si="74"/>
        <v>0</v>
      </c>
      <c r="U110" s="22">
        <f t="shared" si="75"/>
        <v>0</v>
      </c>
      <c r="V110" s="21">
        <f t="shared" si="82"/>
        <v>0</v>
      </c>
      <c r="W110" s="21">
        <f t="shared" si="83"/>
        <v>0</v>
      </c>
      <c r="X110" s="21">
        <f t="shared" si="84"/>
        <v>0</v>
      </c>
      <c r="Y110" s="21">
        <f t="shared" si="85"/>
        <v>0</v>
      </c>
      <c r="Z110" s="221">
        <f t="shared" si="76"/>
        <v>0</v>
      </c>
      <c r="AA110" s="30">
        <f t="shared" si="64"/>
        <v>0</v>
      </c>
      <c r="AB110" s="30">
        <f t="shared" si="65"/>
        <v>0</v>
      </c>
      <c r="AC110" s="30">
        <f t="shared" si="66"/>
        <v>0</v>
      </c>
      <c r="AD110" s="30">
        <f t="shared" si="67"/>
        <v>0</v>
      </c>
      <c r="AE110" s="32">
        <f t="shared" si="77"/>
        <v>0</v>
      </c>
      <c r="AF110" s="33">
        <f t="shared" si="87"/>
        <v>0</v>
      </c>
      <c r="AG110" s="40">
        <f t="shared" si="78"/>
        <v>0</v>
      </c>
      <c r="AH110" s="224">
        <f>AG110*$P$33</f>
        <v>0</v>
      </c>
      <c r="AI110" s="227">
        <f t="shared" si="79"/>
        <v>0</v>
      </c>
    </row>
    <row r="111" spans="1:35" x14ac:dyDescent="0.35">
      <c r="A111" s="45">
        <v>1412</v>
      </c>
      <c r="B111" s="58">
        <f>SUMIF([2]!Table2_23[ETA],'FIS Optimal Model'!A111,[2]!Table2_23[FIS PAX])</f>
        <v>0</v>
      </c>
      <c r="C111" s="44">
        <f t="shared" si="80"/>
        <v>0</v>
      </c>
      <c r="D111" s="52">
        <f t="shared" si="86"/>
        <v>0</v>
      </c>
      <c r="E111" s="26">
        <f t="shared" si="68"/>
        <v>0</v>
      </c>
      <c r="F111" s="26">
        <f t="shared" si="69"/>
        <v>0</v>
      </c>
      <c r="G111" s="26">
        <f t="shared" si="70"/>
        <v>0</v>
      </c>
      <c r="H111" s="26">
        <f t="shared" si="81"/>
        <v>0</v>
      </c>
      <c r="I111" s="27">
        <f t="shared" si="88"/>
        <v>0</v>
      </c>
      <c r="J111" s="27">
        <f t="shared" si="88"/>
        <v>0</v>
      </c>
      <c r="K111" s="27">
        <f t="shared" si="88"/>
        <v>0</v>
      </c>
      <c r="L111" s="27">
        <f t="shared" si="88"/>
        <v>0</v>
      </c>
      <c r="M111" s="28">
        <f t="shared" si="60"/>
        <v>2</v>
      </c>
      <c r="N111" s="29">
        <f t="shared" si="61"/>
        <v>4</v>
      </c>
      <c r="O111" s="28">
        <f t="shared" si="62"/>
        <v>0</v>
      </c>
      <c r="P111" s="28">
        <f t="shared" si="63"/>
        <v>0</v>
      </c>
      <c r="Q111" s="28">
        <f t="shared" si="71"/>
        <v>6</v>
      </c>
      <c r="R111" s="22">
        <f t="shared" si="72"/>
        <v>0</v>
      </c>
      <c r="S111" s="22">
        <f t="shared" si="73"/>
        <v>0</v>
      </c>
      <c r="T111" s="22">
        <f t="shared" si="74"/>
        <v>0</v>
      </c>
      <c r="U111" s="22">
        <f t="shared" si="75"/>
        <v>0</v>
      </c>
      <c r="V111" s="21">
        <f t="shared" si="82"/>
        <v>0</v>
      </c>
      <c r="W111" s="21">
        <f t="shared" si="83"/>
        <v>0</v>
      </c>
      <c r="X111" s="21">
        <f t="shared" si="84"/>
        <v>0</v>
      </c>
      <c r="Y111" s="21">
        <f t="shared" si="85"/>
        <v>0</v>
      </c>
      <c r="Z111" s="221">
        <f t="shared" si="76"/>
        <v>0</v>
      </c>
      <c r="AA111" s="30">
        <f t="shared" si="64"/>
        <v>0</v>
      </c>
      <c r="AB111" s="30">
        <f t="shared" si="65"/>
        <v>0</v>
      </c>
      <c r="AC111" s="30">
        <f t="shared" si="66"/>
        <v>0</v>
      </c>
      <c r="AD111" s="30">
        <f t="shared" si="67"/>
        <v>0</v>
      </c>
      <c r="AE111" s="32">
        <f t="shared" si="77"/>
        <v>0</v>
      </c>
      <c r="AF111" s="33">
        <f t="shared" si="87"/>
        <v>0</v>
      </c>
      <c r="AG111" s="40">
        <f t="shared" si="78"/>
        <v>0</v>
      </c>
      <c r="AH111" s="224">
        <f>AG111*$P$33</f>
        <v>0</v>
      </c>
      <c r="AI111" s="227">
        <f t="shared" si="79"/>
        <v>0</v>
      </c>
    </row>
    <row r="112" spans="1:35" x14ac:dyDescent="0.35">
      <c r="A112" s="45">
        <v>1413</v>
      </c>
      <c r="B112" s="58">
        <f>SUMIF([2]!Table2_23[ETA],'FIS Optimal Model'!A112,[2]!Table2_23[FIS PAX])</f>
        <v>0</v>
      </c>
      <c r="C112" s="44">
        <f t="shared" si="80"/>
        <v>0</v>
      </c>
      <c r="D112" s="52">
        <f t="shared" si="86"/>
        <v>0</v>
      </c>
      <c r="E112" s="26">
        <f t="shared" si="68"/>
        <v>0</v>
      </c>
      <c r="F112" s="26">
        <f t="shared" si="69"/>
        <v>0</v>
      </c>
      <c r="G112" s="26">
        <f t="shared" si="70"/>
        <v>0</v>
      </c>
      <c r="H112" s="26">
        <f t="shared" si="81"/>
        <v>0</v>
      </c>
      <c r="I112" s="27">
        <f t="shared" si="88"/>
        <v>0</v>
      </c>
      <c r="J112" s="27">
        <f t="shared" si="88"/>
        <v>0</v>
      </c>
      <c r="K112" s="27">
        <f t="shared" si="88"/>
        <v>0</v>
      </c>
      <c r="L112" s="27">
        <f t="shared" si="88"/>
        <v>0</v>
      </c>
      <c r="M112" s="28">
        <f t="shared" si="60"/>
        <v>2</v>
      </c>
      <c r="N112" s="29">
        <f t="shared" si="61"/>
        <v>4</v>
      </c>
      <c r="O112" s="28">
        <f t="shared" si="62"/>
        <v>0</v>
      </c>
      <c r="P112" s="28">
        <f t="shared" si="63"/>
        <v>0</v>
      </c>
      <c r="Q112" s="28">
        <f t="shared" si="71"/>
        <v>6</v>
      </c>
      <c r="R112" s="22">
        <f t="shared" si="72"/>
        <v>0</v>
      </c>
      <c r="S112" s="22">
        <f t="shared" si="73"/>
        <v>0</v>
      </c>
      <c r="T112" s="22">
        <f t="shared" si="74"/>
        <v>0</v>
      </c>
      <c r="U112" s="22">
        <f t="shared" si="75"/>
        <v>0</v>
      </c>
      <c r="V112" s="21">
        <f t="shared" si="82"/>
        <v>0</v>
      </c>
      <c r="W112" s="21">
        <f t="shared" si="83"/>
        <v>0</v>
      </c>
      <c r="X112" s="21">
        <f t="shared" si="84"/>
        <v>0</v>
      </c>
      <c r="Y112" s="21">
        <f t="shared" si="85"/>
        <v>0</v>
      </c>
      <c r="Z112" s="221">
        <f t="shared" si="76"/>
        <v>0</v>
      </c>
      <c r="AA112" s="30">
        <f t="shared" si="64"/>
        <v>0</v>
      </c>
      <c r="AB112" s="30">
        <f t="shared" si="65"/>
        <v>0</v>
      </c>
      <c r="AC112" s="30">
        <f t="shared" si="66"/>
        <v>0</v>
      </c>
      <c r="AD112" s="30">
        <f t="shared" si="67"/>
        <v>0</v>
      </c>
      <c r="AE112" s="32">
        <f t="shared" si="77"/>
        <v>0</v>
      </c>
      <c r="AF112" s="33">
        <f t="shared" si="87"/>
        <v>0</v>
      </c>
      <c r="AG112" s="40">
        <f t="shared" si="78"/>
        <v>0</v>
      </c>
      <c r="AH112" s="224">
        <f>AG112*$P$33</f>
        <v>0</v>
      </c>
      <c r="AI112" s="227">
        <f t="shared" si="79"/>
        <v>0</v>
      </c>
    </row>
    <row r="113" spans="1:35" x14ac:dyDescent="0.35">
      <c r="A113" s="45">
        <v>1414</v>
      </c>
      <c r="B113" s="58">
        <f>SUMIF([2]!Table2_23[ETA],'FIS Optimal Model'!A113,[2]!Table2_23[FIS PAX])</f>
        <v>0</v>
      </c>
      <c r="C113" s="44">
        <f t="shared" si="80"/>
        <v>0</v>
      </c>
      <c r="D113" s="52">
        <f t="shared" si="86"/>
        <v>0</v>
      </c>
      <c r="E113" s="26">
        <f t="shared" si="68"/>
        <v>0</v>
      </c>
      <c r="F113" s="26">
        <f t="shared" si="69"/>
        <v>0</v>
      </c>
      <c r="G113" s="26">
        <f t="shared" si="70"/>
        <v>0</v>
      </c>
      <c r="H113" s="26">
        <f t="shared" si="81"/>
        <v>0</v>
      </c>
      <c r="I113" s="27">
        <f t="shared" si="88"/>
        <v>0</v>
      </c>
      <c r="J113" s="27">
        <f t="shared" si="88"/>
        <v>0</v>
      </c>
      <c r="K113" s="27">
        <f t="shared" si="88"/>
        <v>0</v>
      </c>
      <c r="L113" s="27">
        <f t="shared" si="88"/>
        <v>0</v>
      </c>
      <c r="M113" s="28">
        <f t="shared" si="60"/>
        <v>2</v>
      </c>
      <c r="N113" s="29">
        <f t="shared" si="61"/>
        <v>4</v>
      </c>
      <c r="O113" s="28">
        <f t="shared" si="62"/>
        <v>0</v>
      </c>
      <c r="P113" s="28">
        <f t="shared" si="63"/>
        <v>0</v>
      </c>
      <c r="Q113" s="28">
        <f t="shared" si="71"/>
        <v>6</v>
      </c>
      <c r="R113" s="22">
        <f t="shared" si="72"/>
        <v>0</v>
      </c>
      <c r="S113" s="22">
        <f t="shared" si="73"/>
        <v>0</v>
      </c>
      <c r="T113" s="22">
        <f t="shared" si="74"/>
        <v>0</v>
      </c>
      <c r="U113" s="22">
        <f t="shared" si="75"/>
        <v>0</v>
      </c>
      <c r="V113" s="21">
        <f t="shared" si="82"/>
        <v>0</v>
      </c>
      <c r="W113" s="21">
        <f t="shared" si="83"/>
        <v>0</v>
      </c>
      <c r="X113" s="21">
        <f t="shared" si="84"/>
        <v>0</v>
      </c>
      <c r="Y113" s="21">
        <f t="shared" si="85"/>
        <v>0</v>
      </c>
      <c r="Z113" s="221">
        <f t="shared" si="76"/>
        <v>0</v>
      </c>
      <c r="AA113" s="30">
        <f t="shared" si="64"/>
        <v>0</v>
      </c>
      <c r="AB113" s="30">
        <f t="shared" si="65"/>
        <v>0</v>
      </c>
      <c r="AC113" s="30">
        <f t="shared" si="66"/>
        <v>0</v>
      </c>
      <c r="AD113" s="30">
        <f t="shared" si="67"/>
        <v>0</v>
      </c>
      <c r="AE113" s="32">
        <f t="shared" si="77"/>
        <v>0</v>
      </c>
      <c r="AF113" s="33">
        <f t="shared" si="87"/>
        <v>0</v>
      </c>
      <c r="AG113" s="40">
        <f t="shared" si="78"/>
        <v>0</v>
      </c>
      <c r="AH113" s="224">
        <f>AG113*$P$33</f>
        <v>0</v>
      </c>
      <c r="AI113" s="227">
        <f t="shared" si="79"/>
        <v>0</v>
      </c>
    </row>
    <row r="114" spans="1:35" x14ac:dyDescent="0.35">
      <c r="A114" s="45">
        <v>1415</v>
      </c>
      <c r="B114" s="58">
        <f>SUMIF([2]!Table2_23[ETA],'FIS Optimal Model'!A114,[2]!Table2_23[FIS PAX])</f>
        <v>0</v>
      </c>
      <c r="C114" s="44">
        <f t="shared" si="80"/>
        <v>0</v>
      </c>
      <c r="D114" s="52">
        <f t="shared" si="86"/>
        <v>0</v>
      </c>
      <c r="E114" s="26">
        <f t="shared" si="68"/>
        <v>0</v>
      </c>
      <c r="F114" s="26">
        <f t="shared" si="69"/>
        <v>0</v>
      </c>
      <c r="G114" s="26">
        <f t="shared" si="70"/>
        <v>0</v>
      </c>
      <c r="H114" s="26">
        <f t="shared" si="81"/>
        <v>0</v>
      </c>
      <c r="I114" s="27">
        <f t="shared" si="88"/>
        <v>0</v>
      </c>
      <c r="J114" s="27">
        <f t="shared" si="88"/>
        <v>0</v>
      </c>
      <c r="K114" s="27">
        <f t="shared" si="88"/>
        <v>0</v>
      </c>
      <c r="L114" s="27">
        <f t="shared" si="88"/>
        <v>0</v>
      </c>
      <c r="M114" s="28">
        <f t="shared" si="60"/>
        <v>2</v>
      </c>
      <c r="N114" s="29">
        <f t="shared" si="61"/>
        <v>4</v>
      </c>
      <c r="O114" s="28">
        <f t="shared" si="62"/>
        <v>0</v>
      </c>
      <c r="P114" s="28">
        <f t="shared" si="63"/>
        <v>0</v>
      </c>
      <c r="Q114" s="28">
        <f t="shared" si="71"/>
        <v>6</v>
      </c>
      <c r="R114" s="22">
        <f t="shared" si="72"/>
        <v>0</v>
      </c>
      <c r="S114" s="22">
        <f t="shared" si="73"/>
        <v>0</v>
      </c>
      <c r="T114" s="22">
        <f t="shared" si="74"/>
        <v>0</v>
      </c>
      <c r="U114" s="22">
        <f t="shared" si="75"/>
        <v>0</v>
      </c>
      <c r="V114" s="21">
        <f t="shared" si="82"/>
        <v>0</v>
      </c>
      <c r="W114" s="21">
        <f t="shared" si="83"/>
        <v>0</v>
      </c>
      <c r="X114" s="21">
        <f t="shared" si="84"/>
        <v>0</v>
      </c>
      <c r="Y114" s="21">
        <f t="shared" si="85"/>
        <v>0</v>
      </c>
      <c r="Z114" s="221">
        <f t="shared" si="76"/>
        <v>0</v>
      </c>
      <c r="AA114" s="30">
        <f t="shared" si="64"/>
        <v>0</v>
      </c>
      <c r="AB114" s="30">
        <f t="shared" si="65"/>
        <v>0</v>
      </c>
      <c r="AC114" s="30">
        <f t="shared" si="66"/>
        <v>0</v>
      </c>
      <c r="AD114" s="30">
        <f t="shared" si="67"/>
        <v>0</v>
      </c>
      <c r="AE114" s="32">
        <f t="shared" si="77"/>
        <v>0</v>
      </c>
      <c r="AF114" s="33">
        <f t="shared" si="87"/>
        <v>0</v>
      </c>
      <c r="AG114" s="40">
        <f t="shared" si="78"/>
        <v>0</v>
      </c>
      <c r="AH114" s="224">
        <f>AG114*$P$33</f>
        <v>0</v>
      </c>
      <c r="AI114" s="227">
        <f t="shared" si="79"/>
        <v>0</v>
      </c>
    </row>
    <row r="115" spans="1:35" x14ac:dyDescent="0.35">
      <c r="A115" s="45">
        <v>1416</v>
      </c>
      <c r="B115" s="58">
        <f>SUMIF([2]!Table2_23[ETA],'FIS Optimal Model'!A115,[2]!Table2_23[FIS PAX])</f>
        <v>0</v>
      </c>
      <c r="C115" s="44">
        <f t="shared" si="80"/>
        <v>0</v>
      </c>
      <c r="D115" s="52">
        <f t="shared" si="86"/>
        <v>0</v>
      </c>
      <c r="E115" s="26">
        <f t="shared" si="68"/>
        <v>0</v>
      </c>
      <c r="F115" s="26">
        <f t="shared" si="69"/>
        <v>0</v>
      </c>
      <c r="G115" s="26">
        <f t="shared" si="70"/>
        <v>0</v>
      </c>
      <c r="H115" s="26">
        <f t="shared" si="81"/>
        <v>0</v>
      </c>
      <c r="I115" s="27">
        <f t="shared" si="88"/>
        <v>0</v>
      </c>
      <c r="J115" s="27">
        <f t="shared" si="88"/>
        <v>0</v>
      </c>
      <c r="K115" s="27">
        <f t="shared" si="88"/>
        <v>0</v>
      </c>
      <c r="L115" s="27">
        <f t="shared" si="88"/>
        <v>0</v>
      </c>
      <c r="M115" s="28">
        <f>IF(R114=0,0,$Q$11)</f>
        <v>0</v>
      </c>
      <c r="N115" s="29">
        <f>$U$11-M115-O115-P115</f>
        <v>11</v>
      </c>
      <c r="O115" s="28">
        <f>IF(T114=0,0,$S$11)</f>
        <v>0</v>
      </c>
      <c r="P115" s="28">
        <f>IF(U114=0,0,$T$11)</f>
        <v>0</v>
      </c>
      <c r="Q115" s="28">
        <f t="shared" si="71"/>
        <v>11</v>
      </c>
      <c r="R115" s="22">
        <f t="shared" si="72"/>
        <v>0</v>
      </c>
      <c r="S115" s="22">
        <f t="shared" si="73"/>
        <v>0</v>
      </c>
      <c r="T115" s="22">
        <f t="shared" si="74"/>
        <v>0</v>
      </c>
      <c r="U115" s="22">
        <f t="shared" si="75"/>
        <v>0</v>
      </c>
      <c r="V115" s="21">
        <f>IFERROR(R115*($I$30/M115),0)</f>
        <v>0</v>
      </c>
      <c r="W115" s="21">
        <f t="shared" si="83"/>
        <v>0</v>
      </c>
      <c r="X115" s="21">
        <f t="shared" si="84"/>
        <v>0</v>
      </c>
      <c r="Y115" s="21">
        <f t="shared" si="85"/>
        <v>0</v>
      </c>
      <c r="Z115" s="221">
        <f t="shared" si="76"/>
        <v>0</v>
      </c>
      <c r="AA115" s="30">
        <f t="shared" si="64"/>
        <v>0</v>
      </c>
      <c r="AB115" s="30">
        <f t="shared" si="65"/>
        <v>0</v>
      </c>
      <c r="AC115" s="30">
        <f t="shared" si="66"/>
        <v>0</v>
      </c>
      <c r="AD115" s="30">
        <f t="shared" si="67"/>
        <v>0</v>
      </c>
      <c r="AE115" s="32">
        <f t="shared" si="77"/>
        <v>0</v>
      </c>
      <c r="AF115" s="33">
        <f t="shared" si="87"/>
        <v>0</v>
      </c>
      <c r="AG115" s="40">
        <f t="shared" si="78"/>
        <v>0</v>
      </c>
      <c r="AH115" s="224">
        <f>AG115*$P$33</f>
        <v>0</v>
      </c>
      <c r="AI115" s="227">
        <f t="shared" si="79"/>
        <v>0</v>
      </c>
    </row>
    <row r="116" spans="1:35" x14ac:dyDescent="0.35">
      <c r="A116" s="45">
        <v>1417</v>
      </c>
      <c r="B116" s="58">
        <f>SUMIF([2]!Table2_23[ETA],'FIS Optimal Model'!A116,[2]!Table2_23[FIS PAX])</f>
        <v>0</v>
      </c>
      <c r="C116" s="44">
        <f t="shared" si="80"/>
        <v>0</v>
      </c>
      <c r="D116" s="52">
        <f t="shared" si="86"/>
        <v>0</v>
      </c>
      <c r="E116" s="26">
        <f t="shared" si="68"/>
        <v>0</v>
      </c>
      <c r="F116" s="26">
        <f t="shared" si="69"/>
        <v>0</v>
      </c>
      <c r="G116" s="26">
        <f t="shared" si="70"/>
        <v>0</v>
      </c>
      <c r="H116" s="26">
        <f t="shared" si="81"/>
        <v>0</v>
      </c>
      <c r="I116" s="27">
        <f t="shared" si="88"/>
        <v>0</v>
      </c>
      <c r="J116" s="27">
        <f t="shared" si="88"/>
        <v>0</v>
      </c>
      <c r="K116" s="27">
        <f t="shared" si="88"/>
        <v>0</v>
      </c>
      <c r="L116" s="27">
        <f t="shared" si="88"/>
        <v>0</v>
      </c>
      <c r="M116" s="28">
        <f>$M$115</f>
        <v>0</v>
      </c>
      <c r="N116" s="29">
        <f>$N$115</f>
        <v>11</v>
      </c>
      <c r="O116" s="28">
        <f>$O$115</f>
        <v>0</v>
      </c>
      <c r="P116" s="28">
        <f>$P$115</f>
        <v>0</v>
      </c>
      <c r="Q116" s="28">
        <f t="shared" si="71"/>
        <v>11</v>
      </c>
      <c r="R116" s="22">
        <f t="shared" si="72"/>
        <v>0</v>
      </c>
      <c r="S116" s="22">
        <f t="shared" si="73"/>
        <v>0</v>
      </c>
      <c r="T116" s="22">
        <f t="shared" si="74"/>
        <v>0</v>
      </c>
      <c r="U116" s="22">
        <f t="shared" si="75"/>
        <v>0</v>
      </c>
      <c r="V116" s="21">
        <f t="shared" ref="V116:V179" si="89">IFERROR(R116*($I$30/M116),0)</f>
        <v>0</v>
      </c>
      <c r="W116" s="21">
        <f>IFERROR(S116*($I$31/N116),0)</f>
        <v>0</v>
      </c>
      <c r="X116" s="21">
        <f t="shared" si="84"/>
        <v>0</v>
      </c>
      <c r="Y116" s="21">
        <f t="shared" si="85"/>
        <v>0</v>
      </c>
      <c r="Z116" s="221">
        <f t="shared" si="76"/>
        <v>0</v>
      </c>
      <c r="AA116" s="30">
        <f t="shared" si="64"/>
        <v>0</v>
      </c>
      <c r="AB116" s="30">
        <f t="shared" si="65"/>
        <v>0</v>
      </c>
      <c r="AC116" s="30">
        <f t="shared" si="66"/>
        <v>0</v>
      </c>
      <c r="AD116" s="30">
        <f t="shared" si="67"/>
        <v>0</v>
      </c>
      <c r="AE116" s="32">
        <f t="shared" si="77"/>
        <v>0</v>
      </c>
      <c r="AF116" s="33">
        <f t="shared" si="87"/>
        <v>0</v>
      </c>
      <c r="AG116" s="40">
        <f t="shared" si="78"/>
        <v>0</v>
      </c>
      <c r="AH116" s="224">
        <f>AG116*$P$33</f>
        <v>0</v>
      </c>
      <c r="AI116" s="227">
        <f t="shared" si="79"/>
        <v>0</v>
      </c>
    </row>
    <row r="117" spans="1:35" x14ac:dyDescent="0.35">
      <c r="A117" s="45">
        <v>1418</v>
      </c>
      <c r="B117" s="58">
        <f>SUMIF([2]!Table2_23[ETA],'FIS Optimal Model'!A117,[2]!Table2_23[FIS PAX])</f>
        <v>0</v>
      </c>
      <c r="C117" s="44">
        <f t="shared" si="80"/>
        <v>0</v>
      </c>
      <c r="D117" s="52">
        <f t="shared" si="86"/>
        <v>0</v>
      </c>
      <c r="E117" s="26">
        <f t="shared" si="68"/>
        <v>0</v>
      </c>
      <c r="F117" s="26">
        <f t="shared" si="69"/>
        <v>0</v>
      </c>
      <c r="G117" s="26">
        <f t="shared" si="70"/>
        <v>0</v>
      </c>
      <c r="H117" s="26">
        <f t="shared" si="81"/>
        <v>0</v>
      </c>
      <c r="I117" s="27">
        <f t="shared" si="88"/>
        <v>0</v>
      </c>
      <c r="J117" s="27">
        <f t="shared" si="88"/>
        <v>0</v>
      </c>
      <c r="K117" s="27">
        <f t="shared" si="88"/>
        <v>0</v>
      </c>
      <c r="L117" s="27">
        <f t="shared" si="88"/>
        <v>0</v>
      </c>
      <c r="M117" s="28">
        <f t="shared" ref="M117:M129" si="90">$M$115</f>
        <v>0</v>
      </c>
      <c r="N117" s="29">
        <f t="shared" ref="N117:N129" si="91">$N$115</f>
        <v>11</v>
      </c>
      <c r="O117" s="28">
        <f t="shared" ref="O117:O129" si="92">$O$115</f>
        <v>0</v>
      </c>
      <c r="P117" s="28">
        <f t="shared" ref="P117:P129" si="93">$P$115</f>
        <v>0</v>
      </c>
      <c r="Q117" s="28">
        <f t="shared" si="71"/>
        <v>11</v>
      </c>
      <c r="R117" s="22">
        <f t="shared" si="72"/>
        <v>0</v>
      </c>
      <c r="S117" s="22">
        <f t="shared" si="73"/>
        <v>0</v>
      </c>
      <c r="T117" s="22">
        <f t="shared" si="74"/>
        <v>0</v>
      </c>
      <c r="U117" s="22">
        <f t="shared" si="75"/>
        <v>0</v>
      </c>
      <c r="V117" s="21">
        <f t="shared" si="89"/>
        <v>0</v>
      </c>
      <c r="W117" s="21">
        <f t="shared" ref="W117:W180" si="94">IFERROR(S117*($I$31/N117),0)</f>
        <v>0</v>
      </c>
      <c r="X117" s="21">
        <f t="shared" si="84"/>
        <v>0</v>
      </c>
      <c r="Y117" s="21">
        <f t="shared" si="85"/>
        <v>0</v>
      </c>
      <c r="Z117" s="221">
        <f t="shared" si="76"/>
        <v>0</v>
      </c>
      <c r="AA117" s="30">
        <f t="shared" si="64"/>
        <v>0</v>
      </c>
      <c r="AB117" s="30">
        <f t="shared" si="65"/>
        <v>0</v>
      </c>
      <c r="AC117" s="30">
        <f t="shared" si="66"/>
        <v>0</v>
      </c>
      <c r="AD117" s="30">
        <f t="shared" si="67"/>
        <v>0</v>
      </c>
      <c r="AE117" s="32">
        <f t="shared" si="77"/>
        <v>0</v>
      </c>
      <c r="AF117" s="33">
        <f t="shared" si="87"/>
        <v>0</v>
      </c>
      <c r="AG117" s="40">
        <f t="shared" si="78"/>
        <v>0</v>
      </c>
      <c r="AH117" s="224">
        <f>AG117*$P$33</f>
        <v>0</v>
      </c>
      <c r="AI117" s="227">
        <f t="shared" si="79"/>
        <v>0</v>
      </c>
    </row>
    <row r="118" spans="1:35" x14ac:dyDescent="0.35">
      <c r="A118" s="45">
        <v>1419</v>
      </c>
      <c r="B118" s="58">
        <f>SUMIF([2]!Table2_23[ETA],'FIS Optimal Model'!A118,[2]!Table2_23[FIS PAX])</f>
        <v>0</v>
      </c>
      <c r="C118" s="44">
        <f t="shared" si="80"/>
        <v>0</v>
      </c>
      <c r="D118" s="52">
        <f t="shared" si="86"/>
        <v>0</v>
      </c>
      <c r="E118" s="26">
        <f t="shared" si="68"/>
        <v>0</v>
      </c>
      <c r="F118" s="26">
        <f t="shared" si="69"/>
        <v>0</v>
      </c>
      <c r="G118" s="26">
        <f t="shared" si="70"/>
        <v>0</v>
      </c>
      <c r="H118" s="26">
        <f t="shared" si="81"/>
        <v>0</v>
      </c>
      <c r="I118" s="27">
        <f t="shared" si="88"/>
        <v>0</v>
      </c>
      <c r="J118" s="27">
        <f t="shared" si="88"/>
        <v>0</v>
      </c>
      <c r="K118" s="27">
        <f t="shared" si="88"/>
        <v>0</v>
      </c>
      <c r="L118" s="27">
        <f t="shared" si="88"/>
        <v>0</v>
      </c>
      <c r="M118" s="28">
        <f t="shared" si="90"/>
        <v>0</v>
      </c>
      <c r="N118" s="29">
        <f t="shared" si="91"/>
        <v>11</v>
      </c>
      <c r="O118" s="28">
        <f t="shared" si="92"/>
        <v>0</v>
      </c>
      <c r="P118" s="28">
        <f t="shared" si="93"/>
        <v>0</v>
      </c>
      <c r="Q118" s="28">
        <f t="shared" si="71"/>
        <v>11</v>
      </c>
      <c r="R118" s="22">
        <f t="shared" si="72"/>
        <v>0</v>
      </c>
      <c r="S118" s="22">
        <f t="shared" si="73"/>
        <v>0</v>
      </c>
      <c r="T118" s="22">
        <f t="shared" si="74"/>
        <v>0</v>
      </c>
      <c r="U118" s="22">
        <f t="shared" si="75"/>
        <v>0</v>
      </c>
      <c r="V118" s="21">
        <f t="shared" si="89"/>
        <v>0</v>
      </c>
      <c r="W118" s="21">
        <f t="shared" si="94"/>
        <v>0</v>
      </c>
      <c r="X118" s="21">
        <f t="shared" si="84"/>
        <v>0</v>
      </c>
      <c r="Y118" s="21">
        <f t="shared" si="85"/>
        <v>0</v>
      </c>
      <c r="Z118" s="221">
        <f t="shared" si="76"/>
        <v>0</v>
      </c>
      <c r="AA118" s="30">
        <f t="shared" si="64"/>
        <v>0</v>
      </c>
      <c r="AB118" s="30">
        <f t="shared" si="65"/>
        <v>0</v>
      </c>
      <c r="AC118" s="30">
        <f t="shared" si="66"/>
        <v>0</v>
      </c>
      <c r="AD118" s="30">
        <f t="shared" si="67"/>
        <v>0</v>
      </c>
      <c r="AE118" s="32">
        <f t="shared" si="77"/>
        <v>0</v>
      </c>
      <c r="AF118" s="33">
        <f t="shared" si="87"/>
        <v>0</v>
      </c>
      <c r="AG118" s="40">
        <f t="shared" si="78"/>
        <v>0</v>
      </c>
      <c r="AH118" s="224">
        <f>AG118*$P$33</f>
        <v>0</v>
      </c>
      <c r="AI118" s="227">
        <f t="shared" si="79"/>
        <v>0</v>
      </c>
    </row>
    <row r="119" spans="1:35" x14ac:dyDescent="0.35">
      <c r="A119" s="45">
        <v>1420</v>
      </c>
      <c r="B119" s="58">
        <f>SUMIF([2]!Table2_23[ETA],'FIS Optimal Model'!A119,[2]!Table2_23[FIS PAX])</f>
        <v>0</v>
      </c>
      <c r="C119" s="44">
        <f t="shared" si="80"/>
        <v>0</v>
      </c>
      <c r="D119" s="52">
        <f t="shared" si="86"/>
        <v>0</v>
      </c>
      <c r="E119" s="26">
        <f t="shared" si="68"/>
        <v>0</v>
      </c>
      <c r="F119" s="26">
        <f t="shared" si="69"/>
        <v>0</v>
      </c>
      <c r="G119" s="26">
        <f t="shared" si="70"/>
        <v>0</v>
      </c>
      <c r="H119" s="26">
        <f t="shared" si="81"/>
        <v>0</v>
      </c>
      <c r="I119" s="27">
        <f t="shared" si="88"/>
        <v>0</v>
      </c>
      <c r="J119" s="27">
        <f t="shared" si="88"/>
        <v>0</v>
      </c>
      <c r="K119" s="27">
        <f t="shared" si="88"/>
        <v>0</v>
      </c>
      <c r="L119" s="27">
        <f t="shared" si="88"/>
        <v>0</v>
      </c>
      <c r="M119" s="28">
        <f t="shared" si="90"/>
        <v>0</v>
      </c>
      <c r="N119" s="29">
        <f t="shared" si="91"/>
        <v>11</v>
      </c>
      <c r="O119" s="28">
        <f t="shared" si="92"/>
        <v>0</v>
      </c>
      <c r="P119" s="28">
        <f t="shared" si="93"/>
        <v>0</v>
      </c>
      <c r="Q119" s="28">
        <f t="shared" si="71"/>
        <v>11</v>
      </c>
      <c r="R119" s="22">
        <f t="shared" si="72"/>
        <v>0</v>
      </c>
      <c r="S119" s="22">
        <f t="shared" si="73"/>
        <v>0</v>
      </c>
      <c r="T119" s="22">
        <f t="shared" si="74"/>
        <v>0</v>
      </c>
      <c r="U119" s="22">
        <f t="shared" si="75"/>
        <v>0</v>
      </c>
      <c r="V119" s="21">
        <f t="shared" si="89"/>
        <v>0</v>
      </c>
      <c r="W119" s="21">
        <f t="shared" si="94"/>
        <v>0</v>
      </c>
      <c r="X119" s="21">
        <f t="shared" si="84"/>
        <v>0</v>
      </c>
      <c r="Y119" s="21">
        <f t="shared" si="85"/>
        <v>0</v>
      </c>
      <c r="Z119" s="221">
        <f t="shared" si="76"/>
        <v>0</v>
      </c>
      <c r="AA119" s="30">
        <f t="shared" si="64"/>
        <v>0</v>
      </c>
      <c r="AB119" s="30">
        <f t="shared" si="65"/>
        <v>0</v>
      </c>
      <c r="AC119" s="30">
        <f t="shared" si="66"/>
        <v>0</v>
      </c>
      <c r="AD119" s="30">
        <f t="shared" si="67"/>
        <v>0</v>
      </c>
      <c r="AE119" s="32">
        <f t="shared" si="77"/>
        <v>0</v>
      </c>
      <c r="AF119" s="33">
        <f t="shared" si="87"/>
        <v>0</v>
      </c>
      <c r="AG119" s="40">
        <f t="shared" si="78"/>
        <v>0</v>
      </c>
      <c r="AH119" s="224">
        <f>AG119*$P$33</f>
        <v>0</v>
      </c>
      <c r="AI119" s="227">
        <f t="shared" si="79"/>
        <v>0</v>
      </c>
    </row>
    <row r="120" spans="1:35" x14ac:dyDescent="0.35">
      <c r="A120" s="45">
        <v>1421</v>
      </c>
      <c r="B120" s="58">
        <f>SUMIF([2]!Table2_23[ETA],'FIS Optimal Model'!A120,[2]!Table2_23[FIS PAX])</f>
        <v>0</v>
      </c>
      <c r="C120" s="44">
        <f t="shared" si="80"/>
        <v>0</v>
      </c>
      <c r="D120" s="52">
        <f t="shared" si="86"/>
        <v>0</v>
      </c>
      <c r="E120" s="26">
        <f t="shared" si="68"/>
        <v>0</v>
      </c>
      <c r="F120" s="26">
        <f t="shared" si="69"/>
        <v>0</v>
      </c>
      <c r="G120" s="26">
        <f t="shared" si="70"/>
        <v>0</v>
      </c>
      <c r="H120" s="26">
        <f t="shared" si="81"/>
        <v>0</v>
      </c>
      <c r="I120" s="27">
        <f t="shared" si="88"/>
        <v>0</v>
      </c>
      <c r="J120" s="27">
        <f t="shared" si="88"/>
        <v>0</v>
      </c>
      <c r="K120" s="27">
        <f t="shared" si="88"/>
        <v>0</v>
      </c>
      <c r="L120" s="27">
        <f t="shared" si="88"/>
        <v>0</v>
      </c>
      <c r="M120" s="28">
        <f t="shared" si="90"/>
        <v>0</v>
      </c>
      <c r="N120" s="29">
        <f t="shared" si="91"/>
        <v>11</v>
      </c>
      <c r="O120" s="28">
        <f t="shared" si="92"/>
        <v>0</v>
      </c>
      <c r="P120" s="28">
        <f t="shared" si="93"/>
        <v>0</v>
      </c>
      <c r="Q120" s="28">
        <f t="shared" si="71"/>
        <v>11</v>
      </c>
      <c r="R120" s="22">
        <f t="shared" si="72"/>
        <v>0</v>
      </c>
      <c r="S120" s="22">
        <f t="shared" si="73"/>
        <v>0</v>
      </c>
      <c r="T120" s="22">
        <f t="shared" si="74"/>
        <v>0</v>
      </c>
      <c r="U120" s="22">
        <f t="shared" si="75"/>
        <v>0</v>
      </c>
      <c r="V120" s="21">
        <f t="shared" si="89"/>
        <v>0</v>
      </c>
      <c r="W120" s="21">
        <f t="shared" si="94"/>
        <v>0</v>
      </c>
      <c r="X120" s="21">
        <f t="shared" si="84"/>
        <v>0</v>
      </c>
      <c r="Y120" s="21">
        <f t="shared" si="85"/>
        <v>0</v>
      </c>
      <c r="Z120" s="221">
        <f t="shared" si="76"/>
        <v>0</v>
      </c>
      <c r="AA120" s="30">
        <f t="shared" si="64"/>
        <v>0</v>
      </c>
      <c r="AB120" s="30">
        <f t="shared" si="65"/>
        <v>0</v>
      </c>
      <c r="AC120" s="30">
        <f t="shared" si="66"/>
        <v>0</v>
      </c>
      <c r="AD120" s="30">
        <f t="shared" si="67"/>
        <v>0</v>
      </c>
      <c r="AE120" s="32">
        <f t="shared" si="77"/>
        <v>0</v>
      </c>
      <c r="AF120" s="33">
        <f t="shared" si="87"/>
        <v>0</v>
      </c>
      <c r="AG120" s="40">
        <f t="shared" si="78"/>
        <v>0</v>
      </c>
      <c r="AH120" s="224">
        <f>AG120*$P$33</f>
        <v>0</v>
      </c>
      <c r="AI120" s="227">
        <f t="shared" si="79"/>
        <v>0</v>
      </c>
    </row>
    <row r="121" spans="1:35" x14ac:dyDescent="0.35">
      <c r="A121" s="45">
        <v>1422</v>
      </c>
      <c r="B121" s="58">
        <f>SUMIF([2]!Table2_23[ETA],'FIS Optimal Model'!A121,[2]!Table2_23[FIS PAX])</f>
        <v>0</v>
      </c>
      <c r="C121" s="44">
        <f t="shared" si="80"/>
        <v>0</v>
      </c>
      <c r="D121" s="52">
        <f t="shared" si="86"/>
        <v>0</v>
      </c>
      <c r="E121" s="26">
        <f t="shared" si="68"/>
        <v>0</v>
      </c>
      <c r="F121" s="26">
        <f t="shared" si="69"/>
        <v>0</v>
      </c>
      <c r="G121" s="26">
        <f t="shared" si="70"/>
        <v>0</v>
      </c>
      <c r="H121" s="26">
        <f t="shared" si="81"/>
        <v>0</v>
      </c>
      <c r="I121" s="27">
        <f t="shared" si="88"/>
        <v>0</v>
      </c>
      <c r="J121" s="27">
        <f t="shared" si="88"/>
        <v>0</v>
      </c>
      <c r="K121" s="27">
        <f t="shared" si="88"/>
        <v>0</v>
      </c>
      <c r="L121" s="27">
        <f t="shared" si="88"/>
        <v>0</v>
      </c>
      <c r="M121" s="28">
        <f t="shared" si="90"/>
        <v>0</v>
      </c>
      <c r="N121" s="29">
        <f t="shared" si="91"/>
        <v>11</v>
      </c>
      <c r="O121" s="28">
        <f t="shared" si="92"/>
        <v>0</v>
      </c>
      <c r="P121" s="28">
        <f t="shared" si="93"/>
        <v>0</v>
      </c>
      <c r="Q121" s="28">
        <f t="shared" si="71"/>
        <v>11</v>
      </c>
      <c r="R121" s="22">
        <f t="shared" si="72"/>
        <v>0</v>
      </c>
      <c r="S121" s="22">
        <f t="shared" si="73"/>
        <v>0</v>
      </c>
      <c r="T121" s="22">
        <f t="shared" si="74"/>
        <v>0</v>
      </c>
      <c r="U121" s="22">
        <f t="shared" si="75"/>
        <v>0</v>
      </c>
      <c r="V121" s="21">
        <f t="shared" si="89"/>
        <v>0</v>
      </c>
      <c r="W121" s="21">
        <f t="shared" si="94"/>
        <v>0</v>
      </c>
      <c r="X121" s="21">
        <f t="shared" si="84"/>
        <v>0</v>
      </c>
      <c r="Y121" s="21">
        <f t="shared" si="85"/>
        <v>0</v>
      </c>
      <c r="Z121" s="221">
        <f t="shared" si="76"/>
        <v>0</v>
      </c>
      <c r="AA121" s="30">
        <f t="shared" si="64"/>
        <v>0</v>
      </c>
      <c r="AB121" s="30">
        <f t="shared" si="65"/>
        <v>0</v>
      </c>
      <c r="AC121" s="30">
        <f t="shared" si="66"/>
        <v>0</v>
      </c>
      <c r="AD121" s="30">
        <f t="shared" si="67"/>
        <v>0</v>
      </c>
      <c r="AE121" s="32">
        <f t="shared" si="77"/>
        <v>0</v>
      </c>
      <c r="AF121" s="33">
        <f t="shared" si="87"/>
        <v>0</v>
      </c>
      <c r="AG121" s="40">
        <f t="shared" si="78"/>
        <v>0</v>
      </c>
      <c r="AH121" s="224">
        <f>AG121*$P$33</f>
        <v>0</v>
      </c>
      <c r="AI121" s="227">
        <f t="shared" si="79"/>
        <v>0</v>
      </c>
    </row>
    <row r="122" spans="1:35" x14ac:dyDescent="0.35">
      <c r="A122" s="45">
        <v>1423</v>
      </c>
      <c r="B122" s="58">
        <f>SUMIF([2]!Table2_23[ETA],'FIS Optimal Model'!A122,[2]!Table2_23[FIS PAX])</f>
        <v>0</v>
      </c>
      <c r="C122" s="44">
        <f t="shared" si="80"/>
        <v>0</v>
      </c>
      <c r="D122" s="52">
        <f t="shared" si="86"/>
        <v>0</v>
      </c>
      <c r="E122" s="26">
        <f t="shared" si="68"/>
        <v>0</v>
      </c>
      <c r="F122" s="26">
        <f t="shared" si="69"/>
        <v>0</v>
      </c>
      <c r="G122" s="26">
        <f t="shared" si="70"/>
        <v>0</v>
      </c>
      <c r="H122" s="26">
        <f t="shared" si="81"/>
        <v>0</v>
      </c>
      <c r="I122" s="27">
        <f t="shared" si="88"/>
        <v>0</v>
      </c>
      <c r="J122" s="27">
        <f t="shared" si="88"/>
        <v>0</v>
      </c>
      <c r="K122" s="27">
        <f t="shared" si="88"/>
        <v>0</v>
      </c>
      <c r="L122" s="27">
        <f t="shared" si="88"/>
        <v>0</v>
      </c>
      <c r="M122" s="28">
        <f t="shared" si="90"/>
        <v>0</v>
      </c>
      <c r="N122" s="29">
        <f t="shared" si="91"/>
        <v>11</v>
      </c>
      <c r="O122" s="28">
        <f t="shared" si="92"/>
        <v>0</v>
      </c>
      <c r="P122" s="28">
        <f t="shared" si="93"/>
        <v>0</v>
      </c>
      <c r="Q122" s="28">
        <f t="shared" si="71"/>
        <v>11</v>
      </c>
      <c r="R122" s="22">
        <f t="shared" si="72"/>
        <v>0</v>
      </c>
      <c r="S122" s="22">
        <f t="shared" si="73"/>
        <v>0</v>
      </c>
      <c r="T122" s="22">
        <f t="shared" si="74"/>
        <v>0</v>
      </c>
      <c r="U122" s="22">
        <f t="shared" si="75"/>
        <v>0</v>
      </c>
      <c r="V122" s="21">
        <f t="shared" si="89"/>
        <v>0</v>
      </c>
      <c r="W122" s="21">
        <f t="shared" si="94"/>
        <v>0</v>
      </c>
      <c r="X122" s="21">
        <f t="shared" si="84"/>
        <v>0</v>
      </c>
      <c r="Y122" s="21">
        <f t="shared" si="85"/>
        <v>0</v>
      </c>
      <c r="Z122" s="221">
        <f t="shared" si="76"/>
        <v>0</v>
      </c>
      <c r="AA122" s="30">
        <f t="shared" si="64"/>
        <v>0</v>
      </c>
      <c r="AB122" s="30">
        <f t="shared" si="65"/>
        <v>0</v>
      </c>
      <c r="AC122" s="30">
        <f t="shared" si="66"/>
        <v>0</v>
      </c>
      <c r="AD122" s="30">
        <f t="shared" si="67"/>
        <v>0</v>
      </c>
      <c r="AE122" s="32">
        <f t="shared" si="77"/>
        <v>0</v>
      </c>
      <c r="AF122" s="33">
        <f t="shared" si="87"/>
        <v>0</v>
      </c>
      <c r="AG122" s="40">
        <f t="shared" si="78"/>
        <v>0</v>
      </c>
      <c r="AH122" s="224">
        <f>AG122*$P$33</f>
        <v>0</v>
      </c>
      <c r="AI122" s="227">
        <f t="shared" si="79"/>
        <v>0</v>
      </c>
    </row>
    <row r="123" spans="1:35" x14ac:dyDescent="0.35">
      <c r="A123" s="45">
        <v>1424</v>
      </c>
      <c r="B123" s="58">
        <f>SUMIF([2]!Table2_23[ETA],'FIS Optimal Model'!A123,[2]!Table2_23[FIS PAX])</f>
        <v>0</v>
      </c>
      <c r="C123" s="44">
        <f t="shared" si="80"/>
        <v>0</v>
      </c>
      <c r="D123" s="52">
        <f t="shared" si="86"/>
        <v>0</v>
      </c>
      <c r="E123" s="26">
        <f t="shared" si="68"/>
        <v>0</v>
      </c>
      <c r="F123" s="26">
        <f t="shared" si="69"/>
        <v>0</v>
      </c>
      <c r="G123" s="26">
        <f t="shared" si="70"/>
        <v>0</v>
      </c>
      <c r="H123" s="26">
        <f t="shared" si="81"/>
        <v>0</v>
      </c>
      <c r="I123" s="27">
        <f t="shared" si="88"/>
        <v>0</v>
      </c>
      <c r="J123" s="27">
        <f t="shared" si="88"/>
        <v>0</v>
      </c>
      <c r="K123" s="27">
        <f t="shared" si="88"/>
        <v>0</v>
      </c>
      <c r="L123" s="27">
        <f t="shared" si="88"/>
        <v>0</v>
      </c>
      <c r="M123" s="28">
        <f t="shared" si="90"/>
        <v>0</v>
      </c>
      <c r="N123" s="29">
        <f t="shared" si="91"/>
        <v>11</v>
      </c>
      <c r="O123" s="28">
        <f t="shared" si="92"/>
        <v>0</v>
      </c>
      <c r="P123" s="28">
        <f t="shared" si="93"/>
        <v>0</v>
      </c>
      <c r="Q123" s="28">
        <f t="shared" si="71"/>
        <v>11</v>
      </c>
      <c r="R123" s="22">
        <f t="shared" si="72"/>
        <v>0</v>
      </c>
      <c r="S123" s="22">
        <f t="shared" si="73"/>
        <v>0</v>
      </c>
      <c r="T123" s="22">
        <f t="shared" si="74"/>
        <v>0</v>
      </c>
      <c r="U123" s="22">
        <f t="shared" si="75"/>
        <v>0</v>
      </c>
      <c r="V123" s="21">
        <f t="shared" si="89"/>
        <v>0</v>
      </c>
      <c r="W123" s="21">
        <f t="shared" si="94"/>
        <v>0</v>
      </c>
      <c r="X123" s="21">
        <f t="shared" si="84"/>
        <v>0</v>
      </c>
      <c r="Y123" s="21">
        <f t="shared" si="85"/>
        <v>0</v>
      </c>
      <c r="Z123" s="221">
        <f t="shared" si="76"/>
        <v>0</v>
      </c>
      <c r="AA123" s="30">
        <f t="shared" si="64"/>
        <v>0</v>
      </c>
      <c r="AB123" s="30">
        <f t="shared" si="65"/>
        <v>0</v>
      </c>
      <c r="AC123" s="30">
        <f t="shared" si="66"/>
        <v>0</v>
      </c>
      <c r="AD123" s="30">
        <f t="shared" si="67"/>
        <v>0</v>
      </c>
      <c r="AE123" s="32">
        <f t="shared" si="77"/>
        <v>0</v>
      </c>
      <c r="AF123" s="33">
        <f t="shared" si="87"/>
        <v>0</v>
      </c>
      <c r="AG123" s="40">
        <f t="shared" si="78"/>
        <v>0</v>
      </c>
      <c r="AH123" s="224">
        <f>AG123*$P$33</f>
        <v>0</v>
      </c>
      <c r="AI123" s="227">
        <f t="shared" si="79"/>
        <v>0</v>
      </c>
    </row>
    <row r="124" spans="1:35" x14ac:dyDescent="0.35">
      <c r="A124" s="45">
        <v>1425</v>
      </c>
      <c r="B124" s="58">
        <f>SUMIF([2]!Table2_23[ETA],'FIS Optimal Model'!A124,[2]!Table2_23[FIS PAX])</f>
        <v>0</v>
      </c>
      <c r="C124" s="44">
        <f t="shared" si="80"/>
        <v>0</v>
      </c>
      <c r="D124" s="52">
        <f t="shared" si="86"/>
        <v>0</v>
      </c>
      <c r="E124" s="26">
        <f t="shared" si="68"/>
        <v>0</v>
      </c>
      <c r="F124" s="26">
        <f t="shared" si="69"/>
        <v>0</v>
      </c>
      <c r="G124" s="26">
        <f t="shared" si="70"/>
        <v>0</v>
      </c>
      <c r="H124" s="26">
        <f t="shared" si="81"/>
        <v>0</v>
      </c>
      <c r="I124" s="27">
        <f t="shared" si="88"/>
        <v>0</v>
      </c>
      <c r="J124" s="27">
        <f t="shared" si="88"/>
        <v>0</v>
      </c>
      <c r="K124" s="27">
        <f t="shared" si="88"/>
        <v>0</v>
      </c>
      <c r="L124" s="27">
        <f t="shared" si="88"/>
        <v>0</v>
      </c>
      <c r="M124" s="28">
        <f t="shared" si="90"/>
        <v>0</v>
      </c>
      <c r="N124" s="29">
        <f t="shared" si="91"/>
        <v>11</v>
      </c>
      <c r="O124" s="28">
        <f t="shared" si="92"/>
        <v>0</v>
      </c>
      <c r="P124" s="28">
        <f t="shared" si="93"/>
        <v>0</v>
      </c>
      <c r="Q124" s="28">
        <f t="shared" si="71"/>
        <v>11</v>
      </c>
      <c r="R124" s="22">
        <f t="shared" si="72"/>
        <v>0</v>
      </c>
      <c r="S124" s="22">
        <f t="shared" si="73"/>
        <v>0</v>
      </c>
      <c r="T124" s="22">
        <f t="shared" si="74"/>
        <v>0</v>
      </c>
      <c r="U124" s="22">
        <f t="shared" si="75"/>
        <v>0</v>
      </c>
      <c r="V124" s="21">
        <f t="shared" si="89"/>
        <v>0</v>
      </c>
      <c r="W124" s="21">
        <f t="shared" si="94"/>
        <v>0</v>
      </c>
      <c r="X124" s="21">
        <f t="shared" si="84"/>
        <v>0</v>
      </c>
      <c r="Y124" s="21">
        <f t="shared" si="85"/>
        <v>0</v>
      </c>
      <c r="Z124" s="221">
        <f t="shared" si="76"/>
        <v>0</v>
      </c>
      <c r="AA124" s="30">
        <f t="shared" si="64"/>
        <v>0</v>
      </c>
      <c r="AB124" s="30">
        <f t="shared" si="65"/>
        <v>0</v>
      </c>
      <c r="AC124" s="30">
        <f t="shared" si="66"/>
        <v>0</v>
      </c>
      <c r="AD124" s="30">
        <f t="shared" si="67"/>
        <v>0</v>
      </c>
      <c r="AE124" s="32">
        <f t="shared" si="77"/>
        <v>0</v>
      </c>
      <c r="AF124" s="33">
        <f t="shared" si="87"/>
        <v>0</v>
      </c>
      <c r="AG124" s="40">
        <f t="shared" si="78"/>
        <v>0</v>
      </c>
      <c r="AH124" s="224">
        <f>AG124*$P$33</f>
        <v>0</v>
      </c>
      <c r="AI124" s="227">
        <f t="shared" si="79"/>
        <v>0</v>
      </c>
    </row>
    <row r="125" spans="1:35" x14ac:dyDescent="0.35">
      <c r="A125" s="45">
        <v>1426</v>
      </c>
      <c r="B125" s="58">
        <f>SUMIF([2]!Table2_23[ETA],'FIS Optimal Model'!A125,[2]!Table2_23[FIS PAX])</f>
        <v>0</v>
      </c>
      <c r="C125" s="44">
        <f t="shared" si="80"/>
        <v>0</v>
      </c>
      <c r="D125" s="52">
        <f t="shared" si="86"/>
        <v>0</v>
      </c>
      <c r="E125" s="26">
        <f t="shared" si="68"/>
        <v>0</v>
      </c>
      <c r="F125" s="26">
        <f t="shared" si="69"/>
        <v>0</v>
      </c>
      <c r="G125" s="26">
        <f t="shared" si="70"/>
        <v>0</v>
      </c>
      <c r="H125" s="26">
        <f t="shared" si="81"/>
        <v>0</v>
      </c>
      <c r="I125" s="27">
        <f t="shared" si="88"/>
        <v>0</v>
      </c>
      <c r="J125" s="27">
        <f t="shared" si="88"/>
        <v>0</v>
      </c>
      <c r="K125" s="27">
        <f t="shared" si="88"/>
        <v>0</v>
      </c>
      <c r="L125" s="27">
        <f t="shared" si="88"/>
        <v>0</v>
      </c>
      <c r="M125" s="28">
        <f t="shared" si="90"/>
        <v>0</v>
      </c>
      <c r="N125" s="29">
        <f t="shared" si="91"/>
        <v>11</v>
      </c>
      <c r="O125" s="28">
        <f t="shared" si="92"/>
        <v>0</v>
      </c>
      <c r="P125" s="28">
        <f t="shared" si="93"/>
        <v>0</v>
      </c>
      <c r="Q125" s="28">
        <f t="shared" si="71"/>
        <v>11</v>
      </c>
      <c r="R125" s="22">
        <f t="shared" si="72"/>
        <v>0</v>
      </c>
      <c r="S125" s="22">
        <f t="shared" si="73"/>
        <v>0</v>
      </c>
      <c r="T125" s="22">
        <f t="shared" si="74"/>
        <v>0</v>
      </c>
      <c r="U125" s="22">
        <f t="shared" si="75"/>
        <v>0</v>
      </c>
      <c r="V125" s="21">
        <f t="shared" si="89"/>
        <v>0</v>
      </c>
      <c r="W125" s="21">
        <f t="shared" si="94"/>
        <v>0</v>
      </c>
      <c r="X125" s="21">
        <f t="shared" si="84"/>
        <v>0</v>
      </c>
      <c r="Y125" s="21">
        <f t="shared" si="85"/>
        <v>0</v>
      </c>
      <c r="Z125" s="221">
        <f t="shared" si="76"/>
        <v>0</v>
      </c>
      <c r="AA125" s="30">
        <f t="shared" si="64"/>
        <v>0</v>
      </c>
      <c r="AB125" s="30">
        <f t="shared" si="65"/>
        <v>0</v>
      </c>
      <c r="AC125" s="30">
        <f t="shared" si="66"/>
        <v>0</v>
      </c>
      <c r="AD125" s="30">
        <f t="shared" si="67"/>
        <v>0</v>
      </c>
      <c r="AE125" s="32">
        <f t="shared" si="77"/>
        <v>0</v>
      </c>
      <c r="AF125" s="33">
        <f t="shared" si="87"/>
        <v>0</v>
      </c>
      <c r="AG125" s="40">
        <f t="shared" si="78"/>
        <v>0</v>
      </c>
      <c r="AH125" s="224">
        <f>AG125*$P$33</f>
        <v>0</v>
      </c>
      <c r="AI125" s="227">
        <f t="shared" si="79"/>
        <v>0</v>
      </c>
    </row>
    <row r="126" spans="1:35" x14ac:dyDescent="0.35">
      <c r="A126" s="45">
        <v>1427</v>
      </c>
      <c r="B126" s="58">
        <f>SUMIF([2]!Table2_23[ETA],'FIS Optimal Model'!A126,[2]!Table2_23[FIS PAX])</f>
        <v>0</v>
      </c>
      <c r="C126" s="44">
        <f t="shared" si="80"/>
        <v>0</v>
      </c>
      <c r="D126" s="52">
        <f t="shared" si="86"/>
        <v>0</v>
      </c>
      <c r="E126" s="26">
        <f t="shared" si="68"/>
        <v>0</v>
      </c>
      <c r="F126" s="26">
        <f t="shared" si="69"/>
        <v>0</v>
      </c>
      <c r="G126" s="26">
        <f t="shared" si="70"/>
        <v>0</v>
      </c>
      <c r="H126" s="26">
        <f t="shared" si="81"/>
        <v>0</v>
      </c>
      <c r="I126" s="27">
        <f t="shared" si="88"/>
        <v>0</v>
      </c>
      <c r="J126" s="27">
        <f t="shared" si="88"/>
        <v>0</v>
      </c>
      <c r="K126" s="27">
        <f t="shared" si="88"/>
        <v>0</v>
      </c>
      <c r="L126" s="27">
        <f t="shared" si="88"/>
        <v>0</v>
      </c>
      <c r="M126" s="28">
        <f t="shared" si="90"/>
        <v>0</v>
      </c>
      <c r="N126" s="29">
        <f t="shared" si="91"/>
        <v>11</v>
      </c>
      <c r="O126" s="28">
        <f t="shared" si="92"/>
        <v>0</v>
      </c>
      <c r="P126" s="28">
        <f t="shared" si="93"/>
        <v>0</v>
      </c>
      <c r="Q126" s="28">
        <f t="shared" si="71"/>
        <v>11</v>
      </c>
      <c r="R126" s="22">
        <f t="shared" si="72"/>
        <v>0</v>
      </c>
      <c r="S126" s="22">
        <f t="shared" si="73"/>
        <v>0</v>
      </c>
      <c r="T126" s="22">
        <f t="shared" si="74"/>
        <v>0</v>
      </c>
      <c r="U126" s="22">
        <f t="shared" si="75"/>
        <v>0</v>
      </c>
      <c r="V126" s="21">
        <f t="shared" si="89"/>
        <v>0</v>
      </c>
      <c r="W126" s="21">
        <f t="shared" si="94"/>
        <v>0</v>
      </c>
      <c r="X126" s="21">
        <f t="shared" si="84"/>
        <v>0</v>
      </c>
      <c r="Y126" s="21">
        <f t="shared" si="85"/>
        <v>0</v>
      </c>
      <c r="Z126" s="221">
        <f t="shared" si="76"/>
        <v>0</v>
      </c>
      <c r="AA126" s="30">
        <f t="shared" si="64"/>
        <v>0</v>
      </c>
      <c r="AB126" s="30">
        <f t="shared" si="65"/>
        <v>0</v>
      </c>
      <c r="AC126" s="30">
        <f t="shared" si="66"/>
        <v>0</v>
      </c>
      <c r="AD126" s="30">
        <f t="shared" si="67"/>
        <v>0</v>
      </c>
      <c r="AE126" s="32">
        <f t="shared" si="77"/>
        <v>0</v>
      </c>
      <c r="AF126" s="33">
        <f t="shared" si="87"/>
        <v>0</v>
      </c>
      <c r="AG126" s="40">
        <f t="shared" si="78"/>
        <v>0</v>
      </c>
      <c r="AH126" s="224">
        <f>AG126*$P$33</f>
        <v>0</v>
      </c>
      <c r="AI126" s="227">
        <f t="shared" si="79"/>
        <v>0</v>
      </c>
    </row>
    <row r="127" spans="1:35" x14ac:dyDescent="0.35">
      <c r="A127" s="45">
        <v>1428</v>
      </c>
      <c r="B127" s="58">
        <f>SUMIF([2]!Table2_23[ETA],'FIS Optimal Model'!A127,[2]!Table2_23[FIS PAX])</f>
        <v>0</v>
      </c>
      <c r="C127" s="44">
        <f t="shared" si="80"/>
        <v>0</v>
      </c>
      <c r="D127" s="52">
        <f t="shared" si="86"/>
        <v>0</v>
      </c>
      <c r="E127" s="26">
        <f t="shared" si="68"/>
        <v>0</v>
      </c>
      <c r="F127" s="26">
        <f t="shared" si="69"/>
        <v>0</v>
      </c>
      <c r="G127" s="26">
        <f t="shared" si="70"/>
        <v>0</v>
      </c>
      <c r="H127" s="26">
        <f t="shared" si="81"/>
        <v>0</v>
      </c>
      <c r="I127" s="27">
        <f t="shared" si="88"/>
        <v>0</v>
      </c>
      <c r="J127" s="27">
        <f t="shared" si="88"/>
        <v>0</v>
      </c>
      <c r="K127" s="27">
        <f t="shared" si="88"/>
        <v>0</v>
      </c>
      <c r="L127" s="27">
        <f t="shared" si="88"/>
        <v>0</v>
      </c>
      <c r="M127" s="28">
        <f t="shared" si="90"/>
        <v>0</v>
      </c>
      <c r="N127" s="29">
        <f t="shared" si="91"/>
        <v>11</v>
      </c>
      <c r="O127" s="28">
        <f t="shared" si="92"/>
        <v>0</v>
      </c>
      <c r="P127" s="28">
        <f t="shared" si="93"/>
        <v>0</v>
      </c>
      <c r="Q127" s="28">
        <f t="shared" si="71"/>
        <v>11</v>
      </c>
      <c r="R127" s="22">
        <f t="shared" si="72"/>
        <v>0</v>
      </c>
      <c r="S127" s="22">
        <f t="shared" si="73"/>
        <v>0</v>
      </c>
      <c r="T127" s="22">
        <f t="shared" si="74"/>
        <v>0</v>
      </c>
      <c r="U127" s="22">
        <f t="shared" si="75"/>
        <v>0</v>
      </c>
      <c r="V127" s="21">
        <f t="shared" si="89"/>
        <v>0</v>
      </c>
      <c r="W127" s="21">
        <f t="shared" si="94"/>
        <v>0</v>
      </c>
      <c r="X127" s="21">
        <f t="shared" si="84"/>
        <v>0</v>
      </c>
      <c r="Y127" s="21">
        <f t="shared" si="85"/>
        <v>0</v>
      </c>
      <c r="Z127" s="221">
        <f t="shared" si="76"/>
        <v>0</v>
      </c>
      <c r="AA127" s="30">
        <f t="shared" si="64"/>
        <v>0</v>
      </c>
      <c r="AB127" s="30">
        <f t="shared" si="65"/>
        <v>0</v>
      </c>
      <c r="AC127" s="30">
        <f t="shared" si="66"/>
        <v>0</v>
      </c>
      <c r="AD127" s="30">
        <f t="shared" si="67"/>
        <v>0</v>
      </c>
      <c r="AE127" s="32">
        <f t="shared" si="77"/>
        <v>0</v>
      </c>
      <c r="AF127" s="33">
        <f t="shared" si="87"/>
        <v>0</v>
      </c>
      <c r="AG127" s="40">
        <f t="shared" si="78"/>
        <v>0</v>
      </c>
      <c r="AH127" s="224">
        <f>AG127*$P$33</f>
        <v>0</v>
      </c>
      <c r="AI127" s="227">
        <f t="shared" si="79"/>
        <v>0</v>
      </c>
    </row>
    <row r="128" spans="1:35" x14ac:dyDescent="0.35">
      <c r="A128" s="45">
        <v>1429</v>
      </c>
      <c r="B128" s="58">
        <f>SUMIF([2]!Table2_23[ETA],'FIS Optimal Model'!A128,[2]!Table2_23[FIS PAX])</f>
        <v>0</v>
      </c>
      <c r="C128" s="44">
        <f t="shared" si="80"/>
        <v>0</v>
      </c>
      <c r="D128" s="52">
        <f t="shared" si="86"/>
        <v>0</v>
      </c>
      <c r="E128" s="26">
        <f t="shared" si="68"/>
        <v>0</v>
      </c>
      <c r="F128" s="26">
        <f t="shared" si="69"/>
        <v>0</v>
      </c>
      <c r="G128" s="26">
        <f t="shared" si="70"/>
        <v>0</v>
      </c>
      <c r="H128" s="26">
        <f t="shared" si="81"/>
        <v>0</v>
      </c>
      <c r="I128" s="27">
        <f t="shared" si="88"/>
        <v>0</v>
      </c>
      <c r="J128" s="27">
        <f t="shared" si="88"/>
        <v>0</v>
      </c>
      <c r="K128" s="27">
        <f t="shared" si="88"/>
        <v>0</v>
      </c>
      <c r="L128" s="27">
        <f t="shared" si="88"/>
        <v>0</v>
      </c>
      <c r="M128" s="28">
        <f t="shared" si="90"/>
        <v>0</v>
      </c>
      <c r="N128" s="29">
        <f t="shared" si="91"/>
        <v>11</v>
      </c>
      <c r="O128" s="28">
        <f t="shared" si="92"/>
        <v>0</v>
      </c>
      <c r="P128" s="28">
        <f t="shared" si="93"/>
        <v>0</v>
      </c>
      <c r="Q128" s="28">
        <f t="shared" si="71"/>
        <v>11</v>
      </c>
      <c r="R128" s="22">
        <f t="shared" si="72"/>
        <v>0</v>
      </c>
      <c r="S128" s="22">
        <f t="shared" si="73"/>
        <v>0</v>
      </c>
      <c r="T128" s="22">
        <f t="shared" si="74"/>
        <v>0</v>
      </c>
      <c r="U128" s="22">
        <f t="shared" si="75"/>
        <v>0</v>
      </c>
      <c r="V128" s="21">
        <f t="shared" si="89"/>
        <v>0</v>
      </c>
      <c r="W128" s="21">
        <f t="shared" si="94"/>
        <v>0</v>
      </c>
      <c r="X128" s="21">
        <f t="shared" si="84"/>
        <v>0</v>
      </c>
      <c r="Y128" s="21">
        <f t="shared" si="85"/>
        <v>0</v>
      </c>
      <c r="Z128" s="221">
        <f t="shared" si="76"/>
        <v>0</v>
      </c>
      <c r="AA128" s="30">
        <f t="shared" si="64"/>
        <v>0</v>
      </c>
      <c r="AB128" s="30">
        <f t="shared" si="65"/>
        <v>0</v>
      </c>
      <c r="AC128" s="30">
        <f t="shared" si="66"/>
        <v>0</v>
      </c>
      <c r="AD128" s="30">
        <f t="shared" si="67"/>
        <v>0</v>
      </c>
      <c r="AE128" s="32">
        <f t="shared" si="77"/>
        <v>0</v>
      </c>
      <c r="AF128" s="33">
        <f t="shared" si="87"/>
        <v>0</v>
      </c>
      <c r="AG128" s="40">
        <f t="shared" si="78"/>
        <v>0</v>
      </c>
      <c r="AH128" s="224">
        <f>AG128*$P$33</f>
        <v>0</v>
      </c>
      <c r="AI128" s="227">
        <f t="shared" si="79"/>
        <v>0</v>
      </c>
    </row>
    <row r="129" spans="1:35" x14ac:dyDescent="0.35">
      <c r="A129" s="45">
        <v>1430</v>
      </c>
      <c r="B129" s="58">
        <f>SUMIF([2]!Table2_23[ETA],'FIS Optimal Model'!A129,[2]!Table2_23[FIS PAX])</f>
        <v>11</v>
      </c>
      <c r="C129" s="44">
        <f t="shared" si="80"/>
        <v>0</v>
      </c>
      <c r="D129" s="52">
        <f t="shared" si="86"/>
        <v>0</v>
      </c>
      <c r="E129" s="26">
        <f t="shared" si="68"/>
        <v>0</v>
      </c>
      <c r="F129" s="26">
        <f t="shared" si="69"/>
        <v>0</v>
      </c>
      <c r="G129" s="26">
        <f t="shared" si="70"/>
        <v>0</v>
      </c>
      <c r="H129" s="26">
        <f t="shared" si="81"/>
        <v>0</v>
      </c>
      <c r="I129" s="27">
        <f t="shared" si="88"/>
        <v>0</v>
      </c>
      <c r="J129" s="27">
        <f t="shared" si="88"/>
        <v>0</v>
      </c>
      <c r="K129" s="27">
        <f t="shared" si="88"/>
        <v>0</v>
      </c>
      <c r="L129" s="27">
        <f t="shared" si="88"/>
        <v>0</v>
      </c>
      <c r="M129" s="28">
        <f t="shared" si="90"/>
        <v>0</v>
      </c>
      <c r="N129" s="29">
        <f t="shared" si="91"/>
        <v>11</v>
      </c>
      <c r="O129" s="28">
        <f t="shared" si="92"/>
        <v>0</v>
      </c>
      <c r="P129" s="28">
        <f t="shared" si="93"/>
        <v>0</v>
      </c>
      <c r="Q129" s="28">
        <f>SUM(M129:P129)</f>
        <v>11</v>
      </c>
      <c r="R129" s="22">
        <f t="shared" si="72"/>
        <v>0</v>
      </c>
      <c r="S129" s="22">
        <f t="shared" si="73"/>
        <v>0</v>
      </c>
      <c r="T129" s="22">
        <f t="shared" si="74"/>
        <v>0</v>
      </c>
      <c r="U129" s="22">
        <f t="shared" si="75"/>
        <v>0</v>
      </c>
      <c r="V129" s="21">
        <f>IFERROR(R129*($I$30/M129),0)</f>
        <v>0</v>
      </c>
      <c r="W129" s="21">
        <f>IFERROR(S129*($I$31/N129),0)</f>
        <v>0</v>
      </c>
      <c r="X129" s="21">
        <f>IFERROR(T129*($I$32/O129),0)</f>
        <v>0</v>
      </c>
      <c r="Y129" s="21">
        <f>IFERROR(U129*($I$33/P129),0)</f>
        <v>0</v>
      </c>
      <c r="Z129" s="221">
        <f t="shared" si="76"/>
        <v>0</v>
      </c>
      <c r="AA129" s="30">
        <f t="shared" si="64"/>
        <v>0</v>
      </c>
      <c r="AB129" s="30">
        <f t="shared" si="65"/>
        <v>0</v>
      </c>
      <c r="AC129" s="30">
        <f t="shared" si="66"/>
        <v>0</v>
      </c>
      <c r="AD129" s="30">
        <f t="shared" si="67"/>
        <v>0</v>
      </c>
      <c r="AE129" s="32">
        <f t="shared" si="77"/>
        <v>0</v>
      </c>
      <c r="AF129" s="33">
        <f t="shared" si="87"/>
        <v>0</v>
      </c>
      <c r="AG129" s="40">
        <f t="shared" si="78"/>
        <v>0</v>
      </c>
      <c r="AH129" s="224">
        <f>AG129*$P$33</f>
        <v>0</v>
      </c>
      <c r="AI129" s="227">
        <f t="shared" si="79"/>
        <v>0</v>
      </c>
    </row>
    <row r="130" spans="1:35" x14ac:dyDescent="0.35">
      <c r="A130" s="45">
        <v>1431</v>
      </c>
      <c r="B130" s="58">
        <f>SUMIF([2]!Table2_23[ETA],'FIS Optimal Model'!A130,[2]!Table2_23[FIS PAX])</f>
        <v>0</v>
      </c>
      <c r="C130" s="44">
        <f t="shared" si="80"/>
        <v>0</v>
      </c>
      <c r="D130" s="52">
        <f t="shared" si="86"/>
        <v>0</v>
      </c>
      <c r="E130" s="26">
        <f t="shared" si="68"/>
        <v>0</v>
      </c>
      <c r="F130" s="26">
        <f t="shared" si="69"/>
        <v>0</v>
      </c>
      <c r="G130" s="26">
        <f t="shared" si="70"/>
        <v>0</v>
      </c>
      <c r="H130" s="26">
        <f t="shared" si="81"/>
        <v>0</v>
      </c>
      <c r="I130" s="27">
        <f t="shared" si="88"/>
        <v>0</v>
      </c>
      <c r="J130" s="27">
        <f t="shared" si="88"/>
        <v>0</v>
      </c>
      <c r="K130" s="27">
        <f t="shared" si="88"/>
        <v>0</v>
      </c>
      <c r="L130" s="27">
        <f t="shared" si="88"/>
        <v>0</v>
      </c>
      <c r="M130" s="28">
        <f>IF(R129=0,0,$Q$12)</f>
        <v>0</v>
      </c>
      <c r="N130" s="29">
        <f>$U$12-M130-O130-P130</f>
        <v>11</v>
      </c>
      <c r="O130" s="28">
        <f>IF(T129=0,0,$S$12)</f>
        <v>0</v>
      </c>
      <c r="P130" s="28">
        <f>IF(U129=0,0,$T$12)</f>
        <v>0</v>
      </c>
      <c r="Q130" s="28">
        <f>SUM(M130:P130)</f>
        <v>11</v>
      </c>
      <c r="R130" s="22">
        <f t="shared" si="72"/>
        <v>0</v>
      </c>
      <c r="S130" s="22">
        <f t="shared" si="73"/>
        <v>0</v>
      </c>
      <c r="T130" s="22">
        <f t="shared" si="74"/>
        <v>0</v>
      </c>
      <c r="U130" s="22">
        <f t="shared" si="75"/>
        <v>0</v>
      </c>
      <c r="V130" s="21">
        <f>IFERROR(R130*($I$30/M130),0)</f>
        <v>0</v>
      </c>
      <c r="W130" s="21">
        <f>IFERROR(S130*($I$31/N130),0)</f>
        <v>0</v>
      </c>
      <c r="X130" s="21">
        <f>IFERROR(T130*($I$32/O130),0)</f>
        <v>0</v>
      </c>
      <c r="Y130" s="21">
        <f>IFERROR(U130*($I$33/P130),0)</f>
        <v>0</v>
      </c>
      <c r="Z130" s="221">
        <f t="shared" si="76"/>
        <v>0</v>
      </c>
      <c r="AA130" s="30">
        <f t="shared" si="64"/>
        <v>0</v>
      </c>
      <c r="AB130" s="30">
        <f t="shared" si="65"/>
        <v>0</v>
      </c>
      <c r="AC130" s="30">
        <f t="shared" si="66"/>
        <v>0</v>
      </c>
      <c r="AD130" s="30">
        <f t="shared" si="67"/>
        <v>0</v>
      </c>
      <c r="AE130" s="32">
        <f t="shared" si="77"/>
        <v>0</v>
      </c>
      <c r="AF130" s="33">
        <f t="shared" si="87"/>
        <v>0</v>
      </c>
      <c r="AG130" s="40">
        <f t="shared" si="78"/>
        <v>0</v>
      </c>
      <c r="AH130" s="224">
        <f>AG130*$P$33</f>
        <v>0</v>
      </c>
      <c r="AI130" s="227">
        <f t="shared" si="79"/>
        <v>0</v>
      </c>
    </row>
    <row r="131" spans="1:35" x14ac:dyDescent="0.35">
      <c r="A131" s="45">
        <v>1432</v>
      </c>
      <c r="B131" s="58">
        <f>SUMIF([2]!Table2_23[ETA],'FIS Optimal Model'!A131,[2]!Table2_23[FIS PAX])</f>
        <v>0</v>
      </c>
      <c r="C131" s="44">
        <f t="shared" si="80"/>
        <v>0</v>
      </c>
      <c r="D131" s="52">
        <f t="shared" si="86"/>
        <v>0</v>
      </c>
      <c r="E131" s="26">
        <f t="shared" si="68"/>
        <v>0</v>
      </c>
      <c r="F131" s="26">
        <f t="shared" si="69"/>
        <v>0</v>
      </c>
      <c r="G131" s="26">
        <f t="shared" si="70"/>
        <v>0</v>
      </c>
      <c r="H131" s="26">
        <f t="shared" si="81"/>
        <v>0</v>
      </c>
      <c r="I131" s="27">
        <f t="shared" si="88"/>
        <v>0</v>
      </c>
      <c r="J131" s="27">
        <f t="shared" si="88"/>
        <v>0</v>
      </c>
      <c r="K131" s="27">
        <f t="shared" si="88"/>
        <v>0</v>
      </c>
      <c r="L131" s="27">
        <f t="shared" si="88"/>
        <v>0</v>
      </c>
      <c r="M131" s="28">
        <f>$M$130</f>
        <v>0</v>
      </c>
      <c r="N131" s="29">
        <f>$N$130</f>
        <v>11</v>
      </c>
      <c r="O131" s="28">
        <f>$O$130</f>
        <v>0</v>
      </c>
      <c r="P131" s="28">
        <f>$P$130</f>
        <v>0</v>
      </c>
      <c r="Q131" s="28">
        <f t="shared" si="71"/>
        <v>11</v>
      </c>
      <c r="R131" s="22">
        <f t="shared" si="72"/>
        <v>0</v>
      </c>
      <c r="S131" s="22">
        <f t="shared" si="73"/>
        <v>0</v>
      </c>
      <c r="T131" s="22">
        <f t="shared" si="74"/>
        <v>0</v>
      </c>
      <c r="U131" s="22">
        <f t="shared" si="75"/>
        <v>0</v>
      </c>
      <c r="V131" s="21">
        <f t="shared" si="89"/>
        <v>0</v>
      </c>
      <c r="W131" s="21">
        <f t="shared" si="94"/>
        <v>0</v>
      </c>
      <c r="X131" s="21">
        <f t="shared" si="84"/>
        <v>0</v>
      </c>
      <c r="Y131" s="21">
        <f t="shared" si="85"/>
        <v>0</v>
      </c>
      <c r="Z131" s="221">
        <f t="shared" si="76"/>
        <v>0</v>
      </c>
      <c r="AA131" s="30">
        <f t="shared" si="64"/>
        <v>0</v>
      </c>
      <c r="AB131" s="30">
        <f t="shared" si="65"/>
        <v>0</v>
      </c>
      <c r="AC131" s="30">
        <f t="shared" si="66"/>
        <v>0</v>
      </c>
      <c r="AD131" s="30">
        <f t="shared" si="67"/>
        <v>0</v>
      </c>
      <c r="AE131" s="32">
        <f t="shared" si="77"/>
        <v>0</v>
      </c>
      <c r="AF131" s="33">
        <f t="shared" si="87"/>
        <v>0</v>
      </c>
      <c r="AG131" s="40">
        <f t="shared" si="78"/>
        <v>0</v>
      </c>
      <c r="AH131" s="224">
        <f>AG131*$P$33</f>
        <v>0</v>
      </c>
      <c r="AI131" s="227">
        <f t="shared" si="79"/>
        <v>0</v>
      </c>
    </row>
    <row r="132" spans="1:35" x14ac:dyDescent="0.35">
      <c r="A132" s="45">
        <v>1433</v>
      </c>
      <c r="B132" s="58">
        <f>SUMIF([2]!Table2_23[ETA],'FIS Optimal Model'!A132,[2]!Table2_23[FIS PAX])</f>
        <v>0</v>
      </c>
      <c r="C132" s="44">
        <f t="shared" si="80"/>
        <v>0</v>
      </c>
      <c r="D132" s="52">
        <f t="shared" si="86"/>
        <v>0</v>
      </c>
      <c r="E132" s="26">
        <f t="shared" si="68"/>
        <v>0</v>
      </c>
      <c r="F132" s="26">
        <f t="shared" si="69"/>
        <v>0</v>
      </c>
      <c r="G132" s="26">
        <f t="shared" si="70"/>
        <v>0</v>
      </c>
      <c r="H132" s="26">
        <f t="shared" si="81"/>
        <v>0</v>
      </c>
      <c r="I132" s="27">
        <f t="shared" si="88"/>
        <v>0</v>
      </c>
      <c r="J132" s="27">
        <f t="shared" si="88"/>
        <v>0</v>
      </c>
      <c r="K132" s="27">
        <f t="shared" si="88"/>
        <v>0</v>
      </c>
      <c r="L132" s="27">
        <f t="shared" si="88"/>
        <v>0</v>
      </c>
      <c r="M132" s="28">
        <f t="shared" ref="M132:M144" si="95">$M$130</f>
        <v>0</v>
      </c>
      <c r="N132" s="29">
        <f t="shared" ref="N132:N144" si="96">$N$130</f>
        <v>11</v>
      </c>
      <c r="O132" s="28">
        <f t="shared" ref="O132:O144" si="97">$O$130</f>
        <v>0</v>
      </c>
      <c r="P132" s="28">
        <f t="shared" ref="P132:P144" si="98">$P$130</f>
        <v>0</v>
      </c>
      <c r="Q132" s="28">
        <f t="shared" si="71"/>
        <v>11</v>
      </c>
      <c r="R132" s="22">
        <f t="shared" si="72"/>
        <v>0</v>
      </c>
      <c r="S132" s="22">
        <f t="shared" si="73"/>
        <v>0</v>
      </c>
      <c r="T132" s="22">
        <f t="shared" si="74"/>
        <v>0</v>
      </c>
      <c r="U132" s="22">
        <f t="shared" si="75"/>
        <v>0</v>
      </c>
      <c r="V132" s="21">
        <f t="shared" si="89"/>
        <v>0</v>
      </c>
      <c r="W132" s="21">
        <f t="shared" si="94"/>
        <v>0</v>
      </c>
      <c r="X132" s="21">
        <f t="shared" si="84"/>
        <v>0</v>
      </c>
      <c r="Y132" s="21">
        <f t="shared" si="85"/>
        <v>0</v>
      </c>
      <c r="Z132" s="221">
        <f t="shared" si="76"/>
        <v>0</v>
      </c>
      <c r="AA132" s="30">
        <f t="shared" si="64"/>
        <v>0</v>
      </c>
      <c r="AB132" s="30">
        <f t="shared" si="65"/>
        <v>0</v>
      </c>
      <c r="AC132" s="30">
        <f t="shared" si="66"/>
        <v>0</v>
      </c>
      <c r="AD132" s="30">
        <f t="shared" si="67"/>
        <v>0</v>
      </c>
      <c r="AE132" s="32">
        <f t="shared" si="77"/>
        <v>0</v>
      </c>
      <c r="AF132" s="33">
        <f t="shared" si="87"/>
        <v>0</v>
      </c>
      <c r="AG132" s="40">
        <f t="shared" si="78"/>
        <v>0</v>
      </c>
      <c r="AH132" s="224">
        <f>AG132*$P$33</f>
        <v>0</v>
      </c>
      <c r="AI132" s="227">
        <f t="shared" si="79"/>
        <v>0</v>
      </c>
    </row>
    <row r="133" spans="1:35" x14ac:dyDescent="0.35">
      <c r="A133" s="45">
        <v>1434</v>
      </c>
      <c r="B133" s="58">
        <f>SUMIF([2]!Table2_23[ETA],'FIS Optimal Model'!A133,[2]!Table2_23[FIS PAX])</f>
        <v>0</v>
      </c>
      <c r="C133" s="44">
        <f t="shared" si="80"/>
        <v>0</v>
      </c>
      <c r="D133" s="52">
        <f t="shared" si="86"/>
        <v>0</v>
      </c>
      <c r="E133" s="26">
        <f t="shared" si="68"/>
        <v>0</v>
      </c>
      <c r="F133" s="26">
        <f t="shared" si="69"/>
        <v>0</v>
      </c>
      <c r="G133" s="26">
        <f t="shared" si="70"/>
        <v>0</v>
      </c>
      <c r="H133" s="26">
        <f t="shared" si="81"/>
        <v>0</v>
      </c>
      <c r="I133" s="27">
        <f t="shared" si="88"/>
        <v>0</v>
      </c>
      <c r="J133" s="27">
        <f t="shared" si="88"/>
        <v>0</v>
      </c>
      <c r="K133" s="27">
        <f t="shared" si="88"/>
        <v>0</v>
      </c>
      <c r="L133" s="27">
        <f t="shared" si="88"/>
        <v>0</v>
      </c>
      <c r="M133" s="28">
        <f t="shared" si="95"/>
        <v>0</v>
      </c>
      <c r="N133" s="29">
        <f t="shared" si="96"/>
        <v>11</v>
      </c>
      <c r="O133" s="28">
        <f t="shared" si="97"/>
        <v>0</v>
      </c>
      <c r="P133" s="28">
        <f t="shared" si="98"/>
        <v>0</v>
      </c>
      <c r="Q133" s="28">
        <f t="shared" si="71"/>
        <v>11</v>
      </c>
      <c r="R133" s="22">
        <f t="shared" si="72"/>
        <v>0</v>
      </c>
      <c r="S133" s="22">
        <f t="shared" si="73"/>
        <v>0</v>
      </c>
      <c r="T133" s="22">
        <f t="shared" si="74"/>
        <v>0</v>
      </c>
      <c r="U133" s="22">
        <f t="shared" si="75"/>
        <v>0</v>
      </c>
      <c r="V133" s="21">
        <f t="shared" si="89"/>
        <v>0</v>
      </c>
      <c r="W133" s="21">
        <f t="shared" si="94"/>
        <v>0</v>
      </c>
      <c r="X133" s="21">
        <f t="shared" si="84"/>
        <v>0</v>
      </c>
      <c r="Y133" s="21">
        <f t="shared" si="85"/>
        <v>0</v>
      </c>
      <c r="Z133" s="221">
        <f t="shared" si="76"/>
        <v>0</v>
      </c>
      <c r="AA133" s="30">
        <f t="shared" si="64"/>
        <v>0</v>
      </c>
      <c r="AB133" s="30">
        <f t="shared" si="65"/>
        <v>0</v>
      </c>
      <c r="AC133" s="30">
        <f t="shared" si="66"/>
        <v>0</v>
      </c>
      <c r="AD133" s="30">
        <f t="shared" si="67"/>
        <v>0</v>
      </c>
      <c r="AE133" s="32">
        <f t="shared" si="77"/>
        <v>0</v>
      </c>
      <c r="AF133" s="33">
        <f t="shared" si="87"/>
        <v>0</v>
      </c>
      <c r="AG133" s="40">
        <f t="shared" si="78"/>
        <v>0</v>
      </c>
      <c r="AH133" s="224">
        <f>AG133*$P$33</f>
        <v>0</v>
      </c>
      <c r="AI133" s="227">
        <f t="shared" si="79"/>
        <v>0</v>
      </c>
    </row>
    <row r="134" spans="1:35" x14ac:dyDescent="0.35">
      <c r="A134" s="45">
        <v>1435</v>
      </c>
      <c r="B134" s="58">
        <f>SUMIF([2]!Table2_23[ETA],'FIS Optimal Model'!A134,[2]!Table2_23[FIS PAX])</f>
        <v>0</v>
      </c>
      <c r="C134" s="44">
        <f t="shared" si="80"/>
        <v>0</v>
      </c>
      <c r="D134" s="52">
        <f t="shared" si="86"/>
        <v>0</v>
      </c>
      <c r="E134" s="26">
        <f t="shared" si="68"/>
        <v>0</v>
      </c>
      <c r="F134" s="26">
        <f t="shared" si="69"/>
        <v>0</v>
      </c>
      <c r="G134" s="26">
        <f t="shared" si="70"/>
        <v>0</v>
      </c>
      <c r="H134" s="26">
        <f t="shared" si="81"/>
        <v>0</v>
      </c>
      <c r="I134" s="27">
        <f t="shared" si="88"/>
        <v>0</v>
      </c>
      <c r="J134" s="27">
        <f t="shared" si="88"/>
        <v>0</v>
      </c>
      <c r="K134" s="27">
        <f t="shared" si="88"/>
        <v>0</v>
      </c>
      <c r="L134" s="27">
        <f t="shared" si="88"/>
        <v>0</v>
      </c>
      <c r="M134" s="28">
        <f t="shared" si="95"/>
        <v>0</v>
      </c>
      <c r="N134" s="29">
        <f t="shared" si="96"/>
        <v>11</v>
      </c>
      <c r="O134" s="28">
        <f t="shared" si="97"/>
        <v>0</v>
      </c>
      <c r="P134" s="28">
        <f t="shared" si="98"/>
        <v>0</v>
      </c>
      <c r="Q134" s="28">
        <f t="shared" si="71"/>
        <v>11</v>
      </c>
      <c r="R134" s="22">
        <f t="shared" si="72"/>
        <v>0</v>
      </c>
      <c r="S134" s="22">
        <f t="shared" si="73"/>
        <v>0</v>
      </c>
      <c r="T134" s="22">
        <f t="shared" si="74"/>
        <v>0</v>
      </c>
      <c r="U134" s="22">
        <f t="shared" si="75"/>
        <v>0</v>
      </c>
      <c r="V134" s="21">
        <f t="shared" si="89"/>
        <v>0</v>
      </c>
      <c r="W134" s="21">
        <f t="shared" si="94"/>
        <v>0</v>
      </c>
      <c r="X134" s="21">
        <f t="shared" si="84"/>
        <v>0</v>
      </c>
      <c r="Y134" s="21">
        <f t="shared" si="85"/>
        <v>0</v>
      </c>
      <c r="Z134" s="221">
        <f t="shared" si="76"/>
        <v>0</v>
      </c>
      <c r="AA134" s="30">
        <f t="shared" si="64"/>
        <v>0</v>
      </c>
      <c r="AB134" s="30">
        <f t="shared" si="65"/>
        <v>0</v>
      </c>
      <c r="AC134" s="30">
        <f t="shared" si="66"/>
        <v>0</v>
      </c>
      <c r="AD134" s="30">
        <f t="shared" si="67"/>
        <v>0</v>
      </c>
      <c r="AE134" s="32">
        <f t="shared" si="77"/>
        <v>0</v>
      </c>
      <c r="AF134" s="33">
        <f t="shared" si="87"/>
        <v>0</v>
      </c>
      <c r="AG134" s="40">
        <f t="shared" si="78"/>
        <v>0</v>
      </c>
      <c r="AH134" s="224">
        <f>AG134*$P$33</f>
        <v>0</v>
      </c>
      <c r="AI134" s="227">
        <f t="shared" si="79"/>
        <v>0</v>
      </c>
    </row>
    <row r="135" spans="1:35" x14ac:dyDescent="0.35">
      <c r="A135" s="45">
        <v>1436</v>
      </c>
      <c r="B135" s="58">
        <f>SUMIF([2]!Table2_23[ETA],'FIS Optimal Model'!A135,[2]!Table2_23[FIS PAX])</f>
        <v>0</v>
      </c>
      <c r="C135" s="44">
        <f t="shared" si="80"/>
        <v>0</v>
      </c>
      <c r="D135" s="52">
        <f t="shared" si="86"/>
        <v>0</v>
      </c>
      <c r="E135" s="26">
        <f t="shared" si="68"/>
        <v>0</v>
      </c>
      <c r="F135" s="26">
        <f t="shared" si="69"/>
        <v>0</v>
      </c>
      <c r="G135" s="26">
        <f t="shared" si="70"/>
        <v>0</v>
      </c>
      <c r="H135" s="26">
        <f t="shared" si="81"/>
        <v>0</v>
      </c>
      <c r="I135" s="27">
        <f t="shared" si="88"/>
        <v>0</v>
      </c>
      <c r="J135" s="27">
        <f t="shared" si="88"/>
        <v>0</v>
      </c>
      <c r="K135" s="27">
        <f t="shared" si="88"/>
        <v>0</v>
      </c>
      <c r="L135" s="27">
        <f t="shared" si="88"/>
        <v>0</v>
      </c>
      <c r="M135" s="28">
        <f t="shared" si="95"/>
        <v>0</v>
      </c>
      <c r="N135" s="29">
        <f t="shared" si="96"/>
        <v>11</v>
      </c>
      <c r="O135" s="28">
        <f t="shared" si="97"/>
        <v>0</v>
      </c>
      <c r="P135" s="28">
        <f t="shared" si="98"/>
        <v>0</v>
      </c>
      <c r="Q135" s="28">
        <f t="shared" si="71"/>
        <v>11</v>
      </c>
      <c r="R135" s="22">
        <f t="shared" si="72"/>
        <v>0</v>
      </c>
      <c r="S135" s="22">
        <f t="shared" si="73"/>
        <v>0</v>
      </c>
      <c r="T135" s="22">
        <f t="shared" si="74"/>
        <v>0</v>
      </c>
      <c r="U135" s="22">
        <f t="shared" si="75"/>
        <v>0</v>
      </c>
      <c r="V135" s="21">
        <f t="shared" si="89"/>
        <v>0</v>
      </c>
      <c r="W135" s="21">
        <f t="shared" si="94"/>
        <v>0</v>
      </c>
      <c r="X135" s="21">
        <f t="shared" si="84"/>
        <v>0</v>
      </c>
      <c r="Y135" s="21">
        <f t="shared" si="85"/>
        <v>0</v>
      </c>
      <c r="Z135" s="221">
        <f t="shared" si="76"/>
        <v>0</v>
      </c>
      <c r="AA135" s="30">
        <f t="shared" si="64"/>
        <v>0</v>
      </c>
      <c r="AB135" s="30">
        <f t="shared" si="65"/>
        <v>0</v>
      </c>
      <c r="AC135" s="30">
        <f t="shared" si="66"/>
        <v>0</v>
      </c>
      <c r="AD135" s="30">
        <f t="shared" si="67"/>
        <v>0</v>
      </c>
      <c r="AE135" s="32">
        <f t="shared" si="77"/>
        <v>0</v>
      </c>
      <c r="AF135" s="33">
        <f t="shared" si="87"/>
        <v>0</v>
      </c>
      <c r="AG135" s="40">
        <f t="shared" si="78"/>
        <v>0</v>
      </c>
      <c r="AH135" s="224">
        <f>AG135*$P$33</f>
        <v>0</v>
      </c>
      <c r="AI135" s="227">
        <f t="shared" si="79"/>
        <v>0</v>
      </c>
    </row>
    <row r="136" spans="1:35" x14ac:dyDescent="0.35">
      <c r="A136" s="45">
        <v>1437</v>
      </c>
      <c r="B136" s="58">
        <f>SUMIF([2]!Table2_23[ETA],'FIS Optimal Model'!A136,[2]!Table2_23[FIS PAX])</f>
        <v>106</v>
      </c>
      <c r="C136" s="44">
        <f t="shared" si="80"/>
        <v>0</v>
      </c>
      <c r="D136" s="52">
        <f t="shared" si="86"/>
        <v>0</v>
      </c>
      <c r="E136" s="26">
        <f t="shared" si="68"/>
        <v>0</v>
      </c>
      <c r="F136" s="26">
        <f t="shared" si="69"/>
        <v>0</v>
      </c>
      <c r="G136" s="26">
        <f t="shared" si="70"/>
        <v>0</v>
      </c>
      <c r="H136" s="26">
        <f t="shared" si="81"/>
        <v>0</v>
      </c>
      <c r="I136" s="27">
        <f t="shared" si="88"/>
        <v>0</v>
      </c>
      <c r="J136" s="27">
        <f t="shared" si="88"/>
        <v>0</v>
      </c>
      <c r="K136" s="27">
        <f t="shared" si="88"/>
        <v>0</v>
      </c>
      <c r="L136" s="27">
        <f t="shared" si="88"/>
        <v>0</v>
      </c>
      <c r="M136" s="28">
        <f t="shared" si="95"/>
        <v>0</v>
      </c>
      <c r="N136" s="29">
        <f t="shared" si="96"/>
        <v>11</v>
      </c>
      <c r="O136" s="28">
        <f t="shared" si="97"/>
        <v>0</v>
      </c>
      <c r="P136" s="28">
        <f t="shared" si="98"/>
        <v>0</v>
      </c>
      <c r="Q136" s="28">
        <f t="shared" si="71"/>
        <v>11</v>
      </c>
      <c r="R136" s="22">
        <f t="shared" si="72"/>
        <v>0</v>
      </c>
      <c r="S136" s="22">
        <f t="shared" si="73"/>
        <v>0</v>
      </c>
      <c r="T136" s="22">
        <f t="shared" si="74"/>
        <v>0</v>
      </c>
      <c r="U136" s="22">
        <f t="shared" si="75"/>
        <v>0</v>
      </c>
      <c r="V136" s="21">
        <f t="shared" si="89"/>
        <v>0</v>
      </c>
      <c r="W136" s="21">
        <f t="shared" si="94"/>
        <v>0</v>
      </c>
      <c r="X136" s="21">
        <f t="shared" si="84"/>
        <v>0</v>
      </c>
      <c r="Y136" s="21">
        <f t="shared" si="85"/>
        <v>0</v>
      </c>
      <c r="Z136" s="221">
        <f t="shared" si="76"/>
        <v>0</v>
      </c>
      <c r="AA136" s="30">
        <f t="shared" si="64"/>
        <v>0</v>
      </c>
      <c r="AB136" s="30">
        <f t="shared" si="65"/>
        <v>0</v>
      </c>
      <c r="AC136" s="30">
        <f t="shared" si="66"/>
        <v>0</v>
      </c>
      <c r="AD136" s="30">
        <f t="shared" si="67"/>
        <v>0</v>
      </c>
      <c r="AE136" s="32">
        <f t="shared" si="77"/>
        <v>0</v>
      </c>
      <c r="AF136" s="33">
        <f t="shared" si="87"/>
        <v>0</v>
      </c>
      <c r="AG136" s="40">
        <f t="shared" si="78"/>
        <v>0</v>
      </c>
      <c r="AH136" s="224">
        <f>AG136*$P$33</f>
        <v>0</v>
      </c>
      <c r="AI136" s="227">
        <f t="shared" si="79"/>
        <v>0</v>
      </c>
    </row>
    <row r="137" spans="1:35" x14ac:dyDescent="0.35">
      <c r="A137" s="45">
        <v>1438</v>
      </c>
      <c r="B137" s="58">
        <f>SUMIF([2]!Table2_23[ETA],'FIS Optimal Model'!A137,[2]!Table2_23[FIS PAX])</f>
        <v>207</v>
      </c>
      <c r="C137" s="44">
        <f t="shared" si="80"/>
        <v>18</v>
      </c>
      <c r="D137" s="52">
        <f t="shared" si="86"/>
        <v>88</v>
      </c>
      <c r="E137" s="26">
        <f t="shared" si="68"/>
        <v>9.9503999999999984</v>
      </c>
      <c r="F137" s="26">
        <f t="shared" si="69"/>
        <v>4.2713999999999999</v>
      </c>
      <c r="G137" s="26">
        <f t="shared" si="70"/>
        <v>2.9447999999999999</v>
      </c>
      <c r="H137" s="26">
        <f t="shared" si="81"/>
        <v>0.83340000000000003</v>
      </c>
      <c r="I137" s="27">
        <f t="shared" si="88"/>
        <v>0</v>
      </c>
      <c r="J137" s="27">
        <f t="shared" si="88"/>
        <v>0</v>
      </c>
      <c r="K137" s="27">
        <f t="shared" si="88"/>
        <v>0</v>
      </c>
      <c r="L137" s="27">
        <f t="shared" si="88"/>
        <v>0</v>
      </c>
      <c r="M137" s="28">
        <f t="shared" si="95"/>
        <v>0</v>
      </c>
      <c r="N137" s="29">
        <f t="shared" si="96"/>
        <v>11</v>
      </c>
      <c r="O137" s="28">
        <f t="shared" si="97"/>
        <v>0</v>
      </c>
      <c r="P137" s="28">
        <f t="shared" si="98"/>
        <v>0</v>
      </c>
      <c r="Q137" s="28">
        <f t="shared" si="71"/>
        <v>11</v>
      </c>
      <c r="R137" s="22">
        <f t="shared" si="72"/>
        <v>0</v>
      </c>
      <c r="S137" s="22">
        <f t="shared" si="73"/>
        <v>0</v>
      </c>
      <c r="T137" s="22">
        <f t="shared" si="74"/>
        <v>0</v>
      </c>
      <c r="U137" s="22">
        <f t="shared" si="75"/>
        <v>0</v>
      </c>
      <c r="V137" s="21">
        <f t="shared" si="89"/>
        <v>0</v>
      </c>
      <c r="W137" s="21">
        <f t="shared" si="94"/>
        <v>0</v>
      </c>
      <c r="X137" s="21">
        <f t="shared" si="84"/>
        <v>0</v>
      </c>
      <c r="Y137" s="21">
        <f t="shared" si="85"/>
        <v>0</v>
      </c>
      <c r="Z137" s="221">
        <f t="shared" si="76"/>
        <v>0</v>
      </c>
      <c r="AA137" s="30">
        <f t="shared" si="64"/>
        <v>0</v>
      </c>
      <c r="AB137" s="30">
        <f t="shared" si="65"/>
        <v>0</v>
      </c>
      <c r="AC137" s="30">
        <f t="shared" si="66"/>
        <v>0</v>
      </c>
      <c r="AD137" s="30">
        <f t="shared" si="67"/>
        <v>0</v>
      </c>
      <c r="AE137" s="32">
        <f t="shared" si="77"/>
        <v>0</v>
      </c>
      <c r="AF137" s="33">
        <f t="shared" si="87"/>
        <v>0</v>
      </c>
      <c r="AG137" s="40">
        <f t="shared" si="78"/>
        <v>0</v>
      </c>
      <c r="AH137" s="224">
        <f>AG137*$P$33</f>
        <v>0</v>
      </c>
      <c r="AI137" s="227">
        <f t="shared" si="79"/>
        <v>0</v>
      </c>
    </row>
    <row r="138" spans="1:35" x14ac:dyDescent="0.35">
      <c r="A138" s="45">
        <v>1439</v>
      </c>
      <c r="B138" s="58">
        <f>SUMIF([2]!Table2_23[ETA],'FIS Optimal Model'!A138,[2]!Table2_23[FIS PAX])</f>
        <v>0</v>
      </c>
      <c r="C138" s="44">
        <f t="shared" si="80"/>
        <v>18</v>
      </c>
      <c r="D138" s="52">
        <f t="shared" si="86"/>
        <v>277</v>
      </c>
      <c r="E138" s="26">
        <f t="shared" si="68"/>
        <v>9.9503999999999984</v>
      </c>
      <c r="F138" s="26">
        <f t="shared" si="69"/>
        <v>4.2713999999999999</v>
      </c>
      <c r="G138" s="26">
        <f t="shared" si="70"/>
        <v>2.9447999999999999</v>
      </c>
      <c r="H138" s="26">
        <f t="shared" si="81"/>
        <v>0.83340000000000003</v>
      </c>
      <c r="I138" s="27">
        <f t="shared" si="88"/>
        <v>0</v>
      </c>
      <c r="J138" s="27">
        <f t="shared" si="88"/>
        <v>0</v>
      </c>
      <c r="K138" s="27">
        <f t="shared" si="88"/>
        <v>0</v>
      </c>
      <c r="L138" s="27">
        <f t="shared" si="88"/>
        <v>0</v>
      </c>
      <c r="M138" s="28">
        <f t="shared" si="95"/>
        <v>0</v>
      </c>
      <c r="N138" s="29">
        <f t="shared" si="96"/>
        <v>11</v>
      </c>
      <c r="O138" s="28">
        <f t="shared" si="97"/>
        <v>0</v>
      </c>
      <c r="P138" s="28">
        <f t="shared" si="98"/>
        <v>0</v>
      </c>
      <c r="Q138" s="28">
        <f t="shared" si="71"/>
        <v>11</v>
      </c>
      <c r="R138" s="22">
        <f t="shared" si="72"/>
        <v>0</v>
      </c>
      <c r="S138" s="22">
        <f t="shared" si="73"/>
        <v>0</v>
      </c>
      <c r="T138" s="22">
        <f t="shared" si="74"/>
        <v>0</v>
      </c>
      <c r="U138" s="22">
        <f t="shared" si="75"/>
        <v>0</v>
      </c>
      <c r="V138" s="21">
        <f t="shared" si="89"/>
        <v>0</v>
      </c>
      <c r="W138" s="21">
        <f t="shared" si="94"/>
        <v>0</v>
      </c>
      <c r="X138" s="21">
        <f t="shared" si="84"/>
        <v>0</v>
      </c>
      <c r="Y138" s="21">
        <f t="shared" si="85"/>
        <v>0</v>
      </c>
      <c r="Z138" s="221">
        <f t="shared" si="76"/>
        <v>0</v>
      </c>
      <c r="AA138" s="30">
        <f t="shared" si="64"/>
        <v>0</v>
      </c>
      <c r="AB138" s="30">
        <f t="shared" si="65"/>
        <v>0</v>
      </c>
      <c r="AC138" s="30">
        <f t="shared" si="66"/>
        <v>0</v>
      </c>
      <c r="AD138" s="30">
        <f t="shared" si="67"/>
        <v>0</v>
      </c>
      <c r="AE138" s="32">
        <f t="shared" si="77"/>
        <v>0</v>
      </c>
      <c r="AF138" s="33">
        <f t="shared" si="87"/>
        <v>0</v>
      </c>
      <c r="AG138" s="40">
        <f t="shared" si="78"/>
        <v>0</v>
      </c>
      <c r="AH138" s="224">
        <f>AG138*$P$33</f>
        <v>0</v>
      </c>
      <c r="AI138" s="227">
        <f t="shared" si="79"/>
        <v>0</v>
      </c>
    </row>
    <row r="139" spans="1:35" x14ac:dyDescent="0.35">
      <c r="A139" s="45">
        <v>1440</v>
      </c>
      <c r="B139" s="58">
        <f>SUMIF([2]!Table2_23[ETA],'FIS Optimal Model'!A139,[2]!Table2_23[FIS PAX])</f>
        <v>0</v>
      </c>
      <c r="C139" s="44">
        <f t="shared" si="80"/>
        <v>18</v>
      </c>
      <c r="D139" s="52">
        <f t="shared" si="86"/>
        <v>259</v>
      </c>
      <c r="E139" s="26">
        <f t="shared" si="68"/>
        <v>9.9503999999999984</v>
      </c>
      <c r="F139" s="26">
        <f t="shared" si="69"/>
        <v>4.2713999999999999</v>
      </c>
      <c r="G139" s="26">
        <f t="shared" si="70"/>
        <v>2.9447999999999999</v>
      </c>
      <c r="H139" s="26">
        <f t="shared" si="81"/>
        <v>0.83340000000000003</v>
      </c>
      <c r="I139" s="27">
        <f t="shared" si="88"/>
        <v>0</v>
      </c>
      <c r="J139" s="27">
        <f t="shared" si="88"/>
        <v>0</v>
      </c>
      <c r="K139" s="27">
        <f t="shared" si="88"/>
        <v>0</v>
      </c>
      <c r="L139" s="27">
        <f t="shared" si="88"/>
        <v>0</v>
      </c>
      <c r="M139" s="28">
        <f t="shared" si="95"/>
        <v>0</v>
      </c>
      <c r="N139" s="29">
        <f t="shared" si="96"/>
        <v>11</v>
      </c>
      <c r="O139" s="28">
        <f t="shared" si="97"/>
        <v>0</v>
      </c>
      <c r="P139" s="28">
        <f t="shared" si="98"/>
        <v>0</v>
      </c>
      <c r="Q139" s="28">
        <f t="shared" si="71"/>
        <v>11</v>
      </c>
      <c r="R139" s="22">
        <f t="shared" si="72"/>
        <v>0</v>
      </c>
      <c r="S139" s="22">
        <f t="shared" si="73"/>
        <v>0</v>
      </c>
      <c r="T139" s="22">
        <f t="shared" si="74"/>
        <v>0</v>
      </c>
      <c r="U139" s="22">
        <f t="shared" si="75"/>
        <v>0</v>
      </c>
      <c r="V139" s="21">
        <f t="shared" si="89"/>
        <v>0</v>
      </c>
      <c r="W139" s="21">
        <f t="shared" si="94"/>
        <v>0</v>
      </c>
      <c r="X139" s="21">
        <f t="shared" si="84"/>
        <v>0</v>
      </c>
      <c r="Y139" s="21">
        <f t="shared" si="85"/>
        <v>0</v>
      </c>
      <c r="Z139" s="221">
        <f t="shared" si="76"/>
        <v>0</v>
      </c>
      <c r="AA139" s="30">
        <f t="shared" si="64"/>
        <v>0</v>
      </c>
      <c r="AB139" s="30">
        <f t="shared" si="65"/>
        <v>0</v>
      </c>
      <c r="AC139" s="30">
        <f t="shared" si="66"/>
        <v>0</v>
      </c>
      <c r="AD139" s="30">
        <f t="shared" si="67"/>
        <v>0</v>
      </c>
      <c r="AE139" s="32">
        <f t="shared" si="77"/>
        <v>0</v>
      </c>
      <c r="AF139" s="33">
        <f t="shared" si="87"/>
        <v>0</v>
      </c>
      <c r="AG139" s="40">
        <f t="shared" si="78"/>
        <v>0</v>
      </c>
      <c r="AH139" s="224">
        <f>AG139*$P$33</f>
        <v>0</v>
      </c>
      <c r="AI139" s="227">
        <f t="shared" si="79"/>
        <v>0</v>
      </c>
    </row>
    <row r="140" spans="1:35" x14ac:dyDescent="0.35">
      <c r="A140" s="45">
        <v>1441</v>
      </c>
      <c r="B140" s="58">
        <f>SUMIF([2]!Table2_23[ETA],'FIS Optimal Model'!A140,[2]!Table2_23[FIS PAX])</f>
        <v>0</v>
      </c>
      <c r="C140" s="44">
        <f t="shared" si="80"/>
        <v>18</v>
      </c>
      <c r="D140" s="52">
        <f t="shared" si="86"/>
        <v>241</v>
      </c>
      <c r="E140" s="26">
        <f t="shared" si="68"/>
        <v>9.9503999999999984</v>
      </c>
      <c r="F140" s="26">
        <f t="shared" si="69"/>
        <v>4.2713999999999999</v>
      </c>
      <c r="G140" s="26">
        <f t="shared" si="70"/>
        <v>2.9447999999999999</v>
      </c>
      <c r="H140" s="26">
        <f t="shared" si="81"/>
        <v>0.83340000000000003</v>
      </c>
      <c r="I140" s="27">
        <f t="shared" si="88"/>
        <v>0</v>
      </c>
      <c r="J140" s="27">
        <f t="shared" si="88"/>
        <v>0</v>
      </c>
      <c r="K140" s="27">
        <f t="shared" si="88"/>
        <v>0</v>
      </c>
      <c r="L140" s="27">
        <f t="shared" si="88"/>
        <v>0</v>
      </c>
      <c r="M140" s="28">
        <f t="shared" si="95"/>
        <v>0</v>
      </c>
      <c r="N140" s="29">
        <f t="shared" si="96"/>
        <v>11</v>
      </c>
      <c r="O140" s="28">
        <f t="shared" si="97"/>
        <v>0</v>
      </c>
      <c r="P140" s="28">
        <f t="shared" si="98"/>
        <v>0</v>
      </c>
      <c r="Q140" s="28">
        <f t="shared" si="71"/>
        <v>11</v>
      </c>
      <c r="R140" s="22">
        <f t="shared" si="72"/>
        <v>0</v>
      </c>
      <c r="S140" s="22">
        <f t="shared" si="73"/>
        <v>0</v>
      </c>
      <c r="T140" s="22">
        <f t="shared" si="74"/>
        <v>0</v>
      </c>
      <c r="U140" s="22">
        <f t="shared" si="75"/>
        <v>0</v>
      </c>
      <c r="V140" s="21">
        <f t="shared" si="89"/>
        <v>0</v>
      </c>
      <c r="W140" s="21">
        <f t="shared" si="94"/>
        <v>0</v>
      </c>
      <c r="X140" s="21">
        <f t="shared" si="84"/>
        <v>0</v>
      </c>
      <c r="Y140" s="21">
        <f t="shared" si="85"/>
        <v>0</v>
      </c>
      <c r="Z140" s="221">
        <f t="shared" si="76"/>
        <v>0</v>
      </c>
      <c r="AA140" s="30">
        <f t="shared" si="64"/>
        <v>0</v>
      </c>
      <c r="AB140" s="30">
        <f t="shared" si="65"/>
        <v>0</v>
      </c>
      <c r="AC140" s="30">
        <f t="shared" si="66"/>
        <v>0</v>
      </c>
      <c r="AD140" s="30">
        <f t="shared" si="67"/>
        <v>0</v>
      </c>
      <c r="AE140" s="32">
        <f t="shared" si="77"/>
        <v>0</v>
      </c>
      <c r="AF140" s="33">
        <f t="shared" si="87"/>
        <v>0</v>
      </c>
      <c r="AG140" s="40">
        <f t="shared" si="78"/>
        <v>0</v>
      </c>
      <c r="AH140" s="224">
        <f>AG140*$P$33</f>
        <v>0</v>
      </c>
      <c r="AI140" s="227">
        <f t="shared" si="79"/>
        <v>0</v>
      </c>
    </row>
    <row r="141" spans="1:35" x14ac:dyDescent="0.35">
      <c r="A141" s="45">
        <v>1442</v>
      </c>
      <c r="B141" s="58">
        <f>SUMIF([2]!Table2_23[ETA],'FIS Optimal Model'!A141,[2]!Table2_23[FIS PAX])</f>
        <v>0</v>
      </c>
      <c r="C141" s="44">
        <f t="shared" si="80"/>
        <v>18</v>
      </c>
      <c r="D141" s="52">
        <f t="shared" si="86"/>
        <v>223</v>
      </c>
      <c r="E141" s="26">
        <f t="shared" si="68"/>
        <v>9.9503999999999984</v>
      </c>
      <c r="F141" s="26">
        <f t="shared" si="69"/>
        <v>4.2713999999999999</v>
      </c>
      <c r="G141" s="26">
        <f t="shared" si="70"/>
        <v>2.9447999999999999</v>
      </c>
      <c r="H141" s="26">
        <f t="shared" si="81"/>
        <v>0.83340000000000003</v>
      </c>
      <c r="I141" s="27">
        <f t="shared" si="88"/>
        <v>0</v>
      </c>
      <c r="J141" s="27">
        <f t="shared" si="88"/>
        <v>0</v>
      </c>
      <c r="K141" s="27">
        <f t="shared" si="88"/>
        <v>0</v>
      </c>
      <c r="L141" s="27">
        <f t="shared" si="88"/>
        <v>0</v>
      </c>
      <c r="M141" s="28">
        <f t="shared" si="95"/>
        <v>0</v>
      </c>
      <c r="N141" s="29">
        <f t="shared" si="96"/>
        <v>11</v>
      </c>
      <c r="O141" s="28">
        <f t="shared" si="97"/>
        <v>0</v>
      </c>
      <c r="P141" s="28">
        <f t="shared" si="98"/>
        <v>0</v>
      </c>
      <c r="Q141" s="28">
        <f t="shared" si="71"/>
        <v>11</v>
      </c>
      <c r="R141" s="22">
        <f t="shared" si="72"/>
        <v>0</v>
      </c>
      <c r="S141" s="22">
        <f t="shared" si="73"/>
        <v>0</v>
      </c>
      <c r="T141" s="22">
        <f t="shared" si="74"/>
        <v>0</v>
      </c>
      <c r="U141" s="22">
        <f t="shared" si="75"/>
        <v>0</v>
      </c>
      <c r="V141" s="21">
        <f t="shared" si="89"/>
        <v>0</v>
      </c>
      <c r="W141" s="21">
        <f t="shared" si="94"/>
        <v>0</v>
      </c>
      <c r="X141" s="21">
        <f t="shared" si="84"/>
        <v>0</v>
      </c>
      <c r="Y141" s="21">
        <f t="shared" si="85"/>
        <v>0</v>
      </c>
      <c r="Z141" s="221">
        <f t="shared" si="76"/>
        <v>0</v>
      </c>
      <c r="AA141" s="30">
        <f t="shared" si="64"/>
        <v>0</v>
      </c>
      <c r="AB141" s="30">
        <f t="shared" si="65"/>
        <v>0</v>
      </c>
      <c r="AC141" s="30">
        <f t="shared" si="66"/>
        <v>0</v>
      </c>
      <c r="AD141" s="30">
        <f t="shared" si="67"/>
        <v>0</v>
      </c>
      <c r="AE141" s="32">
        <f t="shared" si="77"/>
        <v>0</v>
      </c>
      <c r="AF141" s="33">
        <f t="shared" si="87"/>
        <v>0</v>
      </c>
      <c r="AG141" s="40">
        <f t="shared" si="78"/>
        <v>0</v>
      </c>
      <c r="AH141" s="224">
        <f>AG141*$P$33</f>
        <v>0</v>
      </c>
      <c r="AI141" s="227">
        <f t="shared" si="79"/>
        <v>0</v>
      </c>
    </row>
    <row r="142" spans="1:35" x14ac:dyDescent="0.35">
      <c r="A142" s="45">
        <v>1443</v>
      </c>
      <c r="B142" s="58">
        <f>SUMIF([2]!Table2_23[ETA],'FIS Optimal Model'!A142,[2]!Table2_23[FIS PAX])</f>
        <v>0</v>
      </c>
      <c r="C142" s="44">
        <f t="shared" si="80"/>
        <v>18</v>
      </c>
      <c r="D142" s="52">
        <f t="shared" si="86"/>
        <v>205</v>
      </c>
      <c r="E142" s="26">
        <f t="shared" si="68"/>
        <v>9.9503999999999984</v>
      </c>
      <c r="F142" s="26">
        <f t="shared" si="69"/>
        <v>4.2713999999999999</v>
      </c>
      <c r="G142" s="26">
        <f t="shared" si="70"/>
        <v>2.9447999999999999</v>
      </c>
      <c r="H142" s="26">
        <f t="shared" si="81"/>
        <v>0.83340000000000003</v>
      </c>
      <c r="I142" s="27">
        <f t="shared" si="88"/>
        <v>9.9503999999999984</v>
      </c>
      <c r="J142" s="27">
        <f t="shared" si="88"/>
        <v>4.2713999999999999</v>
      </c>
      <c r="K142" s="27">
        <f t="shared" si="88"/>
        <v>2.9447999999999999</v>
      </c>
      <c r="L142" s="27">
        <f t="shared" si="88"/>
        <v>0.83340000000000003</v>
      </c>
      <c r="M142" s="28">
        <f t="shared" si="95"/>
        <v>0</v>
      </c>
      <c r="N142" s="29">
        <f t="shared" si="96"/>
        <v>11</v>
      </c>
      <c r="O142" s="28">
        <f t="shared" si="97"/>
        <v>0</v>
      </c>
      <c r="P142" s="28">
        <f t="shared" si="98"/>
        <v>0</v>
      </c>
      <c r="Q142" s="28">
        <f t="shared" si="71"/>
        <v>11</v>
      </c>
      <c r="R142" s="22">
        <f t="shared" si="72"/>
        <v>9.9503999999999984</v>
      </c>
      <c r="S142" s="22">
        <f t="shared" si="73"/>
        <v>0</v>
      </c>
      <c r="T142" s="22">
        <f t="shared" si="74"/>
        <v>2.9447999999999999</v>
      </c>
      <c r="U142" s="22">
        <f t="shared" si="75"/>
        <v>0.83340000000000003</v>
      </c>
      <c r="V142" s="21">
        <f t="shared" si="89"/>
        <v>0</v>
      </c>
      <c r="W142" s="21">
        <f t="shared" si="94"/>
        <v>0</v>
      </c>
      <c r="X142" s="21">
        <f t="shared" si="84"/>
        <v>0</v>
      </c>
      <c r="Y142" s="21">
        <f t="shared" si="85"/>
        <v>0</v>
      </c>
      <c r="Z142" s="221">
        <f t="shared" si="76"/>
        <v>0</v>
      </c>
      <c r="AA142" s="30">
        <f t="shared" si="64"/>
        <v>0</v>
      </c>
      <c r="AB142" s="30">
        <f t="shared" si="65"/>
        <v>0</v>
      </c>
      <c r="AC142" s="30">
        <f t="shared" si="66"/>
        <v>0</v>
      </c>
      <c r="AD142" s="30">
        <f t="shared" si="67"/>
        <v>0</v>
      </c>
      <c r="AE142" s="32">
        <f t="shared" si="77"/>
        <v>0</v>
      </c>
      <c r="AF142" s="33">
        <f t="shared" si="87"/>
        <v>0</v>
      </c>
      <c r="AG142" s="40">
        <f t="shared" si="78"/>
        <v>0</v>
      </c>
      <c r="AH142" s="224">
        <f>AG142*$P$33</f>
        <v>0</v>
      </c>
      <c r="AI142" s="227">
        <f t="shared" si="79"/>
        <v>0</v>
      </c>
    </row>
    <row r="143" spans="1:35" x14ac:dyDescent="0.35">
      <c r="A143" s="45">
        <v>1444</v>
      </c>
      <c r="B143" s="58">
        <f>SUMIF([2]!Table2_23[ETA],'FIS Optimal Model'!A143,[2]!Table2_23[FIS PAX])</f>
        <v>140</v>
      </c>
      <c r="C143" s="44">
        <f t="shared" si="80"/>
        <v>18</v>
      </c>
      <c r="D143" s="52">
        <f t="shared" si="86"/>
        <v>187</v>
      </c>
      <c r="E143" s="26">
        <f t="shared" si="68"/>
        <v>9.9503999999999984</v>
      </c>
      <c r="F143" s="26">
        <f t="shared" si="69"/>
        <v>4.2713999999999999</v>
      </c>
      <c r="G143" s="26">
        <f t="shared" si="70"/>
        <v>2.9447999999999999</v>
      </c>
      <c r="H143" s="26">
        <f t="shared" si="81"/>
        <v>0.83340000000000003</v>
      </c>
      <c r="I143" s="27">
        <f t="shared" si="88"/>
        <v>9.9503999999999984</v>
      </c>
      <c r="J143" s="27">
        <f t="shared" si="88"/>
        <v>4.2713999999999999</v>
      </c>
      <c r="K143" s="27">
        <f t="shared" si="88"/>
        <v>2.9447999999999999</v>
      </c>
      <c r="L143" s="27">
        <f t="shared" si="88"/>
        <v>0.83340000000000003</v>
      </c>
      <c r="M143" s="28">
        <f t="shared" si="95"/>
        <v>0</v>
      </c>
      <c r="N143" s="29">
        <f t="shared" si="96"/>
        <v>11</v>
      </c>
      <c r="O143" s="28">
        <f t="shared" si="97"/>
        <v>0</v>
      </c>
      <c r="P143" s="28">
        <f t="shared" si="98"/>
        <v>0</v>
      </c>
      <c r="Q143" s="28">
        <f t="shared" si="71"/>
        <v>11</v>
      </c>
      <c r="R143" s="22">
        <f t="shared" si="72"/>
        <v>19.900799999999997</v>
      </c>
      <c r="S143" s="22">
        <f t="shared" si="73"/>
        <v>0</v>
      </c>
      <c r="T143" s="22">
        <f t="shared" si="74"/>
        <v>5.8895999999999997</v>
      </c>
      <c r="U143" s="22">
        <f t="shared" si="75"/>
        <v>1.6668000000000001</v>
      </c>
      <c r="V143" s="21">
        <f t="shared" si="89"/>
        <v>0</v>
      </c>
      <c r="W143" s="21">
        <f t="shared" si="94"/>
        <v>0</v>
      </c>
      <c r="X143" s="21">
        <f t="shared" si="84"/>
        <v>0</v>
      </c>
      <c r="Y143" s="21">
        <f t="shared" si="85"/>
        <v>0</v>
      </c>
      <c r="Z143" s="221">
        <f t="shared" si="76"/>
        <v>0</v>
      </c>
      <c r="AA143" s="30">
        <f t="shared" si="64"/>
        <v>0</v>
      </c>
      <c r="AB143" s="30">
        <f t="shared" si="65"/>
        <v>0</v>
      </c>
      <c r="AC143" s="30">
        <f t="shared" si="66"/>
        <v>0</v>
      </c>
      <c r="AD143" s="30">
        <f t="shared" si="67"/>
        <v>0</v>
      </c>
      <c r="AE143" s="32">
        <f t="shared" si="77"/>
        <v>0</v>
      </c>
      <c r="AF143" s="33">
        <f t="shared" si="87"/>
        <v>0</v>
      </c>
      <c r="AG143" s="40">
        <f t="shared" si="78"/>
        <v>0</v>
      </c>
      <c r="AH143" s="224">
        <f>AG143*$P$33</f>
        <v>0</v>
      </c>
      <c r="AI143" s="227">
        <f t="shared" si="79"/>
        <v>0</v>
      </c>
    </row>
    <row r="144" spans="1:35" x14ac:dyDescent="0.35">
      <c r="A144" s="45">
        <v>1445</v>
      </c>
      <c r="B144" s="58">
        <f>SUMIF([2]!Table2_23[ETA],'FIS Optimal Model'!A144,[2]!Table2_23[FIS PAX])</f>
        <v>0</v>
      </c>
      <c r="C144" s="44">
        <f t="shared" si="80"/>
        <v>18</v>
      </c>
      <c r="D144" s="52">
        <f t="shared" si="86"/>
        <v>309</v>
      </c>
      <c r="E144" s="26">
        <f t="shared" si="68"/>
        <v>9.9503999999999984</v>
      </c>
      <c r="F144" s="26">
        <f t="shared" si="69"/>
        <v>4.2713999999999999</v>
      </c>
      <c r="G144" s="26">
        <f t="shared" si="70"/>
        <v>2.9447999999999999</v>
      </c>
      <c r="H144" s="26">
        <f t="shared" si="81"/>
        <v>0.83340000000000003</v>
      </c>
      <c r="I144" s="27">
        <f t="shared" si="88"/>
        <v>9.9503999999999984</v>
      </c>
      <c r="J144" s="27">
        <f t="shared" si="88"/>
        <v>4.2713999999999999</v>
      </c>
      <c r="K144" s="27">
        <f t="shared" si="88"/>
        <v>2.9447999999999999</v>
      </c>
      <c r="L144" s="27">
        <f t="shared" si="88"/>
        <v>0.83340000000000003</v>
      </c>
      <c r="M144" s="28">
        <f t="shared" si="95"/>
        <v>0</v>
      </c>
      <c r="N144" s="29">
        <f t="shared" si="96"/>
        <v>11</v>
      </c>
      <c r="O144" s="28">
        <f t="shared" si="97"/>
        <v>0</v>
      </c>
      <c r="P144" s="28">
        <f t="shared" si="98"/>
        <v>0</v>
      </c>
      <c r="Q144" s="28">
        <f t="shared" si="71"/>
        <v>11</v>
      </c>
      <c r="R144" s="22">
        <f t="shared" si="72"/>
        <v>29.851199999999995</v>
      </c>
      <c r="S144" s="22">
        <f t="shared" si="73"/>
        <v>0</v>
      </c>
      <c r="T144" s="22">
        <f t="shared" si="74"/>
        <v>8.8343999999999987</v>
      </c>
      <c r="U144" s="22">
        <f t="shared" si="75"/>
        <v>2.5002</v>
      </c>
      <c r="V144" s="21">
        <f t="shared" si="89"/>
        <v>0</v>
      </c>
      <c r="W144" s="21">
        <f t="shared" si="94"/>
        <v>0</v>
      </c>
      <c r="X144" s="21">
        <f t="shared" si="84"/>
        <v>0</v>
      </c>
      <c r="Y144" s="21">
        <f t="shared" si="85"/>
        <v>0</v>
      </c>
      <c r="Z144" s="221">
        <f t="shared" si="76"/>
        <v>0</v>
      </c>
      <c r="AA144" s="30">
        <f t="shared" si="64"/>
        <v>0</v>
      </c>
      <c r="AB144" s="30">
        <f t="shared" si="65"/>
        <v>0</v>
      </c>
      <c r="AC144" s="30">
        <f t="shared" si="66"/>
        <v>0</v>
      </c>
      <c r="AD144" s="30">
        <f t="shared" si="67"/>
        <v>0</v>
      </c>
      <c r="AE144" s="32">
        <f t="shared" si="77"/>
        <v>0</v>
      </c>
      <c r="AF144" s="33">
        <f t="shared" si="87"/>
        <v>0</v>
      </c>
      <c r="AG144" s="40">
        <f t="shared" si="78"/>
        <v>0</v>
      </c>
      <c r="AH144" s="224">
        <f>AG144*$P$33</f>
        <v>0</v>
      </c>
      <c r="AI144" s="227">
        <f t="shared" si="79"/>
        <v>0.14100778709090978</v>
      </c>
    </row>
    <row r="145" spans="1:35" x14ac:dyDescent="0.35">
      <c r="A145" s="45">
        <v>1446</v>
      </c>
      <c r="B145" s="58">
        <f>SUMIF([2]!Table2_23[ETA],'FIS Optimal Model'!A145,[2]!Table2_23[FIS PAX])</f>
        <v>0</v>
      </c>
      <c r="C145" s="44">
        <f t="shared" si="80"/>
        <v>18</v>
      </c>
      <c r="D145" s="52">
        <f t="shared" si="86"/>
        <v>291</v>
      </c>
      <c r="E145" s="26">
        <f t="shared" si="68"/>
        <v>9.9503999999999984</v>
      </c>
      <c r="F145" s="26">
        <f t="shared" si="69"/>
        <v>4.2713999999999999</v>
      </c>
      <c r="G145" s="26">
        <f t="shared" si="70"/>
        <v>2.9447999999999999</v>
      </c>
      <c r="H145" s="26">
        <f t="shared" si="81"/>
        <v>0.83340000000000003</v>
      </c>
      <c r="I145" s="27">
        <f t="shared" si="88"/>
        <v>9.9503999999999984</v>
      </c>
      <c r="J145" s="27">
        <f t="shared" si="88"/>
        <v>4.2713999999999999</v>
      </c>
      <c r="K145" s="27">
        <f t="shared" si="88"/>
        <v>2.9447999999999999</v>
      </c>
      <c r="L145" s="27">
        <f t="shared" si="88"/>
        <v>0.83340000000000003</v>
      </c>
      <c r="M145" s="28">
        <f>IF(R144=0,0,$Q$13)</f>
        <v>3</v>
      </c>
      <c r="N145" s="29">
        <f>$U$13-M145-O145-P145</f>
        <v>6</v>
      </c>
      <c r="O145" s="28">
        <f>IF(T144=0,0,$S$13)</f>
        <v>1</v>
      </c>
      <c r="P145" s="28">
        <f>IF(U144=0,0,$T$13)</f>
        <v>1</v>
      </c>
      <c r="Q145" s="28">
        <f t="shared" si="71"/>
        <v>11</v>
      </c>
      <c r="R145" s="22">
        <f t="shared" si="72"/>
        <v>33.48753076808795</v>
      </c>
      <c r="S145" s="22">
        <f t="shared" si="73"/>
        <v>1.2980794305683006</v>
      </c>
      <c r="T145" s="22">
        <f t="shared" si="74"/>
        <v>9.2982232540490983</v>
      </c>
      <c r="U145" s="22">
        <f t="shared" si="75"/>
        <v>1.4972669626403445</v>
      </c>
      <c r="V145" s="21">
        <f t="shared" si="89"/>
        <v>4.5080913919999999</v>
      </c>
      <c r="W145" s="21">
        <f t="shared" si="94"/>
        <v>0.37108932259999999</v>
      </c>
      <c r="X145" s="21">
        <f t="shared" si="84"/>
        <v>3.1856363743999996</v>
      </c>
      <c r="Y145" s="21">
        <f t="shared" si="85"/>
        <v>0.6930534344</v>
      </c>
      <c r="Z145" s="221">
        <f t="shared" si="76"/>
        <v>4</v>
      </c>
      <c r="AA145" s="30">
        <f t="shared" si="64"/>
        <v>6.3140692319120486</v>
      </c>
      <c r="AB145" s="30">
        <f t="shared" si="65"/>
        <v>2.9733205694316993</v>
      </c>
      <c r="AC145" s="30">
        <f t="shared" si="66"/>
        <v>2.4809767459508998</v>
      </c>
      <c r="AD145" s="30">
        <f t="shared" si="67"/>
        <v>1.8363330373596554</v>
      </c>
      <c r="AE145" s="32">
        <f t="shared" si="77"/>
        <v>13.604699584654302</v>
      </c>
      <c r="AF145" s="33">
        <f t="shared" si="87"/>
        <v>0</v>
      </c>
      <c r="AG145" s="40">
        <f t="shared" si="78"/>
        <v>0</v>
      </c>
      <c r="AH145" s="224">
        <f>AG145*$P$33</f>
        <v>0</v>
      </c>
      <c r="AI145" s="227">
        <f t="shared" si="79"/>
        <v>25.230003631764365</v>
      </c>
    </row>
    <row r="146" spans="1:35" x14ac:dyDescent="0.35">
      <c r="A146" s="45">
        <v>1447</v>
      </c>
      <c r="B146" s="58">
        <f>SUMIF([2]!Table2_23[ETA],'FIS Optimal Model'!A146,[2]!Table2_23[FIS PAX])</f>
        <v>0</v>
      </c>
      <c r="C146" s="44">
        <f t="shared" si="80"/>
        <v>18</v>
      </c>
      <c r="D146" s="52">
        <f t="shared" si="86"/>
        <v>273</v>
      </c>
      <c r="E146" s="26">
        <f t="shared" si="68"/>
        <v>9.9503999999999984</v>
      </c>
      <c r="F146" s="26">
        <f t="shared" si="69"/>
        <v>4.2713999999999999</v>
      </c>
      <c r="G146" s="26">
        <f t="shared" si="70"/>
        <v>2.9447999999999999</v>
      </c>
      <c r="H146" s="26">
        <f t="shared" si="81"/>
        <v>0.83340000000000003</v>
      </c>
      <c r="I146" s="27">
        <f t="shared" si="88"/>
        <v>9.9503999999999984</v>
      </c>
      <c r="J146" s="27">
        <f t="shared" si="88"/>
        <v>4.2713999999999999</v>
      </c>
      <c r="K146" s="27">
        <f t="shared" si="88"/>
        <v>2.9447999999999999</v>
      </c>
      <c r="L146" s="27">
        <f t="shared" si="88"/>
        <v>0.83340000000000003</v>
      </c>
      <c r="M146" s="28">
        <f>$M$145</f>
        <v>3</v>
      </c>
      <c r="N146" s="29">
        <f>$N$145</f>
        <v>6</v>
      </c>
      <c r="O146" s="28">
        <f>$O$145</f>
        <v>1</v>
      </c>
      <c r="P146" s="28">
        <f>$P$145</f>
        <v>1</v>
      </c>
      <c r="Q146" s="28">
        <f t="shared" si="71"/>
        <v>11</v>
      </c>
      <c r="R146" s="22">
        <f t="shared" si="72"/>
        <v>37.123861536175895</v>
      </c>
      <c r="S146" s="22">
        <f t="shared" si="73"/>
        <v>2.5961588611366011</v>
      </c>
      <c r="T146" s="22">
        <f t="shared" si="74"/>
        <v>9.762046508098198</v>
      </c>
      <c r="U146" s="22">
        <f t="shared" si="75"/>
        <v>0.4943339252806892</v>
      </c>
      <c r="V146" s="21">
        <f t="shared" si="89"/>
        <v>4.997614239999999</v>
      </c>
      <c r="W146" s="21">
        <f t="shared" si="94"/>
        <v>0.74217864519999999</v>
      </c>
      <c r="X146" s="21">
        <f t="shared" si="84"/>
        <v>3.3445454679999993</v>
      </c>
      <c r="Y146" s="21">
        <f t="shared" si="85"/>
        <v>0.22881679300000013</v>
      </c>
      <c r="Z146" s="221">
        <f t="shared" si="76"/>
        <v>4</v>
      </c>
      <c r="AA146" s="30">
        <f t="shared" si="64"/>
        <v>6.3140692319120486</v>
      </c>
      <c r="AB146" s="30">
        <f t="shared" si="65"/>
        <v>2.9733205694316993</v>
      </c>
      <c r="AC146" s="30">
        <f t="shared" si="66"/>
        <v>2.4809767459508998</v>
      </c>
      <c r="AD146" s="30">
        <f t="shared" si="67"/>
        <v>1.8363330373596554</v>
      </c>
      <c r="AE146" s="32">
        <f t="shared" si="77"/>
        <v>13.604699584654302</v>
      </c>
      <c r="AF146" s="33">
        <f t="shared" si="87"/>
        <v>0</v>
      </c>
      <c r="AG146" s="40">
        <f t="shared" si="78"/>
        <v>0</v>
      </c>
      <c r="AH146" s="224">
        <f>AG146*$P$33</f>
        <v>0</v>
      </c>
      <c r="AI146" s="227">
        <f t="shared" si="79"/>
        <v>25.217000646160002</v>
      </c>
    </row>
    <row r="147" spans="1:35" x14ac:dyDescent="0.35">
      <c r="A147" s="45">
        <v>1448</v>
      </c>
      <c r="B147" s="58">
        <f>SUMIF([2]!Table2_23[ETA],'FIS Optimal Model'!A147,[2]!Table2_23[FIS PAX])</f>
        <v>0</v>
      </c>
      <c r="C147" s="44">
        <f t="shared" si="80"/>
        <v>18</v>
      </c>
      <c r="D147" s="52">
        <f t="shared" si="86"/>
        <v>255</v>
      </c>
      <c r="E147" s="26">
        <f t="shared" si="68"/>
        <v>9.9503999999999984</v>
      </c>
      <c r="F147" s="26">
        <f t="shared" si="69"/>
        <v>4.2713999999999999</v>
      </c>
      <c r="G147" s="26">
        <f t="shared" si="70"/>
        <v>2.9447999999999999</v>
      </c>
      <c r="H147" s="26">
        <f t="shared" si="81"/>
        <v>0.83340000000000003</v>
      </c>
      <c r="I147" s="27">
        <f t="shared" si="88"/>
        <v>9.9503999999999984</v>
      </c>
      <c r="J147" s="27">
        <f t="shared" si="88"/>
        <v>4.2713999999999999</v>
      </c>
      <c r="K147" s="27">
        <f t="shared" si="88"/>
        <v>2.9447999999999999</v>
      </c>
      <c r="L147" s="27">
        <f t="shared" si="88"/>
        <v>0.83340000000000003</v>
      </c>
      <c r="M147" s="28">
        <f t="shared" ref="M147:M159" si="99">$M$145</f>
        <v>3</v>
      </c>
      <c r="N147" s="29">
        <f t="shared" ref="N147:N159" si="100">$N$145</f>
        <v>6</v>
      </c>
      <c r="O147" s="28">
        <f t="shared" ref="O147:O159" si="101">$O$145</f>
        <v>1</v>
      </c>
      <c r="P147" s="28">
        <f t="shared" ref="P147:P159" si="102">$P$145</f>
        <v>1</v>
      </c>
      <c r="Q147" s="28">
        <f t="shared" si="71"/>
        <v>11</v>
      </c>
      <c r="R147" s="22">
        <f t="shared" si="72"/>
        <v>40.760192304263839</v>
      </c>
      <c r="S147" s="22">
        <f t="shared" si="73"/>
        <v>3.3986848634662845</v>
      </c>
      <c r="T147" s="22">
        <f t="shared" si="74"/>
        <v>10.225869762147298</v>
      </c>
      <c r="U147" s="22">
        <f t="shared" si="75"/>
        <v>0</v>
      </c>
      <c r="V147" s="21">
        <f t="shared" si="89"/>
        <v>5.4871370879999972</v>
      </c>
      <c r="W147" s="21">
        <f t="shared" si="94"/>
        <v>0.97160130113333321</v>
      </c>
      <c r="X147" s="21">
        <f t="shared" si="84"/>
        <v>3.503454561599999</v>
      </c>
      <c r="Y147" s="21">
        <f t="shared" si="85"/>
        <v>0</v>
      </c>
      <c r="Z147" s="221">
        <f t="shared" si="76"/>
        <v>4</v>
      </c>
      <c r="AA147" s="30">
        <f t="shared" si="64"/>
        <v>6.3140692319120486</v>
      </c>
      <c r="AB147" s="30">
        <f t="shared" si="65"/>
        <v>2.9733205694316993</v>
      </c>
      <c r="AC147" s="30">
        <f t="shared" si="66"/>
        <v>2.4809767459508998</v>
      </c>
      <c r="AD147" s="30">
        <f t="shared" si="67"/>
        <v>0</v>
      </c>
      <c r="AE147" s="32">
        <f t="shared" si="77"/>
        <v>11.768366547294647</v>
      </c>
      <c r="AF147" s="33">
        <f t="shared" si="87"/>
        <v>0</v>
      </c>
      <c r="AG147" s="40">
        <f t="shared" si="78"/>
        <v>0</v>
      </c>
      <c r="AH147" s="224">
        <f>AG147*$P$33</f>
        <v>0</v>
      </c>
      <c r="AI147" s="227">
        <f t="shared" si="79"/>
        <v>25.20399766055564</v>
      </c>
    </row>
    <row r="148" spans="1:35" x14ac:dyDescent="0.35">
      <c r="A148" s="45">
        <v>1449</v>
      </c>
      <c r="B148" s="58">
        <f>SUMIF([2]!Table2_23[ETA],'FIS Optimal Model'!A148,[2]!Table2_23[FIS PAX])</f>
        <v>0</v>
      </c>
      <c r="C148" s="44">
        <f t="shared" si="80"/>
        <v>18</v>
      </c>
      <c r="D148" s="52">
        <f t="shared" si="86"/>
        <v>237</v>
      </c>
      <c r="E148" s="26">
        <f t="shared" si="68"/>
        <v>9.9503999999999984</v>
      </c>
      <c r="F148" s="26">
        <f t="shared" si="69"/>
        <v>4.2713999999999999</v>
      </c>
      <c r="G148" s="26">
        <f t="shared" si="70"/>
        <v>2.9447999999999999</v>
      </c>
      <c r="H148" s="26">
        <f t="shared" si="81"/>
        <v>0.83340000000000003</v>
      </c>
      <c r="I148" s="27">
        <f t="shared" si="88"/>
        <v>9.9503999999999984</v>
      </c>
      <c r="J148" s="27">
        <f t="shared" si="88"/>
        <v>4.2713999999999999</v>
      </c>
      <c r="K148" s="27">
        <f t="shared" si="88"/>
        <v>2.9447999999999999</v>
      </c>
      <c r="L148" s="27">
        <f t="shared" si="88"/>
        <v>0.83340000000000003</v>
      </c>
      <c r="M148" s="28">
        <f t="shared" si="99"/>
        <v>3</v>
      </c>
      <c r="N148" s="29">
        <f t="shared" si="100"/>
        <v>6</v>
      </c>
      <c r="O148" s="28">
        <f t="shared" si="101"/>
        <v>1</v>
      </c>
      <c r="P148" s="28">
        <f t="shared" si="102"/>
        <v>1</v>
      </c>
      <c r="Q148" s="28">
        <f t="shared" si="71"/>
        <v>11</v>
      </c>
      <c r="R148" s="22">
        <f t="shared" si="72"/>
        <v>44.396523072351783</v>
      </c>
      <c r="S148" s="22">
        <f t="shared" si="73"/>
        <v>4.2012108657959679</v>
      </c>
      <c r="T148" s="22">
        <f t="shared" si="74"/>
        <v>10.689693016196397</v>
      </c>
      <c r="U148" s="22">
        <f t="shared" si="75"/>
        <v>0</v>
      </c>
      <c r="V148" s="21">
        <f t="shared" si="89"/>
        <v>5.9766599359999963</v>
      </c>
      <c r="W148" s="21">
        <f t="shared" si="94"/>
        <v>1.2010239570666663</v>
      </c>
      <c r="X148" s="21">
        <f t="shared" si="84"/>
        <v>3.6623636551999992</v>
      </c>
      <c r="Y148" s="21">
        <f t="shared" si="85"/>
        <v>0</v>
      </c>
      <c r="Z148" s="221">
        <f t="shared" si="76"/>
        <v>5</v>
      </c>
      <c r="AA148" s="30">
        <f t="shared" si="64"/>
        <v>6.3140692319120486</v>
      </c>
      <c r="AB148" s="30">
        <f t="shared" si="65"/>
        <v>2.9733205694316993</v>
      </c>
      <c r="AC148" s="30">
        <f t="shared" si="66"/>
        <v>2.4809767459508998</v>
      </c>
      <c r="AD148" s="30">
        <f t="shared" si="67"/>
        <v>0</v>
      </c>
      <c r="AE148" s="32">
        <f t="shared" si="77"/>
        <v>11.768366547294647</v>
      </c>
      <c r="AF148" s="33">
        <f t="shared" si="87"/>
        <v>0</v>
      </c>
      <c r="AG148" s="40">
        <f t="shared" si="78"/>
        <v>0</v>
      </c>
      <c r="AH148" s="224">
        <f>AG148*$P$33</f>
        <v>0</v>
      </c>
      <c r="AI148" s="227">
        <f t="shared" si="79"/>
        <v>26.177991689346914</v>
      </c>
    </row>
    <row r="149" spans="1:35" x14ac:dyDescent="0.35">
      <c r="A149" s="45">
        <v>1450</v>
      </c>
      <c r="B149" s="58">
        <f>SUMIF([2]!Table2_23[ETA],'FIS Optimal Model'!A149,[2]!Table2_23[FIS PAX])</f>
        <v>0</v>
      </c>
      <c r="C149" s="44">
        <f t="shared" si="80"/>
        <v>18</v>
      </c>
      <c r="D149" s="52">
        <f t="shared" si="86"/>
        <v>219</v>
      </c>
      <c r="E149" s="26">
        <f t="shared" si="68"/>
        <v>9.9503999999999984</v>
      </c>
      <c r="F149" s="26">
        <f t="shared" si="69"/>
        <v>4.2713999999999999</v>
      </c>
      <c r="G149" s="26">
        <f t="shared" si="70"/>
        <v>2.9447999999999999</v>
      </c>
      <c r="H149" s="26">
        <f t="shared" si="81"/>
        <v>0.83340000000000003</v>
      </c>
      <c r="I149" s="27">
        <f t="shared" si="88"/>
        <v>9.9503999999999984</v>
      </c>
      <c r="J149" s="27">
        <f t="shared" si="88"/>
        <v>4.2713999999999999</v>
      </c>
      <c r="K149" s="27">
        <f t="shared" si="88"/>
        <v>2.9447999999999999</v>
      </c>
      <c r="L149" s="27">
        <f t="shared" si="88"/>
        <v>0.83340000000000003</v>
      </c>
      <c r="M149" s="28">
        <f t="shared" si="99"/>
        <v>3</v>
      </c>
      <c r="N149" s="29">
        <f t="shared" si="100"/>
        <v>6</v>
      </c>
      <c r="O149" s="28">
        <f t="shared" si="101"/>
        <v>1</v>
      </c>
      <c r="P149" s="28">
        <f t="shared" si="102"/>
        <v>1</v>
      </c>
      <c r="Q149" s="28">
        <f t="shared" si="71"/>
        <v>11</v>
      </c>
      <c r="R149" s="22">
        <f t="shared" si="72"/>
        <v>48.032853840439728</v>
      </c>
      <c r="S149" s="22">
        <f t="shared" si="73"/>
        <v>5.0037368681256513</v>
      </c>
      <c r="T149" s="22">
        <f t="shared" si="74"/>
        <v>11.153516270245497</v>
      </c>
      <c r="U149" s="22">
        <f t="shared" si="75"/>
        <v>0</v>
      </c>
      <c r="V149" s="21">
        <f t="shared" si="89"/>
        <v>6.4661827839999955</v>
      </c>
      <c r="W149" s="21">
        <f t="shared" si="94"/>
        <v>1.4304466129999995</v>
      </c>
      <c r="X149" s="21">
        <f t="shared" si="84"/>
        <v>3.8212727487999989</v>
      </c>
      <c r="Y149" s="21">
        <f t="shared" si="85"/>
        <v>0</v>
      </c>
      <c r="Z149" s="221">
        <f t="shared" si="76"/>
        <v>5</v>
      </c>
      <c r="AA149" s="30">
        <f t="shared" si="64"/>
        <v>6.3140692319120486</v>
      </c>
      <c r="AB149" s="30">
        <f t="shared" si="65"/>
        <v>2.9733205694316993</v>
      </c>
      <c r="AC149" s="30">
        <f t="shared" si="66"/>
        <v>2.4809767459508998</v>
      </c>
      <c r="AD149" s="30">
        <f t="shared" si="67"/>
        <v>0</v>
      </c>
      <c r="AE149" s="32">
        <f t="shared" si="77"/>
        <v>11.768366547294647</v>
      </c>
      <c r="AF149" s="33">
        <f t="shared" si="87"/>
        <v>13.604699584654302</v>
      </c>
      <c r="AG149" s="40">
        <f t="shared" si="78"/>
        <v>1.6812931552025212</v>
      </c>
      <c r="AH149" s="224">
        <f>AG149*$P$33</f>
        <v>0.14100778709090978</v>
      </c>
      <c r="AI149" s="227">
        <f t="shared" si="79"/>
        <v>26.164988703742551</v>
      </c>
    </row>
    <row r="150" spans="1:35" x14ac:dyDescent="0.35">
      <c r="A150" s="45">
        <v>1451</v>
      </c>
      <c r="B150" s="58">
        <f>SUMIF([2]!Table2_23[ETA],'FIS Optimal Model'!A150,[2]!Table2_23[FIS PAX])</f>
        <v>0</v>
      </c>
      <c r="C150" s="44">
        <f t="shared" si="80"/>
        <v>18</v>
      </c>
      <c r="D150" s="52">
        <f t="shared" si="86"/>
        <v>201</v>
      </c>
      <c r="E150" s="26">
        <f t="shared" si="68"/>
        <v>9.9503999999999984</v>
      </c>
      <c r="F150" s="26">
        <f t="shared" si="69"/>
        <v>4.2713999999999999</v>
      </c>
      <c r="G150" s="26">
        <f t="shared" si="70"/>
        <v>2.9447999999999999</v>
      </c>
      <c r="H150" s="26">
        <f t="shared" si="81"/>
        <v>0.83340000000000003</v>
      </c>
      <c r="I150" s="27">
        <f t="shared" si="88"/>
        <v>9.9503999999999984</v>
      </c>
      <c r="J150" s="27">
        <f t="shared" si="88"/>
        <v>4.2713999999999999</v>
      </c>
      <c r="K150" s="27">
        <f t="shared" si="88"/>
        <v>2.9447999999999999</v>
      </c>
      <c r="L150" s="27">
        <f t="shared" si="88"/>
        <v>0.83340000000000003</v>
      </c>
      <c r="M150" s="28">
        <f t="shared" si="99"/>
        <v>3</v>
      </c>
      <c r="N150" s="29">
        <f t="shared" si="100"/>
        <v>6</v>
      </c>
      <c r="O150" s="28">
        <f t="shared" si="101"/>
        <v>1</v>
      </c>
      <c r="P150" s="28">
        <f t="shared" si="102"/>
        <v>1</v>
      </c>
      <c r="Q150" s="28">
        <f t="shared" si="71"/>
        <v>11</v>
      </c>
      <c r="R150" s="22">
        <f t="shared" si="72"/>
        <v>51.669184608527672</v>
      </c>
      <c r="S150" s="22">
        <f t="shared" si="73"/>
        <v>5.8062628704553347</v>
      </c>
      <c r="T150" s="22">
        <f t="shared" si="74"/>
        <v>11.617339524294596</v>
      </c>
      <c r="U150" s="22">
        <f t="shared" si="75"/>
        <v>0</v>
      </c>
      <c r="V150" s="21">
        <f t="shared" si="89"/>
        <v>6.9557056319999946</v>
      </c>
      <c r="W150" s="21">
        <f t="shared" si="94"/>
        <v>1.6598692689333325</v>
      </c>
      <c r="X150" s="21">
        <f t="shared" si="84"/>
        <v>3.9801818423999986</v>
      </c>
      <c r="Y150" s="21">
        <f t="shared" si="85"/>
        <v>0</v>
      </c>
      <c r="Z150" s="221">
        <f t="shared" si="76"/>
        <v>5</v>
      </c>
      <c r="AA150" s="30">
        <f t="shared" si="64"/>
        <v>6.3140692319120486</v>
      </c>
      <c r="AB150" s="30">
        <f t="shared" si="65"/>
        <v>2.9733205694316993</v>
      </c>
      <c r="AC150" s="30">
        <f t="shared" si="66"/>
        <v>2.4809767459508998</v>
      </c>
      <c r="AD150" s="30">
        <f t="shared" si="67"/>
        <v>0</v>
      </c>
      <c r="AE150" s="32">
        <f t="shared" si="77"/>
        <v>11.768366547294647</v>
      </c>
      <c r="AF150" s="33">
        <f t="shared" si="87"/>
        <v>13.604699584654302</v>
      </c>
      <c r="AG150" s="40">
        <f t="shared" si="78"/>
        <v>3.3625863104050424</v>
      </c>
      <c r="AH150" s="224">
        <f>AG150*$P$33</f>
        <v>0.28201557418181955</v>
      </c>
      <c r="AI150" s="227">
        <f t="shared" si="79"/>
        <v>26.151985718138189</v>
      </c>
    </row>
    <row r="151" spans="1:35" x14ac:dyDescent="0.35">
      <c r="A151" s="45">
        <v>1452</v>
      </c>
      <c r="B151" s="58">
        <f>SUMIF([2]!Table2_23[ETA],'FIS Optimal Model'!A151,[2]!Table2_23[FIS PAX])</f>
        <v>0</v>
      </c>
      <c r="C151" s="44">
        <f t="shared" si="80"/>
        <v>18</v>
      </c>
      <c r="D151" s="52">
        <f t="shared" si="86"/>
        <v>183</v>
      </c>
      <c r="E151" s="26">
        <f t="shared" si="68"/>
        <v>9.9503999999999984</v>
      </c>
      <c r="F151" s="26">
        <f t="shared" si="69"/>
        <v>4.2713999999999999</v>
      </c>
      <c r="G151" s="26">
        <f t="shared" si="70"/>
        <v>2.9447999999999999</v>
      </c>
      <c r="H151" s="26">
        <f t="shared" si="81"/>
        <v>0.83340000000000003</v>
      </c>
      <c r="I151" s="27">
        <f t="shared" si="88"/>
        <v>9.9503999999999984</v>
      </c>
      <c r="J151" s="27">
        <f t="shared" si="88"/>
        <v>4.2713999999999999</v>
      </c>
      <c r="K151" s="27">
        <f t="shared" si="88"/>
        <v>2.9447999999999999</v>
      </c>
      <c r="L151" s="27">
        <f t="shared" si="88"/>
        <v>0.83340000000000003</v>
      </c>
      <c r="M151" s="28">
        <f t="shared" si="99"/>
        <v>3</v>
      </c>
      <c r="N151" s="29">
        <f t="shared" si="100"/>
        <v>6</v>
      </c>
      <c r="O151" s="28">
        <f t="shared" si="101"/>
        <v>1</v>
      </c>
      <c r="P151" s="28">
        <f t="shared" si="102"/>
        <v>1</v>
      </c>
      <c r="Q151" s="28">
        <f t="shared" si="71"/>
        <v>11</v>
      </c>
      <c r="R151" s="22">
        <f t="shared" si="72"/>
        <v>55.305515376615617</v>
      </c>
      <c r="S151" s="22">
        <f t="shared" si="73"/>
        <v>6.6087888727850181</v>
      </c>
      <c r="T151" s="22">
        <f t="shared" si="74"/>
        <v>12.081162778343696</v>
      </c>
      <c r="U151" s="22">
        <f t="shared" si="75"/>
        <v>0</v>
      </c>
      <c r="V151" s="21">
        <f t="shared" si="89"/>
        <v>7.4452284799999937</v>
      </c>
      <c r="W151" s="21">
        <f t="shared" si="94"/>
        <v>1.8892919248666658</v>
      </c>
      <c r="X151" s="21">
        <f t="shared" si="84"/>
        <v>4.1390909359999988</v>
      </c>
      <c r="Y151" s="21">
        <f t="shared" si="85"/>
        <v>0</v>
      </c>
      <c r="Z151" s="221">
        <f t="shared" si="76"/>
        <v>6</v>
      </c>
      <c r="AA151" s="30">
        <f t="shared" si="64"/>
        <v>6.3140692319120486</v>
      </c>
      <c r="AB151" s="30">
        <f t="shared" si="65"/>
        <v>2.9733205694316993</v>
      </c>
      <c r="AC151" s="30">
        <f t="shared" si="66"/>
        <v>2.4809767459508998</v>
      </c>
      <c r="AD151" s="30">
        <f t="shared" si="67"/>
        <v>0</v>
      </c>
      <c r="AE151" s="32">
        <f t="shared" si="77"/>
        <v>11.768366547294647</v>
      </c>
      <c r="AF151" s="33">
        <f t="shared" si="87"/>
        <v>11.768366547294647</v>
      </c>
      <c r="AG151" s="40">
        <f t="shared" si="78"/>
        <v>3.2075464282479089</v>
      </c>
      <c r="AH151" s="224">
        <f>AG151*$P$33</f>
        <v>0.2690125885774563</v>
      </c>
      <c r="AI151" s="227">
        <f t="shared" si="79"/>
        <v>27.12597974692946</v>
      </c>
    </row>
    <row r="152" spans="1:35" x14ac:dyDescent="0.35">
      <c r="A152" s="45">
        <v>1453</v>
      </c>
      <c r="B152" s="58">
        <f>SUMIF([2]!Table2_23[ETA],'FIS Optimal Model'!A152,[2]!Table2_23[FIS PAX])</f>
        <v>0</v>
      </c>
      <c r="C152" s="44">
        <f t="shared" si="80"/>
        <v>18</v>
      </c>
      <c r="D152" s="52">
        <f t="shared" si="86"/>
        <v>165</v>
      </c>
      <c r="E152" s="26">
        <f t="shared" si="68"/>
        <v>9.9503999999999984</v>
      </c>
      <c r="F152" s="26">
        <f t="shared" si="69"/>
        <v>4.2713999999999999</v>
      </c>
      <c r="G152" s="26">
        <f t="shared" si="70"/>
        <v>2.9447999999999999</v>
      </c>
      <c r="H152" s="26">
        <f t="shared" si="81"/>
        <v>0.83340000000000003</v>
      </c>
      <c r="I152" s="27">
        <f t="shared" si="88"/>
        <v>9.9503999999999984</v>
      </c>
      <c r="J152" s="27">
        <f t="shared" si="88"/>
        <v>4.2713999999999999</v>
      </c>
      <c r="K152" s="27">
        <f t="shared" si="88"/>
        <v>2.9447999999999999</v>
      </c>
      <c r="L152" s="27">
        <f t="shared" si="88"/>
        <v>0.83340000000000003</v>
      </c>
      <c r="M152" s="28">
        <f t="shared" si="99"/>
        <v>3</v>
      </c>
      <c r="N152" s="29">
        <f t="shared" si="100"/>
        <v>6</v>
      </c>
      <c r="O152" s="28">
        <f t="shared" si="101"/>
        <v>1</v>
      </c>
      <c r="P152" s="28">
        <f t="shared" si="102"/>
        <v>1</v>
      </c>
      <c r="Q152" s="28">
        <f t="shared" si="71"/>
        <v>11</v>
      </c>
      <c r="R152" s="22">
        <f t="shared" si="72"/>
        <v>58.941846144703561</v>
      </c>
      <c r="S152" s="22">
        <f t="shared" si="73"/>
        <v>7.4113148751147016</v>
      </c>
      <c r="T152" s="22">
        <f t="shared" si="74"/>
        <v>12.544986032392796</v>
      </c>
      <c r="U152" s="22">
        <f t="shared" si="75"/>
        <v>0</v>
      </c>
      <c r="V152" s="21">
        <f t="shared" si="89"/>
        <v>7.9347513279999928</v>
      </c>
      <c r="W152" s="21">
        <f t="shared" si="94"/>
        <v>2.118714580799999</v>
      </c>
      <c r="X152" s="21">
        <f t="shared" si="84"/>
        <v>4.2980000295999989</v>
      </c>
      <c r="Y152" s="21">
        <f t="shared" si="85"/>
        <v>0</v>
      </c>
      <c r="Z152" s="221">
        <f t="shared" si="76"/>
        <v>6</v>
      </c>
      <c r="AA152" s="30">
        <f t="shared" si="64"/>
        <v>6.3140692319120486</v>
      </c>
      <c r="AB152" s="30">
        <f t="shared" si="65"/>
        <v>2.9733205694316993</v>
      </c>
      <c r="AC152" s="30">
        <f t="shared" si="66"/>
        <v>2.4809767459508998</v>
      </c>
      <c r="AD152" s="30">
        <f t="shared" si="67"/>
        <v>0</v>
      </c>
      <c r="AE152" s="32">
        <f t="shared" si="77"/>
        <v>11.768366547294647</v>
      </c>
      <c r="AF152" s="33">
        <f t="shared" si="87"/>
        <v>11.768366547294647</v>
      </c>
      <c r="AG152" s="40">
        <f t="shared" si="78"/>
        <v>3.0525065460907754</v>
      </c>
      <c r="AH152" s="224">
        <f>AG152*$P$33</f>
        <v>0.25600960297309305</v>
      </c>
      <c r="AI152" s="227">
        <f t="shared" si="79"/>
        <v>27.112976761325097</v>
      </c>
    </row>
    <row r="153" spans="1:35" x14ac:dyDescent="0.35">
      <c r="A153" s="45">
        <v>1454</v>
      </c>
      <c r="B153" s="58">
        <f>SUMIF([2]!Table2_23[ETA],'FIS Optimal Model'!A153,[2]!Table2_23[FIS PAX])</f>
        <v>0</v>
      </c>
      <c r="C153" s="44">
        <f t="shared" si="80"/>
        <v>18</v>
      </c>
      <c r="D153" s="52">
        <f t="shared" si="86"/>
        <v>147</v>
      </c>
      <c r="E153" s="26">
        <f t="shared" si="68"/>
        <v>9.9503999999999984</v>
      </c>
      <c r="F153" s="26">
        <f t="shared" si="69"/>
        <v>4.2713999999999999</v>
      </c>
      <c r="G153" s="26">
        <f t="shared" si="70"/>
        <v>2.9447999999999999</v>
      </c>
      <c r="H153" s="26">
        <f t="shared" si="81"/>
        <v>0.83340000000000003</v>
      </c>
      <c r="I153" s="27">
        <f t="shared" si="88"/>
        <v>9.9503999999999984</v>
      </c>
      <c r="J153" s="27">
        <f t="shared" si="88"/>
        <v>4.2713999999999999</v>
      </c>
      <c r="K153" s="27">
        <f t="shared" si="88"/>
        <v>2.9447999999999999</v>
      </c>
      <c r="L153" s="27">
        <f t="shared" si="88"/>
        <v>0.83340000000000003</v>
      </c>
      <c r="M153" s="28">
        <f t="shared" si="99"/>
        <v>3</v>
      </c>
      <c r="N153" s="29">
        <f t="shared" si="100"/>
        <v>6</v>
      </c>
      <c r="O153" s="28">
        <f t="shared" si="101"/>
        <v>1</v>
      </c>
      <c r="P153" s="28">
        <f t="shared" si="102"/>
        <v>1</v>
      </c>
      <c r="Q153" s="28">
        <f t="shared" si="71"/>
        <v>11</v>
      </c>
      <c r="R153" s="22">
        <f t="shared" si="72"/>
        <v>62.578176912791506</v>
      </c>
      <c r="S153" s="22">
        <f t="shared" si="73"/>
        <v>8.213840877444385</v>
      </c>
      <c r="T153" s="22">
        <f t="shared" si="74"/>
        <v>13.008809286441895</v>
      </c>
      <c r="U153" s="22">
        <f t="shared" si="75"/>
        <v>0</v>
      </c>
      <c r="V153" s="21">
        <f t="shared" si="89"/>
        <v>8.424274175999992</v>
      </c>
      <c r="W153" s="21">
        <f t="shared" si="94"/>
        <v>2.348137236733332</v>
      </c>
      <c r="X153" s="21">
        <f t="shared" si="84"/>
        <v>4.4569091231999982</v>
      </c>
      <c r="Y153" s="21">
        <f t="shared" si="85"/>
        <v>0</v>
      </c>
      <c r="Z153" s="221">
        <f t="shared" si="76"/>
        <v>6</v>
      </c>
      <c r="AA153" s="30">
        <f t="shared" si="64"/>
        <v>6.3140692319120486</v>
      </c>
      <c r="AB153" s="30">
        <f t="shared" si="65"/>
        <v>2.9733205694316993</v>
      </c>
      <c r="AC153" s="30">
        <f t="shared" si="66"/>
        <v>2.4809767459508998</v>
      </c>
      <c r="AD153" s="30">
        <f t="shared" si="67"/>
        <v>0</v>
      </c>
      <c r="AE153" s="32">
        <f t="shared" si="77"/>
        <v>11.768366547294647</v>
      </c>
      <c r="AF153" s="33">
        <f t="shared" si="87"/>
        <v>11.768366547294647</v>
      </c>
      <c r="AG153" s="40">
        <f t="shared" si="78"/>
        <v>2.8974666639336419</v>
      </c>
      <c r="AH153" s="224">
        <f>AG153*$P$33</f>
        <v>0.24300661736872983</v>
      </c>
      <c r="AI153" s="227">
        <f t="shared" si="79"/>
        <v>27.141535172723405</v>
      </c>
    </row>
    <row r="154" spans="1:35" x14ac:dyDescent="0.35">
      <c r="A154" s="45">
        <v>1455</v>
      </c>
      <c r="B154" s="58">
        <f>SUMIF([2]!Table2_23[ETA],'FIS Optimal Model'!A154,[2]!Table2_23[FIS PAX])</f>
        <v>186</v>
      </c>
      <c r="C154" s="44">
        <f t="shared" si="80"/>
        <v>18</v>
      </c>
      <c r="D154" s="52">
        <f t="shared" si="86"/>
        <v>129</v>
      </c>
      <c r="E154" s="26">
        <f t="shared" si="68"/>
        <v>9.9503999999999984</v>
      </c>
      <c r="F154" s="26">
        <f t="shared" si="69"/>
        <v>4.2713999999999999</v>
      </c>
      <c r="G154" s="26">
        <f t="shared" si="70"/>
        <v>2.9447999999999999</v>
      </c>
      <c r="H154" s="26">
        <f t="shared" si="81"/>
        <v>0.83340000000000003</v>
      </c>
      <c r="I154" s="27">
        <f t="shared" si="88"/>
        <v>9.9503999999999984</v>
      </c>
      <c r="J154" s="27">
        <f t="shared" si="88"/>
        <v>4.2713999999999999</v>
      </c>
      <c r="K154" s="27">
        <f t="shared" si="88"/>
        <v>2.9447999999999999</v>
      </c>
      <c r="L154" s="27">
        <f t="shared" si="88"/>
        <v>0.83340000000000003</v>
      </c>
      <c r="M154" s="28">
        <f t="shared" si="99"/>
        <v>3</v>
      </c>
      <c r="N154" s="29">
        <f t="shared" si="100"/>
        <v>6</v>
      </c>
      <c r="O154" s="28">
        <f t="shared" si="101"/>
        <v>1</v>
      </c>
      <c r="P154" s="28">
        <f t="shared" si="102"/>
        <v>1</v>
      </c>
      <c r="Q154" s="28">
        <f t="shared" si="71"/>
        <v>11</v>
      </c>
      <c r="R154" s="22">
        <f t="shared" si="72"/>
        <v>66.21450768087945</v>
      </c>
      <c r="S154" s="22">
        <f t="shared" si="73"/>
        <v>9.0163668797740684</v>
      </c>
      <c r="T154" s="22">
        <f t="shared" si="74"/>
        <v>13.472632540490995</v>
      </c>
      <c r="U154" s="22">
        <f t="shared" si="75"/>
        <v>0</v>
      </c>
      <c r="V154" s="21">
        <f t="shared" si="89"/>
        <v>8.9137970239999902</v>
      </c>
      <c r="W154" s="21">
        <f t="shared" si="94"/>
        <v>2.5775598926666654</v>
      </c>
      <c r="X154" s="21">
        <f t="shared" si="84"/>
        <v>4.6158182167999984</v>
      </c>
      <c r="Y154" s="21">
        <f t="shared" si="85"/>
        <v>0</v>
      </c>
      <c r="Z154" s="221">
        <f t="shared" si="76"/>
        <v>7</v>
      </c>
      <c r="AA154" s="30">
        <f t="shared" si="64"/>
        <v>6.3140692319120486</v>
      </c>
      <c r="AB154" s="30">
        <f t="shared" si="65"/>
        <v>2.9733205694316993</v>
      </c>
      <c r="AC154" s="30">
        <f t="shared" si="66"/>
        <v>2.4809767459508998</v>
      </c>
      <c r="AD154" s="30">
        <f t="shared" si="67"/>
        <v>0</v>
      </c>
      <c r="AE154" s="32">
        <f t="shared" si="77"/>
        <v>11.768366547294647</v>
      </c>
      <c r="AF154" s="33">
        <f t="shared" si="87"/>
        <v>11.768366547294647</v>
      </c>
      <c r="AG154" s="40">
        <f t="shared" si="78"/>
        <v>2.7424267817765084</v>
      </c>
      <c r="AH154" s="224">
        <f>AG154*$P$33</f>
        <v>0.23000363176436661</v>
      </c>
      <c r="AI154" s="227">
        <f t="shared" si="79"/>
        <v>28.198651995520013</v>
      </c>
    </row>
    <row r="155" spans="1:35" x14ac:dyDescent="0.35">
      <c r="A155" s="45">
        <v>1456</v>
      </c>
      <c r="B155" s="58">
        <f>SUMIF([2]!Table2_23[ETA],'FIS Optimal Model'!A155,[2]!Table2_23[FIS PAX])</f>
        <v>0</v>
      </c>
      <c r="C155" s="44">
        <f t="shared" si="80"/>
        <v>18</v>
      </c>
      <c r="D155" s="52">
        <f t="shared" si="86"/>
        <v>297</v>
      </c>
      <c r="E155" s="26">
        <f t="shared" si="68"/>
        <v>9.9503999999999984</v>
      </c>
      <c r="F155" s="26">
        <f t="shared" si="69"/>
        <v>4.2713999999999999</v>
      </c>
      <c r="G155" s="26">
        <f t="shared" si="70"/>
        <v>2.9447999999999999</v>
      </c>
      <c r="H155" s="26">
        <f t="shared" si="81"/>
        <v>0.83340000000000003</v>
      </c>
      <c r="I155" s="27">
        <f t="shared" si="88"/>
        <v>9.9503999999999984</v>
      </c>
      <c r="J155" s="27">
        <f t="shared" si="88"/>
        <v>4.2713999999999999</v>
      </c>
      <c r="K155" s="27">
        <f t="shared" si="88"/>
        <v>2.9447999999999999</v>
      </c>
      <c r="L155" s="27">
        <f t="shared" si="88"/>
        <v>0.83340000000000003</v>
      </c>
      <c r="M155" s="28">
        <f t="shared" si="99"/>
        <v>3</v>
      </c>
      <c r="N155" s="29">
        <f t="shared" si="100"/>
        <v>6</v>
      </c>
      <c r="O155" s="28">
        <f t="shared" si="101"/>
        <v>1</v>
      </c>
      <c r="P155" s="28">
        <f t="shared" si="102"/>
        <v>1</v>
      </c>
      <c r="Q155" s="28">
        <f t="shared" si="71"/>
        <v>11</v>
      </c>
      <c r="R155" s="22">
        <f t="shared" si="72"/>
        <v>69.850838448967394</v>
      </c>
      <c r="S155" s="22">
        <f t="shared" si="73"/>
        <v>9.8188928821037518</v>
      </c>
      <c r="T155" s="22">
        <f t="shared" si="74"/>
        <v>13.936455794540095</v>
      </c>
      <c r="U155" s="22">
        <f t="shared" si="75"/>
        <v>0</v>
      </c>
      <c r="V155" s="21">
        <f t="shared" si="89"/>
        <v>9.4033198719999902</v>
      </c>
      <c r="W155" s="21">
        <f t="shared" si="94"/>
        <v>2.8069825485999984</v>
      </c>
      <c r="X155" s="21">
        <f t="shared" si="84"/>
        <v>4.7747273103999985</v>
      </c>
      <c r="Y155" s="21">
        <f t="shared" si="85"/>
        <v>0</v>
      </c>
      <c r="Z155" s="221">
        <f t="shared" si="76"/>
        <v>7</v>
      </c>
      <c r="AA155" s="30">
        <f t="shared" si="64"/>
        <v>6.3140692319120486</v>
      </c>
      <c r="AB155" s="30">
        <f t="shared" si="65"/>
        <v>2.9733205694316993</v>
      </c>
      <c r="AC155" s="30">
        <f t="shared" si="66"/>
        <v>2.4809767459508998</v>
      </c>
      <c r="AD155" s="30">
        <f t="shared" si="67"/>
        <v>0</v>
      </c>
      <c r="AE155" s="32">
        <f t="shared" si="77"/>
        <v>11.768366547294647</v>
      </c>
      <c r="AF155" s="33">
        <f t="shared" si="87"/>
        <v>11.768366547294647</v>
      </c>
      <c r="AG155" s="40">
        <f t="shared" si="78"/>
        <v>2.587386899619375</v>
      </c>
      <c r="AH155" s="224">
        <f>AG155*$P$33</f>
        <v>0.21700064616000336</v>
      </c>
      <c r="AI155" s="227">
        <f t="shared" si="79"/>
        <v>28.227210406918321</v>
      </c>
    </row>
    <row r="156" spans="1:35" x14ac:dyDescent="0.35">
      <c r="A156" s="45">
        <v>1457</v>
      </c>
      <c r="B156" s="58">
        <f>SUMIF([2]!Table2_23[ETA],'FIS Optimal Model'!A156,[2]!Table2_23[FIS PAX])</f>
        <v>0</v>
      </c>
      <c r="C156" s="44">
        <f t="shared" si="80"/>
        <v>18</v>
      </c>
      <c r="D156" s="52">
        <f t="shared" si="86"/>
        <v>279</v>
      </c>
      <c r="E156" s="26">
        <f t="shared" si="68"/>
        <v>9.9503999999999984</v>
      </c>
      <c r="F156" s="26">
        <f t="shared" si="69"/>
        <v>4.2713999999999999</v>
      </c>
      <c r="G156" s="26">
        <f t="shared" si="70"/>
        <v>2.9447999999999999</v>
      </c>
      <c r="H156" s="26">
        <f t="shared" si="81"/>
        <v>0.83340000000000003</v>
      </c>
      <c r="I156" s="27">
        <f t="shared" si="88"/>
        <v>9.9503999999999984</v>
      </c>
      <c r="J156" s="27">
        <f t="shared" si="88"/>
        <v>4.2713999999999999</v>
      </c>
      <c r="K156" s="27">
        <f t="shared" si="88"/>
        <v>2.9447999999999999</v>
      </c>
      <c r="L156" s="27">
        <f t="shared" si="88"/>
        <v>0.83340000000000003</v>
      </c>
      <c r="M156" s="28">
        <f t="shared" si="99"/>
        <v>3</v>
      </c>
      <c r="N156" s="29">
        <f t="shared" si="100"/>
        <v>6</v>
      </c>
      <c r="O156" s="28">
        <f t="shared" si="101"/>
        <v>1</v>
      </c>
      <c r="P156" s="28">
        <f t="shared" si="102"/>
        <v>1</v>
      </c>
      <c r="Q156" s="28">
        <f t="shared" si="71"/>
        <v>11</v>
      </c>
      <c r="R156" s="22">
        <f t="shared" si="72"/>
        <v>73.487169217055339</v>
      </c>
      <c r="S156" s="22">
        <f t="shared" si="73"/>
        <v>10.621418884433435</v>
      </c>
      <c r="T156" s="22">
        <f t="shared" si="74"/>
        <v>14.400279048589194</v>
      </c>
      <c r="U156" s="22">
        <f t="shared" si="75"/>
        <v>0</v>
      </c>
      <c r="V156" s="21">
        <f t="shared" si="89"/>
        <v>9.8928427199999884</v>
      </c>
      <c r="W156" s="21">
        <f t="shared" si="94"/>
        <v>3.0364052045333314</v>
      </c>
      <c r="X156" s="21">
        <f t="shared" si="84"/>
        <v>4.9336364039999978</v>
      </c>
      <c r="Y156" s="21">
        <f t="shared" si="85"/>
        <v>0</v>
      </c>
      <c r="Z156" s="221">
        <f t="shared" si="76"/>
        <v>7</v>
      </c>
      <c r="AA156" s="30">
        <f t="shared" si="64"/>
        <v>6.3140692319120486</v>
      </c>
      <c r="AB156" s="30">
        <f t="shared" si="65"/>
        <v>2.9733205694316993</v>
      </c>
      <c r="AC156" s="30">
        <f t="shared" si="66"/>
        <v>2.4809767459508998</v>
      </c>
      <c r="AD156" s="30">
        <f t="shared" si="67"/>
        <v>0</v>
      </c>
      <c r="AE156" s="32">
        <f t="shared" si="77"/>
        <v>11.768366547294647</v>
      </c>
      <c r="AF156" s="33">
        <f t="shared" si="87"/>
        <v>11.768366547294647</v>
      </c>
      <c r="AG156" s="40">
        <f t="shared" si="78"/>
        <v>2.4323470174622415</v>
      </c>
      <c r="AH156" s="224">
        <f>AG156*$P$33</f>
        <v>0.20399766055564014</v>
      </c>
      <c r="AI156" s="227">
        <f t="shared" si="79"/>
        <v>28.255768818316625</v>
      </c>
    </row>
    <row r="157" spans="1:35" x14ac:dyDescent="0.35">
      <c r="A157" s="45">
        <v>1458</v>
      </c>
      <c r="B157" s="58">
        <f>SUMIF([2]!Table2_23[ETA],'FIS Optimal Model'!A157,[2]!Table2_23[FIS PAX])</f>
        <v>0</v>
      </c>
      <c r="C157" s="44">
        <f t="shared" si="80"/>
        <v>18</v>
      </c>
      <c r="D157" s="52">
        <f t="shared" si="86"/>
        <v>261</v>
      </c>
      <c r="E157" s="26">
        <f t="shared" si="68"/>
        <v>9.9503999999999984</v>
      </c>
      <c r="F157" s="26">
        <f t="shared" si="69"/>
        <v>4.2713999999999999</v>
      </c>
      <c r="G157" s="26">
        <f t="shared" si="70"/>
        <v>2.9447999999999999</v>
      </c>
      <c r="H157" s="26">
        <f t="shared" si="81"/>
        <v>0.83340000000000003</v>
      </c>
      <c r="I157" s="27">
        <f t="shared" si="88"/>
        <v>9.9503999999999984</v>
      </c>
      <c r="J157" s="27">
        <f t="shared" si="88"/>
        <v>4.2713999999999999</v>
      </c>
      <c r="K157" s="27">
        <f t="shared" si="88"/>
        <v>2.9447999999999999</v>
      </c>
      <c r="L157" s="27">
        <f t="shared" si="88"/>
        <v>0.83340000000000003</v>
      </c>
      <c r="M157" s="28">
        <f t="shared" si="99"/>
        <v>3</v>
      </c>
      <c r="N157" s="29">
        <f t="shared" si="100"/>
        <v>6</v>
      </c>
      <c r="O157" s="28">
        <f t="shared" si="101"/>
        <v>1</v>
      </c>
      <c r="P157" s="28">
        <f t="shared" si="102"/>
        <v>1</v>
      </c>
      <c r="Q157" s="28">
        <f t="shared" si="71"/>
        <v>11</v>
      </c>
      <c r="R157" s="22">
        <f t="shared" si="72"/>
        <v>77.123499985143297</v>
      </c>
      <c r="S157" s="22">
        <f t="shared" si="73"/>
        <v>11.423944886763119</v>
      </c>
      <c r="T157" s="22">
        <f t="shared" si="74"/>
        <v>14.864102302638294</v>
      </c>
      <c r="U157" s="22">
        <f t="shared" si="75"/>
        <v>0</v>
      </c>
      <c r="V157" s="21">
        <f t="shared" si="89"/>
        <v>10.38236556799999</v>
      </c>
      <c r="W157" s="21">
        <f t="shared" si="94"/>
        <v>3.2658278604666648</v>
      </c>
      <c r="X157" s="21">
        <f t="shared" si="84"/>
        <v>5.092545497599998</v>
      </c>
      <c r="Y157" s="21">
        <f t="shared" si="85"/>
        <v>0</v>
      </c>
      <c r="Z157" s="221">
        <f t="shared" si="76"/>
        <v>8</v>
      </c>
      <c r="AA157" s="30">
        <f t="shared" si="64"/>
        <v>6.3140692319120486</v>
      </c>
      <c r="AB157" s="30">
        <f t="shared" si="65"/>
        <v>2.9733205694316993</v>
      </c>
      <c r="AC157" s="30">
        <f t="shared" si="66"/>
        <v>2.4809767459508998</v>
      </c>
      <c r="AD157" s="30">
        <f t="shared" si="67"/>
        <v>0</v>
      </c>
      <c r="AE157" s="32">
        <f t="shared" si="77"/>
        <v>11.768366547294647</v>
      </c>
      <c r="AF157" s="33">
        <f t="shared" si="87"/>
        <v>11.768366547294647</v>
      </c>
      <c r="AG157" s="40">
        <f t="shared" si="78"/>
        <v>2.277307135305108</v>
      </c>
      <c r="AH157" s="224">
        <f>AG157*$P$33</f>
        <v>0.19099467495127692</v>
      </c>
      <c r="AI157" s="227">
        <f t="shared" si="79"/>
        <v>29.312885641113237</v>
      </c>
    </row>
    <row r="158" spans="1:35" x14ac:dyDescent="0.35">
      <c r="A158" s="45">
        <v>1459</v>
      </c>
      <c r="B158" s="58">
        <f>SUMIF([2]!Table2_23[ETA],'FIS Optimal Model'!A158,[2]!Table2_23[FIS PAX])</f>
        <v>0</v>
      </c>
      <c r="C158" s="44">
        <f t="shared" si="80"/>
        <v>18</v>
      </c>
      <c r="D158" s="52">
        <f t="shared" si="86"/>
        <v>243</v>
      </c>
      <c r="E158" s="26">
        <f t="shared" si="68"/>
        <v>9.9503999999999984</v>
      </c>
      <c r="F158" s="26">
        <f t="shared" si="69"/>
        <v>4.2713999999999999</v>
      </c>
      <c r="G158" s="26">
        <f t="shared" si="70"/>
        <v>2.9447999999999999</v>
      </c>
      <c r="H158" s="26">
        <f t="shared" si="81"/>
        <v>0.83340000000000003</v>
      </c>
      <c r="I158" s="27">
        <f t="shared" si="88"/>
        <v>9.9503999999999984</v>
      </c>
      <c r="J158" s="27">
        <f t="shared" si="88"/>
        <v>4.2713999999999999</v>
      </c>
      <c r="K158" s="27">
        <f t="shared" si="88"/>
        <v>2.9447999999999999</v>
      </c>
      <c r="L158" s="27">
        <f t="shared" si="88"/>
        <v>0.83340000000000003</v>
      </c>
      <c r="M158" s="28">
        <f t="shared" si="99"/>
        <v>3</v>
      </c>
      <c r="N158" s="29">
        <f t="shared" si="100"/>
        <v>6</v>
      </c>
      <c r="O158" s="28">
        <f t="shared" si="101"/>
        <v>1</v>
      </c>
      <c r="P158" s="28">
        <f t="shared" si="102"/>
        <v>1</v>
      </c>
      <c r="Q158" s="28">
        <f t="shared" si="71"/>
        <v>11</v>
      </c>
      <c r="R158" s="22">
        <f t="shared" si="72"/>
        <v>80.759830753231256</v>
      </c>
      <c r="S158" s="22">
        <f t="shared" si="73"/>
        <v>12.226470889092802</v>
      </c>
      <c r="T158" s="22">
        <f t="shared" si="74"/>
        <v>15.327925556687394</v>
      </c>
      <c r="U158" s="22">
        <f t="shared" si="75"/>
        <v>0</v>
      </c>
      <c r="V158" s="21">
        <f t="shared" si="89"/>
        <v>10.87188841599999</v>
      </c>
      <c r="W158" s="21">
        <f t="shared" si="94"/>
        <v>3.4952505163999978</v>
      </c>
      <c r="X158" s="21">
        <f t="shared" si="84"/>
        <v>5.2514545911999981</v>
      </c>
      <c r="Y158" s="21">
        <f t="shared" si="85"/>
        <v>0</v>
      </c>
      <c r="Z158" s="221">
        <f t="shared" si="76"/>
        <v>8</v>
      </c>
      <c r="AA158" s="30">
        <f t="shared" si="64"/>
        <v>6.3140692319120486</v>
      </c>
      <c r="AB158" s="30">
        <f t="shared" si="65"/>
        <v>2.9733205694316993</v>
      </c>
      <c r="AC158" s="30">
        <f t="shared" si="66"/>
        <v>2.4809767459508998</v>
      </c>
      <c r="AD158" s="30">
        <f t="shared" si="67"/>
        <v>0</v>
      </c>
      <c r="AE158" s="32">
        <f t="shared" si="77"/>
        <v>11.768366547294647</v>
      </c>
      <c r="AF158" s="33">
        <f t="shared" si="87"/>
        <v>11.768366547294647</v>
      </c>
      <c r="AG158" s="40">
        <f t="shared" si="78"/>
        <v>2.1222672531479745</v>
      </c>
      <c r="AH158" s="224">
        <f>AG158*$P$33</f>
        <v>0.17799168934691367</v>
      </c>
      <c r="AI158" s="227">
        <f t="shared" si="79"/>
        <v>29.341444052511541</v>
      </c>
    </row>
    <row r="159" spans="1:35" x14ac:dyDescent="0.35">
      <c r="A159" s="45">
        <v>1500</v>
      </c>
      <c r="B159" s="58">
        <f>SUMIF([2]!Table2_23[ETA],'FIS Optimal Model'!A159,[2]!Table2_23[FIS PAX])</f>
        <v>0</v>
      </c>
      <c r="C159" s="44">
        <f t="shared" si="80"/>
        <v>18</v>
      </c>
      <c r="D159" s="52">
        <f t="shared" si="86"/>
        <v>225</v>
      </c>
      <c r="E159" s="26">
        <f t="shared" si="68"/>
        <v>9.9503999999999984</v>
      </c>
      <c r="F159" s="26">
        <f t="shared" si="69"/>
        <v>4.2713999999999999</v>
      </c>
      <c r="G159" s="26">
        <f t="shared" si="70"/>
        <v>2.9447999999999999</v>
      </c>
      <c r="H159" s="26">
        <f t="shared" si="81"/>
        <v>0.83340000000000003</v>
      </c>
      <c r="I159" s="27">
        <f t="shared" si="88"/>
        <v>9.9503999999999984</v>
      </c>
      <c r="J159" s="27">
        <f t="shared" si="88"/>
        <v>4.2713999999999999</v>
      </c>
      <c r="K159" s="27">
        <f t="shared" si="88"/>
        <v>2.9447999999999999</v>
      </c>
      <c r="L159" s="27">
        <f t="shared" si="88"/>
        <v>0.83340000000000003</v>
      </c>
      <c r="M159" s="28">
        <f t="shared" si="99"/>
        <v>3</v>
      </c>
      <c r="N159" s="29">
        <f t="shared" si="100"/>
        <v>6</v>
      </c>
      <c r="O159" s="28">
        <f t="shared" si="101"/>
        <v>1</v>
      </c>
      <c r="P159" s="28">
        <f t="shared" si="102"/>
        <v>1</v>
      </c>
      <c r="Q159" s="28">
        <f t="shared" si="71"/>
        <v>11</v>
      </c>
      <c r="R159" s="22">
        <f t="shared" si="72"/>
        <v>84.396161521319215</v>
      </c>
      <c r="S159" s="22">
        <f t="shared" si="73"/>
        <v>13.028996891422485</v>
      </c>
      <c r="T159" s="22">
        <f t="shared" si="74"/>
        <v>15.791748810736493</v>
      </c>
      <c r="U159" s="22">
        <f t="shared" si="75"/>
        <v>0</v>
      </c>
      <c r="V159" s="21">
        <f t="shared" si="89"/>
        <v>11.361411263999992</v>
      </c>
      <c r="W159" s="21">
        <f t="shared" si="94"/>
        <v>3.7246731723333308</v>
      </c>
      <c r="X159" s="21">
        <f t="shared" si="84"/>
        <v>5.4103636847999974</v>
      </c>
      <c r="Y159" s="21">
        <f t="shared" si="85"/>
        <v>0</v>
      </c>
      <c r="Z159" s="221">
        <f t="shared" si="76"/>
        <v>9</v>
      </c>
      <c r="AA159" s="30">
        <f t="shared" si="64"/>
        <v>6.3140692319120486</v>
      </c>
      <c r="AB159" s="30">
        <f t="shared" si="65"/>
        <v>2.9733205694316993</v>
      </c>
      <c r="AC159" s="30">
        <f t="shared" si="66"/>
        <v>2.4809767459508998</v>
      </c>
      <c r="AD159" s="30">
        <f t="shared" si="67"/>
        <v>0</v>
      </c>
      <c r="AE159" s="32">
        <f t="shared" si="77"/>
        <v>11.768366547294647</v>
      </c>
      <c r="AF159" s="33">
        <f t="shared" si="87"/>
        <v>11.768366547294647</v>
      </c>
      <c r="AG159" s="40">
        <f t="shared" si="78"/>
        <v>1.967227370990841</v>
      </c>
      <c r="AH159" s="224">
        <f>AG159*$P$33</f>
        <v>0.16498870374255045</v>
      </c>
      <c r="AI159" s="227">
        <f t="shared" si="79"/>
        <v>30.398560875308153</v>
      </c>
    </row>
    <row r="160" spans="1:35" x14ac:dyDescent="0.35">
      <c r="A160" s="45">
        <v>1501</v>
      </c>
      <c r="B160" s="58">
        <f>SUMIF([2]!Table2_23[ETA],'FIS Optimal Model'!A160,[2]!Table2_23[FIS PAX])</f>
        <v>0</v>
      </c>
      <c r="C160" s="44">
        <f t="shared" si="80"/>
        <v>18</v>
      </c>
      <c r="D160" s="52">
        <f t="shared" si="86"/>
        <v>207</v>
      </c>
      <c r="E160" s="26">
        <f t="shared" si="68"/>
        <v>9.9503999999999984</v>
      </c>
      <c r="F160" s="26">
        <f t="shared" si="69"/>
        <v>4.2713999999999999</v>
      </c>
      <c r="G160" s="26">
        <f t="shared" si="70"/>
        <v>2.9447999999999999</v>
      </c>
      <c r="H160" s="26">
        <f t="shared" si="81"/>
        <v>0.83340000000000003</v>
      </c>
      <c r="I160" s="27">
        <f t="shared" si="88"/>
        <v>9.9503999999999984</v>
      </c>
      <c r="J160" s="27">
        <f t="shared" si="88"/>
        <v>4.2713999999999999</v>
      </c>
      <c r="K160" s="27">
        <f t="shared" si="88"/>
        <v>2.9447999999999999</v>
      </c>
      <c r="L160" s="27">
        <f t="shared" si="88"/>
        <v>0.83340000000000003</v>
      </c>
      <c r="M160" s="28">
        <f>IF(R159=0,0,$Q$14)</f>
        <v>3</v>
      </c>
      <c r="N160" s="29">
        <f>$U$14-M160-O160-P160</f>
        <v>7</v>
      </c>
      <c r="O160" s="28">
        <f>IF(T159=0,0,$S$14)</f>
        <v>1</v>
      </c>
      <c r="P160" s="28">
        <f>IF(U159=0,0,$T$14)</f>
        <v>0</v>
      </c>
      <c r="Q160" s="28">
        <f t="shared" si="71"/>
        <v>11</v>
      </c>
      <c r="R160" s="22">
        <f t="shared" si="72"/>
        <v>88.032492289407173</v>
      </c>
      <c r="S160" s="22">
        <f t="shared" si="73"/>
        <v>13.831522893752169</v>
      </c>
      <c r="T160" s="22">
        <f t="shared" si="74"/>
        <v>16.255572064785593</v>
      </c>
      <c r="U160" s="22">
        <f t="shared" si="75"/>
        <v>0.83340000000000003</v>
      </c>
      <c r="V160" s="21">
        <f t="shared" si="89"/>
        <v>11.850934111999992</v>
      </c>
      <c r="W160" s="21">
        <f t="shared" si="94"/>
        <v>3.3892249956571407</v>
      </c>
      <c r="X160" s="21">
        <f t="shared" si="84"/>
        <v>5.5692727783999976</v>
      </c>
      <c r="Y160" s="21">
        <f t="shared" si="85"/>
        <v>0</v>
      </c>
      <c r="Z160" s="221">
        <f t="shared" si="76"/>
        <v>9</v>
      </c>
      <c r="AA160" s="30">
        <f t="shared" si="64"/>
        <v>6.3140692319120486</v>
      </c>
      <c r="AB160" s="30">
        <f t="shared" si="65"/>
        <v>3.4688739976703165</v>
      </c>
      <c r="AC160" s="30">
        <f t="shared" si="66"/>
        <v>2.4809767459508998</v>
      </c>
      <c r="AD160" s="30">
        <f t="shared" si="67"/>
        <v>0</v>
      </c>
      <c r="AE160" s="32">
        <f t="shared" si="77"/>
        <v>12.263919975533264</v>
      </c>
      <c r="AF160" s="33">
        <f t="shared" si="87"/>
        <v>11.768366547294647</v>
      </c>
      <c r="AG160" s="40">
        <f t="shared" si="78"/>
        <v>1.8121874888337075</v>
      </c>
      <c r="AH160" s="224">
        <f>AG160*$P$33</f>
        <v>0.15198571813818723</v>
      </c>
      <c r="AI160" s="227">
        <f t="shared" si="79"/>
        <v>30.427119286706457</v>
      </c>
    </row>
    <row r="161" spans="1:35" x14ac:dyDescent="0.35">
      <c r="A161" s="45">
        <v>1502</v>
      </c>
      <c r="B161" s="58">
        <f>SUMIF([2]!Table2_23[ETA],'FIS Optimal Model'!A161,[2]!Table2_23[FIS PAX])</f>
        <v>0</v>
      </c>
      <c r="C161" s="44">
        <f t="shared" si="80"/>
        <v>18</v>
      </c>
      <c r="D161" s="52">
        <f t="shared" si="86"/>
        <v>189</v>
      </c>
      <c r="E161" s="26">
        <f t="shared" si="68"/>
        <v>9.9503999999999984</v>
      </c>
      <c r="F161" s="26">
        <f t="shared" si="69"/>
        <v>4.2713999999999999</v>
      </c>
      <c r="G161" s="26">
        <f t="shared" si="70"/>
        <v>2.9447999999999999</v>
      </c>
      <c r="H161" s="26">
        <f t="shared" si="81"/>
        <v>0.83340000000000003</v>
      </c>
      <c r="I161" s="27">
        <f t="shared" si="88"/>
        <v>9.9503999999999984</v>
      </c>
      <c r="J161" s="27">
        <f t="shared" si="88"/>
        <v>4.2713999999999999</v>
      </c>
      <c r="K161" s="27">
        <f t="shared" si="88"/>
        <v>2.9447999999999999</v>
      </c>
      <c r="L161" s="27">
        <f t="shared" si="88"/>
        <v>0.83340000000000003</v>
      </c>
      <c r="M161" s="28">
        <f>$M$160</f>
        <v>3</v>
      </c>
      <c r="N161" s="29">
        <f>$N$160</f>
        <v>7</v>
      </c>
      <c r="O161" s="28">
        <f>$O$160</f>
        <v>1</v>
      </c>
      <c r="P161" s="28">
        <f>$P$160</f>
        <v>0</v>
      </c>
      <c r="Q161" s="28">
        <f t="shared" si="71"/>
        <v>11</v>
      </c>
      <c r="R161" s="22">
        <f t="shared" si="72"/>
        <v>91.668823057495132</v>
      </c>
      <c r="S161" s="22">
        <f t="shared" si="73"/>
        <v>14.634048896081852</v>
      </c>
      <c r="T161" s="22">
        <f t="shared" si="74"/>
        <v>16.719395318834692</v>
      </c>
      <c r="U161" s="22">
        <f t="shared" si="75"/>
        <v>1.6668000000000001</v>
      </c>
      <c r="V161" s="21">
        <f t="shared" si="89"/>
        <v>12.340456959999994</v>
      </c>
      <c r="W161" s="21">
        <f t="shared" si="94"/>
        <v>3.5858729864571406</v>
      </c>
      <c r="X161" s="21">
        <f t="shared" si="84"/>
        <v>5.7281818719999977</v>
      </c>
      <c r="Y161" s="21">
        <f t="shared" si="85"/>
        <v>0</v>
      </c>
      <c r="Z161" s="221">
        <f t="shared" si="76"/>
        <v>9</v>
      </c>
      <c r="AA161" s="30">
        <f t="shared" si="64"/>
        <v>6.3140692319120486</v>
      </c>
      <c r="AB161" s="30">
        <f t="shared" si="65"/>
        <v>3.4688739976703165</v>
      </c>
      <c r="AC161" s="30">
        <f t="shared" si="66"/>
        <v>2.4809767459508998</v>
      </c>
      <c r="AD161" s="30">
        <f t="shared" si="67"/>
        <v>0</v>
      </c>
      <c r="AE161" s="32">
        <f t="shared" si="77"/>
        <v>12.263919975533264</v>
      </c>
      <c r="AF161" s="33">
        <f t="shared" si="87"/>
        <v>11.768366547294647</v>
      </c>
      <c r="AG161" s="40">
        <f t="shared" si="78"/>
        <v>1.657147606676574</v>
      </c>
      <c r="AH161" s="224">
        <f>AG161*$P$33</f>
        <v>0.13898273253382398</v>
      </c>
      <c r="AI161" s="227">
        <f t="shared" si="79"/>
        <v>30.455677698104761</v>
      </c>
    </row>
    <row r="162" spans="1:35" x14ac:dyDescent="0.35">
      <c r="A162" s="45">
        <v>1503</v>
      </c>
      <c r="B162" s="58">
        <f>SUMIF([2]!Table2_23[ETA],'FIS Optimal Model'!A162,[2]!Table2_23[FIS PAX])</f>
        <v>0</v>
      </c>
      <c r="C162" s="44">
        <f t="shared" si="80"/>
        <v>18</v>
      </c>
      <c r="D162" s="52">
        <f t="shared" si="86"/>
        <v>171</v>
      </c>
      <c r="E162" s="26">
        <f t="shared" si="68"/>
        <v>9.9503999999999984</v>
      </c>
      <c r="F162" s="26">
        <f t="shared" si="69"/>
        <v>4.2713999999999999</v>
      </c>
      <c r="G162" s="26">
        <f t="shared" si="70"/>
        <v>2.9447999999999999</v>
      </c>
      <c r="H162" s="26">
        <f t="shared" si="81"/>
        <v>0.83340000000000003</v>
      </c>
      <c r="I162" s="27">
        <f t="shared" si="88"/>
        <v>9.9503999999999984</v>
      </c>
      <c r="J162" s="27">
        <f t="shared" si="88"/>
        <v>4.2713999999999999</v>
      </c>
      <c r="K162" s="27">
        <f t="shared" si="88"/>
        <v>2.9447999999999999</v>
      </c>
      <c r="L162" s="27">
        <f t="shared" si="88"/>
        <v>0.83340000000000003</v>
      </c>
      <c r="M162" s="28">
        <f t="shared" ref="M162:M174" si="103">$M$160</f>
        <v>3</v>
      </c>
      <c r="N162" s="29">
        <f t="shared" ref="N162:N174" si="104">$N$160</f>
        <v>7</v>
      </c>
      <c r="O162" s="28">
        <f t="shared" ref="O162:O174" si="105">$O$160</f>
        <v>1</v>
      </c>
      <c r="P162" s="28">
        <f t="shared" ref="P162:P174" si="106">$P$160</f>
        <v>0</v>
      </c>
      <c r="Q162" s="28">
        <f t="shared" si="71"/>
        <v>11</v>
      </c>
      <c r="R162" s="22">
        <f t="shared" si="72"/>
        <v>95.305153825583091</v>
      </c>
      <c r="S162" s="22">
        <f t="shared" si="73"/>
        <v>15.436574898411536</v>
      </c>
      <c r="T162" s="22">
        <f t="shared" si="74"/>
        <v>17.183218572883792</v>
      </c>
      <c r="U162" s="22">
        <f t="shared" si="75"/>
        <v>2.5002</v>
      </c>
      <c r="V162" s="21">
        <f t="shared" si="89"/>
        <v>12.829979807999994</v>
      </c>
      <c r="W162" s="21">
        <f t="shared" si="94"/>
        <v>3.7825209772571404</v>
      </c>
      <c r="X162" s="21">
        <f t="shared" si="84"/>
        <v>5.887090965599997</v>
      </c>
      <c r="Y162" s="21">
        <f t="shared" si="85"/>
        <v>0</v>
      </c>
      <c r="Z162" s="221">
        <f t="shared" si="76"/>
        <v>9</v>
      </c>
      <c r="AA162" s="30">
        <f t="shared" si="64"/>
        <v>6.3140692319120486</v>
      </c>
      <c r="AB162" s="30">
        <f t="shared" si="65"/>
        <v>3.4688739976703165</v>
      </c>
      <c r="AC162" s="30">
        <f t="shared" si="66"/>
        <v>2.4809767459508998</v>
      </c>
      <c r="AD162" s="30">
        <f t="shared" si="67"/>
        <v>0</v>
      </c>
      <c r="AE162" s="32">
        <f t="shared" si="77"/>
        <v>12.263919975533264</v>
      </c>
      <c r="AF162" s="33">
        <f t="shared" si="87"/>
        <v>11.768366547294647</v>
      </c>
      <c r="AG162" s="40">
        <f t="shared" si="78"/>
        <v>1.5021077245194405</v>
      </c>
      <c r="AH162" s="224">
        <f>AG162*$P$33</f>
        <v>0.12597974692946076</v>
      </c>
      <c r="AI162" s="227">
        <f t="shared" si="79"/>
        <v>30.484236109503069</v>
      </c>
    </row>
    <row r="163" spans="1:35" x14ac:dyDescent="0.35">
      <c r="A163" s="45">
        <v>1504</v>
      </c>
      <c r="B163" s="58">
        <f>SUMIF([2]!Table2_23[ETA],'FIS Optimal Model'!A163,[2]!Table2_23[FIS PAX])</f>
        <v>0</v>
      </c>
      <c r="C163" s="44">
        <f t="shared" si="80"/>
        <v>18</v>
      </c>
      <c r="D163" s="52">
        <f t="shared" si="86"/>
        <v>153</v>
      </c>
      <c r="E163" s="26">
        <f t="shared" si="68"/>
        <v>9.9503999999999984</v>
      </c>
      <c r="F163" s="26">
        <f t="shared" si="69"/>
        <v>4.2713999999999999</v>
      </c>
      <c r="G163" s="26">
        <f t="shared" si="70"/>
        <v>2.9447999999999999</v>
      </c>
      <c r="H163" s="26">
        <f t="shared" si="81"/>
        <v>0.83340000000000003</v>
      </c>
      <c r="I163" s="27">
        <f t="shared" si="88"/>
        <v>9.9503999999999984</v>
      </c>
      <c r="J163" s="27">
        <f t="shared" si="88"/>
        <v>4.2713999999999999</v>
      </c>
      <c r="K163" s="27">
        <f t="shared" si="88"/>
        <v>2.9447999999999999</v>
      </c>
      <c r="L163" s="27">
        <f t="shared" si="88"/>
        <v>0.83340000000000003</v>
      </c>
      <c r="M163" s="28">
        <f t="shared" si="103"/>
        <v>3</v>
      </c>
      <c r="N163" s="29">
        <f t="shared" si="104"/>
        <v>7</v>
      </c>
      <c r="O163" s="28">
        <f t="shared" si="105"/>
        <v>1</v>
      </c>
      <c r="P163" s="28">
        <f t="shared" si="106"/>
        <v>0</v>
      </c>
      <c r="Q163" s="28">
        <f t="shared" si="71"/>
        <v>11</v>
      </c>
      <c r="R163" s="22">
        <f t="shared" si="72"/>
        <v>98.941484593671049</v>
      </c>
      <c r="S163" s="22">
        <f t="shared" si="73"/>
        <v>16.239100900741221</v>
      </c>
      <c r="T163" s="22">
        <f t="shared" si="74"/>
        <v>17.647041826932892</v>
      </c>
      <c r="U163" s="22">
        <f t="shared" si="75"/>
        <v>3.3336000000000001</v>
      </c>
      <c r="V163" s="21">
        <f t="shared" si="89"/>
        <v>13.319502655999996</v>
      </c>
      <c r="W163" s="21">
        <f t="shared" si="94"/>
        <v>3.9791689680571407</v>
      </c>
      <c r="X163" s="21">
        <f t="shared" si="84"/>
        <v>6.0460000591999972</v>
      </c>
      <c r="Y163" s="21">
        <f t="shared" si="85"/>
        <v>0</v>
      </c>
      <c r="Z163" s="221">
        <f t="shared" si="76"/>
        <v>10</v>
      </c>
      <c r="AA163" s="30">
        <f t="shared" si="64"/>
        <v>6.3140692319120486</v>
      </c>
      <c r="AB163" s="30">
        <f t="shared" si="65"/>
        <v>3.4688739976703165</v>
      </c>
      <c r="AC163" s="30">
        <f t="shared" si="66"/>
        <v>2.4809767459508998</v>
      </c>
      <c r="AD163" s="30">
        <f t="shared" si="67"/>
        <v>0</v>
      </c>
      <c r="AE163" s="32">
        <f t="shared" si="77"/>
        <v>12.263919975533264</v>
      </c>
      <c r="AF163" s="33">
        <f t="shared" si="87"/>
        <v>11.768366547294647</v>
      </c>
      <c r="AG163" s="40">
        <f t="shared" si="78"/>
        <v>1.347067842362307</v>
      </c>
      <c r="AH163" s="224">
        <f>AG163*$P$33</f>
        <v>0.11297676132509753</v>
      </c>
      <c r="AI163" s="227">
        <f t="shared" si="79"/>
        <v>31.541352932299677</v>
      </c>
    </row>
    <row r="164" spans="1:35" x14ac:dyDescent="0.35">
      <c r="A164" s="45">
        <v>1505</v>
      </c>
      <c r="B164" s="58">
        <f>SUMIF([2]!Table2_23[ETA],'FIS Optimal Model'!A164,[2]!Table2_23[FIS PAX])</f>
        <v>0</v>
      </c>
      <c r="C164" s="44">
        <f t="shared" si="80"/>
        <v>18</v>
      </c>
      <c r="D164" s="52">
        <f t="shared" si="86"/>
        <v>135</v>
      </c>
      <c r="E164" s="26">
        <f t="shared" si="68"/>
        <v>9.9503999999999984</v>
      </c>
      <c r="F164" s="26">
        <f t="shared" si="69"/>
        <v>4.2713999999999999</v>
      </c>
      <c r="G164" s="26">
        <f t="shared" si="70"/>
        <v>2.9447999999999999</v>
      </c>
      <c r="H164" s="26">
        <f t="shared" si="81"/>
        <v>0.83340000000000003</v>
      </c>
      <c r="I164" s="27">
        <f t="shared" si="88"/>
        <v>9.9503999999999984</v>
      </c>
      <c r="J164" s="27">
        <f t="shared" si="88"/>
        <v>4.2713999999999999</v>
      </c>
      <c r="K164" s="27">
        <f t="shared" si="88"/>
        <v>2.9447999999999999</v>
      </c>
      <c r="L164" s="27">
        <f t="shared" si="88"/>
        <v>0.83340000000000003</v>
      </c>
      <c r="M164" s="28">
        <f t="shared" si="103"/>
        <v>3</v>
      </c>
      <c r="N164" s="29">
        <f t="shared" si="104"/>
        <v>7</v>
      </c>
      <c r="O164" s="28">
        <f t="shared" si="105"/>
        <v>1</v>
      </c>
      <c r="P164" s="28">
        <f t="shared" si="106"/>
        <v>0</v>
      </c>
      <c r="Q164" s="28">
        <f t="shared" si="71"/>
        <v>11</v>
      </c>
      <c r="R164" s="22">
        <f t="shared" si="72"/>
        <v>102.57781536175901</v>
      </c>
      <c r="S164" s="22">
        <f t="shared" si="73"/>
        <v>17.041626903070906</v>
      </c>
      <c r="T164" s="22">
        <f t="shared" si="74"/>
        <v>18.110865080981991</v>
      </c>
      <c r="U164" s="22">
        <f t="shared" si="75"/>
        <v>4.1669999999999998</v>
      </c>
      <c r="V164" s="21">
        <f t="shared" si="89"/>
        <v>13.809025503999997</v>
      </c>
      <c r="W164" s="21">
        <f t="shared" si="94"/>
        <v>4.1758169588571405</v>
      </c>
      <c r="X164" s="21">
        <f t="shared" si="84"/>
        <v>6.2049091527999973</v>
      </c>
      <c r="Y164" s="21">
        <f t="shared" si="85"/>
        <v>0</v>
      </c>
      <c r="Z164" s="221">
        <f t="shared" si="76"/>
        <v>10</v>
      </c>
      <c r="AA164" s="30">
        <f t="shared" si="64"/>
        <v>6.3140692319120486</v>
      </c>
      <c r="AB164" s="30">
        <f t="shared" si="65"/>
        <v>3.4688739976703165</v>
      </c>
      <c r="AC164" s="30">
        <f t="shared" si="66"/>
        <v>2.4809767459508998</v>
      </c>
      <c r="AD164" s="30">
        <f t="shared" si="67"/>
        <v>0</v>
      </c>
      <c r="AE164" s="32">
        <f t="shared" si="77"/>
        <v>12.263919975533264</v>
      </c>
      <c r="AF164" s="33">
        <f t="shared" si="87"/>
        <v>12.263919975533264</v>
      </c>
      <c r="AG164" s="40">
        <f t="shared" si="78"/>
        <v>1.6875813884437907</v>
      </c>
      <c r="AH164" s="224">
        <f>AG164*$P$33</f>
        <v>0.14153517272340294</v>
      </c>
      <c r="AI164" s="227">
        <f t="shared" si="79"/>
        <v>31.682360719390587</v>
      </c>
    </row>
    <row r="165" spans="1:35" x14ac:dyDescent="0.35">
      <c r="A165" s="45">
        <v>1506</v>
      </c>
      <c r="B165" s="58">
        <f>SUMIF([2]!Table2_23[ETA],'FIS Optimal Model'!A165,[2]!Table2_23[FIS PAX])</f>
        <v>86</v>
      </c>
      <c r="C165" s="44">
        <f t="shared" si="80"/>
        <v>18</v>
      </c>
      <c r="D165" s="52">
        <f t="shared" si="86"/>
        <v>117</v>
      </c>
      <c r="E165" s="26">
        <f t="shared" si="68"/>
        <v>9.9503999999999984</v>
      </c>
      <c r="F165" s="26">
        <f t="shared" si="69"/>
        <v>4.2713999999999999</v>
      </c>
      <c r="G165" s="26">
        <f t="shared" si="70"/>
        <v>2.9447999999999999</v>
      </c>
      <c r="H165" s="26">
        <f t="shared" si="81"/>
        <v>0.83340000000000003</v>
      </c>
      <c r="I165" s="27">
        <f t="shared" si="88"/>
        <v>9.9503999999999984</v>
      </c>
      <c r="J165" s="27">
        <f t="shared" si="88"/>
        <v>4.2713999999999999</v>
      </c>
      <c r="K165" s="27">
        <f t="shared" si="88"/>
        <v>2.9447999999999999</v>
      </c>
      <c r="L165" s="27">
        <f t="shared" si="88"/>
        <v>0.83340000000000003</v>
      </c>
      <c r="M165" s="28">
        <f t="shared" si="103"/>
        <v>3</v>
      </c>
      <c r="N165" s="29">
        <f t="shared" si="104"/>
        <v>7</v>
      </c>
      <c r="O165" s="28">
        <f t="shared" si="105"/>
        <v>1</v>
      </c>
      <c r="P165" s="28">
        <f t="shared" si="106"/>
        <v>0</v>
      </c>
      <c r="Q165" s="28">
        <f t="shared" si="71"/>
        <v>11</v>
      </c>
      <c r="R165" s="22">
        <f t="shared" si="72"/>
        <v>106.21414612984697</v>
      </c>
      <c r="S165" s="22">
        <f t="shared" si="73"/>
        <v>17.844152905400591</v>
      </c>
      <c r="T165" s="22">
        <f t="shared" si="74"/>
        <v>18.574688335031091</v>
      </c>
      <c r="U165" s="22">
        <f t="shared" si="75"/>
        <v>5.0004</v>
      </c>
      <c r="V165" s="21">
        <f t="shared" si="89"/>
        <v>14.298548351999997</v>
      </c>
      <c r="W165" s="21">
        <f t="shared" si="94"/>
        <v>4.3724649496571413</v>
      </c>
      <c r="X165" s="21">
        <f t="shared" si="84"/>
        <v>6.3638182463999966</v>
      </c>
      <c r="Y165" s="21">
        <f t="shared" si="85"/>
        <v>0</v>
      </c>
      <c r="Z165" s="221">
        <f t="shared" si="76"/>
        <v>10</v>
      </c>
      <c r="AA165" s="30">
        <f t="shared" si="64"/>
        <v>6.3140692319120486</v>
      </c>
      <c r="AB165" s="30">
        <f t="shared" si="65"/>
        <v>3.4688739976703165</v>
      </c>
      <c r="AC165" s="30">
        <f t="shared" si="66"/>
        <v>2.4809767459508998</v>
      </c>
      <c r="AD165" s="30">
        <f t="shared" si="67"/>
        <v>0</v>
      </c>
      <c r="AE165" s="32">
        <f t="shared" si="77"/>
        <v>12.263919975533264</v>
      </c>
      <c r="AF165" s="33">
        <f t="shared" si="87"/>
        <v>12.263919975533264</v>
      </c>
      <c r="AG165" s="40">
        <f t="shared" si="78"/>
        <v>2.0280949345252743</v>
      </c>
      <c r="AH165" s="224">
        <f>AG165*$P$33</f>
        <v>0.17009358412170833</v>
      </c>
      <c r="AI165" s="227">
        <f t="shared" si="79"/>
        <v>31.823368506481497</v>
      </c>
    </row>
    <row r="166" spans="1:35" x14ac:dyDescent="0.35">
      <c r="A166" s="45">
        <v>1507</v>
      </c>
      <c r="B166" s="58">
        <f>SUMIF([2]!Table2_23[ETA],'FIS Optimal Model'!A166,[2]!Table2_23[FIS PAX])</f>
        <v>0</v>
      </c>
      <c r="C166" s="44">
        <f t="shared" si="80"/>
        <v>18</v>
      </c>
      <c r="D166" s="52">
        <f t="shared" si="86"/>
        <v>185</v>
      </c>
      <c r="E166" s="26">
        <f t="shared" si="68"/>
        <v>9.9503999999999984</v>
      </c>
      <c r="F166" s="26">
        <f t="shared" si="69"/>
        <v>4.2713999999999999</v>
      </c>
      <c r="G166" s="26">
        <f t="shared" si="70"/>
        <v>2.9447999999999999</v>
      </c>
      <c r="H166" s="26">
        <f t="shared" si="81"/>
        <v>0.83340000000000003</v>
      </c>
      <c r="I166" s="27">
        <f t="shared" si="88"/>
        <v>9.9503999999999984</v>
      </c>
      <c r="J166" s="27">
        <f t="shared" si="88"/>
        <v>4.2713999999999999</v>
      </c>
      <c r="K166" s="27">
        <f t="shared" si="88"/>
        <v>2.9447999999999999</v>
      </c>
      <c r="L166" s="27">
        <f t="shared" si="88"/>
        <v>0.83340000000000003</v>
      </c>
      <c r="M166" s="28">
        <f t="shared" si="103"/>
        <v>3</v>
      </c>
      <c r="N166" s="29">
        <f t="shared" si="104"/>
        <v>7</v>
      </c>
      <c r="O166" s="28">
        <f t="shared" si="105"/>
        <v>1</v>
      </c>
      <c r="P166" s="28">
        <f t="shared" si="106"/>
        <v>0</v>
      </c>
      <c r="Q166" s="28">
        <f t="shared" si="71"/>
        <v>11</v>
      </c>
      <c r="R166" s="22">
        <f t="shared" si="72"/>
        <v>109.85047689793493</v>
      </c>
      <c r="S166" s="22">
        <f t="shared" si="73"/>
        <v>18.646678907730276</v>
      </c>
      <c r="T166" s="22">
        <f t="shared" si="74"/>
        <v>19.038511589080191</v>
      </c>
      <c r="U166" s="22">
        <f t="shared" si="75"/>
        <v>5.8338000000000001</v>
      </c>
      <c r="V166" s="21">
        <f t="shared" si="89"/>
        <v>14.788071199999999</v>
      </c>
      <c r="W166" s="21">
        <f t="shared" si="94"/>
        <v>4.5691129404571411</v>
      </c>
      <c r="X166" s="21">
        <f t="shared" si="84"/>
        <v>6.5227273399999968</v>
      </c>
      <c r="Y166" s="21">
        <f t="shared" si="85"/>
        <v>0</v>
      </c>
      <c r="Z166" s="221">
        <f t="shared" si="76"/>
        <v>11</v>
      </c>
      <c r="AA166" s="30">
        <f t="shared" si="64"/>
        <v>6.3140692319120486</v>
      </c>
      <c r="AB166" s="30">
        <f t="shared" si="65"/>
        <v>3.4688739976703165</v>
      </c>
      <c r="AC166" s="30">
        <f t="shared" si="66"/>
        <v>2.4809767459508998</v>
      </c>
      <c r="AD166" s="30">
        <f t="shared" si="67"/>
        <v>0</v>
      </c>
      <c r="AE166" s="32">
        <f t="shared" si="77"/>
        <v>12.263919975533264</v>
      </c>
      <c r="AF166" s="33">
        <f t="shared" si="87"/>
        <v>12.263919975533264</v>
      </c>
      <c r="AG166" s="40">
        <f t="shared" si="78"/>
        <v>2.368608480606758</v>
      </c>
      <c r="AH166" s="224">
        <f>AG166*$P$33</f>
        <v>0.19865199552001372</v>
      </c>
      <c r="AI166" s="227">
        <f t="shared" si="79"/>
        <v>33.10538408066332</v>
      </c>
    </row>
    <row r="167" spans="1:35" x14ac:dyDescent="0.35">
      <c r="A167" s="45">
        <v>1508</v>
      </c>
      <c r="B167" s="58">
        <f>SUMIF([2]!Table2_23[ETA],'FIS Optimal Model'!A167,[2]!Table2_23[FIS PAX])</f>
        <v>0</v>
      </c>
      <c r="C167" s="44">
        <f t="shared" si="80"/>
        <v>18</v>
      </c>
      <c r="D167" s="52">
        <f t="shared" si="86"/>
        <v>167</v>
      </c>
      <c r="E167" s="26">
        <f t="shared" si="68"/>
        <v>9.9503999999999984</v>
      </c>
      <c r="F167" s="26">
        <f t="shared" si="69"/>
        <v>4.2713999999999999</v>
      </c>
      <c r="G167" s="26">
        <f t="shared" si="70"/>
        <v>2.9447999999999999</v>
      </c>
      <c r="H167" s="26">
        <f t="shared" si="81"/>
        <v>0.83340000000000003</v>
      </c>
      <c r="I167" s="27">
        <f t="shared" si="88"/>
        <v>9.9503999999999984</v>
      </c>
      <c r="J167" s="27">
        <f t="shared" si="88"/>
        <v>4.2713999999999999</v>
      </c>
      <c r="K167" s="27">
        <f t="shared" si="88"/>
        <v>2.9447999999999999</v>
      </c>
      <c r="L167" s="27">
        <f t="shared" si="88"/>
        <v>0.83340000000000003</v>
      </c>
      <c r="M167" s="28">
        <f t="shared" si="103"/>
        <v>3</v>
      </c>
      <c r="N167" s="29">
        <f t="shared" si="104"/>
        <v>7</v>
      </c>
      <c r="O167" s="28">
        <f t="shared" si="105"/>
        <v>1</v>
      </c>
      <c r="P167" s="28">
        <f t="shared" si="106"/>
        <v>0</v>
      </c>
      <c r="Q167" s="28">
        <f t="shared" si="71"/>
        <v>11</v>
      </c>
      <c r="R167" s="22">
        <f t="shared" si="72"/>
        <v>113.48680766602288</v>
      </c>
      <c r="S167" s="22">
        <f t="shared" si="73"/>
        <v>19.449204910059962</v>
      </c>
      <c r="T167" s="22">
        <f t="shared" si="74"/>
        <v>19.50233484312929</v>
      </c>
      <c r="U167" s="22">
        <f t="shared" si="75"/>
        <v>6.6672000000000002</v>
      </c>
      <c r="V167" s="21">
        <f t="shared" si="89"/>
        <v>15.277594047999999</v>
      </c>
      <c r="W167" s="21">
        <f t="shared" si="94"/>
        <v>4.7657609312571418</v>
      </c>
      <c r="X167" s="21">
        <f t="shared" si="84"/>
        <v>6.6816364335999969</v>
      </c>
      <c r="Y167" s="21">
        <f t="shared" si="85"/>
        <v>0</v>
      </c>
      <c r="Z167" s="221">
        <f t="shared" si="76"/>
        <v>11</v>
      </c>
      <c r="AA167" s="30">
        <f t="shared" ref="AA167:AA230" si="107">IF(R167&lt;&gt;0,($J$30*M167*$L$33),0)</f>
        <v>6.3140692319120486</v>
      </c>
      <c r="AB167" s="30">
        <f t="shared" ref="AB167:AB230" si="108">IF(W167&lt;&gt;0,($J$31*N167*$L$33),0)</f>
        <v>3.4688739976703165</v>
      </c>
      <c r="AC167" s="30">
        <f t="shared" ref="AC167:AC230" si="109">IF(X167&lt;&gt;0,($J$32*O167*$L$33),0)</f>
        <v>2.4809767459508998</v>
      </c>
      <c r="AD167" s="30">
        <f t="shared" ref="AD167:AD230" si="110">IF(Y167&lt;&gt;0,($J$33*P167*$L$33),0)</f>
        <v>0</v>
      </c>
      <c r="AE167" s="32">
        <f t="shared" si="77"/>
        <v>12.263919975533264</v>
      </c>
      <c r="AF167" s="33">
        <f t="shared" si="87"/>
        <v>12.263919975533264</v>
      </c>
      <c r="AG167" s="40">
        <f t="shared" si="78"/>
        <v>2.7091220266882416</v>
      </c>
      <c r="AH167" s="224">
        <f>AG167*$P$33</f>
        <v>0.22721040691831915</v>
      </c>
      <c r="AI167" s="227">
        <f t="shared" si="79"/>
        <v>33.246391867754227</v>
      </c>
    </row>
    <row r="168" spans="1:35" x14ac:dyDescent="0.35">
      <c r="A168" s="45">
        <v>1509</v>
      </c>
      <c r="B168" s="58">
        <f>SUMIF([2]!Table2_23[ETA],'FIS Optimal Model'!A168,[2]!Table2_23[FIS PAX])</f>
        <v>0</v>
      </c>
      <c r="C168" s="44">
        <f t="shared" si="80"/>
        <v>18</v>
      </c>
      <c r="D168" s="52">
        <f t="shared" si="86"/>
        <v>149</v>
      </c>
      <c r="E168" s="26">
        <f t="shared" ref="E168:E231" si="111">$C$30*C168</f>
        <v>9.9503999999999984</v>
      </c>
      <c r="F168" s="26">
        <f t="shared" ref="F168:F231" si="112">$C$31*C168</f>
        <v>4.2713999999999999</v>
      </c>
      <c r="G168" s="26">
        <f t="shared" ref="G168:G231" si="113">$C$32*C168</f>
        <v>2.9447999999999999</v>
      </c>
      <c r="H168" s="26">
        <f t="shared" si="81"/>
        <v>0.83340000000000003</v>
      </c>
      <c r="I168" s="27">
        <f t="shared" si="88"/>
        <v>9.9503999999999984</v>
      </c>
      <c r="J168" s="27">
        <f t="shared" si="88"/>
        <v>4.2713999999999999</v>
      </c>
      <c r="K168" s="27">
        <f t="shared" si="88"/>
        <v>2.9447999999999999</v>
      </c>
      <c r="L168" s="27">
        <f t="shared" si="88"/>
        <v>0.83340000000000003</v>
      </c>
      <c r="M168" s="28">
        <f t="shared" si="103"/>
        <v>3</v>
      </c>
      <c r="N168" s="29">
        <f t="shared" si="104"/>
        <v>7</v>
      </c>
      <c r="O168" s="28">
        <f t="shared" si="105"/>
        <v>1</v>
      </c>
      <c r="P168" s="28">
        <f t="shared" si="106"/>
        <v>0</v>
      </c>
      <c r="Q168" s="28">
        <f t="shared" ref="Q168:Q231" si="114">SUM(M168:P168)</f>
        <v>11</v>
      </c>
      <c r="R168" s="22">
        <f t="shared" ref="R168:R231" si="115">MAX(R167-($J$30*M168*$L$33)+I168,0)</f>
        <v>117.12313843411084</v>
      </c>
      <c r="S168" s="22">
        <f t="shared" ref="S168:S231" si="116">IF(U168&lt;&gt;0,(MAX(S167-($J$31*N168*$L$33)+J168,0)),(MAX(S167-($J$31*(N168+P168)*$L$33)+J168,0)))</f>
        <v>20.251730912389647</v>
      </c>
      <c r="T168" s="22">
        <f t="shared" ref="T168:T231" si="117">MAX(T167-($J$32*O168*$L$33)+K168,0)</f>
        <v>19.96615809717839</v>
      </c>
      <c r="U168" s="22">
        <f t="shared" ref="U168:U231" si="118">MAX(U167-($J$33*P168*$L$33)+L168,0)</f>
        <v>7.5006000000000004</v>
      </c>
      <c r="V168" s="21">
        <f t="shared" si="89"/>
        <v>15.767116896000001</v>
      </c>
      <c r="W168" s="21">
        <f t="shared" si="94"/>
        <v>4.9624089220571417</v>
      </c>
      <c r="X168" s="21">
        <f t="shared" si="84"/>
        <v>6.8405455271999962</v>
      </c>
      <c r="Y168" s="21">
        <f t="shared" si="85"/>
        <v>0</v>
      </c>
      <c r="Z168" s="221">
        <f t="shared" ref="Z168:Z231" si="119">ROUNDUP(SUM(V168*$C$30,W168*$C$31,X168*$C$32,Y168*$C$33),0)</f>
        <v>12</v>
      </c>
      <c r="AA168" s="30">
        <f t="shared" si="107"/>
        <v>6.3140692319120486</v>
      </c>
      <c r="AB168" s="30">
        <f t="shared" si="108"/>
        <v>3.4688739976703165</v>
      </c>
      <c r="AC168" s="30">
        <f t="shared" si="109"/>
        <v>2.4809767459508998</v>
      </c>
      <c r="AD168" s="30">
        <f t="shared" si="110"/>
        <v>0</v>
      </c>
      <c r="AE168" s="32">
        <f t="shared" ref="AE168:AE231" si="120">SUM(AA168:AD168)</f>
        <v>12.263919975533264</v>
      </c>
      <c r="AF168" s="33">
        <f t="shared" si="87"/>
        <v>12.263919975533264</v>
      </c>
      <c r="AG168" s="40">
        <f t="shared" ref="AG168:AG231" si="121">MAX(AG167-$Q$33+AF168,0)</f>
        <v>3.0496355727697253</v>
      </c>
      <c r="AH168" s="224">
        <f>AG168*$P$33</f>
        <v>0.25576881831662457</v>
      </c>
      <c r="AI168" s="227">
        <f t="shared" ref="AI168:AI231" si="122">SUM(Z168,IF(Z168&lt;&gt;0,$F$31,0),IF(Z168&lt;&gt;0,$N$33,0),IF(Z168&lt;&gt;0,$T$33,0),IF(Z168=0,AH173,IF(Z168=1,AH174,IF(Z168=2,AH175,IF(Z168=3,AH176,IF(Z168=4,AH177,IF(Z168=5,AH178,IF(Z168=6,AH179,IF(Z168=7,AH180,IF(Z168=8,AH181,IF(Z168=9,AH182,IF(Z168=10,AH183,IF(Z168=11,AH184,IF(Z168=12,AH185,IF(Z168=13,AH186,IF(Z168=14,AH187,IF(Z168=15,AH188,IF(Z168=16,AH189,IF(Z168=17,AH190,IF(Z168=18,AH191,IF(Z168=19,AH192,IF(Z168=20,AH193,IF(Z168=21,AH194,IF(Z168=22,AH195,IF(Z168=23,AH196,IF(Z168=24,AH197,IF(Z168=25,AH198,IF(Z168=26,AH199,IF(Z168=27,AH200,IF(Z168=28,AH201,IF(Z168=29,AH202,IF(Z168=30,AH203))))))))))))))))))))))))))))))))</f>
        <v>34.528407441936046</v>
      </c>
    </row>
    <row r="169" spans="1:35" x14ac:dyDescent="0.35">
      <c r="A169" s="45">
        <v>1510</v>
      </c>
      <c r="B169" s="58">
        <f>SUMIF([2]!Table2_23[ETA],'FIS Optimal Model'!A169,[2]!Table2_23[FIS PAX])</f>
        <v>0</v>
      </c>
      <c r="C169" s="44">
        <f t="shared" ref="C169:C232" si="123">IF((D168-D169)&gt;-1,(D168-D169),18)</f>
        <v>18</v>
      </c>
      <c r="D169" s="52">
        <f t="shared" si="86"/>
        <v>131</v>
      </c>
      <c r="E169" s="26">
        <f t="shared" si="111"/>
        <v>9.9503999999999984</v>
      </c>
      <c r="F169" s="26">
        <f t="shared" si="112"/>
        <v>4.2713999999999999</v>
      </c>
      <c r="G169" s="26">
        <f t="shared" si="113"/>
        <v>2.9447999999999999</v>
      </c>
      <c r="H169" s="26">
        <f t="shared" ref="H169:H232" si="124">$C$33*C169</f>
        <v>0.83340000000000003</v>
      </c>
      <c r="I169" s="27">
        <f t="shared" si="88"/>
        <v>9.9503999999999984</v>
      </c>
      <c r="J169" s="27">
        <f t="shared" si="88"/>
        <v>4.2713999999999999</v>
      </c>
      <c r="K169" s="27">
        <f t="shared" si="88"/>
        <v>2.9447999999999999</v>
      </c>
      <c r="L169" s="27">
        <f t="shared" si="88"/>
        <v>0.83340000000000003</v>
      </c>
      <c r="M169" s="28">
        <f t="shared" si="103"/>
        <v>3</v>
      </c>
      <c r="N169" s="29">
        <f t="shared" si="104"/>
        <v>7</v>
      </c>
      <c r="O169" s="28">
        <f t="shared" si="105"/>
        <v>1</v>
      </c>
      <c r="P169" s="28">
        <f t="shared" si="106"/>
        <v>0</v>
      </c>
      <c r="Q169" s="28">
        <f t="shared" si="114"/>
        <v>11</v>
      </c>
      <c r="R169" s="22">
        <f t="shared" si="115"/>
        <v>120.7594692021988</v>
      </c>
      <c r="S169" s="22">
        <f t="shared" si="116"/>
        <v>21.054256914719332</v>
      </c>
      <c r="T169" s="22">
        <f t="shared" si="117"/>
        <v>20.429981351227489</v>
      </c>
      <c r="U169" s="22">
        <f t="shared" si="118"/>
        <v>8.3339999999999996</v>
      </c>
      <c r="V169" s="21">
        <f t="shared" si="89"/>
        <v>16.256639744000001</v>
      </c>
      <c r="W169" s="21">
        <f t="shared" si="94"/>
        <v>5.1590569128571424</v>
      </c>
      <c r="X169" s="21">
        <f t="shared" ref="X169:X232" si="125">IFERROR(T169*($I$32/O169),0)</f>
        <v>6.9994546207999964</v>
      </c>
      <c r="Y169" s="21">
        <f t="shared" ref="Y169:Y232" si="126">IFERROR(U169*($I$33/P169),0)</f>
        <v>0</v>
      </c>
      <c r="Z169" s="221">
        <f t="shared" si="119"/>
        <v>12</v>
      </c>
      <c r="AA169" s="30">
        <f t="shared" si="107"/>
        <v>6.3140692319120486</v>
      </c>
      <c r="AB169" s="30">
        <f t="shared" si="108"/>
        <v>3.4688739976703165</v>
      </c>
      <c r="AC169" s="30">
        <f t="shared" si="109"/>
        <v>2.4809767459508998</v>
      </c>
      <c r="AD169" s="30">
        <f t="shared" si="110"/>
        <v>0</v>
      </c>
      <c r="AE169" s="32">
        <f t="shared" si="120"/>
        <v>12.263919975533264</v>
      </c>
      <c r="AF169" s="33">
        <f t="shared" si="87"/>
        <v>12.263919975533264</v>
      </c>
      <c r="AG169" s="40">
        <f t="shared" si="121"/>
        <v>3.390149118851209</v>
      </c>
      <c r="AH169" s="224">
        <f>AG169*$P$33</f>
        <v>0.28432722971492996</v>
      </c>
      <c r="AI169" s="227">
        <f t="shared" si="122"/>
        <v>34.66941522902696</v>
      </c>
    </row>
    <row r="170" spans="1:35" x14ac:dyDescent="0.35">
      <c r="A170" s="45">
        <v>1511</v>
      </c>
      <c r="B170" s="58">
        <f>SUMIF([2]!Table2_23[ETA],'FIS Optimal Model'!A170,[2]!Table2_23[FIS PAX])</f>
        <v>0</v>
      </c>
      <c r="C170" s="44">
        <f t="shared" si="123"/>
        <v>18</v>
      </c>
      <c r="D170" s="52">
        <f t="shared" ref="D170:D233" si="127">MAX(D169-$E$31+B169,0)</f>
        <v>113</v>
      </c>
      <c r="E170" s="26">
        <f t="shared" si="111"/>
        <v>9.9503999999999984</v>
      </c>
      <c r="F170" s="26">
        <f t="shared" si="112"/>
        <v>4.2713999999999999</v>
      </c>
      <c r="G170" s="26">
        <f t="shared" si="113"/>
        <v>2.9447999999999999</v>
      </c>
      <c r="H170" s="26">
        <f t="shared" si="124"/>
        <v>0.83340000000000003</v>
      </c>
      <c r="I170" s="27">
        <f t="shared" si="88"/>
        <v>9.9503999999999984</v>
      </c>
      <c r="J170" s="27">
        <f t="shared" si="88"/>
        <v>4.2713999999999999</v>
      </c>
      <c r="K170" s="27">
        <f t="shared" si="88"/>
        <v>2.9447999999999999</v>
      </c>
      <c r="L170" s="27">
        <f t="shared" si="88"/>
        <v>0.83340000000000003</v>
      </c>
      <c r="M170" s="28">
        <f t="shared" si="103"/>
        <v>3</v>
      </c>
      <c r="N170" s="29">
        <f t="shared" si="104"/>
        <v>7</v>
      </c>
      <c r="O170" s="28">
        <f t="shared" si="105"/>
        <v>1</v>
      </c>
      <c r="P170" s="28">
        <f t="shared" si="106"/>
        <v>0</v>
      </c>
      <c r="Q170" s="28">
        <f t="shared" si="114"/>
        <v>11</v>
      </c>
      <c r="R170" s="22">
        <f t="shared" si="115"/>
        <v>124.39579997028676</v>
      </c>
      <c r="S170" s="22">
        <f t="shared" si="116"/>
        <v>21.856782917049017</v>
      </c>
      <c r="T170" s="22">
        <f t="shared" si="117"/>
        <v>20.893804605276589</v>
      </c>
      <c r="U170" s="22">
        <f t="shared" si="118"/>
        <v>9.1673999999999989</v>
      </c>
      <c r="V170" s="21">
        <f t="shared" si="89"/>
        <v>16.746162592000001</v>
      </c>
      <c r="W170" s="21">
        <f t="shared" si="94"/>
        <v>5.3557049036571422</v>
      </c>
      <c r="X170" s="21">
        <f t="shared" si="125"/>
        <v>7.1583637143999965</v>
      </c>
      <c r="Y170" s="21">
        <f t="shared" si="126"/>
        <v>0</v>
      </c>
      <c r="Z170" s="221">
        <f t="shared" si="119"/>
        <v>12</v>
      </c>
      <c r="AA170" s="30">
        <f t="shared" si="107"/>
        <v>6.3140692319120486</v>
      </c>
      <c r="AB170" s="30">
        <f t="shared" si="108"/>
        <v>3.4688739976703165</v>
      </c>
      <c r="AC170" s="30">
        <f t="shared" si="109"/>
        <v>2.4809767459508998</v>
      </c>
      <c r="AD170" s="30">
        <f t="shared" si="110"/>
        <v>0</v>
      </c>
      <c r="AE170" s="32">
        <f t="shared" si="120"/>
        <v>12.263919975533264</v>
      </c>
      <c r="AF170" s="33">
        <f t="shared" si="87"/>
        <v>12.263919975533264</v>
      </c>
      <c r="AG170" s="40">
        <f t="shared" si="121"/>
        <v>3.7306626649326926</v>
      </c>
      <c r="AH170" s="224">
        <f>AG170*$P$33</f>
        <v>0.31288564111323536</v>
      </c>
      <c r="AI170" s="227">
        <f t="shared" si="122"/>
        <v>34.810423016117866</v>
      </c>
    </row>
    <row r="171" spans="1:35" x14ac:dyDescent="0.35">
      <c r="A171" s="45">
        <v>1512</v>
      </c>
      <c r="B171" s="58">
        <f>SUMIF([2]!Table2_23[ETA],'FIS Optimal Model'!A171,[2]!Table2_23[FIS PAX])</f>
        <v>0</v>
      </c>
      <c r="C171" s="44">
        <f t="shared" si="123"/>
        <v>18</v>
      </c>
      <c r="D171" s="52">
        <f t="shared" si="127"/>
        <v>95</v>
      </c>
      <c r="E171" s="26">
        <f t="shared" si="111"/>
        <v>9.9503999999999984</v>
      </c>
      <c r="F171" s="26">
        <f t="shared" si="112"/>
        <v>4.2713999999999999</v>
      </c>
      <c r="G171" s="26">
        <f t="shared" si="113"/>
        <v>2.9447999999999999</v>
      </c>
      <c r="H171" s="26">
        <f t="shared" si="124"/>
        <v>0.83340000000000003</v>
      </c>
      <c r="I171" s="27">
        <f t="shared" si="88"/>
        <v>9.9503999999999984</v>
      </c>
      <c r="J171" s="27">
        <f t="shared" si="88"/>
        <v>4.2713999999999999</v>
      </c>
      <c r="K171" s="27">
        <f t="shared" si="88"/>
        <v>2.9447999999999999</v>
      </c>
      <c r="L171" s="27">
        <f t="shared" si="88"/>
        <v>0.83340000000000003</v>
      </c>
      <c r="M171" s="28">
        <f t="shared" si="103"/>
        <v>3</v>
      </c>
      <c r="N171" s="29">
        <f t="shared" si="104"/>
        <v>7</v>
      </c>
      <c r="O171" s="28">
        <f t="shared" si="105"/>
        <v>1</v>
      </c>
      <c r="P171" s="28">
        <f t="shared" si="106"/>
        <v>0</v>
      </c>
      <c r="Q171" s="28">
        <f t="shared" si="114"/>
        <v>11</v>
      </c>
      <c r="R171" s="22">
        <f t="shared" si="115"/>
        <v>128.03213073837472</v>
      </c>
      <c r="S171" s="22">
        <f t="shared" si="116"/>
        <v>22.659308919378702</v>
      </c>
      <c r="T171" s="22">
        <f t="shared" si="117"/>
        <v>21.357627859325689</v>
      </c>
      <c r="U171" s="22">
        <f t="shared" si="118"/>
        <v>10.000799999999998</v>
      </c>
      <c r="V171" s="21">
        <f t="shared" si="89"/>
        <v>17.235685440000005</v>
      </c>
      <c r="W171" s="21">
        <f t="shared" si="94"/>
        <v>5.552352894457143</v>
      </c>
      <c r="X171" s="21">
        <f t="shared" si="125"/>
        <v>7.3172728079999958</v>
      </c>
      <c r="Y171" s="21">
        <f t="shared" si="126"/>
        <v>0</v>
      </c>
      <c r="Z171" s="221">
        <f t="shared" si="119"/>
        <v>13</v>
      </c>
      <c r="AA171" s="30">
        <f t="shared" si="107"/>
        <v>6.3140692319120486</v>
      </c>
      <c r="AB171" s="30">
        <f t="shared" si="108"/>
        <v>3.4688739976703165</v>
      </c>
      <c r="AC171" s="30">
        <f t="shared" si="109"/>
        <v>2.4809767459508998</v>
      </c>
      <c r="AD171" s="30">
        <f t="shared" si="110"/>
        <v>0</v>
      </c>
      <c r="AE171" s="32">
        <f t="shared" si="120"/>
        <v>12.263919975533264</v>
      </c>
      <c r="AF171" s="33">
        <f t="shared" si="87"/>
        <v>12.263919975533264</v>
      </c>
      <c r="AG171" s="40">
        <f t="shared" si="121"/>
        <v>4.0711762110141763</v>
      </c>
      <c r="AH171" s="224">
        <f>AG171*$P$33</f>
        <v>0.34144405251154075</v>
      </c>
      <c r="AI171" s="227">
        <f t="shared" si="122"/>
        <v>35.938427817604413</v>
      </c>
    </row>
    <row r="172" spans="1:35" x14ac:dyDescent="0.35">
      <c r="A172" s="45">
        <v>1513</v>
      </c>
      <c r="B172" s="58">
        <f>SUMIF([2]!Table2_23[ETA],'FIS Optimal Model'!A172,[2]!Table2_23[FIS PAX])</f>
        <v>0</v>
      </c>
      <c r="C172" s="44">
        <f t="shared" si="123"/>
        <v>18</v>
      </c>
      <c r="D172" s="52">
        <f t="shared" si="127"/>
        <v>77</v>
      </c>
      <c r="E172" s="26">
        <f t="shared" si="111"/>
        <v>9.9503999999999984</v>
      </c>
      <c r="F172" s="26">
        <f t="shared" si="112"/>
        <v>4.2713999999999999</v>
      </c>
      <c r="G172" s="26">
        <f t="shared" si="113"/>
        <v>2.9447999999999999</v>
      </c>
      <c r="H172" s="26">
        <f t="shared" si="124"/>
        <v>0.83340000000000003</v>
      </c>
      <c r="I172" s="27">
        <f t="shared" si="88"/>
        <v>9.9503999999999984</v>
      </c>
      <c r="J172" s="27">
        <f t="shared" si="88"/>
        <v>4.2713999999999999</v>
      </c>
      <c r="K172" s="27">
        <f t="shared" si="88"/>
        <v>2.9447999999999999</v>
      </c>
      <c r="L172" s="27">
        <f t="shared" ref="L172:L235" si="128">H167</f>
        <v>0.83340000000000003</v>
      </c>
      <c r="M172" s="28">
        <f t="shared" si="103"/>
        <v>3</v>
      </c>
      <c r="N172" s="29">
        <f t="shared" si="104"/>
        <v>7</v>
      </c>
      <c r="O172" s="28">
        <f t="shared" si="105"/>
        <v>1</v>
      </c>
      <c r="P172" s="28">
        <f t="shared" si="106"/>
        <v>0</v>
      </c>
      <c r="Q172" s="28">
        <f t="shared" si="114"/>
        <v>11</v>
      </c>
      <c r="R172" s="22">
        <f t="shared" si="115"/>
        <v>131.66846150646268</v>
      </c>
      <c r="S172" s="22">
        <f t="shared" si="116"/>
        <v>23.461834921708387</v>
      </c>
      <c r="T172" s="22">
        <f t="shared" si="117"/>
        <v>21.821451113374788</v>
      </c>
      <c r="U172" s="22">
        <f t="shared" si="118"/>
        <v>10.834199999999997</v>
      </c>
      <c r="V172" s="21">
        <f t="shared" si="89"/>
        <v>17.725208288000005</v>
      </c>
      <c r="W172" s="21">
        <f t="shared" si="94"/>
        <v>5.7490008852571428</v>
      </c>
      <c r="X172" s="21">
        <f t="shared" si="125"/>
        <v>7.476181901599996</v>
      </c>
      <c r="Y172" s="21">
        <f t="shared" si="126"/>
        <v>0</v>
      </c>
      <c r="Z172" s="221">
        <f t="shared" si="119"/>
        <v>13</v>
      </c>
      <c r="AA172" s="30">
        <f t="shared" si="107"/>
        <v>6.3140692319120486</v>
      </c>
      <c r="AB172" s="30">
        <f t="shared" si="108"/>
        <v>3.4688739976703165</v>
      </c>
      <c r="AC172" s="30">
        <f t="shared" si="109"/>
        <v>2.4809767459508998</v>
      </c>
      <c r="AD172" s="30">
        <f t="shared" si="110"/>
        <v>0</v>
      </c>
      <c r="AE172" s="32">
        <f t="shared" si="120"/>
        <v>12.263919975533264</v>
      </c>
      <c r="AF172" s="33">
        <f t="shared" ref="AF172:AF235" si="129">AE168</f>
        <v>12.263919975533264</v>
      </c>
      <c r="AG172" s="40">
        <f t="shared" si="121"/>
        <v>4.4116897570956599</v>
      </c>
      <c r="AH172" s="224">
        <f>AG172*$P$33</f>
        <v>0.37000246390984615</v>
      </c>
      <c r="AI172" s="227">
        <f t="shared" si="122"/>
        <v>35.925424832000047</v>
      </c>
    </row>
    <row r="173" spans="1:35" x14ac:dyDescent="0.35">
      <c r="A173" s="45">
        <v>1514</v>
      </c>
      <c r="B173" s="58">
        <f>SUMIF([2]!Table2_23[ETA],'FIS Optimal Model'!A173,[2]!Table2_23[FIS PAX])</f>
        <v>0</v>
      </c>
      <c r="C173" s="44">
        <f t="shared" si="123"/>
        <v>18</v>
      </c>
      <c r="D173" s="52">
        <f t="shared" si="127"/>
        <v>59</v>
      </c>
      <c r="E173" s="26">
        <f t="shared" si="111"/>
        <v>9.9503999999999984</v>
      </c>
      <c r="F173" s="26">
        <f t="shared" si="112"/>
        <v>4.2713999999999999</v>
      </c>
      <c r="G173" s="26">
        <f t="shared" si="113"/>
        <v>2.9447999999999999</v>
      </c>
      <c r="H173" s="26">
        <f t="shared" si="124"/>
        <v>0.83340000000000003</v>
      </c>
      <c r="I173" s="27">
        <f t="shared" ref="I173:L236" si="130">E168</f>
        <v>9.9503999999999984</v>
      </c>
      <c r="J173" s="27">
        <f t="shared" si="130"/>
        <v>4.2713999999999999</v>
      </c>
      <c r="K173" s="27">
        <f t="shared" si="130"/>
        <v>2.9447999999999999</v>
      </c>
      <c r="L173" s="27">
        <f t="shared" si="128"/>
        <v>0.83340000000000003</v>
      </c>
      <c r="M173" s="28">
        <f t="shared" si="103"/>
        <v>3</v>
      </c>
      <c r="N173" s="29">
        <f t="shared" si="104"/>
        <v>7</v>
      </c>
      <c r="O173" s="28">
        <f t="shared" si="105"/>
        <v>1</v>
      </c>
      <c r="P173" s="28">
        <f t="shared" si="106"/>
        <v>0</v>
      </c>
      <c r="Q173" s="28">
        <f t="shared" si="114"/>
        <v>11</v>
      </c>
      <c r="R173" s="22">
        <f t="shared" si="115"/>
        <v>135.30479227455064</v>
      </c>
      <c r="S173" s="22">
        <f t="shared" si="116"/>
        <v>24.264360924038073</v>
      </c>
      <c r="T173" s="22">
        <f t="shared" si="117"/>
        <v>22.285274367423888</v>
      </c>
      <c r="U173" s="22">
        <f t="shared" si="118"/>
        <v>11.667599999999997</v>
      </c>
      <c r="V173" s="21">
        <f t="shared" si="89"/>
        <v>18.214731136000005</v>
      </c>
      <c r="W173" s="21">
        <f t="shared" si="94"/>
        <v>5.9456488760571435</v>
      </c>
      <c r="X173" s="21">
        <f t="shared" si="125"/>
        <v>7.6350909951999961</v>
      </c>
      <c r="Y173" s="21">
        <f t="shared" si="126"/>
        <v>0</v>
      </c>
      <c r="Z173" s="221">
        <f t="shared" si="119"/>
        <v>13</v>
      </c>
      <c r="AA173" s="30">
        <f t="shared" si="107"/>
        <v>6.3140692319120486</v>
      </c>
      <c r="AB173" s="30">
        <f t="shared" si="108"/>
        <v>3.4688739976703165</v>
      </c>
      <c r="AC173" s="30">
        <f t="shared" si="109"/>
        <v>2.4809767459508998</v>
      </c>
      <c r="AD173" s="30">
        <f t="shared" si="110"/>
        <v>0</v>
      </c>
      <c r="AE173" s="32">
        <f t="shared" si="120"/>
        <v>12.263919975533264</v>
      </c>
      <c r="AF173" s="33">
        <f t="shared" si="129"/>
        <v>12.263919975533264</v>
      </c>
      <c r="AG173" s="40">
        <f t="shared" si="121"/>
        <v>4.7522033031771436</v>
      </c>
      <c r="AH173" s="224">
        <f>AG173*$P$33</f>
        <v>0.39856087530815154</v>
      </c>
      <c r="AI173" s="227">
        <f t="shared" si="122"/>
        <v>35.912421846395688</v>
      </c>
    </row>
    <row r="174" spans="1:35" x14ac:dyDescent="0.35">
      <c r="A174" s="45">
        <v>1515</v>
      </c>
      <c r="B174" s="58">
        <f>SUMIF([2]!Table2_23[ETA],'FIS Optimal Model'!A174,[2]!Table2_23[FIS PAX])</f>
        <v>0</v>
      </c>
      <c r="C174" s="44">
        <f t="shared" si="123"/>
        <v>18</v>
      </c>
      <c r="D174" s="52">
        <f t="shared" si="127"/>
        <v>41</v>
      </c>
      <c r="E174" s="26">
        <f t="shared" si="111"/>
        <v>9.9503999999999984</v>
      </c>
      <c r="F174" s="26">
        <f t="shared" si="112"/>
        <v>4.2713999999999999</v>
      </c>
      <c r="G174" s="26">
        <f t="shared" si="113"/>
        <v>2.9447999999999999</v>
      </c>
      <c r="H174" s="26">
        <f t="shared" si="124"/>
        <v>0.83340000000000003</v>
      </c>
      <c r="I174" s="27">
        <f t="shared" si="130"/>
        <v>9.9503999999999984</v>
      </c>
      <c r="J174" s="27">
        <f t="shared" si="130"/>
        <v>4.2713999999999999</v>
      </c>
      <c r="K174" s="27">
        <f t="shared" si="130"/>
        <v>2.9447999999999999</v>
      </c>
      <c r="L174" s="27">
        <f t="shared" si="128"/>
        <v>0.83340000000000003</v>
      </c>
      <c r="M174" s="28">
        <f t="shared" si="103"/>
        <v>3</v>
      </c>
      <c r="N174" s="29">
        <f t="shared" si="104"/>
        <v>7</v>
      </c>
      <c r="O174" s="28">
        <f t="shared" si="105"/>
        <v>1</v>
      </c>
      <c r="P174" s="28">
        <f t="shared" si="106"/>
        <v>0</v>
      </c>
      <c r="Q174" s="28">
        <f t="shared" si="114"/>
        <v>11</v>
      </c>
      <c r="R174" s="22">
        <f t="shared" si="115"/>
        <v>138.94112304263859</v>
      </c>
      <c r="S174" s="22">
        <f t="shared" si="116"/>
        <v>25.066886926367758</v>
      </c>
      <c r="T174" s="22">
        <f t="shared" si="117"/>
        <v>22.749097621472988</v>
      </c>
      <c r="U174" s="22">
        <f t="shared" si="118"/>
        <v>12.500999999999996</v>
      </c>
      <c r="V174" s="21">
        <f t="shared" si="89"/>
        <v>18.704253984000005</v>
      </c>
      <c r="W174" s="21">
        <f t="shared" si="94"/>
        <v>6.1422968668571434</v>
      </c>
      <c r="X174" s="21">
        <f t="shared" si="125"/>
        <v>7.7940000887999954</v>
      </c>
      <c r="Y174" s="21">
        <f t="shared" si="126"/>
        <v>0</v>
      </c>
      <c r="Z174" s="221">
        <f t="shared" si="119"/>
        <v>14</v>
      </c>
      <c r="AA174" s="30">
        <f t="shared" si="107"/>
        <v>6.3140692319120486</v>
      </c>
      <c r="AB174" s="30">
        <f t="shared" si="108"/>
        <v>3.4688739976703165</v>
      </c>
      <c r="AC174" s="30">
        <f t="shared" si="109"/>
        <v>2.4809767459508998</v>
      </c>
      <c r="AD174" s="30">
        <f t="shared" si="110"/>
        <v>0</v>
      </c>
      <c r="AE174" s="32">
        <f t="shared" si="120"/>
        <v>12.263919975533264</v>
      </c>
      <c r="AF174" s="33">
        <f t="shared" si="129"/>
        <v>12.263919975533264</v>
      </c>
      <c r="AG174" s="40">
        <f t="shared" si="121"/>
        <v>5.0927168492586272</v>
      </c>
      <c r="AH174" s="224">
        <f>AG174*$P$33</f>
        <v>0.42711928670645699</v>
      </c>
      <c r="AI174" s="227">
        <f t="shared" si="122"/>
        <v>36.886415875186962</v>
      </c>
    </row>
    <row r="175" spans="1:35" x14ac:dyDescent="0.35">
      <c r="A175" s="45">
        <v>1516</v>
      </c>
      <c r="B175" s="58">
        <f>SUMIF([2]!Table2_23[ETA],'FIS Optimal Model'!A175,[2]!Table2_23[FIS PAX])</f>
        <v>0</v>
      </c>
      <c r="C175" s="44">
        <f t="shared" si="123"/>
        <v>18</v>
      </c>
      <c r="D175" s="52">
        <f t="shared" si="127"/>
        <v>23</v>
      </c>
      <c r="E175" s="26">
        <f t="shared" si="111"/>
        <v>9.9503999999999984</v>
      </c>
      <c r="F175" s="26">
        <f t="shared" si="112"/>
        <v>4.2713999999999999</v>
      </c>
      <c r="G175" s="26">
        <f t="shared" si="113"/>
        <v>2.9447999999999999</v>
      </c>
      <c r="H175" s="26">
        <f t="shared" si="124"/>
        <v>0.83340000000000003</v>
      </c>
      <c r="I175" s="27">
        <f t="shared" si="130"/>
        <v>9.9503999999999984</v>
      </c>
      <c r="J175" s="27">
        <f t="shared" si="130"/>
        <v>4.2713999999999999</v>
      </c>
      <c r="K175" s="27">
        <f t="shared" si="130"/>
        <v>2.9447999999999999</v>
      </c>
      <c r="L175" s="27">
        <f t="shared" si="128"/>
        <v>0.83340000000000003</v>
      </c>
      <c r="M175" s="28">
        <f>IF(R174=0,0,$Q$15)</f>
        <v>3</v>
      </c>
      <c r="N175" s="29">
        <f>$U$15-M175-O175-P175</f>
        <v>6</v>
      </c>
      <c r="O175" s="28">
        <f>IF(T174=0,0,$S$15)</f>
        <v>1</v>
      </c>
      <c r="P175" s="28">
        <f>IF(U174=0,0,$T$15)</f>
        <v>1</v>
      </c>
      <c r="Q175" s="28">
        <f t="shared" si="114"/>
        <v>11</v>
      </c>
      <c r="R175" s="22">
        <f t="shared" si="115"/>
        <v>142.57745381072655</v>
      </c>
      <c r="S175" s="22">
        <f t="shared" si="116"/>
        <v>26.364966356936058</v>
      </c>
      <c r="T175" s="22">
        <f t="shared" si="117"/>
        <v>23.212920875522087</v>
      </c>
      <c r="U175" s="22">
        <f t="shared" si="118"/>
        <v>11.49806696264034</v>
      </c>
      <c r="V175" s="21">
        <f t="shared" si="89"/>
        <v>19.193776832000008</v>
      </c>
      <c r="W175" s="21">
        <f t="shared" si="94"/>
        <v>7.5371023339333343</v>
      </c>
      <c r="X175" s="21">
        <f t="shared" si="125"/>
        <v>7.9529091823999956</v>
      </c>
      <c r="Y175" s="21">
        <f t="shared" si="126"/>
        <v>5.3222137375999976</v>
      </c>
      <c r="Z175" s="221">
        <f t="shared" si="119"/>
        <v>14</v>
      </c>
      <c r="AA175" s="30">
        <f t="shared" si="107"/>
        <v>6.3140692319120486</v>
      </c>
      <c r="AB175" s="30">
        <f t="shared" si="108"/>
        <v>2.9733205694316993</v>
      </c>
      <c r="AC175" s="30">
        <f t="shared" si="109"/>
        <v>2.4809767459508998</v>
      </c>
      <c r="AD175" s="30">
        <f t="shared" si="110"/>
        <v>1.8363330373596554</v>
      </c>
      <c r="AE175" s="32">
        <f t="shared" si="120"/>
        <v>13.604699584654302</v>
      </c>
      <c r="AF175" s="33">
        <f t="shared" si="129"/>
        <v>12.263919975533264</v>
      </c>
      <c r="AG175" s="40">
        <f t="shared" si="121"/>
        <v>5.4332303953401109</v>
      </c>
      <c r="AH175" s="224">
        <f>AG175*$P$33</f>
        <v>0.45567769810476239</v>
      </c>
      <c r="AI175" s="227">
        <f t="shared" si="122"/>
        <v>37.049930376965392</v>
      </c>
    </row>
    <row r="176" spans="1:35" x14ac:dyDescent="0.35">
      <c r="A176" s="45">
        <v>1517</v>
      </c>
      <c r="B176" s="58">
        <f>SUMIF([2]!Table2_23[ETA],'FIS Optimal Model'!A176,[2]!Table2_23[FIS PAX])</f>
        <v>0</v>
      </c>
      <c r="C176" s="44">
        <f t="shared" si="123"/>
        <v>18</v>
      </c>
      <c r="D176" s="52">
        <f t="shared" si="127"/>
        <v>5</v>
      </c>
      <c r="E176" s="26">
        <f t="shared" si="111"/>
        <v>9.9503999999999984</v>
      </c>
      <c r="F176" s="26">
        <f t="shared" si="112"/>
        <v>4.2713999999999999</v>
      </c>
      <c r="G176" s="26">
        <f t="shared" si="113"/>
        <v>2.9447999999999999</v>
      </c>
      <c r="H176" s="26">
        <f t="shared" si="124"/>
        <v>0.83340000000000003</v>
      </c>
      <c r="I176" s="27">
        <f t="shared" si="130"/>
        <v>9.9503999999999984</v>
      </c>
      <c r="J176" s="27">
        <f t="shared" si="130"/>
        <v>4.2713999999999999</v>
      </c>
      <c r="K176" s="27">
        <f t="shared" si="130"/>
        <v>2.9447999999999999</v>
      </c>
      <c r="L176" s="27">
        <f t="shared" si="128"/>
        <v>0.83340000000000003</v>
      </c>
      <c r="M176" s="28">
        <f>$M$175</f>
        <v>3</v>
      </c>
      <c r="N176" s="29">
        <f>$N$175</f>
        <v>6</v>
      </c>
      <c r="O176" s="28">
        <f>$O$175</f>
        <v>1</v>
      </c>
      <c r="P176" s="28">
        <f>$P$175</f>
        <v>1</v>
      </c>
      <c r="Q176" s="28">
        <f t="shared" si="114"/>
        <v>11</v>
      </c>
      <c r="R176" s="22">
        <f t="shared" si="115"/>
        <v>146.21378457881451</v>
      </c>
      <c r="S176" s="22">
        <f t="shared" si="116"/>
        <v>27.663045787504359</v>
      </c>
      <c r="T176" s="22">
        <f t="shared" si="117"/>
        <v>23.676744129571187</v>
      </c>
      <c r="U176" s="22">
        <f t="shared" si="118"/>
        <v>10.495133925280685</v>
      </c>
      <c r="V176" s="21">
        <f t="shared" si="89"/>
        <v>19.683299680000008</v>
      </c>
      <c r="W176" s="21">
        <f t="shared" si="94"/>
        <v>7.9081916565333348</v>
      </c>
      <c r="X176" s="21">
        <f t="shared" si="125"/>
        <v>8.1118182759999957</v>
      </c>
      <c r="Y176" s="21">
        <f t="shared" si="126"/>
        <v>4.8579770961999982</v>
      </c>
      <c r="Z176" s="221">
        <f t="shared" si="119"/>
        <v>15</v>
      </c>
      <c r="AA176" s="30">
        <f t="shared" si="107"/>
        <v>6.3140692319120486</v>
      </c>
      <c r="AB176" s="30">
        <f t="shared" si="108"/>
        <v>2.9733205694316993</v>
      </c>
      <c r="AC176" s="30">
        <f t="shared" si="109"/>
        <v>2.4809767459508998</v>
      </c>
      <c r="AD176" s="30">
        <f t="shared" si="110"/>
        <v>1.8363330373596554</v>
      </c>
      <c r="AE176" s="32">
        <f t="shared" si="120"/>
        <v>13.604699584654302</v>
      </c>
      <c r="AF176" s="33">
        <f t="shared" si="129"/>
        <v>12.263919975533264</v>
      </c>
      <c r="AG176" s="40">
        <f t="shared" si="121"/>
        <v>5.7737439414215945</v>
      </c>
      <c r="AH176" s="224">
        <f>AG176*$P$33</f>
        <v>0.48423610950306778</v>
      </c>
      <c r="AI176" s="227">
        <f t="shared" si="122"/>
        <v>38.168883210291014</v>
      </c>
    </row>
    <row r="177" spans="1:35" x14ac:dyDescent="0.35">
      <c r="A177" s="45">
        <v>1518</v>
      </c>
      <c r="B177" s="58">
        <f>SUMIF([2]!Table2_23[ETA],'FIS Optimal Model'!A177,[2]!Table2_23[FIS PAX])</f>
        <v>0</v>
      </c>
      <c r="C177" s="44">
        <f t="shared" si="123"/>
        <v>5</v>
      </c>
      <c r="D177" s="52">
        <f t="shared" si="127"/>
        <v>0</v>
      </c>
      <c r="E177" s="26">
        <f t="shared" si="111"/>
        <v>2.7639999999999998</v>
      </c>
      <c r="F177" s="26">
        <f t="shared" si="112"/>
        <v>1.1865000000000001</v>
      </c>
      <c r="G177" s="26">
        <f t="shared" si="113"/>
        <v>0.81799999999999995</v>
      </c>
      <c r="H177" s="26">
        <f t="shared" si="124"/>
        <v>0.23150000000000001</v>
      </c>
      <c r="I177" s="27">
        <f t="shared" si="130"/>
        <v>9.9503999999999984</v>
      </c>
      <c r="J177" s="27">
        <f t="shared" si="130"/>
        <v>4.2713999999999999</v>
      </c>
      <c r="K177" s="27">
        <f t="shared" si="130"/>
        <v>2.9447999999999999</v>
      </c>
      <c r="L177" s="27">
        <f t="shared" si="128"/>
        <v>0.83340000000000003</v>
      </c>
      <c r="M177" s="28">
        <f t="shared" ref="M177:M189" si="131">$M$175</f>
        <v>3</v>
      </c>
      <c r="N177" s="29">
        <f t="shared" ref="N177:N189" si="132">$N$175</f>
        <v>6</v>
      </c>
      <c r="O177" s="28">
        <f t="shared" ref="O177:O189" si="133">$O$175</f>
        <v>1</v>
      </c>
      <c r="P177" s="28">
        <f t="shared" ref="P177:P189" si="134">$P$175</f>
        <v>1</v>
      </c>
      <c r="Q177" s="28">
        <f t="shared" si="114"/>
        <v>11</v>
      </c>
      <c r="R177" s="22">
        <f t="shared" si="115"/>
        <v>149.85011534690247</v>
      </c>
      <c r="S177" s="22">
        <f t="shared" si="116"/>
        <v>28.961125218072659</v>
      </c>
      <c r="T177" s="22">
        <f t="shared" si="117"/>
        <v>24.140567383620287</v>
      </c>
      <c r="U177" s="22">
        <f t="shared" si="118"/>
        <v>9.4922008879210296</v>
      </c>
      <c r="V177" s="21">
        <f t="shared" si="89"/>
        <v>20.172822528000008</v>
      </c>
      <c r="W177" s="21">
        <f t="shared" si="94"/>
        <v>8.2792809791333344</v>
      </c>
      <c r="X177" s="21">
        <f t="shared" si="125"/>
        <v>8.2707273695999959</v>
      </c>
      <c r="Y177" s="21">
        <f t="shared" si="126"/>
        <v>4.3937404547999979</v>
      </c>
      <c r="Z177" s="221">
        <f t="shared" si="119"/>
        <v>15</v>
      </c>
      <c r="AA177" s="30">
        <f t="shared" si="107"/>
        <v>6.3140692319120486</v>
      </c>
      <c r="AB177" s="30">
        <f t="shared" si="108"/>
        <v>2.9733205694316993</v>
      </c>
      <c r="AC177" s="30">
        <f t="shared" si="109"/>
        <v>2.4809767459508998</v>
      </c>
      <c r="AD177" s="30">
        <f t="shared" si="110"/>
        <v>1.8363330373596554</v>
      </c>
      <c r="AE177" s="32">
        <f t="shared" si="120"/>
        <v>13.604699584654302</v>
      </c>
      <c r="AF177" s="33">
        <f t="shared" si="129"/>
        <v>12.263919975533264</v>
      </c>
      <c r="AG177" s="40">
        <f t="shared" si="121"/>
        <v>6.1142574875030782</v>
      </c>
      <c r="AH177" s="224">
        <f>AG177*$P$33</f>
        <v>0.51279452090137323</v>
      </c>
      <c r="AI177" s="227">
        <f t="shared" si="122"/>
        <v>37.874953159822191</v>
      </c>
    </row>
    <row r="178" spans="1:35" x14ac:dyDescent="0.35">
      <c r="A178" s="45">
        <v>1519</v>
      </c>
      <c r="B178" s="58">
        <f>SUMIF([2]!Table2_23[ETA],'FIS Optimal Model'!A178,[2]!Table2_23[FIS PAX])</f>
        <v>0</v>
      </c>
      <c r="C178" s="44">
        <f t="shared" si="123"/>
        <v>0</v>
      </c>
      <c r="D178" s="52">
        <f t="shared" si="127"/>
        <v>0</v>
      </c>
      <c r="E178" s="26">
        <f t="shared" si="111"/>
        <v>0</v>
      </c>
      <c r="F178" s="26">
        <f t="shared" si="112"/>
        <v>0</v>
      </c>
      <c r="G178" s="26">
        <f t="shared" si="113"/>
        <v>0</v>
      </c>
      <c r="H178" s="26">
        <f t="shared" si="124"/>
        <v>0</v>
      </c>
      <c r="I178" s="27">
        <f t="shared" si="130"/>
        <v>9.9503999999999984</v>
      </c>
      <c r="J178" s="27">
        <f t="shared" si="130"/>
        <v>4.2713999999999999</v>
      </c>
      <c r="K178" s="27">
        <f t="shared" si="130"/>
        <v>2.9447999999999999</v>
      </c>
      <c r="L178" s="27">
        <f t="shared" si="128"/>
        <v>0.83340000000000003</v>
      </c>
      <c r="M178" s="28">
        <f t="shared" si="131"/>
        <v>3</v>
      </c>
      <c r="N178" s="29">
        <f t="shared" si="132"/>
        <v>6</v>
      </c>
      <c r="O178" s="28">
        <f t="shared" si="133"/>
        <v>1</v>
      </c>
      <c r="P178" s="28">
        <f t="shared" si="134"/>
        <v>1</v>
      </c>
      <c r="Q178" s="28">
        <f t="shared" si="114"/>
        <v>11</v>
      </c>
      <c r="R178" s="22">
        <f t="shared" si="115"/>
        <v>153.48644611499043</v>
      </c>
      <c r="S178" s="22">
        <f t="shared" si="116"/>
        <v>30.25920464864096</v>
      </c>
      <c r="T178" s="22">
        <f t="shared" si="117"/>
        <v>24.604390637669386</v>
      </c>
      <c r="U178" s="22">
        <f t="shared" si="118"/>
        <v>8.4892678505613741</v>
      </c>
      <c r="V178" s="21">
        <f t="shared" si="89"/>
        <v>20.662345376000008</v>
      </c>
      <c r="W178" s="21">
        <f t="shared" si="94"/>
        <v>8.650370301733334</v>
      </c>
      <c r="X178" s="21">
        <f t="shared" si="125"/>
        <v>8.429636463199996</v>
      </c>
      <c r="Y178" s="21">
        <f t="shared" si="126"/>
        <v>3.929503813399998</v>
      </c>
      <c r="Z178" s="221">
        <f t="shared" si="119"/>
        <v>16</v>
      </c>
      <c r="AA178" s="30">
        <f t="shared" si="107"/>
        <v>6.3140692319120486</v>
      </c>
      <c r="AB178" s="30">
        <f t="shared" si="108"/>
        <v>2.9733205694316993</v>
      </c>
      <c r="AC178" s="30">
        <f t="shared" si="109"/>
        <v>2.4809767459508998</v>
      </c>
      <c r="AD178" s="30">
        <f t="shared" si="110"/>
        <v>1.8363330373596554</v>
      </c>
      <c r="AE178" s="32">
        <f t="shared" si="120"/>
        <v>13.604699584654302</v>
      </c>
      <c r="AF178" s="33">
        <f t="shared" si="129"/>
        <v>12.263919975533264</v>
      </c>
      <c r="AG178" s="40">
        <f t="shared" si="121"/>
        <v>6.4547710335845618</v>
      </c>
      <c r="AH178" s="224">
        <f>AG178*$P$33</f>
        <v>0.54135293229967862</v>
      </c>
      <c r="AI178" s="227">
        <f t="shared" si="122"/>
        <v>38.287093058884544</v>
      </c>
    </row>
    <row r="179" spans="1:35" x14ac:dyDescent="0.35">
      <c r="A179" s="45">
        <v>1520</v>
      </c>
      <c r="B179" s="58">
        <f>SUMIF([2]!Table2_23[ETA],'FIS Optimal Model'!A179,[2]!Table2_23[FIS PAX])</f>
        <v>0</v>
      </c>
      <c r="C179" s="44">
        <f t="shared" si="123"/>
        <v>0</v>
      </c>
      <c r="D179" s="52">
        <f t="shared" si="127"/>
        <v>0</v>
      </c>
      <c r="E179" s="26">
        <f t="shared" si="111"/>
        <v>0</v>
      </c>
      <c r="F179" s="26">
        <f t="shared" si="112"/>
        <v>0</v>
      </c>
      <c r="G179" s="26">
        <f t="shared" si="113"/>
        <v>0</v>
      </c>
      <c r="H179" s="26">
        <f t="shared" si="124"/>
        <v>0</v>
      </c>
      <c r="I179" s="27">
        <f t="shared" si="130"/>
        <v>9.9503999999999984</v>
      </c>
      <c r="J179" s="27">
        <f t="shared" si="130"/>
        <v>4.2713999999999999</v>
      </c>
      <c r="K179" s="27">
        <f t="shared" si="130"/>
        <v>2.9447999999999999</v>
      </c>
      <c r="L179" s="27">
        <f t="shared" si="128"/>
        <v>0.83340000000000003</v>
      </c>
      <c r="M179" s="28">
        <f t="shared" si="131"/>
        <v>3</v>
      </c>
      <c r="N179" s="29">
        <f t="shared" si="132"/>
        <v>6</v>
      </c>
      <c r="O179" s="28">
        <f t="shared" si="133"/>
        <v>1</v>
      </c>
      <c r="P179" s="28">
        <f t="shared" si="134"/>
        <v>1</v>
      </c>
      <c r="Q179" s="28">
        <f t="shared" si="114"/>
        <v>11</v>
      </c>
      <c r="R179" s="22">
        <f t="shared" si="115"/>
        <v>157.12277688307839</v>
      </c>
      <c r="S179" s="22">
        <f t="shared" si="116"/>
        <v>31.557284079209261</v>
      </c>
      <c r="T179" s="22">
        <f t="shared" si="117"/>
        <v>25.068213891718486</v>
      </c>
      <c r="U179" s="22">
        <f t="shared" si="118"/>
        <v>7.4863348132017187</v>
      </c>
      <c r="V179" s="21">
        <f t="shared" si="89"/>
        <v>21.151868224000012</v>
      </c>
      <c r="W179" s="21">
        <f t="shared" si="94"/>
        <v>9.0214596243333336</v>
      </c>
      <c r="X179" s="21">
        <f t="shared" si="125"/>
        <v>8.5885455567999944</v>
      </c>
      <c r="Y179" s="21">
        <f t="shared" si="126"/>
        <v>3.4652671719999981</v>
      </c>
      <c r="Z179" s="221">
        <f t="shared" si="119"/>
        <v>16</v>
      </c>
      <c r="AA179" s="30">
        <f t="shared" si="107"/>
        <v>6.3140692319120486</v>
      </c>
      <c r="AB179" s="30">
        <f t="shared" si="108"/>
        <v>2.9733205694316993</v>
      </c>
      <c r="AC179" s="30">
        <f t="shared" si="109"/>
        <v>2.4809767459508998</v>
      </c>
      <c r="AD179" s="30">
        <f t="shared" si="110"/>
        <v>1.8363330373596554</v>
      </c>
      <c r="AE179" s="32">
        <f t="shared" si="120"/>
        <v>13.604699584654302</v>
      </c>
      <c r="AF179" s="33">
        <f t="shared" si="129"/>
        <v>13.604699584654302</v>
      </c>
      <c r="AG179" s="40">
        <f t="shared" si="121"/>
        <v>8.136064188787083</v>
      </c>
      <c r="AH179" s="224">
        <f>AG179*$P$33</f>
        <v>0.6823607193905884</v>
      </c>
      <c r="AI179" s="227">
        <f t="shared" si="122"/>
        <v>37.993163008415721</v>
      </c>
    </row>
    <row r="180" spans="1:35" x14ac:dyDescent="0.35">
      <c r="A180" s="45">
        <v>1521</v>
      </c>
      <c r="B180" s="58">
        <f>SUMIF([2]!Table2_23[ETA],'FIS Optimal Model'!A180,[2]!Table2_23[FIS PAX])</f>
        <v>0</v>
      </c>
      <c r="C180" s="44">
        <f t="shared" si="123"/>
        <v>0</v>
      </c>
      <c r="D180" s="52">
        <f t="shared" si="127"/>
        <v>0</v>
      </c>
      <c r="E180" s="26">
        <f t="shared" si="111"/>
        <v>0</v>
      </c>
      <c r="F180" s="26">
        <f t="shared" si="112"/>
        <v>0</v>
      </c>
      <c r="G180" s="26">
        <f t="shared" si="113"/>
        <v>0</v>
      </c>
      <c r="H180" s="26">
        <f t="shared" si="124"/>
        <v>0</v>
      </c>
      <c r="I180" s="27">
        <f t="shared" si="130"/>
        <v>9.9503999999999984</v>
      </c>
      <c r="J180" s="27">
        <f t="shared" si="130"/>
        <v>4.2713999999999999</v>
      </c>
      <c r="K180" s="27">
        <f t="shared" si="130"/>
        <v>2.9447999999999999</v>
      </c>
      <c r="L180" s="27">
        <f t="shared" si="128"/>
        <v>0.83340000000000003</v>
      </c>
      <c r="M180" s="28">
        <f t="shared" si="131"/>
        <v>3</v>
      </c>
      <c r="N180" s="29">
        <f t="shared" si="132"/>
        <v>6</v>
      </c>
      <c r="O180" s="28">
        <f t="shared" si="133"/>
        <v>1</v>
      </c>
      <c r="P180" s="28">
        <f t="shared" si="134"/>
        <v>1</v>
      </c>
      <c r="Q180" s="28">
        <f t="shared" si="114"/>
        <v>11</v>
      </c>
      <c r="R180" s="22">
        <f t="shared" si="115"/>
        <v>160.75910765116635</v>
      </c>
      <c r="S180" s="22">
        <f t="shared" si="116"/>
        <v>32.855363509777561</v>
      </c>
      <c r="T180" s="22">
        <f t="shared" si="117"/>
        <v>25.532037145767585</v>
      </c>
      <c r="U180" s="22">
        <f t="shared" si="118"/>
        <v>6.4834017758420632</v>
      </c>
      <c r="V180" s="21">
        <f t="shared" ref="V180:V243" si="135">IFERROR(R180*($I$30/M180),0)</f>
        <v>21.641391072000012</v>
      </c>
      <c r="W180" s="21">
        <f t="shared" si="94"/>
        <v>9.392548946933335</v>
      </c>
      <c r="X180" s="21">
        <f t="shared" si="125"/>
        <v>8.7474546503999946</v>
      </c>
      <c r="Y180" s="21">
        <f t="shared" si="126"/>
        <v>3.0010305305999982</v>
      </c>
      <c r="Z180" s="221">
        <f t="shared" si="119"/>
        <v>16</v>
      </c>
      <c r="AA180" s="30">
        <f t="shared" si="107"/>
        <v>6.3140692319120486</v>
      </c>
      <c r="AB180" s="30">
        <f t="shared" si="108"/>
        <v>2.9733205694316993</v>
      </c>
      <c r="AC180" s="30">
        <f t="shared" si="109"/>
        <v>2.4809767459508998</v>
      </c>
      <c r="AD180" s="30">
        <f t="shared" si="110"/>
        <v>1.8363330373596554</v>
      </c>
      <c r="AE180" s="32">
        <f t="shared" si="120"/>
        <v>13.604699584654302</v>
      </c>
      <c r="AF180" s="33">
        <f t="shared" si="129"/>
        <v>13.604699584654302</v>
      </c>
      <c r="AG180" s="40">
        <f t="shared" si="121"/>
        <v>9.8173573439896042</v>
      </c>
      <c r="AH180" s="224">
        <f>AG180*$P$33</f>
        <v>0.82336850648149806</v>
      </c>
      <c r="AI180" s="227">
        <f t="shared" si="122"/>
        <v>37.699232957946897</v>
      </c>
    </row>
    <row r="181" spans="1:35" x14ac:dyDescent="0.35">
      <c r="A181" s="45">
        <v>1522</v>
      </c>
      <c r="B181" s="58">
        <f>SUMIF([2]!Table2_23[ETA],'FIS Optimal Model'!A181,[2]!Table2_23[FIS PAX])</f>
        <v>0</v>
      </c>
      <c r="C181" s="44">
        <f t="shared" si="123"/>
        <v>0</v>
      </c>
      <c r="D181" s="52">
        <f t="shared" si="127"/>
        <v>0</v>
      </c>
      <c r="E181" s="26">
        <f t="shared" si="111"/>
        <v>0</v>
      </c>
      <c r="F181" s="26">
        <f t="shared" si="112"/>
        <v>0</v>
      </c>
      <c r="G181" s="26">
        <f t="shared" si="113"/>
        <v>0</v>
      </c>
      <c r="H181" s="26">
        <f t="shared" si="124"/>
        <v>0</v>
      </c>
      <c r="I181" s="27">
        <f t="shared" si="130"/>
        <v>9.9503999999999984</v>
      </c>
      <c r="J181" s="27">
        <f t="shared" si="130"/>
        <v>4.2713999999999999</v>
      </c>
      <c r="K181" s="27">
        <f t="shared" si="130"/>
        <v>2.9447999999999999</v>
      </c>
      <c r="L181" s="27">
        <f t="shared" si="128"/>
        <v>0.83340000000000003</v>
      </c>
      <c r="M181" s="28">
        <f t="shared" si="131"/>
        <v>3</v>
      </c>
      <c r="N181" s="29">
        <f t="shared" si="132"/>
        <v>6</v>
      </c>
      <c r="O181" s="28">
        <f t="shared" si="133"/>
        <v>1</v>
      </c>
      <c r="P181" s="28">
        <f t="shared" si="134"/>
        <v>1</v>
      </c>
      <c r="Q181" s="28">
        <f t="shared" si="114"/>
        <v>11</v>
      </c>
      <c r="R181" s="22">
        <f t="shared" si="115"/>
        <v>164.3954384192543</v>
      </c>
      <c r="S181" s="22">
        <f t="shared" si="116"/>
        <v>34.153442940345862</v>
      </c>
      <c r="T181" s="22">
        <f t="shared" si="117"/>
        <v>25.995860399816685</v>
      </c>
      <c r="U181" s="22">
        <f t="shared" si="118"/>
        <v>5.4804687384824078</v>
      </c>
      <c r="V181" s="21">
        <f t="shared" si="135"/>
        <v>22.130913920000012</v>
      </c>
      <c r="W181" s="21">
        <f t="shared" ref="W181:W244" si="136">IFERROR(S181*($I$31/N181),0)</f>
        <v>9.7636382695333346</v>
      </c>
      <c r="X181" s="21">
        <f t="shared" si="125"/>
        <v>8.9063637439999948</v>
      </c>
      <c r="Y181" s="21">
        <f t="shared" si="126"/>
        <v>2.5367938891999984</v>
      </c>
      <c r="Z181" s="221">
        <f t="shared" si="119"/>
        <v>17</v>
      </c>
      <c r="AA181" s="30">
        <f t="shared" si="107"/>
        <v>6.3140692319120486</v>
      </c>
      <c r="AB181" s="30">
        <f t="shared" si="108"/>
        <v>2.9733205694316993</v>
      </c>
      <c r="AC181" s="30">
        <f t="shared" si="109"/>
        <v>2.4809767459508998</v>
      </c>
      <c r="AD181" s="30">
        <f t="shared" si="110"/>
        <v>1.8363330373596554</v>
      </c>
      <c r="AE181" s="32">
        <f t="shared" si="120"/>
        <v>13.604699584654302</v>
      </c>
      <c r="AF181" s="33">
        <f t="shared" si="129"/>
        <v>13.604699584654302</v>
      </c>
      <c r="AG181" s="40">
        <f t="shared" si="121"/>
        <v>11.498650499192125</v>
      </c>
      <c r="AH181" s="224">
        <f>AG181*$P$33</f>
        <v>0.96437629357240784</v>
      </c>
      <c r="AI181" s="227">
        <f t="shared" si="122"/>
        <v>38.11137285700925</v>
      </c>
    </row>
    <row r="182" spans="1:35" x14ac:dyDescent="0.35">
      <c r="A182" s="45">
        <v>1523</v>
      </c>
      <c r="B182" s="58">
        <f>SUMIF([2]!Table2_23[ETA],'FIS Optimal Model'!A182,[2]!Table2_23[FIS PAX])</f>
        <v>0</v>
      </c>
      <c r="C182" s="44">
        <f t="shared" si="123"/>
        <v>0</v>
      </c>
      <c r="D182" s="52">
        <f t="shared" si="127"/>
        <v>0</v>
      </c>
      <c r="E182" s="26">
        <f t="shared" si="111"/>
        <v>0</v>
      </c>
      <c r="F182" s="26">
        <f t="shared" si="112"/>
        <v>0</v>
      </c>
      <c r="G182" s="26">
        <f t="shared" si="113"/>
        <v>0</v>
      </c>
      <c r="H182" s="26">
        <f t="shared" si="124"/>
        <v>0</v>
      </c>
      <c r="I182" s="27">
        <f t="shared" si="130"/>
        <v>2.7639999999999998</v>
      </c>
      <c r="J182" s="27">
        <f t="shared" si="130"/>
        <v>1.1865000000000001</v>
      </c>
      <c r="K182" s="27">
        <f t="shared" si="130"/>
        <v>0.81799999999999995</v>
      </c>
      <c r="L182" s="27">
        <f t="shared" si="128"/>
        <v>0.23150000000000001</v>
      </c>
      <c r="M182" s="28">
        <f t="shared" si="131"/>
        <v>3</v>
      </c>
      <c r="N182" s="29">
        <f t="shared" si="132"/>
        <v>6</v>
      </c>
      <c r="O182" s="28">
        <f t="shared" si="133"/>
        <v>1</v>
      </c>
      <c r="P182" s="28">
        <f t="shared" si="134"/>
        <v>1</v>
      </c>
      <c r="Q182" s="28">
        <f t="shared" si="114"/>
        <v>11</v>
      </c>
      <c r="R182" s="22">
        <f t="shared" si="115"/>
        <v>160.84536918734227</v>
      </c>
      <c r="S182" s="22">
        <f t="shared" si="116"/>
        <v>32.366622370914165</v>
      </c>
      <c r="T182" s="22">
        <f t="shared" si="117"/>
        <v>24.332883653865785</v>
      </c>
      <c r="U182" s="22">
        <f t="shared" si="118"/>
        <v>3.8756357011227522</v>
      </c>
      <c r="V182" s="21">
        <f t="shared" si="135"/>
        <v>21.653003600000016</v>
      </c>
      <c r="W182" s="21">
        <f t="shared" si="136"/>
        <v>9.252829748033335</v>
      </c>
      <c r="X182" s="21">
        <f t="shared" si="125"/>
        <v>8.3366162699999951</v>
      </c>
      <c r="Y182" s="21">
        <f t="shared" si="126"/>
        <v>1.7939503776999983</v>
      </c>
      <c r="Z182" s="221">
        <f t="shared" si="119"/>
        <v>16</v>
      </c>
      <c r="AA182" s="30">
        <f t="shared" si="107"/>
        <v>6.3140692319120486</v>
      </c>
      <c r="AB182" s="30">
        <f t="shared" si="108"/>
        <v>2.9733205694316993</v>
      </c>
      <c r="AC182" s="30">
        <f t="shared" si="109"/>
        <v>2.4809767459508998</v>
      </c>
      <c r="AD182" s="30">
        <f t="shared" si="110"/>
        <v>1.8363330373596554</v>
      </c>
      <c r="AE182" s="32">
        <f t="shared" si="120"/>
        <v>13.604699584654302</v>
      </c>
      <c r="AF182" s="33">
        <f t="shared" si="129"/>
        <v>13.604699584654302</v>
      </c>
      <c r="AG182" s="40">
        <f t="shared" si="121"/>
        <v>13.179943654394647</v>
      </c>
      <c r="AH182" s="224">
        <f>AG182*$P$33</f>
        <v>1.1053840806633177</v>
      </c>
      <c r="AI182" s="227">
        <f t="shared" si="122"/>
        <v>37.11137285700925</v>
      </c>
    </row>
    <row r="183" spans="1:35" x14ac:dyDescent="0.35">
      <c r="A183" s="45">
        <v>1524</v>
      </c>
      <c r="B183" s="58">
        <f>SUMIF([2]!Table2_23[ETA],'FIS Optimal Model'!A183,[2]!Table2_23[FIS PAX])</f>
        <v>0</v>
      </c>
      <c r="C183" s="44">
        <f t="shared" si="123"/>
        <v>0</v>
      </c>
      <c r="D183" s="52">
        <f t="shared" si="127"/>
        <v>0</v>
      </c>
      <c r="E183" s="26">
        <f t="shared" si="111"/>
        <v>0</v>
      </c>
      <c r="F183" s="26">
        <f t="shared" si="112"/>
        <v>0</v>
      </c>
      <c r="G183" s="26">
        <f t="shared" si="113"/>
        <v>0</v>
      </c>
      <c r="H183" s="26">
        <f t="shared" si="124"/>
        <v>0</v>
      </c>
      <c r="I183" s="27">
        <f t="shared" si="130"/>
        <v>0</v>
      </c>
      <c r="J183" s="27">
        <f t="shared" si="130"/>
        <v>0</v>
      </c>
      <c r="K183" s="27">
        <f t="shared" si="130"/>
        <v>0</v>
      </c>
      <c r="L183" s="27">
        <f t="shared" si="128"/>
        <v>0</v>
      </c>
      <c r="M183" s="28">
        <f t="shared" si="131"/>
        <v>3</v>
      </c>
      <c r="N183" s="29">
        <f t="shared" si="132"/>
        <v>6</v>
      </c>
      <c r="O183" s="28">
        <f t="shared" si="133"/>
        <v>1</v>
      </c>
      <c r="P183" s="28">
        <f t="shared" si="134"/>
        <v>1</v>
      </c>
      <c r="Q183" s="28">
        <f t="shared" si="114"/>
        <v>11</v>
      </c>
      <c r="R183" s="22">
        <f t="shared" si="115"/>
        <v>154.53129995543023</v>
      </c>
      <c r="S183" s="22">
        <f t="shared" si="116"/>
        <v>29.393301801482465</v>
      </c>
      <c r="T183" s="22">
        <f t="shared" si="117"/>
        <v>21.851906907914884</v>
      </c>
      <c r="U183" s="22">
        <f t="shared" si="118"/>
        <v>2.0393026637630971</v>
      </c>
      <c r="V183" s="21">
        <f t="shared" si="135"/>
        <v>20.803003600000014</v>
      </c>
      <c r="W183" s="21">
        <f t="shared" si="136"/>
        <v>8.4028297480333354</v>
      </c>
      <c r="X183" s="21">
        <f t="shared" si="125"/>
        <v>7.4866162699999945</v>
      </c>
      <c r="Y183" s="21">
        <f t="shared" si="126"/>
        <v>0.94395037769999857</v>
      </c>
      <c r="Z183" s="221">
        <f t="shared" si="119"/>
        <v>15</v>
      </c>
      <c r="AA183" s="30">
        <f t="shared" si="107"/>
        <v>6.3140692319120486</v>
      </c>
      <c r="AB183" s="30">
        <f t="shared" si="108"/>
        <v>2.9733205694316993</v>
      </c>
      <c r="AC183" s="30">
        <f t="shared" si="109"/>
        <v>2.4809767459508998</v>
      </c>
      <c r="AD183" s="30">
        <f t="shared" si="110"/>
        <v>1.8363330373596554</v>
      </c>
      <c r="AE183" s="32">
        <f t="shared" si="120"/>
        <v>13.604699584654302</v>
      </c>
      <c r="AF183" s="33">
        <f t="shared" si="129"/>
        <v>13.604699584654302</v>
      </c>
      <c r="AG183" s="40">
        <f t="shared" si="121"/>
        <v>14.861236809597168</v>
      </c>
      <c r="AH183" s="224">
        <f>AG183*$P$33</f>
        <v>1.2463918677542274</v>
      </c>
      <c r="AI183" s="227">
        <f t="shared" si="122"/>
        <v>36.11137285700925</v>
      </c>
    </row>
    <row r="184" spans="1:35" x14ac:dyDescent="0.35">
      <c r="A184" s="45">
        <v>1525</v>
      </c>
      <c r="B184" s="58">
        <f>SUMIF([2]!Table2_23[ETA],'FIS Optimal Model'!A184,[2]!Table2_23[FIS PAX])</f>
        <v>0</v>
      </c>
      <c r="C184" s="44">
        <f t="shared" si="123"/>
        <v>0</v>
      </c>
      <c r="D184" s="52">
        <f t="shared" si="127"/>
        <v>0</v>
      </c>
      <c r="E184" s="26">
        <f t="shared" si="111"/>
        <v>0</v>
      </c>
      <c r="F184" s="26">
        <f t="shared" si="112"/>
        <v>0</v>
      </c>
      <c r="G184" s="26">
        <f t="shared" si="113"/>
        <v>0</v>
      </c>
      <c r="H184" s="26">
        <f t="shared" si="124"/>
        <v>0</v>
      </c>
      <c r="I184" s="27">
        <f t="shared" si="130"/>
        <v>0</v>
      </c>
      <c r="J184" s="27">
        <f t="shared" si="130"/>
        <v>0</v>
      </c>
      <c r="K184" s="27">
        <f t="shared" si="130"/>
        <v>0</v>
      </c>
      <c r="L184" s="27">
        <f t="shared" si="128"/>
        <v>0</v>
      </c>
      <c r="M184" s="28">
        <f t="shared" si="131"/>
        <v>3</v>
      </c>
      <c r="N184" s="29">
        <f t="shared" si="132"/>
        <v>6</v>
      </c>
      <c r="O184" s="28">
        <f t="shared" si="133"/>
        <v>1</v>
      </c>
      <c r="P184" s="28">
        <f t="shared" si="134"/>
        <v>1</v>
      </c>
      <c r="Q184" s="28">
        <f t="shared" si="114"/>
        <v>11</v>
      </c>
      <c r="R184" s="22">
        <f t="shared" si="115"/>
        <v>148.21723072351818</v>
      </c>
      <c r="S184" s="22">
        <f t="shared" si="116"/>
        <v>26.419981232050766</v>
      </c>
      <c r="T184" s="22">
        <f t="shared" si="117"/>
        <v>19.370930161963983</v>
      </c>
      <c r="U184" s="22">
        <f t="shared" si="118"/>
        <v>0.20296962640344174</v>
      </c>
      <c r="V184" s="21">
        <f t="shared" si="135"/>
        <v>19.953003600000017</v>
      </c>
      <c r="W184" s="21">
        <f t="shared" si="136"/>
        <v>7.5528297480333348</v>
      </c>
      <c r="X184" s="21">
        <f t="shared" si="125"/>
        <v>6.636616269999994</v>
      </c>
      <c r="Y184" s="21">
        <f t="shared" si="126"/>
        <v>9.3950377699998699E-2</v>
      </c>
      <c r="Z184" s="221">
        <f t="shared" si="119"/>
        <v>14</v>
      </c>
      <c r="AA184" s="30">
        <f t="shared" si="107"/>
        <v>6.3140692319120486</v>
      </c>
      <c r="AB184" s="30">
        <f t="shared" si="108"/>
        <v>2.9733205694316993</v>
      </c>
      <c r="AC184" s="30">
        <f t="shared" si="109"/>
        <v>2.4809767459508998</v>
      </c>
      <c r="AD184" s="30">
        <f t="shared" si="110"/>
        <v>1.8363330373596554</v>
      </c>
      <c r="AE184" s="32">
        <f t="shared" si="120"/>
        <v>13.604699584654302</v>
      </c>
      <c r="AF184" s="33">
        <f t="shared" si="129"/>
        <v>13.604699584654302</v>
      </c>
      <c r="AG184" s="40">
        <f t="shared" si="121"/>
        <v>16.542529964799691</v>
      </c>
      <c r="AH184" s="224">
        <f>AG184*$P$33</f>
        <v>1.3873996548451373</v>
      </c>
      <c r="AI184" s="227">
        <f t="shared" si="122"/>
        <v>35.11137285700925</v>
      </c>
    </row>
    <row r="185" spans="1:35" x14ac:dyDescent="0.35">
      <c r="A185" s="45">
        <v>1526</v>
      </c>
      <c r="B185" s="58">
        <f>SUMIF([2]!Table2_23[ETA],'FIS Optimal Model'!A185,[2]!Table2_23[FIS PAX])</f>
        <v>0</v>
      </c>
      <c r="C185" s="44">
        <f t="shared" si="123"/>
        <v>0</v>
      </c>
      <c r="D185" s="52">
        <f t="shared" si="127"/>
        <v>0</v>
      </c>
      <c r="E185" s="26">
        <f t="shared" si="111"/>
        <v>0</v>
      </c>
      <c r="F185" s="26">
        <f t="shared" si="112"/>
        <v>0</v>
      </c>
      <c r="G185" s="26">
        <f t="shared" si="113"/>
        <v>0</v>
      </c>
      <c r="H185" s="26">
        <f t="shared" si="124"/>
        <v>0</v>
      </c>
      <c r="I185" s="27">
        <f t="shared" si="130"/>
        <v>0</v>
      </c>
      <c r="J185" s="27">
        <f t="shared" si="130"/>
        <v>0</v>
      </c>
      <c r="K185" s="27">
        <f t="shared" si="130"/>
        <v>0</v>
      </c>
      <c r="L185" s="27">
        <f t="shared" si="128"/>
        <v>0</v>
      </c>
      <c r="M185" s="28">
        <f t="shared" si="131"/>
        <v>3</v>
      </c>
      <c r="N185" s="29">
        <f t="shared" si="132"/>
        <v>6</v>
      </c>
      <c r="O185" s="28">
        <f t="shared" si="133"/>
        <v>1</v>
      </c>
      <c r="P185" s="28">
        <f t="shared" si="134"/>
        <v>1</v>
      </c>
      <c r="Q185" s="28">
        <f t="shared" si="114"/>
        <v>11</v>
      </c>
      <c r="R185" s="22">
        <f t="shared" si="115"/>
        <v>141.90316149160614</v>
      </c>
      <c r="S185" s="22">
        <f t="shared" si="116"/>
        <v>22.951107234380451</v>
      </c>
      <c r="T185" s="22">
        <f t="shared" si="117"/>
        <v>16.889953416013082</v>
      </c>
      <c r="U185" s="22">
        <f t="shared" si="118"/>
        <v>0</v>
      </c>
      <c r="V185" s="21">
        <f t="shared" si="135"/>
        <v>19.103003600000019</v>
      </c>
      <c r="W185" s="21">
        <f t="shared" si="136"/>
        <v>6.5611630813666686</v>
      </c>
      <c r="X185" s="21">
        <f t="shared" si="125"/>
        <v>5.7866162699999935</v>
      </c>
      <c r="Y185" s="21">
        <f t="shared" si="126"/>
        <v>0</v>
      </c>
      <c r="Z185" s="221">
        <f t="shared" si="119"/>
        <v>14</v>
      </c>
      <c r="AA185" s="30">
        <f t="shared" si="107"/>
        <v>6.3140692319120486</v>
      </c>
      <c r="AB185" s="30">
        <f t="shared" si="108"/>
        <v>2.9733205694316993</v>
      </c>
      <c r="AC185" s="30">
        <f t="shared" si="109"/>
        <v>2.4809767459508998</v>
      </c>
      <c r="AD185" s="30">
        <f t="shared" si="110"/>
        <v>0</v>
      </c>
      <c r="AE185" s="32">
        <f t="shared" si="120"/>
        <v>11.768366547294647</v>
      </c>
      <c r="AF185" s="33">
        <f t="shared" si="129"/>
        <v>13.604699584654302</v>
      </c>
      <c r="AG185" s="40">
        <f t="shared" si="121"/>
        <v>18.223823120002212</v>
      </c>
      <c r="AH185" s="224">
        <f>AG185*$P$33</f>
        <v>1.5284074419360472</v>
      </c>
      <c r="AI185" s="227">
        <f t="shared" si="122"/>
        <v>35</v>
      </c>
    </row>
    <row r="186" spans="1:35" x14ac:dyDescent="0.35">
      <c r="A186" s="45">
        <v>1527</v>
      </c>
      <c r="B186" s="58">
        <f>SUMIF([2]!Table2_23[ETA],'FIS Optimal Model'!A186,[2]!Table2_23[FIS PAX])</f>
        <v>0</v>
      </c>
      <c r="C186" s="44">
        <f t="shared" si="123"/>
        <v>0</v>
      </c>
      <c r="D186" s="52">
        <f t="shared" si="127"/>
        <v>0</v>
      </c>
      <c r="E186" s="26">
        <f t="shared" si="111"/>
        <v>0</v>
      </c>
      <c r="F186" s="26">
        <f t="shared" si="112"/>
        <v>0</v>
      </c>
      <c r="G186" s="26">
        <f t="shared" si="113"/>
        <v>0</v>
      </c>
      <c r="H186" s="26">
        <f t="shared" si="124"/>
        <v>0</v>
      </c>
      <c r="I186" s="27">
        <f t="shared" si="130"/>
        <v>0</v>
      </c>
      <c r="J186" s="27">
        <f t="shared" si="130"/>
        <v>0</v>
      </c>
      <c r="K186" s="27">
        <f t="shared" si="130"/>
        <v>0</v>
      </c>
      <c r="L186" s="27">
        <f t="shared" si="128"/>
        <v>0</v>
      </c>
      <c r="M186" s="28">
        <f t="shared" si="131"/>
        <v>3</v>
      </c>
      <c r="N186" s="29">
        <f t="shared" si="132"/>
        <v>6</v>
      </c>
      <c r="O186" s="28">
        <f t="shared" si="133"/>
        <v>1</v>
      </c>
      <c r="P186" s="28">
        <f t="shared" si="134"/>
        <v>1</v>
      </c>
      <c r="Q186" s="28">
        <f t="shared" si="114"/>
        <v>11</v>
      </c>
      <c r="R186" s="22">
        <f t="shared" si="115"/>
        <v>135.5890922596941</v>
      </c>
      <c r="S186" s="22">
        <f t="shared" si="116"/>
        <v>19.482233236710137</v>
      </c>
      <c r="T186" s="22">
        <f t="shared" si="117"/>
        <v>14.408976670062183</v>
      </c>
      <c r="U186" s="22">
        <f t="shared" si="118"/>
        <v>0</v>
      </c>
      <c r="V186" s="21">
        <f t="shared" si="135"/>
        <v>18.253003600000017</v>
      </c>
      <c r="W186" s="21">
        <f t="shared" si="136"/>
        <v>5.5694964147000023</v>
      </c>
      <c r="X186" s="21">
        <f t="shared" si="125"/>
        <v>4.9366162699999938</v>
      </c>
      <c r="Y186" s="21">
        <f t="shared" si="126"/>
        <v>0</v>
      </c>
      <c r="Z186" s="221">
        <f t="shared" si="119"/>
        <v>13</v>
      </c>
      <c r="AA186" s="30">
        <f t="shared" si="107"/>
        <v>6.3140692319120486</v>
      </c>
      <c r="AB186" s="30">
        <f t="shared" si="108"/>
        <v>2.9733205694316993</v>
      </c>
      <c r="AC186" s="30">
        <f t="shared" si="109"/>
        <v>2.4809767459508998</v>
      </c>
      <c r="AD186" s="30">
        <f t="shared" si="110"/>
        <v>0</v>
      </c>
      <c r="AE186" s="32">
        <f t="shared" si="120"/>
        <v>11.768366547294647</v>
      </c>
      <c r="AF186" s="33">
        <f t="shared" si="129"/>
        <v>13.604699584654302</v>
      </c>
      <c r="AG186" s="40">
        <f t="shared" si="121"/>
        <v>19.905116275204733</v>
      </c>
      <c r="AH186" s="224">
        <f>AG186*$P$33</f>
        <v>1.6694152290269568</v>
      </c>
      <c r="AI186" s="227">
        <f t="shared" si="122"/>
        <v>34</v>
      </c>
    </row>
    <row r="187" spans="1:35" x14ac:dyDescent="0.35">
      <c r="A187" s="45">
        <v>1528</v>
      </c>
      <c r="B187" s="58">
        <f>SUMIF([2]!Table2_23[ETA],'FIS Optimal Model'!A187,[2]!Table2_23[FIS PAX])</f>
        <v>0</v>
      </c>
      <c r="C187" s="44">
        <f t="shared" si="123"/>
        <v>0</v>
      </c>
      <c r="D187" s="52">
        <f t="shared" si="127"/>
        <v>0</v>
      </c>
      <c r="E187" s="26">
        <f t="shared" si="111"/>
        <v>0</v>
      </c>
      <c r="F187" s="26">
        <f t="shared" si="112"/>
        <v>0</v>
      </c>
      <c r="G187" s="26">
        <f t="shared" si="113"/>
        <v>0</v>
      </c>
      <c r="H187" s="26">
        <f t="shared" si="124"/>
        <v>0</v>
      </c>
      <c r="I187" s="27">
        <f t="shared" si="130"/>
        <v>0</v>
      </c>
      <c r="J187" s="27">
        <f t="shared" si="130"/>
        <v>0</v>
      </c>
      <c r="K187" s="27">
        <f t="shared" si="130"/>
        <v>0</v>
      </c>
      <c r="L187" s="27">
        <f t="shared" si="128"/>
        <v>0</v>
      </c>
      <c r="M187" s="28">
        <f t="shared" si="131"/>
        <v>3</v>
      </c>
      <c r="N187" s="29">
        <f t="shared" si="132"/>
        <v>6</v>
      </c>
      <c r="O187" s="28">
        <f t="shared" si="133"/>
        <v>1</v>
      </c>
      <c r="P187" s="28">
        <f t="shared" si="134"/>
        <v>1</v>
      </c>
      <c r="Q187" s="28">
        <f t="shared" si="114"/>
        <v>11</v>
      </c>
      <c r="R187" s="22">
        <f t="shared" si="115"/>
        <v>129.27502302778205</v>
      </c>
      <c r="S187" s="22">
        <f t="shared" si="116"/>
        <v>16.013359239039822</v>
      </c>
      <c r="T187" s="22">
        <f t="shared" si="117"/>
        <v>11.927999924111283</v>
      </c>
      <c r="U187" s="22">
        <f t="shared" si="118"/>
        <v>0</v>
      </c>
      <c r="V187" s="21">
        <f t="shared" si="135"/>
        <v>17.403003600000019</v>
      </c>
      <c r="W187" s="21">
        <f t="shared" si="136"/>
        <v>4.5778297480333352</v>
      </c>
      <c r="X187" s="21">
        <f t="shared" si="125"/>
        <v>4.0866162699999942</v>
      </c>
      <c r="Y187" s="21">
        <f t="shared" si="126"/>
        <v>0</v>
      </c>
      <c r="Z187" s="221">
        <f t="shared" si="119"/>
        <v>12</v>
      </c>
      <c r="AA187" s="30">
        <f t="shared" si="107"/>
        <v>6.3140692319120486</v>
      </c>
      <c r="AB187" s="30">
        <f t="shared" si="108"/>
        <v>2.9733205694316993</v>
      </c>
      <c r="AC187" s="30">
        <f t="shared" si="109"/>
        <v>2.4809767459508998</v>
      </c>
      <c r="AD187" s="30">
        <f t="shared" si="110"/>
        <v>0</v>
      </c>
      <c r="AE187" s="32">
        <f t="shared" si="120"/>
        <v>11.768366547294647</v>
      </c>
      <c r="AF187" s="33">
        <f t="shared" si="129"/>
        <v>13.604699584654302</v>
      </c>
      <c r="AG187" s="40">
        <f t="shared" si="121"/>
        <v>21.586409430407254</v>
      </c>
      <c r="AH187" s="224">
        <f>AG187*$P$33</f>
        <v>1.8104230161178667</v>
      </c>
      <c r="AI187" s="227">
        <f t="shared" si="122"/>
        <v>33</v>
      </c>
    </row>
    <row r="188" spans="1:35" x14ac:dyDescent="0.35">
      <c r="A188" s="45">
        <v>1529</v>
      </c>
      <c r="B188" s="58">
        <f>SUMIF([2]!Table2_23[ETA],'FIS Optimal Model'!A188,[2]!Table2_23[FIS PAX])</f>
        <v>0</v>
      </c>
      <c r="C188" s="44">
        <f t="shared" si="123"/>
        <v>0</v>
      </c>
      <c r="D188" s="52">
        <f t="shared" si="127"/>
        <v>0</v>
      </c>
      <c r="E188" s="26">
        <f t="shared" si="111"/>
        <v>0</v>
      </c>
      <c r="F188" s="26">
        <f t="shared" si="112"/>
        <v>0</v>
      </c>
      <c r="G188" s="26">
        <f t="shared" si="113"/>
        <v>0</v>
      </c>
      <c r="H188" s="26">
        <f t="shared" si="124"/>
        <v>0</v>
      </c>
      <c r="I188" s="27">
        <f t="shared" si="130"/>
        <v>0</v>
      </c>
      <c r="J188" s="27">
        <f t="shared" si="130"/>
        <v>0</v>
      </c>
      <c r="K188" s="27">
        <f t="shared" si="130"/>
        <v>0</v>
      </c>
      <c r="L188" s="27">
        <f t="shared" si="128"/>
        <v>0</v>
      </c>
      <c r="M188" s="28">
        <f t="shared" si="131"/>
        <v>3</v>
      </c>
      <c r="N188" s="29">
        <f t="shared" si="132"/>
        <v>6</v>
      </c>
      <c r="O188" s="28">
        <f t="shared" si="133"/>
        <v>1</v>
      </c>
      <c r="P188" s="28">
        <f t="shared" si="134"/>
        <v>1</v>
      </c>
      <c r="Q188" s="28">
        <f t="shared" si="114"/>
        <v>11</v>
      </c>
      <c r="R188" s="22">
        <f t="shared" si="115"/>
        <v>122.96095379587001</v>
      </c>
      <c r="S188" s="22">
        <f t="shared" si="116"/>
        <v>12.544485241369506</v>
      </c>
      <c r="T188" s="22">
        <f t="shared" si="117"/>
        <v>9.4470231781603839</v>
      </c>
      <c r="U188" s="22">
        <f t="shared" si="118"/>
        <v>0</v>
      </c>
      <c r="V188" s="21">
        <f t="shared" si="135"/>
        <v>16.553003600000018</v>
      </c>
      <c r="W188" s="21">
        <f t="shared" si="136"/>
        <v>3.5861630813666685</v>
      </c>
      <c r="X188" s="21">
        <f t="shared" si="125"/>
        <v>3.2366162699999945</v>
      </c>
      <c r="Y188" s="21">
        <f t="shared" si="126"/>
        <v>0</v>
      </c>
      <c r="Z188" s="221">
        <f t="shared" si="119"/>
        <v>11</v>
      </c>
      <c r="AA188" s="30">
        <f t="shared" si="107"/>
        <v>6.3140692319120486</v>
      </c>
      <c r="AB188" s="30">
        <f t="shared" si="108"/>
        <v>2.9733205694316993</v>
      </c>
      <c r="AC188" s="30">
        <f t="shared" si="109"/>
        <v>2.4809767459508998</v>
      </c>
      <c r="AD188" s="30">
        <f t="shared" si="110"/>
        <v>0</v>
      </c>
      <c r="AE188" s="32">
        <f t="shared" si="120"/>
        <v>11.768366547294647</v>
      </c>
      <c r="AF188" s="33">
        <f t="shared" si="129"/>
        <v>13.604699584654302</v>
      </c>
      <c r="AG188" s="40">
        <f t="shared" si="121"/>
        <v>23.267702585609776</v>
      </c>
      <c r="AH188" s="224">
        <f>AG188*$P$33</f>
        <v>1.9514308032087764</v>
      </c>
      <c r="AI188" s="227">
        <f t="shared" si="122"/>
        <v>32</v>
      </c>
    </row>
    <row r="189" spans="1:35" x14ac:dyDescent="0.35">
      <c r="A189" s="45">
        <v>1530</v>
      </c>
      <c r="B189" s="58">
        <f>SUMIF([2]!Table2_23[ETA],'FIS Optimal Model'!A189,[2]!Table2_23[FIS PAX])</f>
        <v>0</v>
      </c>
      <c r="C189" s="44">
        <f t="shared" si="123"/>
        <v>0</v>
      </c>
      <c r="D189" s="52">
        <f t="shared" si="127"/>
        <v>0</v>
      </c>
      <c r="E189" s="26">
        <f t="shared" si="111"/>
        <v>0</v>
      </c>
      <c r="F189" s="26">
        <f t="shared" si="112"/>
        <v>0</v>
      </c>
      <c r="G189" s="26">
        <f t="shared" si="113"/>
        <v>0</v>
      </c>
      <c r="H189" s="26">
        <f t="shared" si="124"/>
        <v>0</v>
      </c>
      <c r="I189" s="27">
        <f t="shared" si="130"/>
        <v>0</v>
      </c>
      <c r="J189" s="27">
        <f t="shared" si="130"/>
        <v>0</v>
      </c>
      <c r="K189" s="27">
        <f t="shared" si="130"/>
        <v>0</v>
      </c>
      <c r="L189" s="27">
        <f t="shared" si="128"/>
        <v>0</v>
      </c>
      <c r="M189" s="28">
        <f t="shared" si="131"/>
        <v>3</v>
      </c>
      <c r="N189" s="29">
        <f t="shared" si="132"/>
        <v>6</v>
      </c>
      <c r="O189" s="28">
        <f t="shared" si="133"/>
        <v>1</v>
      </c>
      <c r="P189" s="28">
        <f t="shared" si="134"/>
        <v>1</v>
      </c>
      <c r="Q189" s="28">
        <f t="shared" si="114"/>
        <v>11</v>
      </c>
      <c r="R189" s="22">
        <f t="shared" si="115"/>
        <v>116.64688456395797</v>
      </c>
      <c r="S189" s="22">
        <f t="shared" si="116"/>
        <v>9.0756112436991891</v>
      </c>
      <c r="T189" s="22">
        <f t="shared" si="117"/>
        <v>6.9660464322094846</v>
      </c>
      <c r="U189" s="22">
        <f t="shared" si="118"/>
        <v>0</v>
      </c>
      <c r="V189" s="21">
        <f t="shared" si="135"/>
        <v>15.70300360000002</v>
      </c>
      <c r="W189" s="21">
        <f t="shared" si="136"/>
        <v>2.5944964147000018</v>
      </c>
      <c r="X189" s="21">
        <f t="shared" si="125"/>
        <v>2.3866162699999949</v>
      </c>
      <c r="Y189" s="21">
        <f t="shared" si="126"/>
        <v>0</v>
      </c>
      <c r="Z189" s="221">
        <f t="shared" si="119"/>
        <v>10</v>
      </c>
      <c r="AA189" s="30">
        <f t="shared" si="107"/>
        <v>6.3140692319120486</v>
      </c>
      <c r="AB189" s="30">
        <f t="shared" si="108"/>
        <v>2.9733205694316993</v>
      </c>
      <c r="AC189" s="30">
        <f t="shared" si="109"/>
        <v>2.4809767459508998</v>
      </c>
      <c r="AD189" s="30">
        <f t="shared" si="110"/>
        <v>0</v>
      </c>
      <c r="AE189" s="32">
        <f t="shared" si="120"/>
        <v>11.768366547294647</v>
      </c>
      <c r="AF189" s="33">
        <f t="shared" si="129"/>
        <v>11.768366547294647</v>
      </c>
      <c r="AG189" s="40">
        <f t="shared" si="121"/>
        <v>23.112662703452642</v>
      </c>
      <c r="AH189" s="224">
        <f>AG189*$P$33</f>
        <v>1.9384278176044132</v>
      </c>
      <c r="AI189" s="227">
        <f t="shared" si="122"/>
        <v>31</v>
      </c>
    </row>
    <row r="190" spans="1:35" x14ac:dyDescent="0.35">
      <c r="A190" s="45">
        <v>1531</v>
      </c>
      <c r="B190" s="58">
        <f>SUMIF([2]!Table2_23[ETA],'FIS Optimal Model'!A190,[2]!Table2_23[FIS PAX])</f>
        <v>0</v>
      </c>
      <c r="C190" s="44">
        <f t="shared" si="123"/>
        <v>0</v>
      </c>
      <c r="D190" s="52">
        <f t="shared" si="127"/>
        <v>0</v>
      </c>
      <c r="E190" s="26">
        <f t="shared" si="111"/>
        <v>0</v>
      </c>
      <c r="F190" s="26">
        <f t="shared" si="112"/>
        <v>0</v>
      </c>
      <c r="G190" s="26">
        <f t="shared" si="113"/>
        <v>0</v>
      </c>
      <c r="H190" s="26">
        <f t="shared" si="124"/>
        <v>0</v>
      </c>
      <c r="I190" s="27">
        <f t="shared" si="130"/>
        <v>0</v>
      </c>
      <c r="J190" s="27">
        <f t="shared" si="130"/>
        <v>0</v>
      </c>
      <c r="K190" s="27">
        <f t="shared" si="130"/>
        <v>0</v>
      </c>
      <c r="L190" s="27">
        <f t="shared" si="128"/>
        <v>0</v>
      </c>
      <c r="M190" s="28">
        <f>IF(R189=0,0,$Q$16)</f>
        <v>4</v>
      </c>
      <c r="N190" s="29">
        <f>$U$16-M190-O190-P190</f>
        <v>6</v>
      </c>
      <c r="O190" s="28">
        <f>IF(T189=0,0,$S$16)</f>
        <v>1</v>
      </c>
      <c r="P190" s="28">
        <f>IF(U189=0,0,$T$16)</f>
        <v>0</v>
      </c>
      <c r="Q190" s="28">
        <f t="shared" si="114"/>
        <v>11</v>
      </c>
      <c r="R190" s="22">
        <f t="shared" si="115"/>
        <v>108.22812558807524</v>
      </c>
      <c r="S190" s="22">
        <f t="shared" si="116"/>
        <v>6.1022906742674898</v>
      </c>
      <c r="T190" s="22">
        <f t="shared" si="117"/>
        <v>4.4850696862585853</v>
      </c>
      <c r="U190" s="22">
        <f t="shared" si="118"/>
        <v>0</v>
      </c>
      <c r="V190" s="21">
        <f t="shared" si="135"/>
        <v>10.927252700000016</v>
      </c>
      <c r="W190" s="21">
        <f t="shared" si="136"/>
        <v>1.7444964147000017</v>
      </c>
      <c r="X190" s="21">
        <f t="shared" si="125"/>
        <v>1.536616269999995</v>
      </c>
      <c r="Y190" s="21">
        <f t="shared" si="126"/>
        <v>0</v>
      </c>
      <c r="Z190" s="221">
        <f t="shared" si="119"/>
        <v>7</v>
      </c>
      <c r="AA190" s="30">
        <f t="shared" si="107"/>
        <v>8.4187589758827315</v>
      </c>
      <c r="AB190" s="30">
        <f t="shared" si="108"/>
        <v>2.9733205694316993</v>
      </c>
      <c r="AC190" s="30">
        <f t="shared" si="109"/>
        <v>2.4809767459508998</v>
      </c>
      <c r="AD190" s="30">
        <f t="shared" si="110"/>
        <v>0</v>
      </c>
      <c r="AE190" s="32">
        <f t="shared" si="120"/>
        <v>13.87305629126533</v>
      </c>
      <c r="AF190" s="33">
        <f t="shared" si="129"/>
        <v>11.768366547294647</v>
      </c>
      <c r="AG190" s="40">
        <f t="shared" si="121"/>
        <v>22.957622821295509</v>
      </c>
      <c r="AH190" s="224">
        <f>AG190*$P$33</f>
        <v>1.92542483200005</v>
      </c>
      <c r="AI190" s="227">
        <f t="shared" si="122"/>
        <v>28.405302907478074</v>
      </c>
    </row>
    <row r="191" spans="1:35" x14ac:dyDescent="0.35">
      <c r="A191" s="45">
        <v>1532</v>
      </c>
      <c r="B191" s="58">
        <f>SUMIF([2]!Table2_23[ETA],'FIS Optimal Model'!A191,[2]!Table2_23[FIS PAX])</f>
        <v>0</v>
      </c>
      <c r="C191" s="44">
        <f t="shared" si="123"/>
        <v>0</v>
      </c>
      <c r="D191" s="52">
        <f t="shared" si="127"/>
        <v>0</v>
      </c>
      <c r="E191" s="26">
        <f t="shared" si="111"/>
        <v>0</v>
      </c>
      <c r="F191" s="26">
        <f t="shared" si="112"/>
        <v>0</v>
      </c>
      <c r="G191" s="26">
        <f t="shared" si="113"/>
        <v>0</v>
      </c>
      <c r="H191" s="26">
        <f t="shared" si="124"/>
        <v>0</v>
      </c>
      <c r="I191" s="27">
        <f t="shared" si="130"/>
        <v>0</v>
      </c>
      <c r="J191" s="27">
        <f t="shared" si="130"/>
        <v>0</v>
      </c>
      <c r="K191" s="27">
        <f t="shared" si="130"/>
        <v>0</v>
      </c>
      <c r="L191" s="27">
        <f t="shared" si="128"/>
        <v>0</v>
      </c>
      <c r="M191" s="28">
        <f>$M$190</f>
        <v>4</v>
      </c>
      <c r="N191" s="29">
        <f>$N$190</f>
        <v>6</v>
      </c>
      <c r="O191" s="28">
        <f>$O$190</f>
        <v>1</v>
      </c>
      <c r="P191" s="28">
        <f>$P$190</f>
        <v>0</v>
      </c>
      <c r="Q191" s="28">
        <f t="shared" si="114"/>
        <v>11</v>
      </c>
      <c r="R191" s="22">
        <f t="shared" si="115"/>
        <v>99.80936661219252</v>
      </c>
      <c r="S191" s="22">
        <f t="shared" si="116"/>
        <v>3.1289701048357905</v>
      </c>
      <c r="T191" s="22">
        <f t="shared" si="117"/>
        <v>2.0040929403076855</v>
      </c>
      <c r="U191" s="22">
        <f t="shared" si="118"/>
        <v>0</v>
      </c>
      <c r="V191" s="21">
        <f t="shared" si="135"/>
        <v>10.077252700000018</v>
      </c>
      <c r="W191" s="21">
        <f t="shared" si="136"/>
        <v>0.89449641470000163</v>
      </c>
      <c r="X191" s="21">
        <f t="shared" si="125"/>
        <v>0.68661626999999514</v>
      </c>
      <c r="Y191" s="21">
        <f t="shared" si="126"/>
        <v>0</v>
      </c>
      <c r="Z191" s="221">
        <f t="shared" si="119"/>
        <v>6</v>
      </c>
      <c r="AA191" s="30">
        <f t="shared" si="107"/>
        <v>8.4187589758827315</v>
      </c>
      <c r="AB191" s="30">
        <f t="shared" si="108"/>
        <v>2.9733205694316993</v>
      </c>
      <c r="AC191" s="30">
        <f t="shared" si="109"/>
        <v>2.4809767459508998</v>
      </c>
      <c r="AD191" s="30">
        <f t="shared" si="110"/>
        <v>0</v>
      </c>
      <c r="AE191" s="32">
        <f t="shared" si="120"/>
        <v>13.87305629126533</v>
      </c>
      <c r="AF191" s="33">
        <f t="shared" si="129"/>
        <v>11.768366547294647</v>
      </c>
      <c r="AG191" s="40">
        <f t="shared" si="121"/>
        <v>22.802582939138375</v>
      </c>
      <c r="AH191" s="224">
        <f>AG191*$P$33</f>
        <v>1.9124218463956866</v>
      </c>
      <c r="AI191" s="227">
        <f t="shared" si="122"/>
        <v>27.405302907478074</v>
      </c>
    </row>
    <row r="192" spans="1:35" x14ac:dyDescent="0.35">
      <c r="A192" s="45">
        <v>1533</v>
      </c>
      <c r="B192" s="58">
        <f>SUMIF([2]!Table2_23[ETA],'FIS Optimal Model'!A192,[2]!Table2_23[FIS PAX])</f>
        <v>0</v>
      </c>
      <c r="C192" s="44">
        <f t="shared" si="123"/>
        <v>0</v>
      </c>
      <c r="D192" s="52">
        <f t="shared" si="127"/>
        <v>0</v>
      </c>
      <c r="E192" s="26">
        <f t="shared" si="111"/>
        <v>0</v>
      </c>
      <c r="F192" s="26">
        <f t="shared" si="112"/>
        <v>0</v>
      </c>
      <c r="G192" s="26">
        <f t="shared" si="113"/>
        <v>0</v>
      </c>
      <c r="H192" s="26">
        <f t="shared" si="124"/>
        <v>0</v>
      </c>
      <c r="I192" s="27">
        <f t="shared" si="130"/>
        <v>0</v>
      </c>
      <c r="J192" s="27">
        <f t="shared" si="130"/>
        <v>0</v>
      </c>
      <c r="K192" s="27">
        <f t="shared" si="130"/>
        <v>0</v>
      </c>
      <c r="L192" s="27">
        <f t="shared" si="128"/>
        <v>0</v>
      </c>
      <c r="M192" s="28">
        <f t="shared" ref="M192:M204" si="137">$M$190</f>
        <v>4</v>
      </c>
      <c r="N192" s="29">
        <f t="shared" ref="N192:N204" si="138">$N$190</f>
        <v>6</v>
      </c>
      <c r="O192" s="28">
        <f t="shared" ref="O192:O204" si="139">$O$190</f>
        <v>1</v>
      </c>
      <c r="P192" s="28">
        <f t="shared" ref="P192:P204" si="140">$P$190</f>
        <v>0</v>
      </c>
      <c r="Q192" s="28">
        <f t="shared" si="114"/>
        <v>11</v>
      </c>
      <c r="R192" s="22">
        <f t="shared" si="115"/>
        <v>91.390607636309795</v>
      </c>
      <c r="S192" s="22">
        <f t="shared" si="116"/>
        <v>0.15564953540409121</v>
      </c>
      <c r="T192" s="22">
        <f t="shared" si="117"/>
        <v>0</v>
      </c>
      <c r="U192" s="22">
        <f t="shared" si="118"/>
        <v>0</v>
      </c>
      <c r="V192" s="21">
        <f t="shared" si="135"/>
        <v>9.2272527000000188</v>
      </c>
      <c r="W192" s="21">
        <f t="shared" si="136"/>
        <v>4.4496414700001513E-2</v>
      </c>
      <c r="X192" s="21">
        <f t="shared" si="125"/>
        <v>0</v>
      </c>
      <c r="Y192" s="21">
        <f t="shared" si="126"/>
        <v>0</v>
      </c>
      <c r="Z192" s="221">
        <f t="shared" si="119"/>
        <v>6</v>
      </c>
      <c r="AA192" s="30">
        <f t="shared" si="107"/>
        <v>8.4187589758827315</v>
      </c>
      <c r="AB192" s="30">
        <f t="shared" si="108"/>
        <v>2.9733205694316993</v>
      </c>
      <c r="AC192" s="30">
        <f t="shared" si="109"/>
        <v>0</v>
      </c>
      <c r="AD192" s="30">
        <f t="shared" si="110"/>
        <v>0</v>
      </c>
      <c r="AE192" s="32">
        <f t="shared" si="120"/>
        <v>11.392079545314431</v>
      </c>
      <c r="AF192" s="33">
        <f t="shared" si="129"/>
        <v>11.768366547294647</v>
      </c>
      <c r="AG192" s="40">
        <f t="shared" si="121"/>
        <v>22.647543056981242</v>
      </c>
      <c r="AH192" s="224">
        <f>AG192*$P$33</f>
        <v>1.8994188607913234</v>
      </c>
      <c r="AI192" s="227">
        <f t="shared" si="122"/>
        <v>27.11137285700925</v>
      </c>
    </row>
    <row r="193" spans="1:35" x14ac:dyDescent="0.35">
      <c r="A193" s="45">
        <v>1534</v>
      </c>
      <c r="B193" s="58">
        <f>SUMIF([2]!Table2_23[ETA],'FIS Optimal Model'!A193,[2]!Table2_23[FIS PAX])</f>
        <v>0</v>
      </c>
      <c r="C193" s="44">
        <f t="shared" si="123"/>
        <v>0</v>
      </c>
      <c r="D193" s="52">
        <f t="shared" si="127"/>
        <v>0</v>
      </c>
      <c r="E193" s="26">
        <f t="shared" si="111"/>
        <v>0</v>
      </c>
      <c r="F193" s="26">
        <f t="shared" si="112"/>
        <v>0</v>
      </c>
      <c r="G193" s="26">
        <f t="shared" si="113"/>
        <v>0</v>
      </c>
      <c r="H193" s="26">
        <f t="shared" si="124"/>
        <v>0</v>
      </c>
      <c r="I193" s="27">
        <f t="shared" si="130"/>
        <v>0</v>
      </c>
      <c r="J193" s="27">
        <f t="shared" si="130"/>
        <v>0</v>
      </c>
      <c r="K193" s="27">
        <f t="shared" si="130"/>
        <v>0</v>
      </c>
      <c r="L193" s="27">
        <f t="shared" si="128"/>
        <v>0</v>
      </c>
      <c r="M193" s="28">
        <f t="shared" si="137"/>
        <v>4</v>
      </c>
      <c r="N193" s="29">
        <f t="shared" si="138"/>
        <v>6</v>
      </c>
      <c r="O193" s="28">
        <f t="shared" si="139"/>
        <v>1</v>
      </c>
      <c r="P193" s="28">
        <f t="shared" si="140"/>
        <v>0</v>
      </c>
      <c r="Q193" s="28">
        <f t="shared" si="114"/>
        <v>11</v>
      </c>
      <c r="R193" s="22">
        <f t="shared" si="115"/>
        <v>82.971848660427071</v>
      </c>
      <c r="S193" s="22">
        <f t="shared" si="116"/>
        <v>0</v>
      </c>
      <c r="T193" s="22">
        <f t="shared" si="117"/>
        <v>0</v>
      </c>
      <c r="U193" s="22">
        <f t="shared" si="118"/>
        <v>0</v>
      </c>
      <c r="V193" s="21">
        <f t="shared" si="135"/>
        <v>8.3772527000000192</v>
      </c>
      <c r="W193" s="21">
        <f t="shared" si="136"/>
        <v>0</v>
      </c>
      <c r="X193" s="21">
        <f t="shared" si="125"/>
        <v>0</v>
      </c>
      <c r="Y193" s="21">
        <f t="shared" si="126"/>
        <v>0</v>
      </c>
      <c r="Z193" s="221">
        <f t="shared" si="119"/>
        <v>5</v>
      </c>
      <c r="AA193" s="30">
        <f t="shared" si="107"/>
        <v>8.4187589758827315</v>
      </c>
      <c r="AB193" s="30">
        <f t="shared" si="108"/>
        <v>0</v>
      </c>
      <c r="AC193" s="30">
        <f t="shared" si="109"/>
        <v>0</v>
      </c>
      <c r="AD193" s="30">
        <f t="shared" si="110"/>
        <v>0</v>
      </c>
      <c r="AE193" s="32">
        <f t="shared" si="120"/>
        <v>8.4187589758827315</v>
      </c>
      <c r="AF193" s="33">
        <f t="shared" si="129"/>
        <v>11.768366547294647</v>
      </c>
      <c r="AG193" s="40">
        <f t="shared" si="121"/>
        <v>22.492503174824108</v>
      </c>
      <c r="AH193" s="224">
        <f>AG193*$P$33</f>
        <v>1.8864158751869602</v>
      </c>
      <c r="AI193" s="227">
        <f t="shared" si="122"/>
        <v>26.11137285700925</v>
      </c>
    </row>
    <row r="194" spans="1:35" x14ac:dyDescent="0.35">
      <c r="A194" s="45">
        <v>1535</v>
      </c>
      <c r="B194" s="58">
        <f>SUMIF([2]!Table2_23[ETA],'FIS Optimal Model'!A194,[2]!Table2_23[FIS PAX])</f>
        <v>0</v>
      </c>
      <c r="C194" s="44">
        <f t="shared" si="123"/>
        <v>0</v>
      </c>
      <c r="D194" s="52">
        <f t="shared" si="127"/>
        <v>0</v>
      </c>
      <c r="E194" s="26">
        <f t="shared" si="111"/>
        <v>0</v>
      </c>
      <c r="F194" s="26">
        <f t="shared" si="112"/>
        <v>0</v>
      </c>
      <c r="G194" s="26">
        <f t="shared" si="113"/>
        <v>0</v>
      </c>
      <c r="H194" s="26">
        <f t="shared" si="124"/>
        <v>0</v>
      </c>
      <c r="I194" s="27">
        <f t="shared" si="130"/>
        <v>0</v>
      </c>
      <c r="J194" s="27">
        <f t="shared" si="130"/>
        <v>0</v>
      </c>
      <c r="K194" s="27">
        <f t="shared" si="130"/>
        <v>0</v>
      </c>
      <c r="L194" s="27">
        <f t="shared" si="128"/>
        <v>0</v>
      </c>
      <c r="M194" s="28">
        <f t="shared" si="137"/>
        <v>4</v>
      </c>
      <c r="N194" s="29">
        <f t="shared" si="138"/>
        <v>6</v>
      </c>
      <c r="O194" s="28">
        <f t="shared" si="139"/>
        <v>1</v>
      </c>
      <c r="P194" s="28">
        <f t="shared" si="140"/>
        <v>0</v>
      </c>
      <c r="Q194" s="28">
        <f t="shared" si="114"/>
        <v>11</v>
      </c>
      <c r="R194" s="22">
        <f t="shared" si="115"/>
        <v>74.553089684544346</v>
      </c>
      <c r="S194" s="22">
        <f t="shared" si="116"/>
        <v>0</v>
      </c>
      <c r="T194" s="22">
        <f t="shared" si="117"/>
        <v>0</v>
      </c>
      <c r="U194" s="22">
        <f t="shared" si="118"/>
        <v>0</v>
      </c>
      <c r="V194" s="21">
        <f t="shared" si="135"/>
        <v>7.5272527000000196</v>
      </c>
      <c r="W194" s="21">
        <f t="shared" si="136"/>
        <v>0</v>
      </c>
      <c r="X194" s="21">
        <f t="shared" si="125"/>
        <v>0</v>
      </c>
      <c r="Y194" s="21">
        <f t="shared" si="126"/>
        <v>0</v>
      </c>
      <c r="Z194" s="221">
        <f t="shared" si="119"/>
        <v>5</v>
      </c>
      <c r="AA194" s="30">
        <f t="shared" si="107"/>
        <v>8.4187589758827315</v>
      </c>
      <c r="AB194" s="30">
        <f t="shared" si="108"/>
        <v>0</v>
      </c>
      <c r="AC194" s="30">
        <f t="shared" si="109"/>
        <v>0</v>
      </c>
      <c r="AD194" s="30">
        <f t="shared" si="110"/>
        <v>0</v>
      </c>
      <c r="AE194" s="32">
        <f t="shared" si="120"/>
        <v>8.4187589758827315</v>
      </c>
      <c r="AF194" s="33">
        <f t="shared" si="129"/>
        <v>13.87305629126533</v>
      </c>
      <c r="AG194" s="40">
        <f t="shared" si="121"/>
        <v>24.442153036637656</v>
      </c>
      <c r="AH194" s="224">
        <f>AG194*$P$33</f>
        <v>2.0499303769653912</v>
      </c>
      <c r="AI194" s="227">
        <f t="shared" si="122"/>
        <v>26</v>
      </c>
    </row>
    <row r="195" spans="1:35" x14ac:dyDescent="0.35">
      <c r="A195" s="45">
        <v>1536</v>
      </c>
      <c r="B195" s="58">
        <f>SUMIF([2]!Table2_23[ETA],'FIS Optimal Model'!A195,[2]!Table2_23[FIS PAX])</f>
        <v>0</v>
      </c>
      <c r="C195" s="44">
        <f t="shared" si="123"/>
        <v>0</v>
      </c>
      <c r="D195" s="52">
        <f t="shared" si="127"/>
        <v>0</v>
      </c>
      <c r="E195" s="26">
        <f t="shared" si="111"/>
        <v>0</v>
      </c>
      <c r="F195" s="26">
        <f t="shared" si="112"/>
        <v>0</v>
      </c>
      <c r="G195" s="26">
        <f t="shared" si="113"/>
        <v>0</v>
      </c>
      <c r="H195" s="26">
        <f t="shared" si="124"/>
        <v>0</v>
      </c>
      <c r="I195" s="27">
        <f t="shared" si="130"/>
        <v>0</v>
      </c>
      <c r="J195" s="27">
        <f t="shared" si="130"/>
        <v>0</v>
      </c>
      <c r="K195" s="27">
        <f t="shared" si="130"/>
        <v>0</v>
      </c>
      <c r="L195" s="27">
        <f t="shared" si="128"/>
        <v>0</v>
      </c>
      <c r="M195" s="28">
        <f t="shared" si="137"/>
        <v>4</v>
      </c>
      <c r="N195" s="29">
        <f t="shared" si="138"/>
        <v>6</v>
      </c>
      <c r="O195" s="28">
        <f t="shared" si="139"/>
        <v>1</v>
      </c>
      <c r="P195" s="28">
        <f t="shared" si="140"/>
        <v>0</v>
      </c>
      <c r="Q195" s="28">
        <f t="shared" si="114"/>
        <v>11</v>
      </c>
      <c r="R195" s="22">
        <f t="shared" si="115"/>
        <v>66.134330708661622</v>
      </c>
      <c r="S195" s="22">
        <f t="shared" si="116"/>
        <v>0</v>
      </c>
      <c r="T195" s="22">
        <f t="shared" si="117"/>
        <v>0</v>
      </c>
      <c r="U195" s="22">
        <f t="shared" si="118"/>
        <v>0</v>
      </c>
      <c r="V195" s="21">
        <f t="shared" si="135"/>
        <v>6.6772527000000208</v>
      </c>
      <c r="W195" s="21">
        <f t="shared" si="136"/>
        <v>0</v>
      </c>
      <c r="X195" s="21">
        <f t="shared" si="125"/>
        <v>0</v>
      </c>
      <c r="Y195" s="21">
        <f t="shared" si="126"/>
        <v>0</v>
      </c>
      <c r="Z195" s="221">
        <f t="shared" si="119"/>
        <v>4</v>
      </c>
      <c r="AA195" s="30">
        <f t="shared" si="107"/>
        <v>8.4187589758827315</v>
      </c>
      <c r="AB195" s="30">
        <f t="shared" si="108"/>
        <v>0</v>
      </c>
      <c r="AC195" s="30">
        <f t="shared" si="109"/>
        <v>0</v>
      </c>
      <c r="AD195" s="30">
        <f t="shared" si="110"/>
        <v>0</v>
      </c>
      <c r="AE195" s="32">
        <f t="shared" si="120"/>
        <v>8.4187589758827315</v>
      </c>
      <c r="AF195" s="33">
        <f t="shared" si="129"/>
        <v>13.87305629126533</v>
      </c>
      <c r="AG195" s="40">
        <f t="shared" si="121"/>
        <v>26.391802898451203</v>
      </c>
      <c r="AH195" s="224">
        <f>AG195*$P$33</f>
        <v>2.2134448787438221</v>
      </c>
      <c r="AI195" s="227">
        <f t="shared" si="122"/>
        <v>25</v>
      </c>
    </row>
    <row r="196" spans="1:35" x14ac:dyDescent="0.35">
      <c r="A196" s="45">
        <v>1537</v>
      </c>
      <c r="B196" s="58">
        <f>SUMIF([2]!Table2_23[ETA],'FIS Optimal Model'!A196,[2]!Table2_23[FIS PAX])</f>
        <v>0</v>
      </c>
      <c r="C196" s="44">
        <f t="shared" si="123"/>
        <v>0</v>
      </c>
      <c r="D196" s="52">
        <f t="shared" si="127"/>
        <v>0</v>
      </c>
      <c r="E196" s="26">
        <f t="shared" si="111"/>
        <v>0</v>
      </c>
      <c r="F196" s="26">
        <f t="shared" si="112"/>
        <v>0</v>
      </c>
      <c r="G196" s="26">
        <f t="shared" si="113"/>
        <v>0</v>
      </c>
      <c r="H196" s="26">
        <f t="shared" si="124"/>
        <v>0</v>
      </c>
      <c r="I196" s="27">
        <f t="shared" si="130"/>
        <v>0</v>
      </c>
      <c r="J196" s="27">
        <f t="shared" si="130"/>
        <v>0</v>
      </c>
      <c r="K196" s="27">
        <f t="shared" si="130"/>
        <v>0</v>
      </c>
      <c r="L196" s="27">
        <f t="shared" si="128"/>
        <v>0</v>
      </c>
      <c r="M196" s="28">
        <f t="shared" si="137"/>
        <v>4</v>
      </c>
      <c r="N196" s="29">
        <f t="shared" si="138"/>
        <v>6</v>
      </c>
      <c r="O196" s="28">
        <f t="shared" si="139"/>
        <v>1</v>
      </c>
      <c r="P196" s="28">
        <f t="shared" si="140"/>
        <v>0</v>
      </c>
      <c r="Q196" s="28">
        <f t="shared" si="114"/>
        <v>11</v>
      </c>
      <c r="R196" s="22">
        <f t="shared" si="115"/>
        <v>57.715571732778891</v>
      </c>
      <c r="S196" s="22">
        <f t="shared" si="116"/>
        <v>0</v>
      </c>
      <c r="T196" s="22">
        <f t="shared" si="117"/>
        <v>0</v>
      </c>
      <c r="U196" s="22">
        <f t="shared" si="118"/>
        <v>0</v>
      </c>
      <c r="V196" s="21">
        <f t="shared" si="135"/>
        <v>5.8272527000000203</v>
      </c>
      <c r="W196" s="21">
        <f t="shared" si="136"/>
        <v>0</v>
      </c>
      <c r="X196" s="21">
        <f t="shared" si="125"/>
        <v>0</v>
      </c>
      <c r="Y196" s="21">
        <f t="shared" si="126"/>
        <v>0</v>
      </c>
      <c r="Z196" s="221">
        <f t="shared" si="119"/>
        <v>4</v>
      </c>
      <c r="AA196" s="30">
        <f t="shared" si="107"/>
        <v>8.4187589758827315</v>
      </c>
      <c r="AB196" s="30">
        <f t="shared" si="108"/>
        <v>0</v>
      </c>
      <c r="AC196" s="30">
        <f t="shared" si="109"/>
        <v>0</v>
      </c>
      <c r="AD196" s="30">
        <f t="shared" si="110"/>
        <v>0</v>
      </c>
      <c r="AE196" s="32">
        <f t="shared" si="120"/>
        <v>8.4187589758827315</v>
      </c>
      <c r="AF196" s="33">
        <f t="shared" si="129"/>
        <v>11.392079545314431</v>
      </c>
      <c r="AG196" s="40">
        <f t="shared" si="121"/>
        <v>25.860476014313853</v>
      </c>
      <c r="AH196" s="224">
        <f>AG196*$P$33</f>
        <v>2.1688832102910105</v>
      </c>
      <c r="AI196" s="227">
        <f t="shared" si="122"/>
        <v>25</v>
      </c>
    </row>
    <row r="197" spans="1:35" x14ac:dyDescent="0.35">
      <c r="A197" s="45">
        <v>1538</v>
      </c>
      <c r="B197" s="58">
        <f>SUMIF([2]!Table2_23[ETA],'FIS Optimal Model'!A197,[2]!Table2_23[FIS PAX])</f>
        <v>0</v>
      </c>
      <c r="C197" s="44">
        <f t="shared" si="123"/>
        <v>0</v>
      </c>
      <c r="D197" s="52">
        <f t="shared" si="127"/>
        <v>0</v>
      </c>
      <c r="E197" s="26">
        <f t="shared" si="111"/>
        <v>0</v>
      </c>
      <c r="F197" s="26">
        <f t="shared" si="112"/>
        <v>0</v>
      </c>
      <c r="G197" s="26">
        <f t="shared" si="113"/>
        <v>0</v>
      </c>
      <c r="H197" s="26">
        <f t="shared" si="124"/>
        <v>0</v>
      </c>
      <c r="I197" s="27">
        <f t="shared" si="130"/>
        <v>0</v>
      </c>
      <c r="J197" s="27">
        <f t="shared" si="130"/>
        <v>0</v>
      </c>
      <c r="K197" s="27">
        <f t="shared" si="130"/>
        <v>0</v>
      </c>
      <c r="L197" s="27">
        <f t="shared" si="128"/>
        <v>0</v>
      </c>
      <c r="M197" s="28">
        <f t="shared" si="137"/>
        <v>4</v>
      </c>
      <c r="N197" s="29">
        <f t="shared" si="138"/>
        <v>6</v>
      </c>
      <c r="O197" s="28">
        <f t="shared" si="139"/>
        <v>1</v>
      </c>
      <c r="P197" s="28">
        <f t="shared" si="140"/>
        <v>0</v>
      </c>
      <c r="Q197" s="28">
        <f t="shared" si="114"/>
        <v>11</v>
      </c>
      <c r="R197" s="22">
        <f t="shared" si="115"/>
        <v>49.296812756896159</v>
      </c>
      <c r="S197" s="22">
        <f t="shared" si="116"/>
        <v>0</v>
      </c>
      <c r="T197" s="22">
        <f t="shared" si="117"/>
        <v>0</v>
      </c>
      <c r="U197" s="22">
        <f t="shared" si="118"/>
        <v>0</v>
      </c>
      <c r="V197" s="21">
        <f t="shared" si="135"/>
        <v>4.9772527000000206</v>
      </c>
      <c r="W197" s="21">
        <f t="shared" si="136"/>
        <v>0</v>
      </c>
      <c r="X197" s="21">
        <f t="shared" si="125"/>
        <v>0</v>
      </c>
      <c r="Y197" s="21">
        <f t="shared" si="126"/>
        <v>0</v>
      </c>
      <c r="Z197" s="221">
        <f t="shared" si="119"/>
        <v>3</v>
      </c>
      <c r="AA197" s="30">
        <f t="shared" si="107"/>
        <v>8.4187589758827315</v>
      </c>
      <c r="AB197" s="30">
        <f t="shared" si="108"/>
        <v>0</v>
      </c>
      <c r="AC197" s="30">
        <f t="shared" si="109"/>
        <v>0</v>
      </c>
      <c r="AD197" s="30">
        <f t="shared" si="110"/>
        <v>0</v>
      </c>
      <c r="AE197" s="32">
        <f t="shared" si="120"/>
        <v>8.4187589758827315</v>
      </c>
      <c r="AF197" s="33">
        <f t="shared" si="129"/>
        <v>8.4187589758827315</v>
      </c>
      <c r="AG197" s="40">
        <f t="shared" si="121"/>
        <v>22.355828560744804</v>
      </c>
      <c r="AH197" s="224">
        <f>AG197*$P$33</f>
        <v>1.8749531598221878</v>
      </c>
      <c r="AI197" s="227">
        <f t="shared" si="122"/>
        <v>24</v>
      </c>
    </row>
    <row r="198" spans="1:35" x14ac:dyDescent="0.35">
      <c r="A198" s="45">
        <v>1539</v>
      </c>
      <c r="B198" s="58">
        <f>SUMIF([2]!Table2_23[ETA],'FIS Optimal Model'!A198,[2]!Table2_23[FIS PAX])</f>
        <v>185</v>
      </c>
      <c r="C198" s="44">
        <f t="shared" si="123"/>
        <v>0</v>
      </c>
      <c r="D198" s="52">
        <f t="shared" si="127"/>
        <v>0</v>
      </c>
      <c r="E198" s="26">
        <f t="shared" si="111"/>
        <v>0</v>
      </c>
      <c r="F198" s="26">
        <f t="shared" si="112"/>
        <v>0</v>
      </c>
      <c r="G198" s="26">
        <f t="shared" si="113"/>
        <v>0</v>
      </c>
      <c r="H198" s="26">
        <f t="shared" si="124"/>
        <v>0</v>
      </c>
      <c r="I198" s="27">
        <f t="shared" si="130"/>
        <v>0</v>
      </c>
      <c r="J198" s="27">
        <f t="shared" si="130"/>
        <v>0</v>
      </c>
      <c r="K198" s="27">
        <f t="shared" si="130"/>
        <v>0</v>
      </c>
      <c r="L198" s="27">
        <f t="shared" si="128"/>
        <v>0</v>
      </c>
      <c r="M198" s="28">
        <f t="shared" si="137"/>
        <v>4</v>
      </c>
      <c r="N198" s="29">
        <f t="shared" si="138"/>
        <v>6</v>
      </c>
      <c r="O198" s="28">
        <f t="shared" si="139"/>
        <v>1</v>
      </c>
      <c r="P198" s="28">
        <f t="shared" si="140"/>
        <v>0</v>
      </c>
      <c r="Q198" s="28">
        <f t="shared" si="114"/>
        <v>11</v>
      </c>
      <c r="R198" s="22">
        <f t="shared" si="115"/>
        <v>40.878053781013428</v>
      </c>
      <c r="S198" s="22">
        <f t="shared" si="116"/>
        <v>0</v>
      </c>
      <c r="T198" s="22">
        <f t="shared" si="117"/>
        <v>0</v>
      </c>
      <c r="U198" s="22">
        <f t="shared" si="118"/>
        <v>0</v>
      </c>
      <c r="V198" s="21">
        <f t="shared" si="135"/>
        <v>4.127252700000021</v>
      </c>
      <c r="W198" s="21">
        <f t="shared" si="136"/>
        <v>0</v>
      </c>
      <c r="X198" s="21">
        <f t="shared" si="125"/>
        <v>0</v>
      </c>
      <c r="Y198" s="21">
        <f t="shared" si="126"/>
        <v>0</v>
      </c>
      <c r="Z198" s="221">
        <f t="shared" si="119"/>
        <v>3</v>
      </c>
      <c r="AA198" s="30">
        <f t="shared" si="107"/>
        <v>8.4187589758827315</v>
      </c>
      <c r="AB198" s="30">
        <f t="shared" si="108"/>
        <v>0</v>
      </c>
      <c r="AC198" s="30">
        <f t="shared" si="109"/>
        <v>0</v>
      </c>
      <c r="AD198" s="30">
        <f t="shared" si="110"/>
        <v>0</v>
      </c>
      <c r="AE198" s="32">
        <f t="shared" si="120"/>
        <v>8.4187589758827315</v>
      </c>
      <c r="AF198" s="33">
        <f t="shared" si="129"/>
        <v>8.4187589758827315</v>
      </c>
      <c r="AG198" s="40">
        <f t="shared" si="121"/>
        <v>18.851181107175755</v>
      </c>
      <c r="AH198" s="224">
        <f>AG198*$P$33</f>
        <v>1.5810231093533649</v>
      </c>
      <c r="AI198" s="227">
        <f t="shared" si="122"/>
        <v>24</v>
      </c>
    </row>
    <row r="199" spans="1:35" x14ac:dyDescent="0.35">
      <c r="A199" s="45">
        <v>1540</v>
      </c>
      <c r="B199" s="58">
        <f>SUMIF([2]!Table2_23[ETA],'FIS Optimal Model'!A199,[2]!Table2_23[FIS PAX])</f>
        <v>0</v>
      </c>
      <c r="C199" s="44">
        <f t="shared" si="123"/>
        <v>18</v>
      </c>
      <c r="D199" s="52">
        <f t="shared" si="127"/>
        <v>167</v>
      </c>
      <c r="E199" s="26">
        <f t="shared" si="111"/>
        <v>9.9503999999999984</v>
      </c>
      <c r="F199" s="26">
        <f t="shared" si="112"/>
        <v>4.2713999999999999</v>
      </c>
      <c r="G199" s="26">
        <f t="shared" si="113"/>
        <v>2.9447999999999999</v>
      </c>
      <c r="H199" s="26">
        <f t="shared" si="124"/>
        <v>0.83340000000000003</v>
      </c>
      <c r="I199" s="27">
        <f t="shared" si="130"/>
        <v>0</v>
      </c>
      <c r="J199" s="27">
        <f t="shared" si="130"/>
        <v>0</v>
      </c>
      <c r="K199" s="27">
        <f t="shared" si="130"/>
        <v>0</v>
      </c>
      <c r="L199" s="27">
        <f t="shared" si="128"/>
        <v>0</v>
      </c>
      <c r="M199" s="28">
        <f t="shared" si="137"/>
        <v>4</v>
      </c>
      <c r="N199" s="29">
        <f t="shared" si="138"/>
        <v>6</v>
      </c>
      <c r="O199" s="28">
        <f t="shared" si="139"/>
        <v>1</v>
      </c>
      <c r="P199" s="28">
        <f t="shared" si="140"/>
        <v>0</v>
      </c>
      <c r="Q199" s="28">
        <f t="shared" si="114"/>
        <v>11</v>
      </c>
      <c r="R199" s="22">
        <f t="shared" si="115"/>
        <v>32.459294805130696</v>
      </c>
      <c r="S199" s="22">
        <f t="shared" si="116"/>
        <v>0</v>
      </c>
      <c r="T199" s="22">
        <f t="shared" si="117"/>
        <v>0</v>
      </c>
      <c r="U199" s="22">
        <f t="shared" si="118"/>
        <v>0</v>
      </c>
      <c r="V199" s="21">
        <f t="shared" si="135"/>
        <v>3.2772527000000209</v>
      </c>
      <c r="W199" s="21">
        <f t="shared" si="136"/>
        <v>0</v>
      </c>
      <c r="X199" s="21">
        <f t="shared" si="125"/>
        <v>0</v>
      </c>
      <c r="Y199" s="21">
        <f t="shared" si="126"/>
        <v>0</v>
      </c>
      <c r="Z199" s="221">
        <f t="shared" si="119"/>
        <v>2</v>
      </c>
      <c r="AA199" s="30">
        <f t="shared" si="107"/>
        <v>8.4187589758827315</v>
      </c>
      <c r="AB199" s="30">
        <f t="shared" si="108"/>
        <v>0</v>
      </c>
      <c r="AC199" s="30">
        <f t="shared" si="109"/>
        <v>0</v>
      </c>
      <c r="AD199" s="30">
        <f t="shared" si="110"/>
        <v>0</v>
      </c>
      <c r="AE199" s="32">
        <f t="shared" si="120"/>
        <v>8.4187589758827315</v>
      </c>
      <c r="AF199" s="33">
        <f t="shared" si="129"/>
        <v>8.4187589758827315</v>
      </c>
      <c r="AG199" s="40">
        <f t="shared" si="121"/>
        <v>15.346533653606706</v>
      </c>
      <c r="AH199" s="224">
        <f>AG199*$P$33</f>
        <v>1.287093058884542</v>
      </c>
      <c r="AI199" s="227">
        <f t="shared" si="122"/>
        <v>23</v>
      </c>
    </row>
    <row r="200" spans="1:35" x14ac:dyDescent="0.35">
      <c r="A200" s="45">
        <v>1541</v>
      </c>
      <c r="B200" s="58">
        <f>SUMIF([2]!Table2_23[ETA],'FIS Optimal Model'!A200,[2]!Table2_23[FIS PAX])</f>
        <v>0</v>
      </c>
      <c r="C200" s="44">
        <f t="shared" si="123"/>
        <v>18</v>
      </c>
      <c r="D200" s="52">
        <f t="shared" si="127"/>
        <v>149</v>
      </c>
      <c r="E200" s="26">
        <f t="shared" si="111"/>
        <v>9.9503999999999984</v>
      </c>
      <c r="F200" s="26">
        <f t="shared" si="112"/>
        <v>4.2713999999999999</v>
      </c>
      <c r="G200" s="26">
        <f t="shared" si="113"/>
        <v>2.9447999999999999</v>
      </c>
      <c r="H200" s="26">
        <f t="shared" si="124"/>
        <v>0.83340000000000003</v>
      </c>
      <c r="I200" s="27">
        <f t="shared" si="130"/>
        <v>0</v>
      </c>
      <c r="J200" s="27">
        <f t="shared" si="130"/>
        <v>0</v>
      </c>
      <c r="K200" s="27">
        <f t="shared" si="130"/>
        <v>0</v>
      </c>
      <c r="L200" s="27">
        <f t="shared" si="128"/>
        <v>0</v>
      </c>
      <c r="M200" s="28">
        <f t="shared" si="137"/>
        <v>4</v>
      </c>
      <c r="N200" s="29">
        <f t="shared" si="138"/>
        <v>6</v>
      </c>
      <c r="O200" s="28">
        <f t="shared" si="139"/>
        <v>1</v>
      </c>
      <c r="P200" s="28">
        <f t="shared" si="140"/>
        <v>0</v>
      </c>
      <c r="Q200" s="28">
        <f t="shared" si="114"/>
        <v>11</v>
      </c>
      <c r="R200" s="22">
        <f t="shared" si="115"/>
        <v>24.040535829247965</v>
      </c>
      <c r="S200" s="22">
        <f t="shared" si="116"/>
        <v>0</v>
      </c>
      <c r="T200" s="22">
        <f t="shared" si="117"/>
        <v>0</v>
      </c>
      <c r="U200" s="22">
        <f t="shared" si="118"/>
        <v>0</v>
      </c>
      <c r="V200" s="21">
        <f t="shared" si="135"/>
        <v>2.4272527000000208</v>
      </c>
      <c r="W200" s="21">
        <f t="shared" si="136"/>
        <v>0</v>
      </c>
      <c r="X200" s="21">
        <f t="shared" si="125"/>
        <v>0</v>
      </c>
      <c r="Y200" s="21">
        <f t="shared" si="126"/>
        <v>0</v>
      </c>
      <c r="Z200" s="221">
        <f t="shared" si="119"/>
        <v>2</v>
      </c>
      <c r="AA200" s="30">
        <f t="shared" si="107"/>
        <v>8.4187589758827315</v>
      </c>
      <c r="AB200" s="30">
        <f t="shared" si="108"/>
        <v>0</v>
      </c>
      <c r="AC200" s="30">
        <f t="shared" si="109"/>
        <v>0</v>
      </c>
      <c r="AD200" s="30">
        <f t="shared" si="110"/>
        <v>0</v>
      </c>
      <c r="AE200" s="32">
        <f t="shared" si="120"/>
        <v>8.4187589758827315</v>
      </c>
      <c r="AF200" s="33">
        <f t="shared" si="129"/>
        <v>8.4187589758827315</v>
      </c>
      <c r="AG200" s="40">
        <f t="shared" si="121"/>
        <v>11.841886200037656</v>
      </c>
      <c r="AH200" s="224">
        <f>AG200*$P$33</f>
        <v>0.99316300841571903</v>
      </c>
      <c r="AI200" s="227">
        <f t="shared" si="122"/>
        <v>23</v>
      </c>
    </row>
    <row r="201" spans="1:35" x14ac:dyDescent="0.35">
      <c r="A201" s="45">
        <v>1542</v>
      </c>
      <c r="B201" s="58">
        <f>SUMIF([2]!Table2_23[ETA],'FIS Optimal Model'!A201,[2]!Table2_23[FIS PAX])</f>
        <v>0</v>
      </c>
      <c r="C201" s="44">
        <f t="shared" si="123"/>
        <v>18</v>
      </c>
      <c r="D201" s="52">
        <f t="shared" si="127"/>
        <v>131</v>
      </c>
      <c r="E201" s="26">
        <f t="shared" si="111"/>
        <v>9.9503999999999984</v>
      </c>
      <c r="F201" s="26">
        <f t="shared" si="112"/>
        <v>4.2713999999999999</v>
      </c>
      <c r="G201" s="26">
        <f t="shared" si="113"/>
        <v>2.9447999999999999</v>
      </c>
      <c r="H201" s="26">
        <f t="shared" si="124"/>
        <v>0.83340000000000003</v>
      </c>
      <c r="I201" s="27">
        <f t="shared" si="130"/>
        <v>0</v>
      </c>
      <c r="J201" s="27">
        <f t="shared" si="130"/>
        <v>0</v>
      </c>
      <c r="K201" s="27">
        <f t="shared" si="130"/>
        <v>0</v>
      </c>
      <c r="L201" s="27">
        <f t="shared" si="128"/>
        <v>0</v>
      </c>
      <c r="M201" s="28">
        <f t="shared" si="137"/>
        <v>4</v>
      </c>
      <c r="N201" s="29">
        <f t="shared" si="138"/>
        <v>6</v>
      </c>
      <c r="O201" s="28">
        <f t="shared" si="139"/>
        <v>1</v>
      </c>
      <c r="P201" s="28">
        <f t="shared" si="140"/>
        <v>0</v>
      </c>
      <c r="Q201" s="28">
        <f t="shared" si="114"/>
        <v>11</v>
      </c>
      <c r="R201" s="22">
        <f t="shared" si="115"/>
        <v>15.621776853365233</v>
      </c>
      <c r="S201" s="22">
        <f t="shared" si="116"/>
        <v>0</v>
      </c>
      <c r="T201" s="22">
        <f t="shared" si="117"/>
        <v>0</v>
      </c>
      <c r="U201" s="22">
        <f t="shared" si="118"/>
        <v>0</v>
      </c>
      <c r="V201" s="21">
        <f t="shared" si="135"/>
        <v>1.5772527000000207</v>
      </c>
      <c r="W201" s="21">
        <f t="shared" si="136"/>
        <v>0</v>
      </c>
      <c r="X201" s="21">
        <f t="shared" si="125"/>
        <v>0</v>
      </c>
      <c r="Y201" s="21">
        <f t="shared" si="126"/>
        <v>0</v>
      </c>
      <c r="Z201" s="221">
        <f t="shared" si="119"/>
        <v>1</v>
      </c>
      <c r="AA201" s="30">
        <f t="shared" si="107"/>
        <v>8.4187589758827315</v>
      </c>
      <c r="AB201" s="30">
        <f t="shared" si="108"/>
        <v>0</v>
      </c>
      <c r="AC201" s="30">
        <f t="shared" si="109"/>
        <v>0</v>
      </c>
      <c r="AD201" s="30">
        <f t="shared" si="110"/>
        <v>0</v>
      </c>
      <c r="AE201" s="32">
        <f t="shared" si="120"/>
        <v>8.4187589758827315</v>
      </c>
      <c r="AF201" s="33">
        <f t="shared" si="129"/>
        <v>8.4187589758827315</v>
      </c>
      <c r="AG201" s="40">
        <f t="shared" si="121"/>
        <v>8.3372387464686071</v>
      </c>
      <c r="AH201" s="224">
        <f>AG201*$P$33</f>
        <v>0.69923295794689611</v>
      </c>
      <c r="AI201" s="227">
        <f t="shared" si="122"/>
        <v>22</v>
      </c>
    </row>
    <row r="202" spans="1:35" x14ac:dyDescent="0.35">
      <c r="A202" s="45">
        <v>1543</v>
      </c>
      <c r="B202" s="58">
        <f>SUMIF([2]!Table2_23[ETA],'FIS Optimal Model'!A202,[2]!Table2_23[FIS PAX])</f>
        <v>0</v>
      </c>
      <c r="C202" s="44">
        <f t="shared" si="123"/>
        <v>18</v>
      </c>
      <c r="D202" s="52">
        <f t="shared" si="127"/>
        <v>113</v>
      </c>
      <c r="E202" s="26">
        <f t="shared" si="111"/>
        <v>9.9503999999999984</v>
      </c>
      <c r="F202" s="26">
        <f t="shared" si="112"/>
        <v>4.2713999999999999</v>
      </c>
      <c r="G202" s="26">
        <f t="shared" si="113"/>
        <v>2.9447999999999999</v>
      </c>
      <c r="H202" s="26">
        <f t="shared" si="124"/>
        <v>0.83340000000000003</v>
      </c>
      <c r="I202" s="27">
        <f t="shared" si="130"/>
        <v>0</v>
      </c>
      <c r="J202" s="27">
        <f t="shared" si="130"/>
        <v>0</v>
      </c>
      <c r="K202" s="27">
        <f t="shared" si="130"/>
        <v>0</v>
      </c>
      <c r="L202" s="27">
        <f t="shared" si="128"/>
        <v>0</v>
      </c>
      <c r="M202" s="28">
        <f t="shared" si="137"/>
        <v>4</v>
      </c>
      <c r="N202" s="29">
        <f t="shared" si="138"/>
        <v>6</v>
      </c>
      <c r="O202" s="28">
        <f t="shared" si="139"/>
        <v>1</v>
      </c>
      <c r="P202" s="28">
        <f t="shared" si="140"/>
        <v>0</v>
      </c>
      <c r="Q202" s="28">
        <f t="shared" si="114"/>
        <v>11</v>
      </c>
      <c r="R202" s="22">
        <f t="shared" si="115"/>
        <v>7.2030178774825018</v>
      </c>
      <c r="S202" s="22">
        <f t="shared" si="116"/>
        <v>0</v>
      </c>
      <c r="T202" s="22">
        <f t="shared" si="117"/>
        <v>0</v>
      </c>
      <c r="U202" s="22">
        <f t="shared" si="118"/>
        <v>0</v>
      </c>
      <c r="V202" s="21">
        <f t="shared" si="135"/>
        <v>0.72725270000002074</v>
      </c>
      <c r="W202" s="21">
        <f t="shared" si="136"/>
        <v>0</v>
      </c>
      <c r="X202" s="21">
        <f t="shared" si="125"/>
        <v>0</v>
      </c>
      <c r="Y202" s="21">
        <f t="shared" si="126"/>
        <v>0</v>
      </c>
      <c r="Z202" s="221">
        <f t="shared" si="119"/>
        <v>1</v>
      </c>
      <c r="AA202" s="30">
        <f t="shared" si="107"/>
        <v>8.4187589758827315</v>
      </c>
      <c r="AB202" s="30">
        <f t="shared" si="108"/>
        <v>0</v>
      </c>
      <c r="AC202" s="30">
        <f t="shared" si="109"/>
        <v>0</v>
      </c>
      <c r="AD202" s="30">
        <f t="shared" si="110"/>
        <v>0</v>
      </c>
      <c r="AE202" s="32">
        <f t="shared" si="120"/>
        <v>8.4187589758827315</v>
      </c>
      <c r="AF202" s="33">
        <f t="shared" si="129"/>
        <v>8.4187589758827315</v>
      </c>
      <c r="AG202" s="40">
        <f t="shared" si="121"/>
        <v>4.8325912928995578</v>
      </c>
      <c r="AH202" s="224">
        <f>AG202*$P$33</f>
        <v>0.40530290747807318</v>
      </c>
      <c r="AI202" s="227">
        <f t="shared" si="122"/>
        <v>22.16351450177843</v>
      </c>
    </row>
    <row r="203" spans="1:35" x14ac:dyDescent="0.35">
      <c r="A203" s="45">
        <v>1544</v>
      </c>
      <c r="B203" s="58">
        <f>SUMIF([2]!Table2_23[ETA],'FIS Optimal Model'!A203,[2]!Table2_23[FIS PAX])</f>
        <v>0</v>
      </c>
      <c r="C203" s="44">
        <f t="shared" si="123"/>
        <v>18</v>
      </c>
      <c r="D203" s="52">
        <f t="shared" si="127"/>
        <v>95</v>
      </c>
      <c r="E203" s="26">
        <f t="shared" si="111"/>
        <v>9.9503999999999984</v>
      </c>
      <c r="F203" s="26">
        <f t="shared" si="112"/>
        <v>4.2713999999999999</v>
      </c>
      <c r="G203" s="26">
        <f t="shared" si="113"/>
        <v>2.9447999999999999</v>
      </c>
      <c r="H203" s="26">
        <f t="shared" si="124"/>
        <v>0.83340000000000003</v>
      </c>
      <c r="I203" s="27">
        <f t="shared" si="130"/>
        <v>0</v>
      </c>
      <c r="J203" s="27">
        <f t="shared" si="130"/>
        <v>0</v>
      </c>
      <c r="K203" s="27">
        <f t="shared" si="130"/>
        <v>0</v>
      </c>
      <c r="L203" s="27">
        <f t="shared" si="128"/>
        <v>0</v>
      </c>
      <c r="M203" s="28">
        <f t="shared" si="137"/>
        <v>4</v>
      </c>
      <c r="N203" s="29">
        <f t="shared" si="138"/>
        <v>6</v>
      </c>
      <c r="O203" s="28">
        <f t="shared" si="139"/>
        <v>1</v>
      </c>
      <c r="P203" s="28">
        <f t="shared" si="140"/>
        <v>0</v>
      </c>
      <c r="Q203" s="28">
        <f t="shared" si="114"/>
        <v>11</v>
      </c>
      <c r="R203" s="22">
        <f t="shared" si="115"/>
        <v>0</v>
      </c>
      <c r="S203" s="22">
        <f t="shared" si="116"/>
        <v>0</v>
      </c>
      <c r="T203" s="22">
        <f t="shared" si="117"/>
        <v>0</v>
      </c>
      <c r="U203" s="22">
        <f t="shared" si="118"/>
        <v>0</v>
      </c>
      <c r="V203" s="21">
        <f t="shared" si="135"/>
        <v>0</v>
      </c>
      <c r="W203" s="21">
        <f t="shared" si="136"/>
        <v>0</v>
      </c>
      <c r="X203" s="21">
        <f t="shared" si="125"/>
        <v>0</v>
      </c>
      <c r="Y203" s="21">
        <f t="shared" si="126"/>
        <v>0</v>
      </c>
      <c r="Z203" s="221">
        <f t="shared" si="119"/>
        <v>0</v>
      </c>
      <c r="AA203" s="30">
        <f t="shared" si="107"/>
        <v>0</v>
      </c>
      <c r="AB203" s="30">
        <f t="shared" si="108"/>
        <v>0</v>
      </c>
      <c r="AC203" s="30">
        <f t="shared" si="109"/>
        <v>0</v>
      </c>
      <c r="AD203" s="30">
        <f t="shared" si="110"/>
        <v>0</v>
      </c>
      <c r="AE203" s="32">
        <f t="shared" si="120"/>
        <v>0</v>
      </c>
      <c r="AF203" s="33">
        <f t="shared" si="129"/>
        <v>8.4187589758827315</v>
      </c>
      <c r="AG203" s="40">
        <f t="shared" si="121"/>
        <v>1.3279438393305085</v>
      </c>
      <c r="AH203" s="224">
        <f>AG203*$P$33</f>
        <v>0.11137285700925027</v>
      </c>
      <c r="AI203" s="227">
        <f t="shared" si="122"/>
        <v>0.16351450177843105</v>
      </c>
    </row>
    <row r="204" spans="1:35" x14ac:dyDescent="0.35">
      <c r="A204" s="45">
        <v>1545</v>
      </c>
      <c r="B204" s="58">
        <f>SUMIF([2]!Table2_23[ETA],'FIS Optimal Model'!A204,[2]!Table2_23[FIS PAX])</f>
        <v>0</v>
      </c>
      <c r="C204" s="44">
        <f t="shared" si="123"/>
        <v>18</v>
      </c>
      <c r="D204" s="52">
        <f t="shared" si="127"/>
        <v>77</v>
      </c>
      <c r="E204" s="26">
        <f t="shared" si="111"/>
        <v>9.9503999999999984</v>
      </c>
      <c r="F204" s="26">
        <f t="shared" si="112"/>
        <v>4.2713999999999999</v>
      </c>
      <c r="G204" s="26">
        <f t="shared" si="113"/>
        <v>2.9447999999999999</v>
      </c>
      <c r="H204" s="26">
        <f t="shared" si="124"/>
        <v>0.83340000000000003</v>
      </c>
      <c r="I204" s="27">
        <f t="shared" si="130"/>
        <v>9.9503999999999984</v>
      </c>
      <c r="J204" s="27">
        <f t="shared" si="130"/>
        <v>4.2713999999999999</v>
      </c>
      <c r="K204" s="27">
        <f t="shared" si="130"/>
        <v>2.9447999999999999</v>
      </c>
      <c r="L204" s="27">
        <f t="shared" si="128"/>
        <v>0.83340000000000003</v>
      </c>
      <c r="M204" s="28">
        <f t="shared" si="137"/>
        <v>4</v>
      </c>
      <c r="N204" s="29">
        <f t="shared" si="138"/>
        <v>6</v>
      </c>
      <c r="O204" s="28">
        <f t="shared" si="139"/>
        <v>1</v>
      </c>
      <c r="P204" s="28">
        <f t="shared" si="140"/>
        <v>0</v>
      </c>
      <c r="Q204" s="28">
        <f t="shared" si="114"/>
        <v>11</v>
      </c>
      <c r="R204" s="22">
        <f t="shared" si="115"/>
        <v>1.5316410241172669</v>
      </c>
      <c r="S204" s="22">
        <f t="shared" si="116"/>
        <v>1.2980794305683006</v>
      </c>
      <c r="T204" s="22">
        <f t="shared" si="117"/>
        <v>0.46382325404910008</v>
      </c>
      <c r="U204" s="22">
        <f t="shared" si="118"/>
        <v>0.83340000000000003</v>
      </c>
      <c r="V204" s="21">
        <f t="shared" si="135"/>
        <v>0.15464213599999985</v>
      </c>
      <c r="W204" s="21">
        <f t="shared" si="136"/>
        <v>0.37108932259999999</v>
      </c>
      <c r="X204" s="21">
        <f t="shared" si="125"/>
        <v>0.15890909360000002</v>
      </c>
      <c r="Y204" s="21">
        <f t="shared" si="126"/>
        <v>0</v>
      </c>
      <c r="Z204" s="221">
        <f t="shared" si="119"/>
        <v>1</v>
      </c>
      <c r="AA204" s="30">
        <f t="shared" si="107"/>
        <v>8.4187589758827315</v>
      </c>
      <c r="AB204" s="30">
        <f t="shared" si="108"/>
        <v>2.9733205694316993</v>
      </c>
      <c r="AC204" s="30">
        <f t="shared" si="109"/>
        <v>2.4809767459508998</v>
      </c>
      <c r="AD204" s="30">
        <f t="shared" si="110"/>
        <v>0</v>
      </c>
      <c r="AE204" s="32">
        <f t="shared" si="120"/>
        <v>13.87305629126533</v>
      </c>
      <c r="AF204" s="33">
        <f t="shared" si="129"/>
        <v>8.4187589758827315</v>
      </c>
      <c r="AG204" s="40">
        <f t="shared" si="121"/>
        <v>0</v>
      </c>
      <c r="AH204" s="224">
        <f>AG204*$P$33</f>
        <v>0</v>
      </c>
      <c r="AI204" s="227">
        <f t="shared" si="122"/>
        <v>22.407420711329955</v>
      </c>
    </row>
    <row r="205" spans="1:35" x14ac:dyDescent="0.35">
      <c r="A205" s="45">
        <v>1546</v>
      </c>
      <c r="B205" s="58">
        <f>SUMIF([2]!Table2_23[ETA],'FIS Optimal Model'!A205,[2]!Table2_23[FIS PAX])</f>
        <v>123</v>
      </c>
      <c r="C205" s="44">
        <f t="shared" si="123"/>
        <v>18</v>
      </c>
      <c r="D205" s="52">
        <f t="shared" si="127"/>
        <v>59</v>
      </c>
      <c r="E205" s="26">
        <f t="shared" si="111"/>
        <v>9.9503999999999984</v>
      </c>
      <c r="F205" s="26">
        <f t="shared" si="112"/>
        <v>4.2713999999999999</v>
      </c>
      <c r="G205" s="26">
        <f t="shared" si="113"/>
        <v>2.9447999999999999</v>
      </c>
      <c r="H205" s="26">
        <f t="shared" si="124"/>
        <v>0.83340000000000003</v>
      </c>
      <c r="I205" s="27">
        <f t="shared" si="130"/>
        <v>9.9503999999999984</v>
      </c>
      <c r="J205" s="27">
        <f t="shared" si="130"/>
        <v>4.2713999999999999</v>
      </c>
      <c r="K205" s="27">
        <f t="shared" si="130"/>
        <v>2.9447999999999999</v>
      </c>
      <c r="L205" s="27">
        <f t="shared" si="128"/>
        <v>0.83340000000000003</v>
      </c>
      <c r="M205" s="28">
        <f>IF(R204=0,0,$Q$17)</f>
        <v>4</v>
      </c>
      <c r="N205" s="29">
        <f>$U$17-M205-O205-P205</f>
        <v>5</v>
      </c>
      <c r="O205" s="28">
        <f>IF(T204=0,0,$S$17)</f>
        <v>1</v>
      </c>
      <c r="P205" s="28">
        <f>IF(U204=0,0,$T$17)</f>
        <v>1</v>
      </c>
      <c r="Q205" s="28">
        <f t="shared" si="114"/>
        <v>11</v>
      </c>
      <c r="R205" s="22">
        <f t="shared" si="115"/>
        <v>3.0632820482345338</v>
      </c>
      <c r="S205" s="22">
        <f t="shared" si="116"/>
        <v>2.5961588611366011</v>
      </c>
      <c r="T205" s="22">
        <f t="shared" si="117"/>
        <v>0.92764650809820015</v>
      </c>
      <c r="U205" s="22">
        <f t="shared" si="118"/>
        <v>0</v>
      </c>
      <c r="V205" s="21">
        <f t="shared" si="135"/>
        <v>0.30928427199999969</v>
      </c>
      <c r="W205" s="21">
        <f t="shared" si="136"/>
        <v>0.8906143742399999</v>
      </c>
      <c r="X205" s="21">
        <f t="shared" si="125"/>
        <v>0.31781818720000005</v>
      </c>
      <c r="Y205" s="21">
        <f t="shared" si="126"/>
        <v>0</v>
      </c>
      <c r="Z205" s="221">
        <f t="shared" si="119"/>
        <v>1</v>
      </c>
      <c r="AA205" s="30">
        <f t="shared" si="107"/>
        <v>8.4187589758827315</v>
      </c>
      <c r="AB205" s="30">
        <f t="shared" si="108"/>
        <v>2.4777671411930831</v>
      </c>
      <c r="AC205" s="30">
        <f t="shared" si="109"/>
        <v>2.4809767459508998</v>
      </c>
      <c r="AD205" s="30">
        <f t="shared" si="110"/>
        <v>0</v>
      </c>
      <c r="AE205" s="32">
        <f t="shared" si="120"/>
        <v>13.377502863026715</v>
      </c>
      <c r="AF205" s="33">
        <f t="shared" si="129"/>
        <v>8.4187589758827315</v>
      </c>
      <c r="AG205" s="40">
        <f t="shared" si="121"/>
        <v>0</v>
      </c>
      <c r="AH205" s="224">
        <f>AG205*$P$33</f>
        <v>0</v>
      </c>
      <c r="AI205" s="227">
        <f t="shared" si="122"/>
        <v>22.529373816105718</v>
      </c>
    </row>
    <row r="206" spans="1:35" x14ac:dyDescent="0.35">
      <c r="A206" s="45">
        <v>1547</v>
      </c>
      <c r="B206" s="58">
        <f>SUMIF([2]!Table2_23[ETA],'FIS Optimal Model'!A206,[2]!Table2_23[FIS PAX])</f>
        <v>0</v>
      </c>
      <c r="C206" s="44">
        <f t="shared" si="123"/>
        <v>18</v>
      </c>
      <c r="D206" s="52">
        <f t="shared" si="127"/>
        <v>164</v>
      </c>
      <c r="E206" s="26">
        <f t="shared" si="111"/>
        <v>9.9503999999999984</v>
      </c>
      <c r="F206" s="26">
        <f t="shared" si="112"/>
        <v>4.2713999999999999</v>
      </c>
      <c r="G206" s="26">
        <f t="shared" si="113"/>
        <v>2.9447999999999999</v>
      </c>
      <c r="H206" s="26">
        <f t="shared" si="124"/>
        <v>0.83340000000000003</v>
      </c>
      <c r="I206" s="27">
        <f t="shared" si="130"/>
        <v>9.9503999999999984</v>
      </c>
      <c r="J206" s="27">
        <f t="shared" si="130"/>
        <v>4.2713999999999999</v>
      </c>
      <c r="K206" s="27">
        <f t="shared" si="130"/>
        <v>2.9447999999999999</v>
      </c>
      <c r="L206" s="27">
        <f t="shared" si="128"/>
        <v>0.83340000000000003</v>
      </c>
      <c r="M206" s="28">
        <f>$M$205</f>
        <v>4</v>
      </c>
      <c r="N206" s="29">
        <f>$N$205</f>
        <v>5</v>
      </c>
      <c r="O206" s="28">
        <f>$O$205</f>
        <v>1</v>
      </c>
      <c r="P206" s="28">
        <f>$P$205</f>
        <v>1</v>
      </c>
      <c r="Q206" s="28">
        <f t="shared" si="114"/>
        <v>11</v>
      </c>
      <c r="R206" s="22">
        <f t="shared" si="115"/>
        <v>4.5949230723518006</v>
      </c>
      <c r="S206" s="22">
        <f t="shared" si="116"/>
        <v>3.8942382917049017</v>
      </c>
      <c r="T206" s="22">
        <f t="shared" si="117"/>
        <v>1.3914697621473002</v>
      </c>
      <c r="U206" s="22">
        <f t="shared" si="118"/>
        <v>0</v>
      </c>
      <c r="V206" s="21">
        <f t="shared" si="135"/>
        <v>0.46392640799999957</v>
      </c>
      <c r="W206" s="21">
        <f t="shared" si="136"/>
        <v>1.3359215613599997</v>
      </c>
      <c r="X206" s="21">
        <f t="shared" si="125"/>
        <v>0.4767272808000001</v>
      </c>
      <c r="Y206" s="21">
        <f t="shared" si="126"/>
        <v>0</v>
      </c>
      <c r="Z206" s="221">
        <f t="shared" si="119"/>
        <v>1</v>
      </c>
      <c r="AA206" s="30">
        <f t="shared" si="107"/>
        <v>8.4187589758827315</v>
      </c>
      <c r="AB206" s="30">
        <f t="shared" si="108"/>
        <v>2.4777671411930831</v>
      </c>
      <c r="AC206" s="30">
        <f t="shared" si="109"/>
        <v>2.4809767459508998</v>
      </c>
      <c r="AD206" s="30">
        <f t="shared" si="110"/>
        <v>0</v>
      </c>
      <c r="AE206" s="32">
        <f t="shared" si="120"/>
        <v>13.377502863026715</v>
      </c>
      <c r="AF206" s="33">
        <f t="shared" si="129"/>
        <v>8.4187589758827315</v>
      </c>
      <c r="AG206" s="40">
        <f t="shared" si="121"/>
        <v>0</v>
      </c>
      <c r="AH206" s="224">
        <f>AG206*$P$33</f>
        <v>0</v>
      </c>
      <c r="AI206" s="227">
        <f t="shared" si="122"/>
        <v>22.65132692088148</v>
      </c>
    </row>
    <row r="207" spans="1:35" x14ac:dyDescent="0.35">
      <c r="A207" s="45">
        <v>1548</v>
      </c>
      <c r="B207" s="58">
        <f>SUMIF([2]!Table2_23[ETA],'FIS Optimal Model'!A207,[2]!Table2_23[FIS PAX])</f>
        <v>0</v>
      </c>
      <c r="C207" s="44">
        <f t="shared" si="123"/>
        <v>18</v>
      </c>
      <c r="D207" s="52">
        <f t="shared" si="127"/>
        <v>146</v>
      </c>
      <c r="E207" s="26">
        <f t="shared" si="111"/>
        <v>9.9503999999999984</v>
      </c>
      <c r="F207" s="26">
        <f t="shared" si="112"/>
        <v>4.2713999999999999</v>
      </c>
      <c r="G207" s="26">
        <f t="shared" si="113"/>
        <v>2.9447999999999999</v>
      </c>
      <c r="H207" s="26">
        <f t="shared" si="124"/>
        <v>0.83340000000000003</v>
      </c>
      <c r="I207" s="27">
        <f t="shared" si="130"/>
        <v>9.9503999999999984</v>
      </c>
      <c r="J207" s="27">
        <f t="shared" si="130"/>
        <v>4.2713999999999999</v>
      </c>
      <c r="K207" s="27">
        <f t="shared" si="130"/>
        <v>2.9447999999999999</v>
      </c>
      <c r="L207" s="27">
        <f t="shared" si="128"/>
        <v>0.83340000000000003</v>
      </c>
      <c r="M207" s="28">
        <f t="shared" ref="M207:M219" si="141">$M$205</f>
        <v>4</v>
      </c>
      <c r="N207" s="29">
        <f t="shared" ref="N207:N219" si="142">$N$205</f>
        <v>5</v>
      </c>
      <c r="O207" s="28">
        <f t="shared" ref="O207:O219" si="143">$O$205</f>
        <v>1</v>
      </c>
      <c r="P207" s="28">
        <f t="shared" ref="P207:P219" si="144">$P$205</f>
        <v>1</v>
      </c>
      <c r="Q207" s="28">
        <f t="shared" si="114"/>
        <v>11</v>
      </c>
      <c r="R207" s="22">
        <f t="shared" si="115"/>
        <v>6.1265640964690675</v>
      </c>
      <c r="S207" s="22">
        <f t="shared" si="116"/>
        <v>5.1923177222732022</v>
      </c>
      <c r="T207" s="22">
        <f t="shared" si="117"/>
        <v>1.8552930161964003</v>
      </c>
      <c r="U207" s="22">
        <f t="shared" si="118"/>
        <v>0</v>
      </c>
      <c r="V207" s="21">
        <f t="shared" si="135"/>
        <v>0.61856854399999939</v>
      </c>
      <c r="W207" s="21">
        <f t="shared" si="136"/>
        <v>1.7812287484799998</v>
      </c>
      <c r="X207" s="21">
        <f t="shared" si="125"/>
        <v>0.63563637440000009</v>
      </c>
      <c r="Y207" s="21">
        <f t="shared" si="126"/>
        <v>0</v>
      </c>
      <c r="Z207" s="221">
        <f t="shared" si="119"/>
        <v>1</v>
      </c>
      <c r="AA207" s="30">
        <f t="shared" si="107"/>
        <v>8.4187589758827315</v>
      </c>
      <c r="AB207" s="30">
        <f t="shared" si="108"/>
        <v>2.4777671411930831</v>
      </c>
      <c r="AC207" s="30">
        <f t="shared" si="109"/>
        <v>2.4809767459508998</v>
      </c>
      <c r="AD207" s="30">
        <f t="shared" si="110"/>
        <v>0</v>
      </c>
      <c r="AE207" s="32">
        <f t="shared" si="120"/>
        <v>13.377502863026715</v>
      </c>
      <c r="AF207" s="33">
        <f t="shared" si="129"/>
        <v>0</v>
      </c>
      <c r="AG207" s="40">
        <f t="shared" si="121"/>
        <v>0</v>
      </c>
      <c r="AH207" s="224">
        <f>AG207*$P$33</f>
        <v>0</v>
      </c>
      <c r="AI207" s="227">
        <f t="shared" si="122"/>
        <v>22.773280025657243</v>
      </c>
    </row>
    <row r="208" spans="1:35" x14ac:dyDescent="0.35">
      <c r="A208" s="45">
        <v>1549</v>
      </c>
      <c r="B208" s="58">
        <f>SUMIF([2]!Table2_23[ETA],'FIS Optimal Model'!A208,[2]!Table2_23[FIS PAX])</f>
        <v>0</v>
      </c>
      <c r="C208" s="44">
        <f t="shared" si="123"/>
        <v>18</v>
      </c>
      <c r="D208" s="52">
        <f t="shared" si="127"/>
        <v>128</v>
      </c>
      <c r="E208" s="26">
        <f t="shared" si="111"/>
        <v>9.9503999999999984</v>
      </c>
      <c r="F208" s="26">
        <f t="shared" si="112"/>
        <v>4.2713999999999999</v>
      </c>
      <c r="G208" s="26">
        <f t="shared" si="113"/>
        <v>2.9447999999999999</v>
      </c>
      <c r="H208" s="26">
        <f t="shared" si="124"/>
        <v>0.83340000000000003</v>
      </c>
      <c r="I208" s="27">
        <f t="shared" si="130"/>
        <v>9.9503999999999984</v>
      </c>
      <c r="J208" s="27">
        <f t="shared" si="130"/>
        <v>4.2713999999999999</v>
      </c>
      <c r="K208" s="27">
        <f t="shared" si="130"/>
        <v>2.9447999999999999</v>
      </c>
      <c r="L208" s="27">
        <f t="shared" si="128"/>
        <v>0.83340000000000003</v>
      </c>
      <c r="M208" s="28">
        <f t="shared" si="141"/>
        <v>4</v>
      </c>
      <c r="N208" s="29">
        <f t="shared" si="142"/>
        <v>5</v>
      </c>
      <c r="O208" s="28">
        <f t="shared" si="143"/>
        <v>1</v>
      </c>
      <c r="P208" s="28">
        <f t="shared" si="144"/>
        <v>1</v>
      </c>
      <c r="Q208" s="28">
        <f t="shared" si="114"/>
        <v>11</v>
      </c>
      <c r="R208" s="22">
        <f t="shared" si="115"/>
        <v>7.6582051205863344</v>
      </c>
      <c r="S208" s="22">
        <f t="shared" si="116"/>
        <v>6.4903971528415028</v>
      </c>
      <c r="T208" s="22">
        <f t="shared" si="117"/>
        <v>2.3191162702455004</v>
      </c>
      <c r="U208" s="22">
        <f t="shared" si="118"/>
        <v>0</v>
      </c>
      <c r="V208" s="21">
        <f t="shared" si="135"/>
        <v>0.77321067999999926</v>
      </c>
      <c r="W208" s="21">
        <f t="shared" si="136"/>
        <v>2.2265359355999998</v>
      </c>
      <c r="X208" s="21">
        <f t="shared" si="125"/>
        <v>0.79454546800000014</v>
      </c>
      <c r="Y208" s="21">
        <f t="shared" si="126"/>
        <v>0</v>
      </c>
      <c r="Z208" s="221">
        <f t="shared" si="119"/>
        <v>2</v>
      </c>
      <c r="AA208" s="30">
        <f t="shared" si="107"/>
        <v>8.4187589758827315</v>
      </c>
      <c r="AB208" s="30">
        <f t="shared" si="108"/>
        <v>2.4777671411930831</v>
      </c>
      <c r="AC208" s="30">
        <f t="shared" si="109"/>
        <v>2.4809767459508998</v>
      </c>
      <c r="AD208" s="30">
        <f t="shared" si="110"/>
        <v>0</v>
      </c>
      <c r="AE208" s="32">
        <f t="shared" si="120"/>
        <v>13.377502863026715</v>
      </c>
      <c r="AF208" s="33">
        <f t="shared" si="129"/>
        <v>13.87305629126533</v>
      </c>
      <c r="AG208" s="40">
        <f t="shared" si="121"/>
        <v>1.9496498618135494</v>
      </c>
      <c r="AH208" s="224">
        <f>AG208*$P$33</f>
        <v>0.16351450177843105</v>
      </c>
      <c r="AI208" s="227">
        <f t="shared" si="122"/>
        <v>24.017186235208769</v>
      </c>
    </row>
    <row r="209" spans="1:35" x14ac:dyDescent="0.35">
      <c r="A209" s="45">
        <v>1550</v>
      </c>
      <c r="B209" s="58">
        <f>SUMIF([2]!Table2_23[ETA],'FIS Optimal Model'!A209,[2]!Table2_23[FIS PAX])</f>
        <v>17</v>
      </c>
      <c r="C209" s="44">
        <f t="shared" si="123"/>
        <v>18</v>
      </c>
      <c r="D209" s="52">
        <f t="shared" si="127"/>
        <v>110</v>
      </c>
      <c r="E209" s="26">
        <f t="shared" si="111"/>
        <v>9.9503999999999984</v>
      </c>
      <c r="F209" s="26">
        <f t="shared" si="112"/>
        <v>4.2713999999999999</v>
      </c>
      <c r="G209" s="26">
        <f t="shared" si="113"/>
        <v>2.9447999999999999</v>
      </c>
      <c r="H209" s="26">
        <f t="shared" si="124"/>
        <v>0.83340000000000003</v>
      </c>
      <c r="I209" s="27">
        <f t="shared" si="130"/>
        <v>9.9503999999999984</v>
      </c>
      <c r="J209" s="27">
        <f t="shared" si="130"/>
        <v>4.2713999999999999</v>
      </c>
      <c r="K209" s="27">
        <f t="shared" si="130"/>
        <v>2.9447999999999999</v>
      </c>
      <c r="L209" s="27">
        <f t="shared" si="128"/>
        <v>0.83340000000000003</v>
      </c>
      <c r="M209" s="28">
        <f t="shared" si="141"/>
        <v>4</v>
      </c>
      <c r="N209" s="29">
        <f t="shared" si="142"/>
        <v>5</v>
      </c>
      <c r="O209" s="28">
        <f t="shared" si="143"/>
        <v>1</v>
      </c>
      <c r="P209" s="28">
        <f t="shared" si="144"/>
        <v>1</v>
      </c>
      <c r="Q209" s="28">
        <f t="shared" si="114"/>
        <v>11</v>
      </c>
      <c r="R209" s="22">
        <f t="shared" si="115"/>
        <v>9.1898461447036013</v>
      </c>
      <c r="S209" s="22">
        <f t="shared" si="116"/>
        <v>7.7884765834098033</v>
      </c>
      <c r="T209" s="22">
        <f t="shared" si="117"/>
        <v>2.7829395242946005</v>
      </c>
      <c r="U209" s="22">
        <f t="shared" si="118"/>
        <v>0</v>
      </c>
      <c r="V209" s="21">
        <f t="shared" si="135"/>
        <v>0.92785281599999914</v>
      </c>
      <c r="W209" s="21">
        <f t="shared" si="136"/>
        <v>2.6718431227199995</v>
      </c>
      <c r="X209" s="21">
        <f t="shared" si="125"/>
        <v>0.95345456160000019</v>
      </c>
      <c r="Y209" s="21">
        <f t="shared" si="126"/>
        <v>0</v>
      </c>
      <c r="Z209" s="221">
        <f t="shared" si="119"/>
        <v>2</v>
      </c>
      <c r="AA209" s="30">
        <f t="shared" si="107"/>
        <v>8.4187589758827315</v>
      </c>
      <c r="AB209" s="30">
        <f t="shared" si="108"/>
        <v>2.4777671411930831</v>
      </c>
      <c r="AC209" s="30">
        <f t="shared" si="109"/>
        <v>2.4809767459508998</v>
      </c>
      <c r="AD209" s="30">
        <f t="shared" si="110"/>
        <v>0</v>
      </c>
      <c r="AE209" s="32">
        <f t="shared" si="120"/>
        <v>13.377502863026715</v>
      </c>
      <c r="AF209" s="33">
        <f t="shared" si="129"/>
        <v>13.377502863026715</v>
      </c>
      <c r="AG209" s="40">
        <f t="shared" si="121"/>
        <v>3.4037462953884834</v>
      </c>
      <c r="AH209" s="224">
        <f>AG209*$P$33</f>
        <v>0.28546760655419362</v>
      </c>
      <c r="AI209" s="227">
        <f t="shared" si="122"/>
        <v>24.139139339984531</v>
      </c>
    </row>
    <row r="210" spans="1:35" x14ac:dyDescent="0.35">
      <c r="A210" s="45">
        <v>1551</v>
      </c>
      <c r="B210" s="58">
        <f>SUMIF([2]!Table2_23[ETA],'FIS Optimal Model'!A210,[2]!Table2_23[FIS PAX])</f>
        <v>0</v>
      </c>
      <c r="C210" s="44">
        <f t="shared" si="123"/>
        <v>1</v>
      </c>
      <c r="D210" s="52">
        <f t="shared" si="127"/>
        <v>109</v>
      </c>
      <c r="E210" s="26">
        <f t="shared" si="111"/>
        <v>0.55279999999999996</v>
      </c>
      <c r="F210" s="26">
        <f t="shared" si="112"/>
        <v>0.23730000000000001</v>
      </c>
      <c r="G210" s="26">
        <f t="shared" si="113"/>
        <v>0.1636</v>
      </c>
      <c r="H210" s="26">
        <f t="shared" si="124"/>
        <v>4.6300000000000001E-2</v>
      </c>
      <c r="I210" s="27">
        <f t="shared" si="130"/>
        <v>9.9503999999999984</v>
      </c>
      <c r="J210" s="27">
        <f t="shared" si="130"/>
        <v>4.2713999999999999</v>
      </c>
      <c r="K210" s="27">
        <f t="shared" si="130"/>
        <v>2.9447999999999999</v>
      </c>
      <c r="L210" s="27">
        <f t="shared" si="128"/>
        <v>0.83340000000000003</v>
      </c>
      <c r="M210" s="28">
        <f t="shared" si="141"/>
        <v>4</v>
      </c>
      <c r="N210" s="29">
        <f t="shared" si="142"/>
        <v>5</v>
      </c>
      <c r="O210" s="28">
        <f t="shared" si="143"/>
        <v>1</v>
      </c>
      <c r="P210" s="28">
        <f t="shared" si="144"/>
        <v>1</v>
      </c>
      <c r="Q210" s="28">
        <f t="shared" si="114"/>
        <v>11</v>
      </c>
      <c r="R210" s="22">
        <f t="shared" si="115"/>
        <v>10.721487168820868</v>
      </c>
      <c r="S210" s="22">
        <f t="shared" si="116"/>
        <v>9.0865560139781039</v>
      </c>
      <c r="T210" s="22">
        <f t="shared" si="117"/>
        <v>3.2467627783437005</v>
      </c>
      <c r="U210" s="22">
        <f t="shared" si="118"/>
        <v>0</v>
      </c>
      <c r="V210" s="21">
        <f t="shared" si="135"/>
        <v>1.0824949519999989</v>
      </c>
      <c r="W210" s="21">
        <f t="shared" si="136"/>
        <v>3.1171503098399995</v>
      </c>
      <c r="X210" s="21">
        <f t="shared" si="125"/>
        <v>1.1123636552000002</v>
      </c>
      <c r="Y210" s="21">
        <f t="shared" si="126"/>
        <v>0</v>
      </c>
      <c r="Z210" s="221">
        <f t="shared" si="119"/>
        <v>2</v>
      </c>
      <c r="AA210" s="30">
        <f t="shared" si="107"/>
        <v>8.4187589758827315</v>
      </c>
      <c r="AB210" s="30">
        <f t="shared" si="108"/>
        <v>2.4777671411930831</v>
      </c>
      <c r="AC210" s="30">
        <f t="shared" si="109"/>
        <v>2.4809767459508998</v>
      </c>
      <c r="AD210" s="30">
        <f t="shared" si="110"/>
        <v>0</v>
      </c>
      <c r="AE210" s="32">
        <f t="shared" si="120"/>
        <v>13.377502863026715</v>
      </c>
      <c r="AF210" s="33">
        <f t="shared" si="129"/>
        <v>13.377502863026715</v>
      </c>
      <c r="AG210" s="40">
        <f t="shared" si="121"/>
        <v>4.8578427289634174</v>
      </c>
      <c r="AH210" s="224">
        <f>AG210*$P$33</f>
        <v>0.40742071132995622</v>
      </c>
      <c r="AI210" s="227">
        <f t="shared" si="122"/>
        <v>24.261092444760294</v>
      </c>
    </row>
    <row r="211" spans="1:35" x14ac:dyDescent="0.35">
      <c r="A211" s="45">
        <v>1552</v>
      </c>
      <c r="B211" s="58">
        <f>SUMIF([2]!Table2_23[ETA],'FIS Optimal Model'!A211,[2]!Table2_23[FIS PAX])</f>
        <v>0</v>
      </c>
      <c r="C211" s="44">
        <f t="shared" si="123"/>
        <v>18</v>
      </c>
      <c r="D211" s="52">
        <f t="shared" si="127"/>
        <v>91</v>
      </c>
      <c r="E211" s="26">
        <f t="shared" si="111"/>
        <v>9.9503999999999984</v>
      </c>
      <c r="F211" s="26">
        <f t="shared" si="112"/>
        <v>4.2713999999999999</v>
      </c>
      <c r="G211" s="26">
        <f t="shared" si="113"/>
        <v>2.9447999999999999</v>
      </c>
      <c r="H211" s="26">
        <f t="shared" si="124"/>
        <v>0.83340000000000003</v>
      </c>
      <c r="I211" s="27">
        <f t="shared" si="130"/>
        <v>9.9503999999999984</v>
      </c>
      <c r="J211" s="27">
        <f t="shared" si="130"/>
        <v>4.2713999999999999</v>
      </c>
      <c r="K211" s="27">
        <f t="shared" si="130"/>
        <v>2.9447999999999999</v>
      </c>
      <c r="L211" s="27">
        <f t="shared" si="128"/>
        <v>0.83340000000000003</v>
      </c>
      <c r="M211" s="28">
        <f t="shared" si="141"/>
        <v>4</v>
      </c>
      <c r="N211" s="29">
        <f t="shared" si="142"/>
        <v>5</v>
      </c>
      <c r="O211" s="28">
        <f t="shared" si="143"/>
        <v>1</v>
      </c>
      <c r="P211" s="28">
        <f t="shared" si="144"/>
        <v>1</v>
      </c>
      <c r="Q211" s="28">
        <f t="shared" si="114"/>
        <v>11</v>
      </c>
      <c r="R211" s="22">
        <f t="shared" si="115"/>
        <v>12.253128192938135</v>
      </c>
      <c r="S211" s="22">
        <f t="shared" si="116"/>
        <v>10.384635444546404</v>
      </c>
      <c r="T211" s="22">
        <f t="shared" si="117"/>
        <v>3.7105860323928006</v>
      </c>
      <c r="U211" s="22">
        <f t="shared" si="118"/>
        <v>0</v>
      </c>
      <c r="V211" s="21">
        <f t="shared" si="135"/>
        <v>1.2371370879999988</v>
      </c>
      <c r="W211" s="21">
        <f t="shared" si="136"/>
        <v>3.5624574969599996</v>
      </c>
      <c r="X211" s="21">
        <f t="shared" si="125"/>
        <v>1.2712727488000002</v>
      </c>
      <c r="Y211" s="21">
        <f t="shared" si="126"/>
        <v>0</v>
      </c>
      <c r="Z211" s="221">
        <f t="shared" si="119"/>
        <v>2</v>
      </c>
      <c r="AA211" s="30">
        <f t="shared" si="107"/>
        <v>8.4187589758827315</v>
      </c>
      <c r="AB211" s="30">
        <f t="shared" si="108"/>
        <v>2.4777671411930831</v>
      </c>
      <c r="AC211" s="30">
        <f t="shared" si="109"/>
        <v>2.4809767459508998</v>
      </c>
      <c r="AD211" s="30">
        <f t="shared" si="110"/>
        <v>0</v>
      </c>
      <c r="AE211" s="32">
        <f t="shared" si="120"/>
        <v>13.377502863026715</v>
      </c>
      <c r="AF211" s="33">
        <f t="shared" si="129"/>
        <v>13.377502863026715</v>
      </c>
      <c r="AG211" s="40">
        <f t="shared" si="121"/>
        <v>6.3119391625383514</v>
      </c>
      <c r="AH211" s="224">
        <f>AG211*$P$33</f>
        <v>0.52937381610571876</v>
      </c>
      <c r="AI211" s="227">
        <f t="shared" si="122"/>
        <v>24.383045549536057</v>
      </c>
    </row>
    <row r="212" spans="1:35" x14ac:dyDescent="0.35">
      <c r="A212" s="45">
        <v>1553</v>
      </c>
      <c r="B212" s="58">
        <f>SUMIF([2]!Table2_23[ETA],'FIS Optimal Model'!A212,[2]!Table2_23[FIS PAX])</f>
        <v>0</v>
      </c>
      <c r="C212" s="44">
        <f t="shared" si="123"/>
        <v>18</v>
      </c>
      <c r="D212" s="52">
        <f t="shared" si="127"/>
        <v>73</v>
      </c>
      <c r="E212" s="26">
        <f t="shared" si="111"/>
        <v>9.9503999999999984</v>
      </c>
      <c r="F212" s="26">
        <f t="shared" si="112"/>
        <v>4.2713999999999999</v>
      </c>
      <c r="G212" s="26">
        <f t="shared" si="113"/>
        <v>2.9447999999999999</v>
      </c>
      <c r="H212" s="26">
        <f t="shared" si="124"/>
        <v>0.83340000000000003</v>
      </c>
      <c r="I212" s="27">
        <f t="shared" si="130"/>
        <v>9.9503999999999984</v>
      </c>
      <c r="J212" s="27">
        <f t="shared" si="130"/>
        <v>4.2713999999999999</v>
      </c>
      <c r="K212" s="27">
        <f t="shared" si="130"/>
        <v>2.9447999999999999</v>
      </c>
      <c r="L212" s="27">
        <f t="shared" si="128"/>
        <v>0.83340000000000003</v>
      </c>
      <c r="M212" s="28">
        <f t="shared" si="141"/>
        <v>4</v>
      </c>
      <c r="N212" s="29">
        <f t="shared" si="142"/>
        <v>5</v>
      </c>
      <c r="O212" s="28">
        <f t="shared" si="143"/>
        <v>1</v>
      </c>
      <c r="P212" s="28">
        <f t="shared" si="144"/>
        <v>1</v>
      </c>
      <c r="Q212" s="28">
        <f t="shared" si="114"/>
        <v>11</v>
      </c>
      <c r="R212" s="22">
        <f t="shared" si="115"/>
        <v>13.784769217055402</v>
      </c>
      <c r="S212" s="22">
        <f t="shared" si="116"/>
        <v>11.682714875114705</v>
      </c>
      <c r="T212" s="22">
        <f t="shared" si="117"/>
        <v>4.1744092864419002</v>
      </c>
      <c r="U212" s="22">
        <f t="shared" si="118"/>
        <v>0</v>
      </c>
      <c r="V212" s="21">
        <f t="shared" si="135"/>
        <v>1.3917792239999986</v>
      </c>
      <c r="W212" s="21">
        <f t="shared" si="136"/>
        <v>4.0077646840799996</v>
      </c>
      <c r="X212" s="21">
        <f t="shared" si="125"/>
        <v>1.4301818424000001</v>
      </c>
      <c r="Y212" s="21">
        <f t="shared" si="126"/>
        <v>0</v>
      </c>
      <c r="Z212" s="221">
        <f t="shared" si="119"/>
        <v>2</v>
      </c>
      <c r="AA212" s="30">
        <f t="shared" si="107"/>
        <v>8.4187589758827315</v>
      </c>
      <c r="AB212" s="30">
        <f t="shared" si="108"/>
        <v>2.4777671411930831</v>
      </c>
      <c r="AC212" s="30">
        <f t="shared" si="109"/>
        <v>2.4809767459508998</v>
      </c>
      <c r="AD212" s="30">
        <f t="shared" si="110"/>
        <v>0</v>
      </c>
      <c r="AE212" s="32">
        <f t="shared" si="120"/>
        <v>13.377502863026715</v>
      </c>
      <c r="AF212" s="33">
        <f t="shared" si="129"/>
        <v>13.377502863026715</v>
      </c>
      <c r="AG212" s="40">
        <f t="shared" si="121"/>
        <v>7.7660355961132854</v>
      </c>
      <c r="AH212" s="224">
        <f>AG212*$P$33</f>
        <v>0.65132692088148136</v>
      </c>
      <c r="AI212" s="227">
        <f t="shared" si="122"/>
        <v>24.504998654311819</v>
      </c>
    </row>
    <row r="213" spans="1:35" x14ac:dyDescent="0.35">
      <c r="A213" s="45">
        <v>1554</v>
      </c>
      <c r="B213" s="58">
        <f>SUMIF([2]!Table2_23[ETA],'FIS Optimal Model'!A213,[2]!Table2_23[FIS PAX])</f>
        <v>169</v>
      </c>
      <c r="C213" s="44">
        <f t="shared" si="123"/>
        <v>18</v>
      </c>
      <c r="D213" s="52">
        <f t="shared" si="127"/>
        <v>55</v>
      </c>
      <c r="E213" s="26">
        <f t="shared" si="111"/>
        <v>9.9503999999999984</v>
      </c>
      <c r="F213" s="26">
        <f t="shared" si="112"/>
        <v>4.2713999999999999</v>
      </c>
      <c r="G213" s="26">
        <f t="shared" si="113"/>
        <v>2.9447999999999999</v>
      </c>
      <c r="H213" s="26">
        <f t="shared" si="124"/>
        <v>0.83340000000000003</v>
      </c>
      <c r="I213" s="27">
        <f t="shared" si="130"/>
        <v>9.9503999999999984</v>
      </c>
      <c r="J213" s="27">
        <f t="shared" si="130"/>
        <v>4.2713999999999999</v>
      </c>
      <c r="K213" s="27">
        <f t="shared" si="130"/>
        <v>2.9447999999999999</v>
      </c>
      <c r="L213" s="27">
        <f t="shared" si="128"/>
        <v>0.83340000000000003</v>
      </c>
      <c r="M213" s="28">
        <f t="shared" si="141"/>
        <v>4</v>
      </c>
      <c r="N213" s="29">
        <f t="shared" si="142"/>
        <v>5</v>
      </c>
      <c r="O213" s="28">
        <f t="shared" si="143"/>
        <v>1</v>
      </c>
      <c r="P213" s="28">
        <f t="shared" si="144"/>
        <v>1</v>
      </c>
      <c r="Q213" s="28">
        <f t="shared" si="114"/>
        <v>11</v>
      </c>
      <c r="R213" s="22">
        <f t="shared" si="115"/>
        <v>15.316410241172669</v>
      </c>
      <c r="S213" s="22">
        <f t="shared" si="116"/>
        <v>12.980794305683006</v>
      </c>
      <c r="T213" s="22">
        <f t="shared" si="117"/>
        <v>4.6382325404909999</v>
      </c>
      <c r="U213" s="22">
        <f t="shared" si="118"/>
        <v>0</v>
      </c>
      <c r="V213" s="21">
        <f t="shared" si="135"/>
        <v>1.5464213599999985</v>
      </c>
      <c r="W213" s="21">
        <f t="shared" si="136"/>
        <v>4.4530718711999997</v>
      </c>
      <c r="X213" s="21">
        <f t="shared" si="125"/>
        <v>1.5890909360000001</v>
      </c>
      <c r="Y213" s="21">
        <f t="shared" si="126"/>
        <v>0</v>
      </c>
      <c r="Z213" s="221">
        <f t="shared" si="119"/>
        <v>3</v>
      </c>
      <c r="AA213" s="30">
        <f t="shared" si="107"/>
        <v>8.4187589758827315</v>
      </c>
      <c r="AB213" s="30">
        <f t="shared" si="108"/>
        <v>2.4777671411930831</v>
      </c>
      <c r="AC213" s="30">
        <f t="shared" si="109"/>
        <v>2.4809767459508998</v>
      </c>
      <c r="AD213" s="30">
        <f t="shared" si="110"/>
        <v>0</v>
      </c>
      <c r="AE213" s="32">
        <f t="shared" si="120"/>
        <v>13.377502863026715</v>
      </c>
      <c r="AF213" s="33">
        <f t="shared" si="129"/>
        <v>13.377502863026715</v>
      </c>
      <c r="AG213" s="40">
        <f t="shared" si="121"/>
        <v>9.2201320296882194</v>
      </c>
      <c r="AH213" s="224">
        <f>AG213*$P$33</f>
        <v>0.77328002565724385</v>
      </c>
      <c r="AI213" s="227">
        <f t="shared" si="122"/>
        <v>25.748904863863345</v>
      </c>
    </row>
    <row r="214" spans="1:35" x14ac:dyDescent="0.35">
      <c r="A214" s="45">
        <v>1555</v>
      </c>
      <c r="B214" s="58">
        <f>SUMIF([2]!Table2_23[ETA],'FIS Optimal Model'!A214,[2]!Table2_23[FIS PAX])</f>
        <v>0</v>
      </c>
      <c r="C214" s="44">
        <f t="shared" si="123"/>
        <v>18</v>
      </c>
      <c r="D214" s="52">
        <f t="shared" si="127"/>
        <v>206</v>
      </c>
      <c r="E214" s="26">
        <f t="shared" si="111"/>
        <v>9.9503999999999984</v>
      </c>
      <c r="F214" s="26">
        <f t="shared" si="112"/>
        <v>4.2713999999999999</v>
      </c>
      <c r="G214" s="26">
        <f t="shared" si="113"/>
        <v>2.9447999999999999</v>
      </c>
      <c r="H214" s="26">
        <f t="shared" si="124"/>
        <v>0.83340000000000003</v>
      </c>
      <c r="I214" s="27">
        <f t="shared" si="130"/>
        <v>9.9503999999999984</v>
      </c>
      <c r="J214" s="27">
        <f t="shared" si="130"/>
        <v>4.2713999999999999</v>
      </c>
      <c r="K214" s="27">
        <f t="shared" si="130"/>
        <v>2.9447999999999999</v>
      </c>
      <c r="L214" s="27">
        <f t="shared" si="128"/>
        <v>0.83340000000000003</v>
      </c>
      <c r="M214" s="28">
        <f t="shared" si="141"/>
        <v>4</v>
      </c>
      <c r="N214" s="29">
        <f t="shared" si="142"/>
        <v>5</v>
      </c>
      <c r="O214" s="28">
        <f t="shared" si="143"/>
        <v>1</v>
      </c>
      <c r="P214" s="28">
        <f t="shared" si="144"/>
        <v>1</v>
      </c>
      <c r="Q214" s="28">
        <f t="shared" si="114"/>
        <v>11</v>
      </c>
      <c r="R214" s="22">
        <f t="shared" si="115"/>
        <v>16.848051265289936</v>
      </c>
      <c r="S214" s="22">
        <f t="shared" si="116"/>
        <v>14.278873736251306</v>
      </c>
      <c r="T214" s="22">
        <f t="shared" si="117"/>
        <v>5.1020557945400995</v>
      </c>
      <c r="U214" s="22">
        <f t="shared" si="118"/>
        <v>0</v>
      </c>
      <c r="V214" s="21">
        <f t="shared" si="135"/>
        <v>1.7010634959999984</v>
      </c>
      <c r="W214" s="21">
        <f t="shared" si="136"/>
        <v>4.8983790583199998</v>
      </c>
      <c r="X214" s="21">
        <f t="shared" si="125"/>
        <v>1.7480000295999998</v>
      </c>
      <c r="Y214" s="21">
        <f t="shared" si="126"/>
        <v>0</v>
      </c>
      <c r="Z214" s="221">
        <f t="shared" si="119"/>
        <v>3</v>
      </c>
      <c r="AA214" s="30">
        <f t="shared" si="107"/>
        <v>8.4187589758827315</v>
      </c>
      <c r="AB214" s="30">
        <f t="shared" si="108"/>
        <v>2.4777671411930831</v>
      </c>
      <c r="AC214" s="30">
        <f t="shared" si="109"/>
        <v>2.4809767459508998</v>
      </c>
      <c r="AD214" s="30">
        <f t="shared" si="110"/>
        <v>0</v>
      </c>
      <c r="AE214" s="32">
        <f t="shared" si="120"/>
        <v>13.377502863026715</v>
      </c>
      <c r="AF214" s="33">
        <f t="shared" si="129"/>
        <v>13.377502863026715</v>
      </c>
      <c r="AG214" s="40">
        <f t="shared" si="121"/>
        <v>10.674228463263153</v>
      </c>
      <c r="AH214" s="224">
        <f>AG214*$P$33</f>
        <v>0.89523313043300645</v>
      </c>
      <c r="AI214" s="227">
        <f t="shared" si="122"/>
        <v>25.870857968639108</v>
      </c>
    </row>
    <row r="215" spans="1:35" x14ac:dyDescent="0.35">
      <c r="A215" s="45">
        <v>1556</v>
      </c>
      <c r="B215" s="58">
        <f>SUMIF([2]!Table2_23[ETA],'FIS Optimal Model'!A215,[2]!Table2_23[FIS PAX])</f>
        <v>148</v>
      </c>
      <c r="C215" s="44">
        <f t="shared" si="123"/>
        <v>18</v>
      </c>
      <c r="D215" s="52">
        <f t="shared" si="127"/>
        <v>188</v>
      </c>
      <c r="E215" s="26">
        <f t="shared" si="111"/>
        <v>9.9503999999999984</v>
      </c>
      <c r="F215" s="26">
        <f t="shared" si="112"/>
        <v>4.2713999999999999</v>
      </c>
      <c r="G215" s="26">
        <f t="shared" si="113"/>
        <v>2.9447999999999999</v>
      </c>
      <c r="H215" s="26">
        <f t="shared" si="124"/>
        <v>0.83340000000000003</v>
      </c>
      <c r="I215" s="27">
        <f t="shared" si="130"/>
        <v>0.55279999999999996</v>
      </c>
      <c r="J215" s="27">
        <f t="shared" si="130"/>
        <v>0.23730000000000001</v>
      </c>
      <c r="K215" s="27">
        <f t="shared" si="130"/>
        <v>0.1636</v>
      </c>
      <c r="L215" s="27">
        <f t="shared" si="128"/>
        <v>4.6300000000000001E-2</v>
      </c>
      <c r="M215" s="28">
        <f t="shared" si="141"/>
        <v>4</v>
      </c>
      <c r="N215" s="29">
        <f t="shared" si="142"/>
        <v>5</v>
      </c>
      <c r="O215" s="28">
        <f t="shared" si="143"/>
        <v>1</v>
      </c>
      <c r="P215" s="28">
        <f t="shared" si="144"/>
        <v>1</v>
      </c>
      <c r="Q215" s="28">
        <f t="shared" si="114"/>
        <v>11</v>
      </c>
      <c r="R215" s="22">
        <f t="shared" si="115"/>
        <v>8.9820922894072037</v>
      </c>
      <c r="S215" s="22">
        <f t="shared" si="116"/>
        <v>11.542853166819606</v>
      </c>
      <c r="T215" s="22">
        <f t="shared" si="117"/>
        <v>2.7846790485891999</v>
      </c>
      <c r="U215" s="22">
        <f t="shared" si="118"/>
        <v>0</v>
      </c>
      <c r="V215" s="21">
        <f t="shared" si="135"/>
        <v>0.9068769479999983</v>
      </c>
      <c r="W215" s="21">
        <f t="shared" si="136"/>
        <v>3.9597850131599994</v>
      </c>
      <c r="X215" s="21">
        <f t="shared" si="125"/>
        <v>0.95405053480000002</v>
      </c>
      <c r="Y215" s="21">
        <f t="shared" si="126"/>
        <v>0</v>
      </c>
      <c r="Z215" s="221">
        <f t="shared" si="119"/>
        <v>2</v>
      </c>
      <c r="AA215" s="30">
        <f t="shared" si="107"/>
        <v>8.4187589758827315</v>
      </c>
      <c r="AB215" s="30">
        <f t="shared" si="108"/>
        <v>2.4777671411930831</v>
      </c>
      <c r="AC215" s="30">
        <f t="shared" si="109"/>
        <v>2.4809767459508998</v>
      </c>
      <c r="AD215" s="30">
        <f t="shared" si="110"/>
        <v>0</v>
      </c>
      <c r="AE215" s="32">
        <f t="shared" si="120"/>
        <v>13.377502863026715</v>
      </c>
      <c r="AF215" s="33">
        <f t="shared" si="129"/>
        <v>13.377502863026715</v>
      </c>
      <c r="AG215" s="40">
        <f t="shared" si="121"/>
        <v>12.128324896838087</v>
      </c>
      <c r="AH215" s="224">
        <f>AG215*$P$33</f>
        <v>1.0171862352087691</v>
      </c>
      <c r="AI215" s="227">
        <f t="shared" si="122"/>
        <v>24.870857968639108</v>
      </c>
    </row>
    <row r="216" spans="1:35" x14ac:dyDescent="0.35">
      <c r="A216" s="45">
        <v>1557</v>
      </c>
      <c r="B216" s="58">
        <f>SUMIF([2]!Table2_23[ETA],'FIS Optimal Model'!A216,[2]!Table2_23[FIS PAX])</f>
        <v>0</v>
      </c>
      <c r="C216" s="44">
        <f t="shared" si="123"/>
        <v>18</v>
      </c>
      <c r="D216" s="52">
        <f t="shared" si="127"/>
        <v>318</v>
      </c>
      <c r="E216" s="26">
        <f t="shared" si="111"/>
        <v>9.9503999999999984</v>
      </c>
      <c r="F216" s="26">
        <f t="shared" si="112"/>
        <v>4.2713999999999999</v>
      </c>
      <c r="G216" s="26">
        <f t="shared" si="113"/>
        <v>2.9447999999999999</v>
      </c>
      <c r="H216" s="26">
        <f t="shared" si="124"/>
        <v>0.83340000000000003</v>
      </c>
      <c r="I216" s="27">
        <f t="shared" si="130"/>
        <v>9.9503999999999984</v>
      </c>
      <c r="J216" s="27">
        <f t="shared" si="130"/>
        <v>4.2713999999999999</v>
      </c>
      <c r="K216" s="27">
        <f t="shared" si="130"/>
        <v>2.9447999999999999</v>
      </c>
      <c r="L216" s="27">
        <f t="shared" si="128"/>
        <v>0.83340000000000003</v>
      </c>
      <c r="M216" s="28">
        <f t="shared" si="141"/>
        <v>4</v>
      </c>
      <c r="N216" s="29">
        <f t="shared" si="142"/>
        <v>5</v>
      </c>
      <c r="O216" s="28">
        <f t="shared" si="143"/>
        <v>1</v>
      </c>
      <c r="P216" s="28">
        <f t="shared" si="144"/>
        <v>1</v>
      </c>
      <c r="Q216" s="28">
        <f t="shared" si="114"/>
        <v>11</v>
      </c>
      <c r="R216" s="22">
        <f t="shared" si="115"/>
        <v>10.513733313524471</v>
      </c>
      <c r="S216" s="22">
        <f t="shared" si="116"/>
        <v>12.840932597387907</v>
      </c>
      <c r="T216" s="22">
        <f t="shared" si="117"/>
        <v>3.2485023026383</v>
      </c>
      <c r="U216" s="22">
        <f t="shared" si="118"/>
        <v>0</v>
      </c>
      <c r="V216" s="21">
        <f t="shared" si="135"/>
        <v>1.0615190839999982</v>
      </c>
      <c r="W216" s="21">
        <f t="shared" si="136"/>
        <v>4.4050922002799995</v>
      </c>
      <c r="X216" s="21">
        <f t="shared" si="125"/>
        <v>1.1129596284000001</v>
      </c>
      <c r="Y216" s="21">
        <f t="shared" si="126"/>
        <v>0</v>
      </c>
      <c r="Z216" s="221">
        <f t="shared" si="119"/>
        <v>2</v>
      </c>
      <c r="AA216" s="30">
        <f t="shared" si="107"/>
        <v>8.4187589758827315</v>
      </c>
      <c r="AB216" s="30">
        <f t="shared" si="108"/>
        <v>2.4777671411930831</v>
      </c>
      <c r="AC216" s="30">
        <f t="shared" si="109"/>
        <v>2.4809767459508998</v>
      </c>
      <c r="AD216" s="30">
        <f t="shared" si="110"/>
        <v>0</v>
      </c>
      <c r="AE216" s="32">
        <f t="shared" si="120"/>
        <v>13.377502863026715</v>
      </c>
      <c r="AF216" s="33">
        <f t="shared" si="129"/>
        <v>13.377502863026715</v>
      </c>
      <c r="AG216" s="40">
        <f t="shared" si="121"/>
        <v>13.582421330413021</v>
      </c>
      <c r="AH216" s="224">
        <f>AG216*$P$33</f>
        <v>1.1391393399845315</v>
      </c>
      <c r="AI216" s="227">
        <f t="shared" si="122"/>
        <v>24.99281107341487</v>
      </c>
    </row>
    <row r="217" spans="1:35" x14ac:dyDescent="0.35">
      <c r="A217" s="45">
        <v>1558</v>
      </c>
      <c r="B217" s="58">
        <f>SUMIF([2]!Table2_23[ETA],'FIS Optimal Model'!A217,[2]!Table2_23[FIS PAX])</f>
        <v>0</v>
      </c>
      <c r="C217" s="44">
        <f t="shared" si="123"/>
        <v>18</v>
      </c>
      <c r="D217" s="52">
        <f t="shared" si="127"/>
        <v>300</v>
      </c>
      <c r="E217" s="26">
        <f t="shared" si="111"/>
        <v>9.9503999999999984</v>
      </c>
      <c r="F217" s="26">
        <f t="shared" si="112"/>
        <v>4.2713999999999999</v>
      </c>
      <c r="G217" s="26">
        <f t="shared" si="113"/>
        <v>2.9447999999999999</v>
      </c>
      <c r="H217" s="26">
        <f t="shared" si="124"/>
        <v>0.83340000000000003</v>
      </c>
      <c r="I217" s="27">
        <f t="shared" si="130"/>
        <v>9.9503999999999984</v>
      </c>
      <c r="J217" s="27">
        <f t="shared" si="130"/>
        <v>4.2713999999999999</v>
      </c>
      <c r="K217" s="27">
        <f t="shared" si="130"/>
        <v>2.9447999999999999</v>
      </c>
      <c r="L217" s="27">
        <f t="shared" si="128"/>
        <v>0.83340000000000003</v>
      </c>
      <c r="M217" s="28">
        <f t="shared" si="141"/>
        <v>4</v>
      </c>
      <c r="N217" s="29">
        <f t="shared" si="142"/>
        <v>5</v>
      </c>
      <c r="O217" s="28">
        <f t="shared" si="143"/>
        <v>1</v>
      </c>
      <c r="P217" s="28">
        <f t="shared" si="144"/>
        <v>1</v>
      </c>
      <c r="Q217" s="28">
        <f t="shared" si="114"/>
        <v>11</v>
      </c>
      <c r="R217" s="22">
        <f t="shared" si="115"/>
        <v>12.045374337641737</v>
      </c>
      <c r="S217" s="22">
        <f t="shared" si="116"/>
        <v>14.139012027956207</v>
      </c>
      <c r="T217" s="22">
        <f t="shared" si="117"/>
        <v>3.7123255566874001</v>
      </c>
      <c r="U217" s="22">
        <f t="shared" si="118"/>
        <v>0</v>
      </c>
      <c r="V217" s="21">
        <f t="shared" si="135"/>
        <v>1.216161219999998</v>
      </c>
      <c r="W217" s="21">
        <f t="shared" si="136"/>
        <v>4.8503993873999995</v>
      </c>
      <c r="X217" s="21">
        <f t="shared" si="125"/>
        <v>1.271868722</v>
      </c>
      <c r="Y217" s="21">
        <f t="shared" si="126"/>
        <v>0</v>
      </c>
      <c r="Z217" s="221">
        <f t="shared" si="119"/>
        <v>3</v>
      </c>
      <c r="AA217" s="30">
        <f t="shared" si="107"/>
        <v>8.4187589758827315</v>
      </c>
      <c r="AB217" s="30">
        <f t="shared" si="108"/>
        <v>2.4777671411930831</v>
      </c>
      <c r="AC217" s="30">
        <f t="shared" si="109"/>
        <v>2.4809767459508998</v>
      </c>
      <c r="AD217" s="30">
        <f t="shared" si="110"/>
        <v>0</v>
      </c>
      <c r="AE217" s="32">
        <f t="shared" si="120"/>
        <v>13.377502863026715</v>
      </c>
      <c r="AF217" s="33">
        <f t="shared" si="129"/>
        <v>13.377502863026715</v>
      </c>
      <c r="AG217" s="40">
        <f t="shared" si="121"/>
        <v>15.036517763987955</v>
      </c>
      <c r="AH217" s="224">
        <f>AG217*$P$33</f>
        <v>1.2610924447602943</v>
      </c>
      <c r="AI217" s="227">
        <f t="shared" si="122"/>
        <v>26.31984007697173</v>
      </c>
    </row>
    <row r="218" spans="1:35" x14ac:dyDescent="0.35">
      <c r="A218" s="45">
        <v>1559</v>
      </c>
      <c r="B218" s="58">
        <f>SUMIF([2]!Table2_23[ETA],'FIS Optimal Model'!A218,[2]!Table2_23[FIS PAX])</f>
        <v>52</v>
      </c>
      <c r="C218" s="44">
        <f t="shared" si="123"/>
        <v>18</v>
      </c>
      <c r="D218" s="52">
        <f t="shared" si="127"/>
        <v>282</v>
      </c>
      <c r="E218" s="26">
        <f t="shared" si="111"/>
        <v>9.9503999999999984</v>
      </c>
      <c r="F218" s="26">
        <f t="shared" si="112"/>
        <v>4.2713999999999999</v>
      </c>
      <c r="G218" s="26">
        <f t="shared" si="113"/>
        <v>2.9447999999999999</v>
      </c>
      <c r="H218" s="26">
        <f t="shared" si="124"/>
        <v>0.83340000000000003</v>
      </c>
      <c r="I218" s="27">
        <f t="shared" si="130"/>
        <v>9.9503999999999984</v>
      </c>
      <c r="J218" s="27">
        <f t="shared" si="130"/>
        <v>4.2713999999999999</v>
      </c>
      <c r="K218" s="27">
        <f t="shared" si="130"/>
        <v>2.9447999999999999</v>
      </c>
      <c r="L218" s="27">
        <f t="shared" si="128"/>
        <v>0.83340000000000003</v>
      </c>
      <c r="M218" s="28">
        <f t="shared" si="141"/>
        <v>4</v>
      </c>
      <c r="N218" s="29">
        <f t="shared" si="142"/>
        <v>5</v>
      </c>
      <c r="O218" s="28">
        <f t="shared" si="143"/>
        <v>1</v>
      </c>
      <c r="P218" s="28">
        <f t="shared" si="144"/>
        <v>1</v>
      </c>
      <c r="Q218" s="28">
        <f t="shared" si="114"/>
        <v>11</v>
      </c>
      <c r="R218" s="22">
        <f t="shared" si="115"/>
        <v>13.577015361759004</v>
      </c>
      <c r="S218" s="22">
        <f t="shared" si="116"/>
        <v>15.437091458524508</v>
      </c>
      <c r="T218" s="22">
        <f t="shared" si="117"/>
        <v>4.1761488107364997</v>
      </c>
      <c r="U218" s="22">
        <f t="shared" si="118"/>
        <v>0</v>
      </c>
      <c r="V218" s="21">
        <f t="shared" si="135"/>
        <v>1.3708033559999979</v>
      </c>
      <c r="W218" s="21">
        <f t="shared" si="136"/>
        <v>5.2957065745199987</v>
      </c>
      <c r="X218" s="21">
        <f t="shared" si="125"/>
        <v>1.4307778155999999</v>
      </c>
      <c r="Y218" s="21">
        <f t="shared" si="126"/>
        <v>0</v>
      </c>
      <c r="Z218" s="221">
        <f t="shared" si="119"/>
        <v>3</v>
      </c>
      <c r="AA218" s="30">
        <f t="shared" si="107"/>
        <v>8.4187589758827315</v>
      </c>
      <c r="AB218" s="30">
        <f t="shared" si="108"/>
        <v>2.4777671411930831</v>
      </c>
      <c r="AC218" s="30">
        <f t="shared" si="109"/>
        <v>2.4809767459508998</v>
      </c>
      <c r="AD218" s="30">
        <f t="shared" si="110"/>
        <v>0</v>
      </c>
      <c r="AE218" s="32">
        <f t="shared" si="120"/>
        <v>13.377502863026715</v>
      </c>
      <c r="AF218" s="33">
        <f t="shared" si="129"/>
        <v>13.377502863026715</v>
      </c>
      <c r="AG218" s="40">
        <f t="shared" si="121"/>
        <v>16.490614197562891</v>
      </c>
      <c r="AH218" s="224">
        <f>AG218*$P$33</f>
        <v>1.383045549536057</v>
      </c>
      <c r="AI218" s="227">
        <f t="shared" si="122"/>
        <v>26.483354578750163</v>
      </c>
    </row>
    <row r="219" spans="1:35" x14ac:dyDescent="0.35">
      <c r="A219" s="45">
        <v>1600</v>
      </c>
      <c r="B219" s="58">
        <f>SUMIF([2]!Table2_23[ETA],'FIS Optimal Model'!A219,[2]!Table2_23[FIS PAX])</f>
        <v>106</v>
      </c>
      <c r="C219" s="44">
        <f t="shared" si="123"/>
        <v>18</v>
      </c>
      <c r="D219" s="52">
        <f t="shared" si="127"/>
        <v>316</v>
      </c>
      <c r="E219" s="26">
        <f t="shared" si="111"/>
        <v>9.9503999999999984</v>
      </c>
      <c r="F219" s="26">
        <f t="shared" si="112"/>
        <v>4.2713999999999999</v>
      </c>
      <c r="G219" s="26">
        <f t="shared" si="113"/>
        <v>2.9447999999999999</v>
      </c>
      <c r="H219" s="26">
        <f t="shared" si="124"/>
        <v>0.83340000000000003</v>
      </c>
      <c r="I219" s="27">
        <f t="shared" si="130"/>
        <v>9.9503999999999984</v>
      </c>
      <c r="J219" s="27">
        <f t="shared" si="130"/>
        <v>4.2713999999999999</v>
      </c>
      <c r="K219" s="27">
        <f t="shared" si="130"/>
        <v>2.9447999999999999</v>
      </c>
      <c r="L219" s="27">
        <f t="shared" si="128"/>
        <v>0.83340000000000003</v>
      </c>
      <c r="M219" s="28">
        <f t="shared" si="141"/>
        <v>4</v>
      </c>
      <c r="N219" s="29">
        <f t="shared" si="142"/>
        <v>5</v>
      </c>
      <c r="O219" s="28">
        <f t="shared" si="143"/>
        <v>1</v>
      </c>
      <c r="P219" s="28">
        <f t="shared" si="144"/>
        <v>1</v>
      </c>
      <c r="Q219" s="28">
        <f t="shared" si="114"/>
        <v>11</v>
      </c>
      <c r="R219" s="22">
        <f t="shared" si="115"/>
        <v>15.108656385876271</v>
      </c>
      <c r="S219" s="22">
        <f t="shared" si="116"/>
        <v>16.735170889092807</v>
      </c>
      <c r="T219" s="22">
        <f t="shared" si="117"/>
        <v>4.6399720647855993</v>
      </c>
      <c r="U219" s="22">
        <f t="shared" si="118"/>
        <v>0</v>
      </c>
      <c r="V219" s="21">
        <f t="shared" si="135"/>
        <v>1.5254454919999978</v>
      </c>
      <c r="W219" s="21">
        <f t="shared" si="136"/>
        <v>5.7410137616399988</v>
      </c>
      <c r="X219" s="21">
        <f t="shared" si="125"/>
        <v>1.5896869091999999</v>
      </c>
      <c r="Y219" s="21">
        <f t="shared" si="126"/>
        <v>0</v>
      </c>
      <c r="Z219" s="221">
        <f t="shared" si="119"/>
        <v>3</v>
      </c>
      <c r="AA219" s="30">
        <f t="shared" si="107"/>
        <v>8.4187589758827315</v>
      </c>
      <c r="AB219" s="30">
        <f t="shared" si="108"/>
        <v>2.4777671411930831</v>
      </c>
      <c r="AC219" s="30">
        <f t="shared" si="109"/>
        <v>2.4809767459508998</v>
      </c>
      <c r="AD219" s="30">
        <f t="shared" si="110"/>
        <v>0</v>
      </c>
      <c r="AE219" s="32">
        <f t="shared" si="120"/>
        <v>13.377502863026715</v>
      </c>
      <c r="AF219" s="33">
        <f t="shared" si="129"/>
        <v>13.377502863026715</v>
      </c>
      <c r="AG219" s="40">
        <f t="shared" si="121"/>
        <v>17.944710631137823</v>
      </c>
      <c r="AH219" s="224">
        <f>AG219*$P$33</f>
        <v>1.5049986543118192</v>
      </c>
      <c r="AI219" s="227">
        <f t="shared" si="122"/>
        <v>26.646869080528592</v>
      </c>
    </row>
    <row r="220" spans="1:35" x14ac:dyDescent="0.35">
      <c r="A220" s="45">
        <v>1601</v>
      </c>
      <c r="B220" s="58">
        <f>SUMIF([2]!Table2_23[ETA],'FIS Optimal Model'!A220,[2]!Table2_23[FIS PAX])</f>
        <v>0</v>
      </c>
      <c r="C220" s="44">
        <f t="shared" si="123"/>
        <v>18</v>
      </c>
      <c r="D220" s="52">
        <f t="shared" si="127"/>
        <v>404</v>
      </c>
      <c r="E220" s="26">
        <f t="shared" si="111"/>
        <v>9.9503999999999984</v>
      </c>
      <c r="F220" s="26">
        <f t="shared" si="112"/>
        <v>4.2713999999999999</v>
      </c>
      <c r="G220" s="26">
        <f t="shared" si="113"/>
        <v>2.9447999999999999</v>
      </c>
      <c r="H220" s="26">
        <f t="shared" si="124"/>
        <v>0.83340000000000003</v>
      </c>
      <c r="I220" s="27">
        <f t="shared" si="130"/>
        <v>9.9503999999999984</v>
      </c>
      <c r="J220" s="27">
        <f t="shared" si="130"/>
        <v>4.2713999999999999</v>
      </c>
      <c r="K220" s="27">
        <f t="shared" si="130"/>
        <v>2.9447999999999999</v>
      </c>
      <c r="L220" s="27">
        <f t="shared" si="128"/>
        <v>0.83340000000000003</v>
      </c>
      <c r="M220" s="28">
        <f>IF(R219=0,0,$Q$18)</f>
        <v>4</v>
      </c>
      <c r="N220" s="29">
        <f>$U$18-M220-O220-P220</f>
        <v>6</v>
      </c>
      <c r="O220" s="28">
        <f>IF(T219=0,0,$S$18)</f>
        <v>1</v>
      </c>
      <c r="P220" s="28">
        <f>IF(U219=0,0,$T$18)</f>
        <v>0</v>
      </c>
      <c r="Q220" s="28">
        <f t="shared" si="114"/>
        <v>11</v>
      </c>
      <c r="R220" s="22">
        <f t="shared" si="115"/>
        <v>16.640297409993536</v>
      </c>
      <c r="S220" s="22">
        <f t="shared" si="116"/>
        <v>18.033250319661107</v>
      </c>
      <c r="T220" s="22">
        <f t="shared" si="117"/>
        <v>5.1037953188346989</v>
      </c>
      <c r="U220" s="22">
        <f t="shared" si="118"/>
        <v>0.83340000000000003</v>
      </c>
      <c r="V220" s="21">
        <f t="shared" si="135"/>
        <v>1.6800876279999974</v>
      </c>
      <c r="W220" s="21">
        <f t="shared" si="136"/>
        <v>5.155267457299999</v>
      </c>
      <c r="X220" s="21">
        <f t="shared" si="125"/>
        <v>1.7485960027999996</v>
      </c>
      <c r="Y220" s="21">
        <f t="shared" si="126"/>
        <v>0</v>
      </c>
      <c r="Z220" s="221">
        <f t="shared" si="119"/>
        <v>3</v>
      </c>
      <c r="AA220" s="30">
        <f t="shared" si="107"/>
        <v>8.4187589758827315</v>
      </c>
      <c r="AB220" s="30">
        <f t="shared" si="108"/>
        <v>2.9733205694316993</v>
      </c>
      <c r="AC220" s="30">
        <f t="shared" si="109"/>
        <v>2.4809767459508998</v>
      </c>
      <c r="AD220" s="30">
        <f t="shared" si="110"/>
        <v>0</v>
      </c>
      <c r="AE220" s="32">
        <f t="shared" si="120"/>
        <v>13.87305629126533</v>
      </c>
      <c r="AF220" s="33">
        <f t="shared" si="129"/>
        <v>13.377502863026715</v>
      </c>
      <c r="AG220" s="40">
        <f t="shared" si="121"/>
        <v>19.398807064712756</v>
      </c>
      <c r="AH220" s="224">
        <f>AG220*$P$33</f>
        <v>1.6269517590875817</v>
      </c>
      <c r="AI220" s="227">
        <f t="shared" si="122"/>
        <v>26.810383582307022</v>
      </c>
    </row>
    <row r="221" spans="1:35" x14ac:dyDescent="0.35">
      <c r="A221" s="45">
        <v>1602</v>
      </c>
      <c r="B221" s="58">
        <f>SUMIF([2]!Table2_23[ETA],'FIS Optimal Model'!A221,[2]!Table2_23[FIS PAX])</f>
        <v>0</v>
      </c>
      <c r="C221" s="44">
        <f t="shared" si="123"/>
        <v>18</v>
      </c>
      <c r="D221" s="52">
        <f t="shared" si="127"/>
        <v>386</v>
      </c>
      <c r="E221" s="26">
        <f t="shared" si="111"/>
        <v>9.9503999999999984</v>
      </c>
      <c r="F221" s="26">
        <f t="shared" si="112"/>
        <v>4.2713999999999999</v>
      </c>
      <c r="G221" s="26">
        <f t="shared" si="113"/>
        <v>2.9447999999999999</v>
      </c>
      <c r="H221" s="26">
        <f t="shared" si="124"/>
        <v>0.83340000000000003</v>
      </c>
      <c r="I221" s="27">
        <f t="shared" si="130"/>
        <v>9.9503999999999984</v>
      </c>
      <c r="J221" s="27">
        <f t="shared" si="130"/>
        <v>4.2713999999999999</v>
      </c>
      <c r="K221" s="27">
        <f t="shared" si="130"/>
        <v>2.9447999999999999</v>
      </c>
      <c r="L221" s="27">
        <f t="shared" si="128"/>
        <v>0.83340000000000003</v>
      </c>
      <c r="M221" s="28">
        <f>$M$220</f>
        <v>4</v>
      </c>
      <c r="N221" s="29">
        <f>$N$220</f>
        <v>6</v>
      </c>
      <c r="O221" s="28">
        <f>$O$220</f>
        <v>1</v>
      </c>
      <c r="P221" s="28">
        <f>$P$220</f>
        <v>0</v>
      </c>
      <c r="Q221" s="28">
        <f t="shared" si="114"/>
        <v>11</v>
      </c>
      <c r="R221" s="22">
        <f t="shared" si="115"/>
        <v>18.171938434110803</v>
      </c>
      <c r="S221" s="22">
        <f t="shared" si="116"/>
        <v>19.331329750229408</v>
      </c>
      <c r="T221" s="22">
        <f t="shared" si="117"/>
        <v>5.5676185728837986</v>
      </c>
      <c r="U221" s="22">
        <f t="shared" si="118"/>
        <v>1.6668000000000001</v>
      </c>
      <c r="V221" s="21">
        <f t="shared" si="135"/>
        <v>1.8347297639999973</v>
      </c>
      <c r="W221" s="21">
        <f t="shared" si="136"/>
        <v>5.5263567798999995</v>
      </c>
      <c r="X221" s="21">
        <f t="shared" si="125"/>
        <v>1.9075050963999995</v>
      </c>
      <c r="Y221" s="21">
        <f t="shared" si="126"/>
        <v>0</v>
      </c>
      <c r="Z221" s="221">
        <f t="shared" si="119"/>
        <v>3</v>
      </c>
      <c r="AA221" s="30">
        <f t="shared" si="107"/>
        <v>8.4187589758827315</v>
      </c>
      <c r="AB221" s="30">
        <f t="shared" si="108"/>
        <v>2.9733205694316993</v>
      </c>
      <c r="AC221" s="30">
        <f t="shared" si="109"/>
        <v>2.4809767459508998</v>
      </c>
      <c r="AD221" s="30">
        <f t="shared" si="110"/>
        <v>0</v>
      </c>
      <c r="AE221" s="32">
        <f t="shared" si="120"/>
        <v>13.87305629126533</v>
      </c>
      <c r="AF221" s="33">
        <f t="shared" si="129"/>
        <v>13.377502863026715</v>
      </c>
      <c r="AG221" s="40">
        <f t="shared" si="121"/>
        <v>20.852903498287688</v>
      </c>
      <c r="AH221" s="224">
        <f>AG221*$P$33</f>
        <v>1.7489048638633442</v>
      </c>
      <c r="AI221" s="227">
        <f t="shared" si="122"/>
        <v>26.973898084085455</v>
      </c>
    </row>
    <row r="222" spans="1:35" x14ac:dyDescent="0.35">
      <c r="A222" s="45">
        <v>1603</v>
      </c>
      <c r="B222" s="58">
        <f>SUMIF([2]!Table2_23[ETA],'FIS Optimal Model'!A222,[2]!Table2_23[FIS PAX])</f>
        <v>0</v>
      </c>
      <c r="C222" s="44">
        <f t="shared" si="123"/>
        <v>18</v>
      </c>
      <c r="D222" s="52">
        <f t="shared" si="127"/>
        <v>368</v>
      </c>
      <c r="E222" s="26">
        <f t="shared" si="111"/>
        <v>9.9503999999999984</v>
      </c>
      <c r="F222" s="26">
        <f t="shared" si="112"/>
        <v>4.2713999999999999</v>
      </c>
      <c r="G222" s="26">
        <f t="shared" si="113"/>
        <v>2.9447999999999999</v>
      </c>
      <c r="H222" s="26">
        <f t="shared" si="124"/>
        <v>0.83340000000000003</v>
      </c>
      <c r="I222" s="27">
        <f t="shared" si="130"/>
        <v>9.9503999999999984</v>
      </c>
      <c r="J222" s="27">
        <f t="shared" si="130"/>
        <v>4.2713999999999999</v>
      </c>
      <c r="K222" s="27">
        <f t="shared" si="130"/>
        <v>2.9447999999999999</v>
      </c>
      <c r="L222" s="27">
        <f t="shared" si="128"/>
        <v>0.83340000000000003</v>
      </c>
      <c r="M222" s="28">
        <f t="shared" ref="M222:M234" si="145">$M$220</f>
        <v>4</v>
      </c>
      <c r="N222" s="29">
        <f t="shared" ref="N222:N234" si="146">$N$220</f>
        <v>6</v>
      </c>
      <c r="O222" s="28">
        <f t="shared" ref="O222:O234" si="147">$O$220</f>
        <v>1</v>
      </c>
      <c r="P222" s="28">
        <f t="shared" ref="P222:P234" si="148">$P$220</f>
        <v>0</v>
      </c>
      <c r="Q222" s="28">
        <f t="shared" si="114"/>
        <v>11</v>
      </c>
      <c r="R222" s="22">
        <f t="shared" si="115"/>
        <v>19.70357945822807</v>
      </c>
      <c r="S222" s="22">
        <f t="shared" si="116"/>
        <v>20.629409180797708</v>
      </c>
      <c r="T222" s="22">
        <f t="shared" si="117"/>
        <v>6.0314418269328982</v>
      </c>
      <c r="U222" s="22">
        <f t="shared" si="118"/>
        <v>2.5002</v>
      </c>
      <c r="V222" s="21">
        <f t="shared" si="135"/>
        <v>1.989371899999997</v>
      </c>
      <c r="W222" s="21">
        <f t="shared" si="136"/>
        <v>5.8974461024999991</v>
      </c>
      <c r="X222" s="21">
        <f t="shared" si="125"/>
        <v>2.0664141899999993</v>
      </c>
      <c r="Y222" s="21">
        <f t="shared" si="126"/>
        <v>0</v>
      </c>
      <c r="Z222" s="221">
        <f t="shared" si="119"/>
        <v>3</v>
      </c>
      <c r="AA222" s="30">
        <f t="shared" si="107"/>
        <v>8.4187589758827315</v>
      </c>
      <c r="AB222" s="30">
        <f t="shared" si="108"/>
        <v>2.9733205694316993</v>
      </c>
      <c r="AC222" s="30">
        <f t="shared" si="109"/>
        <v>2.4809767459508998</v>
      </c>
      <c r="AD222" s="30">
        <f t="shared" si="110"/>
        <v>0</v>
      </c>
      <c r="AE222" s="32">
        <f t="shared" si="120"/>
        <v>13.87305629126533</v>
      </c>
      <c r="AF222" s="33">
        <f t="shared" si="129"/>
        <v>13.377502863026715</v>
      </c>
      <c r="AG222" s="40">
        <f t="shared" si="121"/>
        <v>22.30699993186262</v>
      </c>
      <c r="AH222" s="224">
        <f>AG222*$P$33</f>
        <v>1.8708579686391065</v>
      </c>
      <c r="AI222" s="227">
        <f t="shared" si="122"/>
        <v>27.137412585863885</v>
      </c>
    </row>
    <row r="223" spans="1:35" x14ac:dyDescent="0.35">
      <c r="A223" s="45">
        <v>1604</v>
      </c>
      <c r="B223" s="58">
        <f>SUMIF([2]!Table2_23[ETA],'FIS Optimal Model'!A223,[2]!Table2_23[FIS PAX])</f>
        <v>0</v>
      </c>
      <c r="C223" s="44">
        <f t="shared" si="123"/>
        <v>18</v>
      </c>
      <c r="D223" s="52">
        <f t="shared" si="127"/>
        <v>350</v>
      </c>
      <c r="E223" s="26">
        <f t="shared" si="111"/>
        <v>9.9503999999999984</v>
      </c>
      <c r="F223" s="26">
        <f t="shared" si="112"/>
        <v>4.2713999999999999</v>
      </c>
      <c r="G223" s="26">
        <f t="shared" si="113"/>
        <v>2.9447999999999999</v>
      </c>
      <c r="H223" s="26">
        <f t="shared" si="124"/>
        <v>0.83340000000000003</v>
      </c>
      <c r="I223" s="27">
        <f t="shared" si="130"/>
        <v>9.9503999999999984</v>
      </c>
      <c r="J223" s="27">
        <f t="shared" si="130"/>
        <v>4.2713999999999999</v>
      </c>
      <c r="K223" s="27">
        <f t="shared" si="130"/>
        <v>2.9447999999999999</v>
      </c>
      <c r="L223" s="27">
        <f t="shared" si="128"/>
        <v>0.83340000000000003</v>
      </c>
      <c r="M223" s="28">
        <f t="shared" si="145"/>
        <v>4</v>
      </c>
      <c r="N223" s="29">
        <f t="shared" si="146"/>
        <v>6</v>
      </c>
      <c r="O223" s="28">
        <f t="shared" si="147"/>
        <v>1</v>
      </c>
      <c r="P223" s="28">
        <f t="shared" si="148"/>
        <v>0</v>
      </c>
      <c r="Q223" s="28">
        <f t="shared" si="114"/>
        <v>11</v>
      </c>
      <c r="R223" s="22">
        <f t="shared" si="115"/>
        <v>21.235220482345337</v>
      </c>
      <c r="S223" s="22">
        <f t="shared" si="116"/>
        <v>21.927488611366009</v>
      </c>
      <c r="T223" s="22">
        <f t="shared" si="117"/>
        <v>6.4952650809819978</v>
      </c>
      <c r="U223" s="22">
        <f t="shared" si="118"/>
        <v>3.3336000000000001</v>
      </c>
      <c r="V223" s="21">
        <f t="shared" si="135"/>
        <v>2.1440140359999971</v>
      </c>
      <c r="W223" s="21">
        <f t="shared" si="136"/>
        <v>6.2685354250999996</v>
      </c>
      <c r="X223" s="21">
        <f t="shared" si="125"/>
        <v>2.2253232835999994</v>
      </c>
      <c r="Y223" s="21">
        <f t="shared" si="126"/>
        <v>0</v>
      </c>
      <c r="Z223" s="221">
        <f t="shared" si="119"/>
        <v>4</v>
      </c>
      <c r="AA223" s="30">
        <f t="shared" si="107"/>
        <v>8.4187589758827315</v>
      </c>
      <c r="AB223" s="30">
        <f t="shared" si="108"/>
        <v>2.9733205694316993</v>
      </c>
      <c r="AC223" s="30">
        <f t="shared" si="109"/>
        <v>2.4809767459508998</v>
      </c>
      <c r="AD223" s="30">
        <f t="shared" si="110"/>
        <v>0</v>
      </c>
      <c r="AE223" s="32">
        <f t="shared" si="120"/>
        <v>13.87305629126533</v>
      </c>
      <c r="AF223" s="33">
        <f t="shared" si="129"/>
        <v>13.377502863026715</v>
      </c>
      <c r="AG223" s="40">
        <f t="shared" si="121"/>
        <v>23.761096365437552</v>
      </c>
      <c r="AH223" s="224">
        <f>AG223*$P$33</f>
        <v>1.992811073414869</v>
      </c>
      <c r="AI223" s="227">
        <f t="shared" si="122"/>
        <v>28.464441589420748</v>
      </c>
    </row>
    <row r="224" spans="1:35" x14ac:dyDescent="0.35">
      <c r="A224" s="45">
        <v>1605</v>
      </c>
      <c r="B224" s="58">
        <f>SUMIF([2]!Table2_23[ETA],'FIS Optimal Model'!A224,[2]!Table2_23[FIS PAX])</f>
        <v>0</v>
      </c>
      <c r="C224" s="44">
        <f t="shared" si="123"/>
        <v>18</v>
      </c>
      <c r="D224" s="52">
        <f t="shared" si="127"/>
        <v>332</v>
      </c>
      <c r="E224" s="26">
        <f t="shared" si="111"/>
        <v>9.9503999999999984</v>
      </c>
      <c r="F224" s="26">
        <f t="shared" si="112"/>
        <v>4.2713999999999999</v>
      </c>
      <c r="G224" s="26">
        <f t="shared" si="113"/>
        <v>2.9447999999999999</v>
      </c>
      <c r="H224" s="26">
        <f t="shared" si="124"/>
        <v>0.83340000000000003</v>
      </c>
      <c r="I224" s="27">
        <f t="shared" si="130"/>
        <v>9.9503999999999984</v>
      </c>
      <c r="J224" s="27">
        <f t="shared" si="130"/>
        <v>4.2713999999999999</v>
      </c>
      <c r="K224" s="27">
        <f t="shared" si="130"/>
        <v>2.9447999999999999</v>
      </c>
      <c r="L224" s="27">
        <f t="shared" si="128"/>
        <v>0.83340000000000003</v>
      </c>
      <c r="M224" s="28">
        <f t="shared" si="145"/>
        <v>4</v>
      </c>
      <c r="N224" s="29">
        <f t="shared" si="146"/>
        <v>6</v>
      </c>
      <c r="O224" s="28">
        <f t="shared" si="147"/>
        <v>1</v>
      </c>
      <c r="P224" s="28">
        <f t="shared" si="148"/>
        <v>0</v>
      </c>
      <c r="Q224" s="28">
        <f t="shared" si="114"/>
        <v>11</v>
      </c>
      <c r="R224" s="22">
        <f t="shared" si="115"/>
        <v>22.766861506462604</v>
      </c>
      <c r="S224" s="22">
        <f t="shared" si="116"/>
        <v>23.225568041934309</v>
      </c>
      <c r="T224" s="22">
        <f t="shared" si="117"/>
        <v>6.9590883350310984</v>
      </c>
      <c r="U224" s="22">
        <f t="shared" si="118"/>
        <v>4.1669999999999998</v>
      </c>
      <c r="V224" s="21">
        <f t="shared" si="135"/>
        <v>2.2986561719999967</v>
      </c>
      <c r="W224" s="21">
        <f t="shared" si="136"/>
        <v>6.6396247476999992</v>
      </c>
      <c r="X224" s="21">
        <f t="shared" si="125"/>
        <v>2.3842323771999996</v>
      </c>
      <c r="Y224" s="21">
        <f t="shared" si="126"/>
        <v>0</v>
      </c>
      <c r="Z224" s="221">
        <f t="shared" si="119"/>
        <v>4</v>
      </c>
      <c r="AA224" s="30">
        <f t="shared" si="107"/>
        <v>8.4187589758827315</v>
      </c>
      <c r="AB224" s="30">
        <f t="shared" si="108"/>
        <v>2.9733205694316993</v>
      </c>
      <c r="AC224" s="30">
        <f t="shared" si="109"/>
        <v>2.4809767459508998</v>
      </c>
      <c r="AD224" s="30">
        <f t="shared" si="110"/>
        <v>0</v>
      </c>
      <c r="AE224" s="32">
        <f t="shared" si="120"/>
        <v>13.87305629126533</v>
      </c>
      <c r="AF224" s="33">
        <f t="shared" si="129"/>
        <v>13.87305629126533</v>
      </c>
      <c r="AG224" s="40">
        <f t="shared" si="121"/>
        <v>25.7107462272511</v>
      </c>
      <c r="AH224" s="224">
        <f>AG224*$P$33</f>
        <v>2.1563255751932999</v>
      </c>
      <c r="AI224" s="227">
        <f t="shared" si="122"/>
        <v>28.627956091199177</v>
      </c>
    </row>
    <row r="225" spans="1:35" x14ac:dyDescent="0.35">
      <c r="A225" s="45">
        <v>1606</v>
      </c>
      <c r="B225" s="58">
        <f>SUMIF([2]!Table2_23[ETA],'FIS Optimal Model'!A225,[2]!Table2_23[FIS PAX])</f>
        <v>0</v>
      </c>
      <c r="C225" s="44">
        <f t="shared" si="123"/>
        <v>18</v>
      </c>
      <c r="D225" s="52">
        <f t="shared" si="127"/>
        <v>314</v>
      </c>
      <c r="E225" s="26">
        <f t="shared" si="111"/>
        <v>9.9503999999999984</v>
      </c>
      <c r="F225" s="26">
        <f t="shared" si="112"/>
        <v>4.2713999999999999</v>
      </c>
      <c r="G225" s="26">
        <f t="shared" si="113"/>
        <v>2.9447999999999999</v>
      </c>
      <c r="H225" s="26">
        <f t="shared" si="124"/>
        <v>0.83340000000000003</v>
      </c>
      <c r="I225" s="27">
        <f t="shared" si="130"/>
        <v>9.9503999999999984</v>
      </c>
      <c r="J225" s="27">
        <f t="shared" si="130"/>
        <v>4.2713999999999999</v>
      </c>
      <c r="K225" s="27">
        <f t="shared" si="130"/>
        <v>2.9447999999999999</v>
      </c>
      <c r="L225" s="27">
        <f t="shared" si="128"/>
        <v>0.83340000000000003</v>
      </c>
      <c r="M225" s="28">
        <f t="shared" si="145"/>
        <v>4</v>
      </c>
      <c r="N225" s="29">
        <f t="shared" si="146"/>
        <v>6</v>
      </c>
      <c r="O225" s="28">
        <f t="shared" si="147"/>
        <v>1</v>
      </c>
      <c r="P225" s="28">
        <f t="shared" si="148"/>
        <v>0</v>
      </c>
      <c r="Q225" s="28">
        <f t="shared" si="114"/>
        <v>11</v>
      </c>
      <c r="R225" s="22">
        <f t="shared" si="115"/>
        <v>24.298502530579871</v>
      </c>
      <c r="S225" s="22">
        <f t="shared" si="116"/>
        <v>24.52364747250261</v>
      </c>
      <c r="T225" s="22">
        <f t="shared" si="117"/>
        <v>7.422911589080198</v>
      </c>
      <c r="U225" s="22">
        <f t="shared" si="118"/>
        <v>5.0004</v>
      </c>
      <c r="V225" s="21">
        <f t="shared" si="135"/>
        <v>2.4532983079999968</v>
      </c>
      <c r="W225" s="21">
        <f t="shared" si="136"/>
        <v>7.0107140702999997</v>
      </c>
      <c r="X225" s="21">
        <f t="shared" si="125"/>
        <v>2.5431414707999993</v>
      </c>
      <c r="Y225" s="21">
        <f t="shared" si="126"/>
        <v>0</v>
      </c>
      <c r="Z225" s="221">
        <f t="shared" si="119"/>
        <v>4</v>
      </c>
      <c r="AA225" s="30">
        <f t="shared" si="107"/>
        <v>8.4187589758827315</v>
      </c>
      <c r="AB225" s="30">
        <f t="shared" si="108"/>
        <v>2.9733205694316993</v>
      </c>
      <c r="AC225" s="30">
        <f t="shared" si="109"/>
        <v>2.4809767459508998</v>
      </c>
      <c r="AD225" s="30">
        <f t="shared" si="110"/>
        <v>0</v>
      </c>
      <c r="AE225" s="32">
        <f t="shared" si="120"/>
        <v>13.87305629126533</v>
      </c>
      <c r="AF225" s="33">
        <f t="shared" si="129"/>
        <v>13.87305629126533</v>
      </c>
      <c r="AG225" s="40">
        <f t="shared" si="121"/>
        <v>27.660396089064648</v>
      </c>
      <c r="AH225" s="224">
        <f>AG225*$P$33</f>
        <v>2.3198400769717309</v>
      </c>
      <c r="AI225" s="227">
        <f t="shared" si="122"/>
        <v>28.79147059297761</v>
      </c>
    </row>
    <row r="226" spans="1:35" x14ac:dyDescent="0.35">
      <c r="A226" s="45">
        <v>1607</v>
      </c>
      <c r="B226" s="58">
        <f>SUMIF([2]!Table2_23[ETA],'FIS Optimal Model'!A226,[2]!Table2_23[FIS PAX])</f>
        <v>0</v>
      </c>
      <c r="C226" s="44">
        <f t="shared" si="123"/>
        <v>18</v>
      </c>
      <c r="D226" s="52">
        <f t="shared" si="127"/>
        <v>296</v>
      </c>
      <c r="E226" s="26">
        <f t="shared" si="111"/>
        <v>9.9503999999999984</v>
      </c>
      <c r="F226" s="26">
        <f t="shared" si="112"/>
        <v>4.2713999999999999</v>
      </c>
      <c r="G226" s="26">
        <f t="shared" si="113"/>
        <v>2.9447999999999999</v>
      </c>
      <c r="H226" s="26">
        <f t="shared" si="124"/>
        <v>0.83340000000000003</v>
      </c>
      <c r="I226" s="27">
        <f t="shared" si="130"/>
        <v>9.9503999999999984</v>
      </c>
      <c r="J226" s="27">
        <f t="shared" si="130"/>
        <v>4.2713999999999999</v>
      </c>
      <c r="K226" s="27">
        <f t="shared" si="130"/>
        <v>2.9447999999999999</v>
      </c>
      <c r="L226" s="27">
        <f t="shared" si="128"/>
        <v>0.83340000000000003</v>
      </c>
      <c r="M226" s="28">
        <f t="shared" si="145"/>
        <v>4</v>
      </c>
      <c r="N226" s="29">
        <f t="shared" si="146"/>
        <v>6</v>
      </c>
      <c r="O226" s="28">
        <f t="shared" si="147"/>
        <v>1</v>
      </c>
      <c r="P226" s="28">
        <f t="shared" si="148"/>
        <v>0</v>
      </c>
      <c r="Q226" s="28">
        <f t="shared" si="114"/>
        <v>11</v>
      </c>
      <c r="R226" s="22">
        <f t="shared" si="115"/>
        <v>25.830143554697138</v>
      </c>
      <c r="S226" s="22">
        <f t="shared" si="116"/>
        <v>25.82172690307091</v>
      </c>
      <c r="T226" s="22">
        <f t="shared" si="117"/>
        <v>7.8867348431292976</v>
      </c>
      <c r="U226" s="22">
        <f t="shared" si="118"/>
        <v>5.8338000000000001</v>
      </c>
      <c r="V226" s="21">
        <f t="shared" si="135"/>
        <v>2.6079404439999965</v>
      </c>
      <c r="W226" s="21">
        <f t="shared" si="136"/>
        <v>7.3818033928999993</v>
      </c>
      <c r="X226" s="21">
        <f t="shared" si="125"/>
        <v>2.702050564399999</v>
      </c>
      <c r="Y226" s="21">
        <f t="shared" si="126"/>
        <v>0</v>
      </c>
      <c r="Z226" s="221">
        <f t="shared" si="119"/>
        <v>4</v>
      </c>
      <c r="AA226" s="30">
        <f t="shared" si="107"/>
        <v>8.4187589758827315</v>
      </c>
      <c r="AB226" s="30">
        <f t="shared" si="108"/>
        <v>2.9733205694316993</v>
      </c>
      <c r="AC226" s="30">
        <f t="shared" si="109"/>
        <v>2.4809767459508998</v>
      </c>
      <c r="AD226" s="30">
        <f t="shared" si="110"/>
        <v>0</v>
      </c>
      <c r="AE226" s="32">
        <f t="shared" si="120"/>
        <v>13.87305629126533</v>
      </c>
      <c r="AF226" s="33">
        <f t="shared" si="129"/>
        <v>13.87305629126533</v>
      </c>
      <c r="AG226" s="40">
        <f t="shared" si="121"/>
        <v>29.610045950878195</v>
      </c>
      <c r="AH226" s="224">
        <f>AG226*$P$33</f>
        <v>2.4833545787501619</v>
      </c>
      <c r="AI226" s="227">
        <f t="shared" si="122"/>
        <v>28.95498509475604</v>
      </c>
    </row>
    <row r="227" spans="1:35" x14ac:dyDescent="0.35">
      <c r="A227" s="45">
        <v>1608</v>
      </c>
      <c r="B227" s="58">
        <f>SUMIF([2]!Table2_23[ETA],'FIS Optimal Model'!A227,[2]!Table2_23[FIS PAX])</f>
        <v>0</v>
      </c>
      <c r="C227" s="44">
        <f t="shared" si="123"/>
        <v>18</v>
      </c>
      <c r="D227" s="52">
        <f t="shared" si="127"/>
        <v>278</v>
      </c>
      <c r="E227" s="26">
        <f t="shared" si="111"/>
        <v>9.9503999999999984</v>
      </c>
      <c r="F227" s="26">
        <f t="shared" si="112"/>
        <v>4.2713999999999999</v>
      </c>
      <c r="G227" s="26">
        <f t="shared" si="113"/>
        <v>2.9447999999999999</v>
      </c>
      <c r="H227" s="26">
        <f t="shared" si="124"/>
        <v>0.83340000000000003</v>
      </c>
      <c r="I227" s="27">
        <f t="shared" si="130"/>
        <v>9.9503999999999984</v>
      </c>
      <c r="J227" s="27">
        <f t="shared" si="130"/>
        <v>4.2713999999999999</v>
      </c>
      <c r="K227" s="27">
        <f t="shared" si="130"/>
        <v>2.9447999999999999</v>
      </c>
      <c r="L227" s="27">
        <f t="shared" si="128"/>
        <v>0.83340000000000003</v>
      </c>
      <c r="M227" s="28">
        <f t="shared" si="145"/>
        <v>4</v>
      </c>
      <c r="N227" s="29">
        <f t="shared" si="146"/>
        <v>6</v>
      </c>
      <c r="O227" s="28">
        <f t="shared" si="147"/>
        <v>1</v>
      </c>
      <c r="P227" s="28">
        <f t="shared" si="148"/>
        <v>0</v>
      </c>
      <c r="Q227" s="28">
        <f t="shared" si="114"/>
        <v>11</v>
      </c>
      <c r="R227" s="22">
        <f t="shared" si="115"/>
        <v>27.361784578814405</v>
      </c>
      <c r="S227" s="22">
        <f t="shared" si="116"/>
        <v>27.119806333639211</v>
      </c>
      <c r="T227" s="22">
        <f t="shared" si="117"/>
        <v>8.3505580971783964</v>
      </c>
      <c r="U227" s="22">
        <f t="shared" si="118"/>
        <v>6.6672000000000002</v>
      </c>
      <c r="V227" s="21">
        <f t="shared" si="135"/>
        <v>2.7625825799999961</v>
      </c>
      <c r="W227" s="21">
        <f t="shared" si="136"/>
        <v>7.7528927154999989</v>
      </c>
      <c r="X227" s="21">
        <f t="shared" si="125"/>
        <v>2.8609596579999987</v>
      </c>
      <c r="Y227" s="21">
        <f t="shared" si="126"/>
        <v>0</v>
      </c>
      <c r="Z227" s="221">
        <f t="shared" si="119"/>
        <v>4</v>
      </c>
      <c r="AA227" s="30">
        <f t="shared" si="107"/>
        <v>8.4187589758827315</v>
      </c>
      <c r="AB227" s="30">
        <f t="shared" si="108"/>
        <v>2.9733205694316993</v>
      </c>
      <c r="AC227" s="30">
        <f t="shared" si="109"/>
        <v>2.4809767459508998</v>
      </c>
      <c r="AD227" s="30">
        <f t="shared" si="110"/>
        <v>0</v>
      </c>
      <c r="AE227" s="32">
        <f t="shared" si="120"/>
        <v>13.87305629126533</v>
      </c>
      <c r="AF227" s="33">
        <f t="shared" si="129"/>
        <v>13.87305629126533</v>
      </c>
      <c r="AG227" s="40">
        <f t="shared" si="121"/>
        <v>31.559695812691743</v>
      </c>
      <c r="AH227" s="224">
        <f>AG227*$P$33</f>
        <v>2.6468690805285928</v>
      </c>
      <c r="AI227" s="227">
        <f t="shared" si="122"/>
        <v>29.11849959653447</v>
      </c>
    </row>
    <row r="228" spans="1:35" x14ac:dyDescent="0.35">
      <c r="A228" s="45">
        <v>1609</v>
      </c>
      <c r="B228" s="58">
        <f>SUMIF([2]!Table2_23[ETA],'FIS Optimal Model'!A228,[2]!Table2_23[FIS PAX])</f>
        <v>0</v>
      </c>
      <c r="C228" s="44">
        <f t="shared" si="123"/>
        <v>18</v>
      </c>
      <c r="D228" s="52">
        <f t="shared" si="127"/>
        <v>260</v>
      </c>
      <c r="E228" s="26">
        <f t="shared" si="111"/>
        <v>9.9503999999999984</v>
      </c>
      <c r="F228" s="26">
        <f t="shared" si="112"/>
        <v>4.2713999999999999</v>
      </c>
      <c r="G228" s="26">
        <f t="shared" si="113"/>
        <v>2.9447999999999999</v>
      </c>
      <c r="H228" s="26">
        <f t="shared" si="124"/>
        <v>0.83340000000000003</v>
      </c>
      <c r="I228" s="27">
        <f t="shared" si="130"/>
        <v>9.9503999999999984</v>
      </c>
      <c r="J228" s="27">
        <f t="shared" si="130"/>
        <v>4.2713999999999999</v>
      </c>
      <c r="K228" s="27">
        <f t="shared" si="130"/>
        <v>2.9447999999999999</v>
      </c>
      <c r="L228" s="27">
        <f t="shared" si="128"/>
        <v>0.83340000000000003</v>
      </c>
      <c r="M228" s="28">
        <f t="shared" si="145"/>
        <v>4</v>
      </c>
      <c r="N228" s="29">
        <f t="shared" si="146"/>
        <v>6</v>
      </c>
      <c r="O228" s="28">
        <f t="shared" si="147"/>
        <v>1</v>
      </c>
      <c r="P228" s="28">
        <f t="shared" si="148"/>
        <v>0</v>
      </c>
      <c r="Q228" s="28">
        <f t="shared" si="114"/>
        <v>11</v>
      </c>
      <c r="R228" s="22">
        <f t="shared" si="115"/>
        <v>28.893425602931671</v>
      </c>
      <c r="S228" s="22">
        <f t="shared" si="116"/>
        <v>28.417885764207512</v>
      </c>
      <c r="T228" s="22">
        <f t="shared" si="117"/>
        <v>8.814381351227496</v>
      </c>
      <c r="U228" s="22">
        <f t="shared" si="118"/>
        <v>7.5006000000000004</v>
      </c>
      <c r="V228" s="21">
        <f t="shared" si="135"/>
        <v>2.9172247159999962</v>
      </c>
      <c r="W228" s="21">
        <f t="shared" si="136"/>
        <v>8.1239820380999994</v>
      </c>
      <c r="X228" s="21">
        <f t="shared" si="125"/>
        <v>3.0198687515999985</v>
      </c>
      <c r="Y228" s="21">
        <f t="shared" si="126"/>
        <v>0</v>
      </c>
      <c r="Z228" s="221">
        <f t="shared" si="119"/>
        <v>5</v>
      </c>
      <c r="AA228" s="30">
        <f t="shared" si="107"/>
        <v>8.4187589758827315</v>
      </c>
      <c r="AB228" s="30">
        <f t="shared" si="108"/>
        <v>2.9733205694316993</v>
      </c>
      <c r="AC228" s="30">
        <f t="shared" si="109"/>
        <v>2.4809767459508998</v>
      </c>
      <c r="AD228" s="30">
        <f t="shared" si="110"/>
        <v>0</v>
      </c>
      <c r="AE228" s="32">
        <f t="shared" si="120"/>
        <v>13.87305629126533</v>
      </c>
      <c r="AF228" s="33">
        <f t="shared" si="129"/>
        <v>13.87305629126533</v>
      </c>
      <c r="AG228" s="40">
        <f t="shared" si="121"/>
        <v>33.50934567450529</v>
      </c>
      <c r="AH228" s="224">
        <f>AG228*$P$33</f>
        <v>2.8103835823070233</v>
      </c>
      <c r="AI228" s="227">
        <f t="shared" si="122"/>
        <v>30.445528600091333</v>
      </c>
    </row>
    <row r="229" spans="1:35" x14ac:dyDescent="0.35">
      <c r="A229" s="45">
        <v>1610</v>
      </c>
      <c r="B229" s="58">
        <f>SUMIF([2]!Table2_23[ETA],'FIS Optimal Model'!A229,[2]!Table2_23[FIS PAX])</f>
        <v>0</v>
      </c>
      <c r="C229" s="44">
        <f t="shared" si="123"/>
        <v>18</v>
      </c>
      <c r="D229" s="52">
        <f t="shared" si="127"/>
        <v>242</v>
      </c>
      <c r="E229" s="26">
        <f t="shared" si="111"/>
        <v>9.9503999999999984</v>
      </c>
      <c r="F229" s="26">
        <f t="shared" si="112"/>
        <v>4.2713999999999999</v>
      </c>
      <c r="G229" s="26">
        <f t="shared" si="113"/>
        <v>2.9447999999999999</v>
      </c>
      <c r="H229" s="26">
        <f t="shared" si="124"/>
        <v>0.83340000000000003</v>
      </c>
      <c r="I229" s="27">
        <f t="shared" si="130"/>
        <v>9.9503999999999984</v>
      </c>
      <c r="J229" s="27">
        <f t="shared" si="130"/>
        <v>4.2713999999999999</v>
      </c>
      <c r="K229" s="27">
        <f t="shared" si="130"/>
        <v>2.9447999999999999</v>
      </c>
      <c r="L229" s="27">
        <f t="shared" si="128"/>
        <v>0.83340000000000003</v>
      </c>
      <c r="M229" s="28">
        <f t="shared" si="145"/>
        <v>4</v>
      </c>
      <c r="N229" s="29">
        <f t="shared" si="146"/>
        <v>6</v>
      </c>
      <c r="O229" s="28">
        <f t="shared" si="147"/>
        <v>1</v>
      </c>
      <c r="P229" s="28">
        <f t="shared" si="148"/>
        <v>0</v>
      </c>
      <c r="Q229" s="28">
        <f t="shared" si="114"/>
        <v>11</v>
      </c>
      <c r="R229" s="22">
        <f t="shared" si="115"/>
        <v>30.425066627048938</v>
      </c>
      <c r="S229" s="22">
        <f t="shared" si="116"/>
        <v>29.715965194775812</v>
      </c>
      <c r="T229" s="22">
        <f t="shared" si="117"/>
        <v>9.2782046052765956</v>
      </c>
      <c r="U229" s="22">
        <f t="shared" si="118"/>
        <v>8.3339999999999996</v>
      </c>
      <c r="V229" s="21">
        <f t="shared" si="135"/>
        <v>3.0718668519999959</v>
      </c>
      <c r="W229" s="21">
        <f t="shared" si="136"/>
        <v>8.495071360699999</v>
      </c>
      <c r="X229" s="21">
        <f t="shared" si="125"/>
        <v>3.1787778451999986</v>
      </c>
      <c r="Y229" s="21">
        <f t="shared" si="126"/>
        <v>0</v>
      </c>
      <c r="Z229" s="221">
        <f t="shared" si="119"/>
        <v>5</v>
      </c>
      <c r="AA229" s="30">
        <f t="shared" si="107"/>
        <v>8.4187589758827315</v>
      </c>
      <c r="AB229" s="30">
        <f t="shared" si="108"/>
        <v>2.9733205694316993</v>
      </c>
      <c r="AC229" s="30">
        <f t="shared" si="109"/>
        <v>2.4809767459508998</v>
      </c>
      <c r="AD229" s="30">
        <f t="shared" si="110"/>
        <v>0</v>
      </c>
      <c r="AE229" s="32">
        <f t="shared" si="120"/>
        <v>13.87305629126533</v>
      </c>
      <c r="AF229" s="33">
        <f t="shared" si="129"/>
        <v>13.87305629126533</v>
      </c>
      <c r="AG229" s="40">
        <f t="shared" si="121"/>
        <v>35.458995536318838</v>
      </c>
      <c r="AH229" s="224">
        <f>AG229*$P$33</f>
        <v>2.9738980840854543</v>
      </c>
      <c r="AI229" s="227">
        <f t="shared" si="122"/>
        <v>30.586536387182242</v>
      </c>
    </row>
    <row r="230" spans="1:35" x14ac:dyDescent="0.35">
      <c r="A230" s="45">
        <v>1611</v>
      </c>
      <c r="B230" s="58">
        <f>SUMIF([2]!Table2_23[ETA],'FIS Optimal Model'!A230,[2]!Table2_23[FIS PAX])</f>
        <v>0</v>
      </c>
      <c r="C230" s="44">
        <f t="shared" si="123"/>
        <v>18</v>
      </c>
      <c r="D230" s="52">
        <f t="shared" si="127"/>
        <v>224</v>
      </c>
      <c r="E230" s="26">
        <f t="shared" si="111"/>
        <v>9.9503999999999984</v>
      </c>
      <c r="F230" s="26">
        <f t="shared" si="112"/>
        <v>4.2713999999999999</v>
      </c>
      <c r="G230" s="26">
        <f t="shared" si="113"/>
        <v>2.9447999999999999</v>
      </c>
      <c r="H230" s="26">
        <f t="shared" si="124"/>
        <v>0.83340000000000003</v>
      </c>
      <c r="I230" s="27">
        <f t="shared" si="130"/>
        <v>9.9503999999999984</v>
      </c>
      <c r="J230" s="27">
        <f t="shared" si="130"/>
        <v>4.2713999999999999</v>
      </c>
      <c r="K230" s="27">
        <f t="shared" si="130"/>
        <v>2.9447999999999999</v>
      </c>
      <c r="L230" s="27">
        <f t="shared" si="128"/>
        <v>0.83340000000000003</v>
      </c>
      <c r="M230" s="28">
        <f t="shared" si="145"/>
        <v>4</v>
      </c>
      <c r="N230" s="29">
        <f t="shared" si="146"/>
        <v>6</v>
      </c>
      <c r="O230" s="28">
        <f t="shared" si="147"/>
        <v>1</v>
      </c>
      <c r="P230" s="28">
        <f t="shared" si="148"/>
        <v>0</v>
      </c>
      <c r="Q230" s="28">
        <f t="shared" si="114"/>
        <v>11</v>
      </c>
      <c r="R230" s="22">
        <f t="shared" si="115"/>
        <v>31.956707651166205</v>
      </c>
      <c r="S230" s="22">
        <f t="shared" si="116"/>
        <v>31.014044625344113</v>
      </c>
      <c r="T230" s="22">
        <f t="shared" si="117"/>
        <v>9.7420278593256953</v>
      </c>
      <c r="U230" s="22">
        <f t="shared" si="118"/>
        <v>9.1673999999999989</v>
      </c>
      <c r="V230" s="21">
        <f t="shared" si="135"/>
        <v>3.226508987999996</v>
      </c>
      <c r="W230" s="21">
        <f t="shared" si="136"/>
        <v>8.8661606832999986</v>
      </c>
      <c r="X230" s="21">
        <f t="shared" si="125"/>
        <v>3.3376869387999983</v>
      </c>
      <c r="Y230" s="21">
        <f t="shared" si="126"/>
        <v>0</v>
      </c>
      <c r="Z230" s="221">
        <f t="shared" si="119"/>
        <v>5</v>
      </c>
      <c r="AA230" s="30">
        <f t="shared" si="107"/>
        <v>8.4187589758827315</v>
      </c>
      <c r="AB230" s="30">
        <f t="shared" si="108"/>
        <v>2.9733205694316993</v>
      </c>
      <c r="AC230" s="30">
        <f t="shared" si="109"/>
        <v>2.4809767459508998</v>
      </c>
      <c r="AD230" s="30">
        <f t="shared" si="110"/>
        <v>0</v>
      </c>
      <c r="AE230" s="32">
        <f t="shared" si="120"/>
        <v>13.87305629126533</v>
      </c>
      <c r="AF230" s="33">
        <f t="shared" si="129"/>
        <v>13.87305629126533</v>
      </c>
      <c r="AG230" s="40">
        <f t="shared" si="121"/>
        <v>37.408645398132386</v>
      </c>
      <c r="AH230" s="224">
        <f>AG230*$P$33</f>
        <v>3.1374125858638853</v>
      </c>
      <c r="AI230" s="227">
        <f t="shared" si="122"/>
        <v>30.727544174273152</v>
      </c>
    </row>
    <row r="231" spans="1:35" x14ac:dyDescent="0.35">
      <c r="A231" s="45">
        <v>1612</v>
      </c>
      <c r="B231" s="58">
        <f>SUMIF([2]!Table2_23[ETA],'FIS Optimal Model'!A231,[2]!Table2_23[FIS PAX])</f>
        <v>0</v>
      </c>
      <c r="C231" s="44">
        <f t="shared" si="123"/>
        <v>18</v>
      </c>
      <c r="D231" s="52">
        <f t="shared" si="127"/>
        <v>206</v>
      </c>
      <c r="E231" s="26">
        <f t="shared" si="111"/>
        <v>9.9503999999999984</v>
      </c>
      <c r="F231" s="26">
        <f t="shared" si="112"/>
        <v>4.2713999999999999</v>
      </c>
      <c r="G231" s="26">
        <f t="shared" si="113"/>
        <v>2.9447999999999999</v>
      </c>
      <c r="H231" s="26">
        <f t="shared" si="124"/>
        <v>0.83340000000000003</v>
      </c>
      <c r="I231" s="27">
        <f t="shared" si="130"/>
        <v>9.9503999999999984</v>
      </c>
      <c r="J231" s="27">
        <f t="shared" si="130"/>
        <v>4.2713999999999999</v>
      </c>
      <c r="K231" s="27">
        <f t="shared" si="130"/>
        <v>2.9447999999999999</v>
      </c>
      <c r="L231" s="27">
        <f t="shared" si="128"/>
        <v>0.83340000000000003</v>
      </c>
      <c r="M231" s="28">
        <f t="shared" si="145"/>
        <v>4</v>
      </c>
      <c r="N231" s="29">
        <f t="shared" si="146"/>
        <v>6</v>
      </c>
      <c r="O231" s="28">
        <f t="shared" si="147"/>
        <v>1</v>
      </c>
      <c r="P231" s="28">
        <f t="shared" si="148"/>
        <v>0</v>
      </c>
      <c r="Q231" s="28">
        <f t="shared" si="114"/>
        <v>11</v>
      </c>
      <c r="R231" s="22">
        <f t="shared" si="115"/>
        <v>33.488348675283476</v>
      </c>
      <c r="S231" s="22">
        <f t="shared" si="116"/>
        <v>32.312124055912413</v>
      </c>
      <c r="T231" s="22">
        <f t="shared" si="117"/>
        <v>10.205851113374795</v>
      </c>
      <c r="U231" s="22">
        <f t="shared" si="118"/>
        <v>10.000799999999998</v>
      </c>
      <c r="V231" s="21">
        <f t="shared" si="135"/>
        <v>3.3811511239999961</v>
      </c>
      <c r="W231" s="21">
        <f t="shared" si="136"/>
        <v>9.2372500059</v>
      </c>
      <c r="X231" s="21">
        <f t="shared" si="125"/>
        <v>3.4965960323999985</v>
      </c>
      <c r="Y231" s="21">
        <f t="shared" si="126"/>
        <v>0</v>
      </c>
      <c r="Z231" s="221">
        <f t="shared" si="119"/>
        <v>5</v>
      </c>
      <c r="AA231" s="30">
        <f t="shared" ref="AA231:AA294" si="149">IF(R231&lt;&gt;0,($J$30*M231*$L$33),0)</f>
        <v>8.4187589758827315</v>
      </c>
      <c r="AB231" s="30">
        <f t="shared" ref="AB231:AB294" si="150">IF(W231&lt;&gt;0,($J$31*N231*$L$33),0)</f>
        <v>2.9733205694316993</v>
      </c>
      <c r="AC231" s="30">
        <f t="shared" ref="AC231:AC294" si="151">IF(X231&lt;&gt;0,($J$32*O231*$L$33),0)</f>
        <v>2.4809767459508998</v>
      </c>
      <c r="AD231" s="30">
        <f t="shared" ref="AD231:AD294" si="152">IF(Y231&lt;&gt;0,($J$33*P231*$L$33),0)</f>
        <v>0</v>
      </c>
      <c r="AE231" s="32">
        <f t="shared" si="120"/>
        <v>13.87305629126533</v>
      </c>
      <c r="AF231" s="33">
        <f t="shared" si="129"/>
        <v>13.87305629126533</v>
      </c>
      <c r="AG231" s="40">
        <f t="shared" si="121"/>
        <v>39.358295259945933</v>
      </c>
      <c r="AH231" s="224">
        <f>AG231*$P$33</f>
        <v>3.3009270876423162</v>
      </c>
      <c r="AI231" s="227">
        <f t="shared" si="122"/>
        <v>30.868551961364062</v>
      </c>
    </row>
    <row r="232" spans="1:35" x14ac:dyDescent="0.35">
      <c r="A232" s="45">
        <v>1613</v>
      </c>
      <c r="B232" s="58">
        <f>SUMIF([2]!Table2_23[ETA],'FIS Optimal Model'!A232,[2]!Table2_23[FIS PAX])</f>
        <v>0</v>
      </c>
      <c r="C232" s="44">
        <f t="shared" si="123"/>
        <v>18</v>
      </c>
      <c r="D232" s="52">
        <f t="shared" si="127"/>
        <v>188</v>
      </c>
      <c r="E232" s="26">
        <f t="shared" ref="E232:E295" si="153">$C$30*C232</f>
        <v>9.9503999999999984</v>
      </c>
      <c r="F232" s="26">
        <f t="shared" ref="F232:F295" si="154">$C$31*C232</f>
        <v>4.2713999999999999</v>
      </c>
      <c r="G232" s="26">
        <f t="shared" ref="G232:G295" si="155">$C$32*C232</f>
        <v>2.9447999999999999</v>
      </c>
      <c r="H232" s="26">
        <f t="shared" si="124"/>
        <v>0.83340000000000003</v>
      </c>
      <c r="I232" s="27">
        <f t="shared" si="130"/>
        <v>9.9503999999999984</v>
      </c>
      <c r="J232" s="27">
        <f t="shared" si="130"/>
        <v>4.2713999999999999</v>
      </c>
      <c r="K232" s="27">
        <f t="shared" si="130"/>
        <v>2.9447999999999999</v>
      </c>
      <c r="L232" s="27">
        <f t="shared" si="128"/>
        <v>0.83340000000000003</v>
      </c>
      <c r="M232" s="28">
        <f t="shared" si="145"/>
        <v>4</v>
      </c>
      <c r="N232" s="29">
        <f t="shared" si="146"/>
        <v>6</v>
      </c>
      <c r="O232" s="28">
        <f t="shared" si="147"/>
        <v>1</v>
      </c>
      <c r="P232" s="28">
        <f t="shared" si="148"/>
        <v>0</v>
      </c>
      <c r="Q232" s="28">
        <f t="shared" ref="Q232:Q295" si="156">SUM(M232:P232)</f>
        <v>11</v>
      </c>
      <c r="R232" s="22">
        <f t="shared" ref="R232:R295" si="157">MAX(R231-($J$30*M232*$L$33)+I232,0)</f>
        <v>35.019989699400739</v>
      </c>
      <c r="S232" s="22">
        <f t="shared" ref="S232:S295" si="158">IF(U232&lt;&gt;0,(MAX(S231-($J$31*N232*$L$33)+J232,0)),(MAX(S231-($J$31*(N232+P232)*$L$33)+J232,0)))</f>
        <v>33.610203486480714</v>
      </c>
      <c r="T232" s="22">
        <f t="shared" ref="T232:T295" si="159">MAX(T231-($J$32*O232*$L$33)+K232,0)</f>
        <v>10.669674367423895</v>
      </c>
      <c r="U232" s="22">
        <f t="shared" ref="U232:U295" si="160">MAX(U231-($J$33*P232*$L$33)+L232,0)</f>
        <v>10.834199999999997</v>
      </c>
      <c r="V232" s="21">
        <f t="shared" si="135"/>
        <v>3.5357932599999957</v>
      </c>
      <c r="W232" s="21">
        <f t="shared" si="136"/>
        <v>9.6083393284999996</v>
      </c>
      <c r="X232" s="21">
        <f t="shared" si="125"/>
        <v>3.6555051259999982</v>
      </c>
      <c r="Y232" s="21">
        <f t="shared" si="126"/>
        <v>0</v>
      </c>
      <c r="Z232" s="221">
        <f t="shared" ref="Z232:Z295" si="161">ROUNDUP(SUM(V232*$C$30,W232*$C$31,X232*$C$32,Y232*$C$33),0)</f>
        <v>5</v>
      </c>
      <c r="AA232" s="30">
        <f t="shared" si="149"/>
        <v>8.4187589758827315</v>
      </c>
      <c r="AB232" s="30">
        <f t="shared" si="150"/>
        <v>2.9733205694316993</v>
      </c>
      <c r="AC232" s="30">
        <f t="shared" si="151"/>
        <v>2.4809767459508998</v>
      </c>
      <c r="AD232" s="30">
        <f t="shared" si="152"/>
        <v>0</v>
      </c>
      <c r="AE232" s="32">
        <f t="shared" ref="AE232:AE295" si="162">SUM(AA232:AD232)</f>
        <v>13.87305629126533</v>
      </c>
      <c r="AF232" s="33">
        <f t="shared" si="129"/>
        <v>13.87305629126533</v>
      </c>
      <c r="AG232" s="40">
        <f t="shared" ref="AG232:AG295" si="163">MAX(AG231-$Q$33+AF232,0)</f>
        <v>41.307945121759481</v>
      </c>
      <c r="AH232" s="224">
        <f>AG232*$P$33</f>
        <v>3.4644415894207472</v>
      </c>
      <c r="AI232" s="227">
        <f t="shared" ref="AI232:AI295" si="164">SUM(Z232,IF(Z232&lt;&gt;0,$F$31,0),IF(Z232&lt;&gt;0,$N$33,0),IF(Z232&lt;&gt;0,$T$33,0),IF(Z232=0,AH237,IF(Z232=1,AH238,IF(Z232=2,AH239,IF(Z232=3,AH240,IF(Z232=4,AH241,IF(Z232=5,AH242,IF(Z232=6,AH243,IF(Z232=7,AH244,IF(Z232=8,AH245,IF(Z232=9,AH246,IF(Z232=10,AH247,IF(Z232=11,AH248,IF(Z232=12,AH249,IF(Z232=13,AH250,IF(Z232=14,AH251,IF(Z232=15,AH252,IF(Z232=16,AH253,IF(Z232=17,AH254,IF(Z232=18,AH255,IF(Z232=19,AH256,IF(Z232=20,AH257,IF(Z232=21,AH258,IF(Z232=22,AH259,IF(Z232=23,AH260,IF(Z232=24,AH261,IF(Z232=25,AH262,IF(Z232=26,AH263,IF(Z232=27,AH264,IF(Z232=28,AH265,IF(Z232=29,AH266,IF(Z232=30,AH267))))))))))))))))))))))))))))))))</f>
        <v>31.009559748454972</v>
      </c>
    </row>
    <row r="233" spans="1:35" x14ac:dyDescent="0.35">
      <c r="A233" s="45">
        <v>1614</v>
      </c>
      <c r="B233" s="58">
        <f>SUMIF([2]!Table2_23[ETA],'FIS Optimal Model'!A233,[2]!Table2_23[FIS PAX])</f>
        <v>0</v>
      </c>
      <c r="C233" s="44">
        <f t="shared" ref="C233:C296" si="165">IF((D232-D233)&gt;-1,(D232-D233),18)</f>
        <v>18</v>
      </c>
      <c r="D233" s="52">
        <f t="shared" si="127"/>
        <v>170</v>
      </c>
      <c r="E233" s="26">
        <f t="shared" si="153"/>
        <v>9.9503999999999984</v>
      </c>
      <c r="F233" s="26">
        <f t="shared" si="154"/>
        <v>4.2713999999999999</v>
      </c>
      <c r="G233" s="26">
        <f t="shared" si="155"/>
        <v>2.9447999999999999</v>
      </c>
      <c r="H233" s="26">
        <f t="shared" ref="H233:H296" si="166">$C$33*C233</f>
        <v>0.83340000000000003</v>
      </c>
      <c r="I233" s="27">
        <f t="shared" si="130"/>
        <v>9.9503999999999984</v>
      </c>
      <c r="J233" s="27">
        <f t="shared" si="130"/>
        <v>4.2713999999999999</v>
      </c>
      <c r="K233" s="27">
        <f t="shared" si="130"/>
        <v>2.9447999999999999</v>
      </c>
      <c r="L233" s="27">
        <f t="shared" si="128"/>
        <v>0.83340000000000003</v>
      </c>
      <c r="M233" s="28">
        <f t="shared" si="145"/>
        <v>4</v>
      </c>
      <c r="N233" s="29">
        <f t="shared" si="146"/>
        <v>6</v>
      </c>
      <c r="O233" s="28">
        <f t="shared" si="147"/>
        <v>1</v>
      </c>
      <c r="P233" s="28">
        <f t="shared" si="148"/>
        <v>0</v>
      </c>
      <c r="Q233" s="28">
        <f t="shared" si="156"/>
        <v>11</v>
      </c>
      <c r="R233" s="22">
        <f t="shared" si="157"/>
        <v>36.551630723518002</v>
      </c>
      <c r="S233" s="22">
        <f t="shared" si="158"/>
        <v>34.908282917049014</v>
      </c>
      <c r="T233" s="22">
        <f t="shared" si="159"/>
        <v>11.133497621472994</v>
      </c>
      <c r="U233" s="22">
        <f t="shared" si="160"/>
        <v>11.667599999999997</v>
      </c>
      <c r="V233" s="21">
        <f t="shared" si="135"/>
        <v>3.6904353959999949</v>
      </c>
      <c r="W233" s="21">
        <f t="shared" si="136"/>
        <v>9.9794286510999992</v>
      </c>
      <c r="X233" s="21">
        <f t="shared" ref="X233:X296" si="167">IFERROR(T233*($I$32/O233),0)</f>
        <v>3.8144142195999979</v>
      </c>
      <c r="Y233" s="21">
        <f t="shared" ref="Y233:Y296" si="168">IFERROR(U233*($I$33/P233),0)</f>
        <v>0</v>
      </c>
      <c r="Z233" s="221">
        <f t="shared" si="161"/>
        <v>6</v>
      </c>
      <c r="AA233" s="30">
        <f t="shared" si="149"/>
        <v>8.4187589758827315</v>
      </c>
      <c r="AB233" s="30">
        <f t="shared" si="150"/>
        <v>2.9733205694316993</v>
      </c>
      <c r="AC233" s="30">
        <f t="shared" si="151"/>
        <v>2.4809767459508998</v>
      </c>
      <c r="AD233" s="30">
        <f t="shared" si="152"/>
        <v>0</v>
      </c>
      <c r="AE233" s="32">
        <f t="shared" si="162"/>
        <v>13.87305629126533</v>
      </c>
      <c r="AF233" s="33">
        <f t="shared" si="129"/>
        <v>13.87305629126533</v>
      </c>
      <c r="AG233" s="40">
        <f t="shared" si="163"/>
        <v>43.257594983573028</v>
      </c>
      <c r="AH233" s="224">
        <f>AG233*$P$33</f>
        <v>3.6279560911991782</v>
      </c>
      <c r="AI233" s="227">
        <f t="shared" si="164"/>
        <v>32.291575322636795</v>
      </c>
    </row>
    <row r="234" spans="1:35" x14ac:dyDescent="0.35">
      <c r="A234" s="45">
        <v>1615</v>
      </c>
      <c r="B234" s="58">
        <f>SUMIF([2]!Table2_23[ETA],'FIS Optimal Model'!A234,[2]!Table2_23[FIS PAX])</f>
        <v>0</v>
      </c>
      <c r="C234" s="44">
        <f t="shared" si="165"/>
        <v>18</v>
      </c>
      <c r="D234" s="52">
        <f t="shared" ref="D234:D297" si="169">MAX(D233-$E$31+B233,0)</f>
        <v>152</v>
      </c>
      <c r="E234" s="26">
        <f t="shared" si="153"/>
        <v>9.9503999999999984</v>
      </c>
      <c r="F234" s="26">
        <f t="shared" si="154"/>
        <v>4.2713999999999999</v>
      </c>
      <c r="G234" s="26">
        <f t="shared" si="155"/>
        <v>2.9447999999999999</v>
      </c>
      <c r="H234" s="26">
        <f t="shared" si="166"/>
        <v>0.83340000000000003</v>
      </c>
      <c r="I234" s="27">
        <f t="shared" si="130"/>
        <v>9.9503999999999984</v>
      </c>
      <c r="J234" s="27">
        <f t="shared" si="130"/>
        <v>4.2713999999999999</v>
      </c>
      <c r="K234" s="27">
        <f t="shared" si="130"/>
        <v>2.9447999999999999</v>
      </c>
      <c r="L234" s="27">
        <f t="shared" si="128"/>
        <v>0.83340000000000003</v>
      </c>
      <c r="M234" s="28">
        <f t="shared" si="145"/>
        <v>4</v>
      </c>
      <c r="N234" s="29">
        <f t="shared" si="146"/>
        <v>6</v>
      </c>
      <c r="O234" s="28">
        <f t="shared" si="147"/>
        <v>1</v>
      </c>
      <c r="P234" s="28">
        <f t="shared" si="148"/>
        <v>0</v>
      </c>
      <c r="Q234" s="28">
        <f t="shared" si="156"/>
        <v>11</v>
      </c>
      <c r="R234" s="22">
        <f t="shared" si="157"/>
        <v>38.083271747635266</v>
      </c>
      <c r="S234" s="22">
        <f t="shared" si="158"/>
        <v>36.206362347617315</v>
      </c>
      <c r="T234" s="22">
        <f t="shared" si="159"/>
        <v>11.597320875522094</v>
      </c>
      <c r="U234" s="22">
        <f t="shared" si="160"/>
        <v>12.500999999999996</v>
      </c>
      <c r="V234" s="21">
        <f t="shared" si="135"/>
        <v>3.8450775319999946</v>
      </c>
      <c r="W234" s="21">
        <f t="shared" si="136"/>
        <v>10.350517973699999</v>
      </c>
      <c r="X234" s="21">
        <f t="shared" si="167"/>
        <v>3.9733233131999981</v>
      </c>
      <c r="Y234" s="21">
        <f t="shared" si="168"/>
        <v>0</v>
      </c>
      <c r="Z234" s="221">
        <f t="shared" si="161"/>
        <v>6</v>
      </c>
      <c r="AA234" s="30">
        <f t="shared" si="149"/>
        <v>8.4187589758827315</v>
      </c>
      <c r="AB234" s="30">
        <f t="shared" si="150"/>
        <v>2.9733205694316993</v>
      </c>
      <c r="AC234" s="30">
        <f t="shared" si="151"/>
        <v>2.4809767459508998</v>
      </c>
      <c r="AD234" s="30">
        <f t="shared" si="152"/>
        <v>0</v>
      </c>
      <c r="AE234" s="32">
        <f t="shared" si="162"/>
        <v>13.87305629126533</v>
      </c>
      <c r="AF234" s="33">
        <f t="shared" si="129"/>
        <v>13.87305629126533</v>
      </c>
      <c r="AG234" s="40">
        <f t="shared" si="163"/>
        <v>45.207244845386576</v>
      </c>
      <c r="AH234" s="224">
        <f>AG234*$P$33</f>
        <v>3.7914705929776091</v>
      </c>
      <c r="AI234" s="227">
        <f t="shared" si="164"/>
        <v>32.432583109727702</v>
      </c>
    </row>
    <row r="235" spans="1:35" x14ac:dyDescent="0.35">
      <c r="A235" s="45">
        <v>1616</v>
      </c>
      <c r="B235" s="58">
        <f>SUMIF([2]!Table2_23[ETA],'FIS Optimal Model'!A235,[2]!Table2_23[FIS PAX])</f>
        <v>0</v>
      </c>
      <c r="C235" s="44">
        <f t="shared" si="165"/>
        <v>18</v>
      </c>
      <c r="D235" s="52">
        <f t="shared" si="169"/>
        <v>134</v>
      </c>
      <c r="E235" s="26">
        <f t="shared" si="153"/>
        <v>9.9503999999999984</v>
      </c>
      <c r="F235" s="26">
        <f t="shared" si="154"/>
        <v>4.2713999999999999</v>
      </c>
      <c r="G235" s="26">
        <f t="shared" si="155"/>
        <v>2.9447999999999999</v>
      </c>
      <c r="H235" s="26">
        <f t="shared" si="166"/>
        <v>0.83340000000000003</v>
      </c>
      <c r="I235" s="27">
        <f t="shared" si="130"/>
        <v>9.9503999999999984</v>
      </c>
      <c r="J235" s="27">
        <f t="shared" si="130"/>
        <v>4.2713999999999999</v>
      </c>
      <c r="K235" s="27">
        <f t="shared" si="130"/>
        <v>2.9447999999999999</v>
      </c>
      <c r="L235" s="27">
        <f t="shared" si="128"/>
        <v>0.83340000000000003</v>
      </c>
      <c r="M235" s="28">
        <f>IF(R234=0,0,$Q$19)</f>
        <v>3</v>
      </c>
      <c r="N235" s="29">
        <f>$U$19-M235-O235-P235</f>
        <v>6</v>
      </c>
      <c r="O235" s="28">
        <f>IF(T234=0,0,$S$19)</f>
        <v>1</v>
      </c>
      <c r="P235" s="28">
        <f>IF(U234=0,0,$T$19)</f>
        <v>1</v>
      </c>
      <c r="Q235" s="28">
        <f t="shared" si="156"/>
        <v>11</v>
      </c>
      <c r="R235" s="22">
        <f t="shared" si="157"/>
        <v>41.71960251572321</v>
      </c>
      <c r="S235" s="22">
        <f t="shared" si="158"/>
        <v>37.504441778185615</v>
      </c>
      <c r="T235" s="22">
        <f t="shared" si="159"/>
        <v>12.061144129571193</v>
      </c>
      <c r="U235" s="22">
        <f t="shared" si="160"/>
        <v>11.49806696264034</v>
      </c>
      <c r="V235" s="21">
        <f t="shared" si="135"/>
        <v>5.6162928906666583</v>
      </c>
      <c r="W235" s="21">
        <f t="shared" si="136"/>
        <v>10.721607296299998</v>
      </c>
      <c r="X235" s="21">
        <f t="shared" si="167"/>
        <v>4.1322324067999974</v>
      </c>
      <c r="Y235" s="21">
        <f t="shared" si="168"/>
        <v>5.3222137375999976</v>
      </c>
      <c r="Z235" s="221">
        <f t="shared" si="161"/>
        <v>7</v>
      </c>
      <c r="AA235" s="30">
        <f t="shared" si="149"/>
        <v>6.3140692319120486</v>
      </c>
      <c r="AB235" s="30">
        <f t="shared" si="150"/>
        <v>2.9733205694316993</v>
      </c>
      <c r="AC235" s="30">
        <f t="shared" si="151"/>
        <v>2.4809767459508998</v>
      </c>
      <c r="AD235" s="30">
        <f t="shared" si="152"/>
        <v>1.8363330373596554</v>
      </c>
      <c r="AE235" s="32">
        <f t="shared" si="162"/>
        <v>13.604699584654302</v>
      </c>
      <c r="AF235" s="33">
        <f t="shared" si="129"/>
        <v>13.87305629126533</v>
      </c>
      <c r="AG235" s="40">
        <f t="shared" si="163"/>
        <v>47.156894707200124</v>
      </c>
      <c r="AH235" s="224">
        <f>AG235*$P$33</f>
        <v>3.9549850947560397</v>
      </c>
      <c r="AI235" s="227">
        <f t="shared" si="164"/>
        <v>33.714598683909522</v>
      </c>
    </row>
    <row r="236" spans="1:35" x14ac:dyDescent="0.35">
      <c r="A236" s="45">
        <v>1617</v>
      </c>
      <c r="B236" s="58">
        <f>SUMIF([2]!Table2_23[ETA],'FIS Optimal Model'!A236,[2]!Table2_23[FIS PAX])</f>
        <v>0</v>
      </c>
      <c r="C236" s="44">
        <f t="shared" si="165"/>
        <v>18</v>
      </c>
      <c r="D236" s="52">
        <f t="shared" si="169"/>
        <v>116</v>
      </c>
      <c r="E236" s="26">
        <f t="shared" si="153"/>
        <v>9.9503999999999984</v>
      </c>
      <c r="F236" s="26">
        <f t="shared" si="154"/>
        <v>4.2713999999999999</v>
      </c>
      <c r="G236" s="26">
        <f t="shared" si="155"/>
        <v>2.9447999999999999</v>
      </c>
      <c r="H236" s="26">
        <f t="shared" si="166"/>
        <v>0.83340000000000003</v>
      </c>
      <c r="I236" s="27">
        <f t="shared" si="130"/>
        <v>9.9503999999999984</v>
      </c>
      <c r="J236" s="27">
        <f t="shared" si="130"/>
        <v>4.2713999999999999</v>
      </c>
      <c r="K236" s="27">
        <f t="shared" si="130"/>
        <v>2.9447999999999999</v>
      </c>
      <c r="L236" s="27">
        <f t="shared" si="130"/>
        <v>0.83340000000000003</v>
      </c>
      <c r="M236" s="28">
        <f>$M$235</f>
        <v>3</v>
      </c>
      <c r="N236" s="29">
        <f>$N$235</f>
        <v>6</v>
      </c>
      <c r="O236" s="28">
        <f>$O$235</f>
        <v>1</v>
      </c>
      <c r="P236" s="28">
        <f>$P$235</f>
        <v>1</v>
      </c>
      <c r="Q236" s="28">
        <f t="shared" si="156"/>
        <v>11</v>
      </c>
      <c r="R236" s="22">
        <f t="shared" si="157"/>
        <v>45.355933283811154</v>
      </c>
      <c r="S236" s="22">
        <f t="shared" si="158"/>
        <v>38.802521208753916</v>
      </c>
      <c r="T236" s="22">
        <f t="shared" si="159"/>
        <v>12.524967383620293</v>
      </c>
      <c r="U236" s="22">
        <f t="shared" si="160"/>
        <v>10.495133925280685</v>
      </c>
      <c r="V236" s="21">
        <f t="shared" si="135"/>
        <v>6.1058157386666574</v>
      </c>
      <c r="W236" s="21">
        <f t="shared" si="136"/>
        <v>11.0926966189</v>
      </c>
      <c r="X236" s="21">
        <f t="shared" si="167"/>
        <v>4.2911415003999975</v>
      </c>
      <c r="Y236" s="21">
        <f t="shared" si="168"/>
        <v>4.8579770961999982</v>
      </c>
      <c r="Z236" s="221">
        <f t="shared" si="161"/>
        <v>7</v>
      </c>
      <c r="AA236" s="30">
        <f t="shared" si="149"/>
        <v>6.3140692319120486</v>
      </c>
      <c r="AB236" s="30">
        <f t="shared" si="150"/>
        <v>2.9733205694316993</v>
      </c>
      <c r="AC236" s="30">
        <f t="shared" si="151"/>
        <v>2.4809767459508998</v>
      </c>
      <c r="AD236" s="30">
        <f t="shared" si="152"/>
        <v>1.8363330373596554</v>
      </c>
      <c r="AE236" s="32">
        <f t="shared" si="162"/>
        <v>13.604699584654302</v>
      </c>
      <c r="AF236" s="33">
        <f t="shared" ref="AF236:AF299" si="170">AE232</f>
        <v>13.87305629126533</v>
      </c>
      <c r="AG236" s="40">
        <f t="shared" si="163"/>
        <v>49.106544569013671</v>
      </c>
      <c r="AH236" s="224">
        <f>AG236*$P$33</f>
        <v>4.1184995965344706</v>
      </c>
      <c r="AI236" s="227">
        <f t="shared" si="164"/>
        <v>33.855606471000435</v>
      </c>
    </row>
    <row r="237" spans="1:35" x14ac:dyDescent="0.35">
      <c r="A237" s="45">
        <v>1618</v>
      </c>
      <c r="B237" s="58">
        <f>SUMIF([2]!Table2_23[ETA],'FIS Optimal Model'!A237,[2]!Table2_23[FIS PAX])</f>
        <v>0</v>
      </c>
      <c r="C237" s="44">
        <f t="shared" si="165"/>
        <v>18</v>
      </c>
      <c r="D237" s="52">
        <f t="shared" si="169"/>
        <v>98</v>
      </c>
      <c r="E237" s="26">
        <f t="shared" si="153"/>
        <v>9.9503999999999984</v>
      </c>
      <c r="F237" s="26">
        <f t="shared" si="154"/>
        <v>4.2713999999999999</v>
      </c>
      <c r="G237" s="26">
        <f t="shared" si="155"/>
        <v>2.9447999999999999</v>
      </c>
      <c r="H237" s="26">
        <f t="shared" si="166"/>
        <v>0.83340000000000003</v>
      </c>
      <c r="I237" s="27">
        <f t="shared" ref="I237:L300" si="171">E232</f>
        <v>9.9503999999999984</v>
      </c>
      <c r="J237" s="27">
        <f t="shared" si="171"/>
        <v>4.2713999999999999</v>
      </c>
      <c r="K237" s="27">
        <f t="shared" si="171"/>
        <v>2.9447999999999999</v>
      </c>
      <c r="L237" s="27">
        <f t="shared" si="171"/>
        <v>0.83340000000000003</v>
      </c>
      <c r="M237" s="28">
        <f t="shared" ref="M237:M249" si="172">$M$235</f>
        <v>3</v>
      </c>
      <c r="N237" s="29">
        <f t="shared" ref="N237:N249" si="173">$N$235</f>
        <v>6</v>
      </c>
      <c r="O237" s="28">
        <f t="shared" ref="O237:O249" si="174">$O$235</f>
        <v>1</v>
      </c>
      <c r="P237" s="28">
        <f t="shared" ref="P237:P249" si="175">$P$235</f>
        <v>1</v>
      </c>
      <c r="Q237" s="28">
        <f t="shared" si="156"/>
        <v>11</v>
      </c>
      <c r="R237" s="22">
        <f t="shared" si="157"/>
        <v>48.992264051899099</v>
      </c>
      <c r="S237" s="22">
        <f t="shared" si="158"/>
        <v>40.100600639322217</v>
      </c>
      <c r="T237" s="22">
        <f t="shared" si="159"/>
        <v>12.988790637669393</v>
      </c>
      <c r="U237" s="22">
        <f t="shared" si="160"/>
        <v>9.4922008879210296</v>
      </c>
      <c r="V237" s="21">
        <f t="shared" si="135"/>
        <v>6.5953385866666565</v>
      </c>
      <c r="W237" s="21">
        <f t="shared" si="136"/>
        <v>11.463785941499999</v>
      </c>
      <c r="X237" s="21">
        <f t="shared" si="167"/>
        <v>4.4500505939999977</v>
      </c>
      <c r="Y237" s="21">
        <f t="shared" si="168"/>
        <v>4.3937404547999979</v>
      </c>
      <c r="Z237" s="221">
        <f t="shared" si="161"/>
        <v>8</v>
      </c>
      <c r="AA237" s="30">
        <f t="shared" si="149"/>
        <v>6.3140692319120486</v>
      </c>
      <c r="AB237" s="30">
        <f t="shared" si="150"/>
        <v>2.9733205694316993</v>
      </c>
      <c r="AC237" s="30">
        <f t="shared" si="151"/>
        <v>2.4809767459508998</v>
      </c>
      <c r="AD237" s="30">
        <f t="shared" si="152"/>
        <v>1.8363330373596554</v>
      </c>
      <c r="AE237" s="32">
        <f t="shared" si="162"/>
        <v>13.604699584654302</v>
      </c>
      <c r="AF237" s="33">
        <f t="shared" si="170"/>
        <v>13.87305629126533</v>
      </c>
      <c r="AG237" s="40">
        <f t="shared" si="163"/>
        <v>51.056194430827219</v>
      </c>
      <c r="AH237" s="224">
        <f>AG237*$P$33</f>
        <v>4.282014098312902</v>
      </c>
      <c r="AI237" s="227">
        <f t="shared" si="164"/>
        <v>35.137622045182255</v>
      </c>
    </row>
    <row r="238" spans="1:35" x14ac:dyDescent="0.35">
      <c r="A238" s="45">
        <v>1619</v>
      </c>
      <c r="B238" s="58">
        <f>SUMIF([2]!Table2_23[ETA],'FIS Optimal Model'!A238,[2]!Table2_23[FIS PAX])</f>
        <v>0</v>
      </c>
      <c r="C238" s="44">
        <f t="shared" si="165"/>
        <v>18</v>
      </c>
      <c r="D238" s="52">
        <f t="shared" si="169"/>
        <v>80</v>
      </c>
      <c r="E238" s="26">
        <f t="shared" si="153"/>
        <v>9.9503999999999984</v>
      </c>
      <c r="F238" s="26">
        <f t="shared" si="154"/>
        <v>4.2713999999999999</v>
      </c>
      <c r="G238" s="26">
        <f t="shared" si="155"/>
        <v>2.9447999999999999</v>
      </c>
      <c r="H238" s="26">
        <f t="shared" si="166"/>
        <v>0.83340000000000003</v>
      </c>
      <c r="I238" s="27">
        <f t="shared" si="171"/>
        <v>9.9503999999999984</v>
      </c>
      <c r="J238" s="27">
        <f t="shared" si="171"/>
        <v>4.2713999999999999</v>
      </c>
      <c r="K238" s="27">
        <f t="shared" si="171"/>
        <v>2.9447999999999999</v>
      </c>
      <c r="L238" s="27">
        <f t="shared" si="171"/>
        <v>0.83340000000000003</v>
      </c>
      <c r="M238" s="28">
        <f t="shared" si="172"/>
        <v>3</v>
      </c>
      <c r="N238" s="29">
        <f t="shared" si="173"/>
        <v>6</v>
      </c>
      <c r="O238" s="28">
        <f t="shared" si="174"/>
        <v>1</v>
      </c>
      <c r="P238" s="28">
        <f t="shared" si="175"/>
        <v>1</v>
      </c>
      <c r="Q238" s="28">
        <f t="shared" si="156"/>
        <v>11</v>
      </c>
      <c r="R238" s="22">
        <f t="shared" si="157"/>
        <v>52.628594819987043</v>
      </c>
      <c r="S238" s="22">
        <f t="shared" si="158"/>
        <v>41.398680069890517</v>
      </c>
      <c r="T238" s="22">
        <f t="shared" si="159"/>
        <v>13.452613891718492</v>
      </c>
      <c r="U238" s="22">
        <f t="shared" si="160"/>
        <v>8.4892678505613741</v>
      </c>
      <c r="V238" s="21">
        <f t="shared" si="135"/>
        <v>7.0848614346666556</v>
      </c>
      <c r="W238" s="21">
        <f t="shared" si="136"/>
        <v>11.834875264099999</v>
      </c>
      <c r="X238" s="21">
        <f t="shared" si="167"/>
        <v>4.6089596875999979</v>
      </c>
      <c r="Y238" s="21">
        <f t="shared" si="168"/>
        <v>3.929503813399998</v>
      </c>
      <c r="Z238" s="221">
        <f t="shared" si="161"/>
        <v>8</v>
      </c>
      <c r="AA238" s="30">
        <f t="shared" si="149"/>
        <v>6.3140692319120486</v>
      </c>
      <c r="AB238" s="30">
        <f t="shared" si="150"/>
        <v>2.9733205694316993</v>
      </c>
      <c r="AC238" s="30">
        <f t="shared" si="151"/>
        <v>2.4809767459508998</v>
      </c>
      <c r="AD238" s="30">
        <f t="shared" si="152"/>
        <v>1.8363330373596554</v>
      </c>
      <c r="AE238" s="32">
        <f t="shared" si="162"/>
        <v>13.604699584654302</v>
      </c>
      <c r="AF238" s="33">
        <f t="shared" si="170"/>
        <v>13.87305629126533</v>
      </c>
      <c r="AG238" s="40">
        <f t="shared" si="163"/>
        <v>53.005844292640766</v>
      </c>
      <c r="AH238" s="224">
        <f>AG238*$P$33</f>
        <v>4.4455286000913325</v>
      </c>
      <c r="AI238" s="227">
        <f t="shared" si="164"/>
        <v>35.124619059577888</v>
      </c>
    </row>
    <row r="239" spans="1:35" x14ac:dyDescent="0.35">
      <c r="A239" s="45">
        <v>1620</v>
      </c>
      <c r="B239" s="58">
        <f>SUMIF([2]!Table2_23[ETA],'FIS Optimal Model'!A239,[2]!Table2_23[FIS PAX])</f>
        <v>0</v>
      </c>
      <c r="C239" s="44">
        <f t="shared" si="165"/>
        <v>18</v>
      </c>
      <c r="D239" s="52">
        <f t="shared" si="169"/>
        <v>62</v>
      </c>
      <c r="E239" s="26">
        <f t="shared" si="153"/>
        <v>9.9503999999999984</v>
      </c>
      <c r="F239" s="26">
        <f t="shared" si="154"/>
        <v>4.2713999999999999</v>
      </c>
      <c r="G239" s="26">
        <f t="shared" si="155"/>
        <v>2.9447999999999999</v>
      </c>
      <c r="H239" s="26">
        <f t="shared" si="166"/>
        <v>0.83340000000000003</v>
      </c>
      <c r="I239" s="27">
        <f t="shared" si="171"/>
        <v>9.9503999999999984</v>
      </c>
      <c r="J239" s="27">
        <f t="shared" si="171"/>
        <v>4.2713999999999999</v>
      </c>
      <c r="K239" s="27">
        <f t="shared" si="171"/>
        <v>2.9447999999999999</v>
      </c>
      <c r="L239" s="27">
        <f t="shared" si="171"/>
        <v>0.83340000000000003</v>
      </c>
      <c r="M239" s="28">
        <f t="shared" si="172"/>
        <v>3</v>
      </c>
      <c r="N239" s="29">
        <f t="shared" si="173"/>
        <v>6</v>
      </c>
      <c r="O239" s="28">
        <f t="shared" si="174"/>
        <v>1</v>
      </c>
      <c r="P239" s="28">
        <f t="shared" si="175"/>
        <v>1</v>
      </c>
      <c r="Q239" s="28">
        <f t="shared" si="156"/>
        <v>11</v>
      </c>
      <c r="R239" s="22">
        <f t="shared" si="157"/>
        <v>56.264925588074988</v>
      </c>
      <c r="S239" s="22">
        <f t="shared" si="158"/>
        <v>42.696759500458818</v>
      </c>
      <c r="T239" s="22">
        <f t="shared" si="159"/>
        <v>13.916437145767592</v>
      </c>
      <c r="U239" s="22">
        <f t="shared" si="160"/>
        <v>7.4863348132017187</v>
      </c>
      <c r="V239" s="21">
        <f t="shared" si="135"/>
        <v>7.5743842826666539</v>
      </c>
      <c r="W239" s="21">
        <f t="shared" si="136"/>
        <v>12.205964586699999</v>
      </c>
      <c r="X239" s="21">
        <f t="shared" si="167"/>
        <v>4.7678687811999971</v>
      </c>
      <c r="Y239" s="21">
        <f t="shared" si="168"/>
        <v>3.4652671719999981</v>
      </c>
      <c r="Z239" s="221">
        <f t="shared" si="161"/>
        <v>9</v>
      </c>
      <c r="AA239" s="30">
        <f t="shared" si="149"/>
        <v>6.3140692319120486</v>
      </c>
      <c r="AB239" s="30">
        <f t="shared" si="150"/>
        <v>2.9733205694316993</v>
      </c>
      <c r="AC239" s="30">
        <f t="shared" si="151"/>
        <v>2.4809767459508998</v>
      </c>
      <c r="AD239" s="30">
        <f t="shared" si="152"/>
        <v>1.8363330373596554</v>
      </c>
      <c r="AE239" s="32">
        <f t="shared" si="162"/>
        <v>13.604699584654302</v>
      </c>
      <c r="AF239" s="33">
        <f t="shared" si="170"/>
        <v>13.604699584654302</v>
      </c>
      <c r="AG239" s="40">
        <f t="shared" si="163"/>
        <v>54.687137447843284</v>
      </c>
      <c r="AH239" s="224">
        <f>AG239*$P$33</f>
        <v>4.5865363871822424</v>
      </c>
      <c r="AI239" s="227">
        <f t="shared" si="164"/>
        <v>36.098613088369163</v>
      </c>
    </row>
    <row r="240" spans="1:35" x14ac:dyDescent="0.35">
      <c r="A240" s="45">
        <v>1621</v>
      </c>
      <c r="B240" s="58">
        <f>SUMIF([2]!Table2_23[ETA],'FIS Optimal Model'!A240,[2]!Table2_23[FIS PAX])</f>
        <v>0</v>
      </c>
      <c r="C240" s="44">
        <f t="shared" si="165"/>
        <v>18</v>
      </c>
      <c r="D240" s="52">
        <f t="shared" si="169"/>
        <v>44</v>
      </c>
      <c r="E240" s="26">
        <f t="shared" si="153"/>
        <v>9.9503999999999984</v>
      </c>
      <c r="F240" s="26">
        <f t="shared" si="154"/>
        <v>4.2713999999999999</v>
      </c>
      <c r="G240" s="26">
        <f t="shared" si="155"/>
        <v>2.9447999999999999</v>
      </c>
      <c r="H240" s="26">
        <f t="shared" si="166"/>
        <v>0.83340000000000003</v>
      </c>
      <c r="I240" s="27">
        <f t="shared" si="171"/>
        <v>9.9503999999999984</v>
      </c>
      <c r="J240" s="27">
        <f t="shared" si="171"/>
        <v>4.2713999999999999</v>
      </c>
      <c r="K240" s="27">
        <f t="shared" si="171"/>
        <v>2.9447999999999999</v>
      </c>
      <c r="L240" s="27">
        <f t="shared" si="171"/>
        <v>0.83340000000000003</v>
      </c>
      <c r="M240" s="28">
        <f t="shared" si="172"/>
        <v>3</v>
      </c>
      <c r="N240" s="29">
        <f t="shared" si="173"/>
        <v>6</v>
      </c>
      <c r="O240" s="28">
        <f t="shared" si="174"/>
        <v>1</v>
      </c>
      <c r="P240" s="28">
        <f t="shared" si="175"/>
        <v>1</v>
      </c>
      <c r="Q240" s="28">
        <f t="shared" si="156"/>
        <v>11</v>
      </c>
      <c r="R240" s="22">
        <f t="shared" si="157"/>
        <v>59.901256356162932</v>
      </c>
      <c r="S240" s="22">
        <f t="shared" si="158"/>
        <v>43.994838931027118</v>
      </c>
      <c r="T240" s="22">
        <f t="shared" si="159"/>
        <v>14.380260399816692</v>
      </c>
      <c r="U240" s="22">
        <f t="shared" si="160"/>
        <v>6.4834017758420632</v>
      </c>
      <c r="V240" s="21">
        <f t="shared" si="135"/>
        <v>8.063907130666653</v>
      </c>
      <c r="W240" s="21">
        <f t="shared" si="136"/>
        <v>12.5770539093</v>
      </c>
      <c r="X240" s="21">
        <f t="shared" si="167"/>
        <v>4.9267778747999973</v>
      </c>
      <c r="Y240" s="21">
        <f t="shared" si="168"/>
        <v>3.0010305305999982</v>
      </c>
      <c r="Z240" s="221">
        <f t="shared" si="161"/>
        <v>9</v>
      </c>
      <c r="AA240" s="30">
        <f t="shared" si="149"/>
        <v>6.3140692319120486</v>
      </c>
      <c r="AB240" s="30">
        <f t="shared" si="150"/>
        <v>2.9733205694316993</v>
      </c>
      <c r="AC240" s="30">
        <f t="shared" si="151"/>
        <v>2.4809767459508998</v>
      </c>
      <c r="AD240" s="30">
        <f t="shared" si="152"/>
        <v>1.8363330373596554</v>
      </c>
      <c r="AE240" s="32">
        <f t="shared" si="162"/>
        <v>13.604699584654302</v>
      </c>
      <c r="AF240" s="33">
        <f t="shared" si="170"/>
        <v>13.604699584654302</v>
      </c>
      <c r="AG240" s="40">
        <f t="shared" si="163"/>
        <v>56.368430603045809</v>
      </c>
      <c r="AH240" s="224">
        <f>AG240*$P$33</f>
        <v>4.7275441742731523</v>
      </c>
      <c r="AI240" s="227">
        <f t="shared" si="164"/>
        <v>36.127171499767471</v>
      </c>
    </row>
    <row r="241" spans="1:35" x14ac:dyDescent="0.35">
      <c r="A241" s="45">
        <v>1622</v>
      </c>
      <c r="B241" s="58">
        <f>SUMIF([2]!Table2_23[ETA],'FIS Optimal Model'!A241,[2]!Table2_23[FIS PAX])</f>
        <v>0</v>
      </c>
      <c r="C241" s="44">
        <f t="shared" si="165"/>
        <v>18</v>
      </c>
      <c r="D241" s="52">
        <f t="shared" si="169"/>
        <v>26</v>
      </c>
      <c r="E241" s="26">
        <f t="shared" si="153"/>
        <v>9.9503999999999984</v>
      </c>
      <c r="F241" s="26">
        <f t="shared" si="154"/>
        <v>4.2713999999999999</v>
      </c>
      <c r="G241" s="26">
        <f t="shared" si="155"/>
        <v>2.9447999999999999</v>
      </c>
      <c r="H241" s="26">
        <f t="shared" si="166"/>
        <v>0.83340000000000003</v>
      </c>
      <c r="I241" s="27">
        <f t="shared" si="171"/>
        <v>9.9503999999999984</v>
      </c>
      <c r="J241" s="27">
        <f t="shared" si="171"/>
        <v>4.2713999999999999</v>
      </c>
      <c r="K241" s="27">
        <f t="shared" si="171"/>
        <v>2.9447999999999999</v>
      </c>
      <c r="L241" s="27">
        <f t="shared" si="171"/>
        <v>0.83340000000000003</v>
      </c>
      <c r="M241" s="28">
        <f t="shared" si="172"/>
        <v>3</v>
      </c>
      <c r="N241" s="29">
        <f t="shared" si="173"/>
        <v>6</v>
      </c>
      <c r="O241" s="28">
        <f t="shared" si="174"/>
        <v>1</v>
      </c>
      <c r="P241" s="28">
        <f t="shared" si="175"/>
        <v>1</v>
      </c>
      <c r="Q241" s="28">
        <f t="shared" si="156"/>
        <v>11</v>
      </c>
      <c r="R241" s="22">
        <f t="shared" si="157"/>
        <v>63.537587124250877</v>
      </c>
      <c r="S241" s="22">
        <f t="shared" si="158"/>
        <v>45.292918361595419</v>
      </c>
      <c r="T241" s="22">
        <f t="shared" si="159"/>
        <v>14.844083653865791</v>
      </c>
      <c r="U241" s="22">
        <f t="shared" si="160"/>
        <v>5.4804687384824078</v>
      </c>
      <c r="V241" s="21">
        <f t="shared" si="135"/>
        <v>8.553429978666653</v>
      </c>
      <c r="W241" s="21">
        <f t="shared" si="136"/>
        <v>12.9481432319</v>
      </c>
      <c r="X241" s="21">
        <f t="shared" si="167"/>
        <v>5.0856869683999975</v>
      </c>
      <c r="Y241" s="21">
        <f t="shared" si="168"/>
        <v>2.5367938891999984</v>
      </c>
      <c r="Z241" s="221">
        <f t="shared" si="161"/>
        <v>9</v>
      </c>
      <c r="AA241" s="30">
        <f t="shared" si="149"/>
        <v>6.3140692319120486</v>
      </c>
      <c r="AB241" s="30">
        <f t="shared" si="150"/>
        <v>2.9733205694316993</v>
      </c>
      <c r="AC241" s="30">
        <f t="shared" si="151"/>
        <v>2.4809767459508998</v>
      </c>
      <c r="AD241" s="30">
        <f t="shared" si="152"/>
        <v>1.8363330373596554</v>
      </c>
      <c r="AE241" s="32">
        <f t="shared" si="162"/>
        <v>13.604699584654302</v>
      </c>
      <c r="AF241" s="33">
        <f t="shared" si="170"/>
        <v>13.604699584654302</v>
      </c>
      <c r="AG241" s="40">
        <f t="shared" si="163"/>
        <v>58.049723758248334</v>
      </c>
      <c r="AH241" s="224">
        <f>AG241*$P$33</f>
        <v>4.8685519613640622</v>
      </c>
      <c r="AI241" s="227">
        <f t="shared" si="164"/>
        <v>36.155729911165771</v>
      </c>
    </row>
    <row r="242" spans="1:35" x14ac:dyDescent="0.35">
      <c r="A242" s="45">
        <v>1623</v>
      </c>
      <c r="B242" s="58">
        <f>SUMIF([2]!Table2_23[ETA],'FIS Optimal Model'!A242,[2]!Table2_23[FIS PAX])</f>
        <v>0</v>
      </c>
      <c r="C242" s="44">
        <f t="shared" si="165"/>
        <v>18</v>
      </c>
      <c r="D242" s="52">
        <f t="shared" si="169"/>
        <v>8</v>
      </c>
      <c r="E242" s="26">
        <f t="shared" si="153"/>
        <v>9.9503999999999984</v>
      </c>
      <c r="F242" s="26">
        <f t="shared" si="154"/>
        <v>4.2713999999999999</v>
      </c>
      <c r="G242" s="26">
        <f t="shared" si="155"/>
        <v>2.9447999999999999</v>
      </c>
      <c r="H242" s="26">
        <f t="shared" si="166"/>
        <v>0.83340000000000003</v>
      </c>
      <c r="I242" s="27">
        <f t="shared" si="171"/>
        <v>9.9503999999999984</v>
      </c>
      <c r="J242" s="27">
        <f t="shared" si="171"/>
        <v>4.2713999999999999</v>
      </c>
      <c r="K242" s="27">
        <f t="shared" si="171"/>
        <v>2.9447999999999999</v>
      </c>
      <c r="L242" s="27">
        <f t="shared" si="171"/>
        <v>0.83340000000000003</v>
      </c>
      <c r="M242" s="28">
        <f t="shared" si="172"/>
        <v>3</v>
      </c>
      <c r="N242" s="29">
        <f t="shared" si="173"/>
        <v>6</v>
      </c>
      <c r="O242" s="28">
        <f t="shared" si="174"/>
        <v>1</v>
      </c>
      <c r="P242" s="28">
        <f t="shared" si="175"/>
        <v>1</v>
      </c>
      <c r="Q242" s="28">
        <f t="shared" si="156"/>
        <v>11</v>
      </c>
      <c r="R242" s="22">
        <f t="shared" si="157"/>
        <v>67.173917892338821</v>
      </c>
      <c r="S242" s="22">
        <f t="shared" si="158"/>
        <v>46.590997792163719</v>
      </c>
      <c r="T242" s="22">
        <f t="shared" si="159"/>
        <v>15.307906907914891</v>
      </c>
      <c r="U242" s="22">
        <f t="shared" si="160"/>
        <v>4.4775357011227523</v>
      </c>
      <c r="V242" s="21">
        <f t="shared" si="135"/>
        <v>9.0429528266666512</v>
      </c>
      <c r="W242" s="21">
        <f t="shared" si="136"/>
        <v>13.319232554499999</v>
      </c>
      <c r="X242" s="21">
        <f t="shared" si="167"/>
        <v>5.2445960619999967</v>
      </c>
      <c r="Y242" s="21">
        <f t="shared" si="168"/>
        <v>2.0725572477999985</v>
      </c>
      <c r="Z242" s="221">
        <f t="shared" si="161"/>
        <v>10</v>
      </c>
      <c r="AA242" s="30">
        <f t="shared" si="149"/>
        <v>6.3140692319120486</v>
      </c>
      <c r="AB242" s="30">
        <f t="shared" si="150"/>
        <v>2.9733205694316993</v>
      </c>
      <c r="AC242" s="30">
        <f t="shared" si="151"/>
        <v>2.4809767459508998</v>
      </c>
      <c r="AD242" s="30">
        <f t="shared" si="152"/>
        <v>1.8363330373596554</v>
      </c>
      <c r="AE242" s="32">
        <f t="shared" si="162"/>
        <v>13.604699584654302</v>
      </c>
      <c r="AF242" s="33">
        <f t="shared" si="170"/>
        <v>13.604699584654302</v>
      </c>
      <c r="AG242" s="40">
        <f t="shared" si="163"/>
        <v>59.731016913450858</v>
      </c>
      <c r="AH242" s="224">
        <f>AG242*$P$33</f>
        <v>5.0095597484549721</v>
      </c>
      <c r="AI242" s="227">
        <f t="shared" si="164"/>
        <v>37.212846733962387</v>
      </c>
    </row>
    <row r="243" spans="1:35" x14ac:dyDescent="0.35">
      <c r="A243" s="45">
        <v>1624</v>
      </c>
      <c r="B243" s="58">
        <f>SUMIF([2]!Table2_23[ETA],'FIS Optimal Model'!A243,[2]!Table2_23[FIS PAX])</f>
        <v>0</v>
      </c>
      <c r="C243" s="44">
        <f t="shared" si="165"/>
        <v>8</v>
      </c>
      <c r="D243" s="52">
        <f t="shared" si="169"/>
        <v>0</v>
      </c>
      <c r="E243" s="26">
        <f t="shared" si="153"/>
        <v>4.4223999999999997</v>
      </c>
      <c r="F243" s="26">
        <f t="shared" si="154"/>
        <v>1.8984000000000001</v>
      </c>
      <c r="G243" s="26">
        <f t="shared" si="155"/>
        <v>1.3088</v>
      </c>
      <c r="H243" s="26">
        <f t="shared" si="166"/>
        <v>0.37040000000000001</v>
      </c>
      <c r="I243" s="27">
        <f t="shared" si="171"/>
        <v>9.9503999999999984</v>
      </c>
      <c r="J243" s="27">
        <f t="shared" si="171"/>
        <v>4.2713999999999999</v>
      </c>
      <c r="K243" s="27">
        <f t="shared" si="171"/>
        <v>2.9447999999999999</v>
      </c>
      <c r="L243" s="27">
        <f t="shared" si="171"/>
        <v>0.83340000000000003</v>
      </c>
      <c r="M243" s="28">
        <f t="shared" si="172"/>
        <v>3</v>
      </c>
      <c r="N243" s="29">
        <f t="shared" si="173"/>
        <v>6</v>
      </c>
      <c r="O243" s="28">
        <f t="shared" si="174"/>
        <v>1</v>
      </c>
      <c r="P243" s="28">
        <f t="shared" si="175"/>
        <v>1</v>
      </c>
      <c r="Q243" s="28">
        <f t="shared" si="156"/>
        <v>11</v>
      </c>
      <c r="R243" s="22">
        <f t="shared" si="157"/>
        <v>70.810248660426765</v>
      </c>
      <c r="S243" s="22">
        <f t="shared" si="158"/>
        <v>47.88907722273202</v>
      </c>
      <c r="T243" s="22">
        <f t="shared" si="159"/>
        <v>15.77173016196399</v>
      </c>
      <c r="U243" s="22">
        <f t="shared" si="160"/>
        <v>3.4746026637630969</v>
      </c>
      <c r="V243" s="21">
        <f t="shared" si="135"/>
        <v>9.5324756746666512</v>
      </c>
      <c r="W243" s="21">
        <f t="shared" si="136"/>
        <v>13.690321877099999</v>
      </c>
      <c r="X243" s="21">
        <f t="shared" si="167"/>
        <v>5.4035051555999969</v>
      </c>
      <c r="Y243" s="21">
        <f t="shared" si="168"/>
        <v>1.6083206063999984</v>
      </c>
      <c r="Z243" s="221">
        <f t="shared" si="161"/>
        <v>10</v>
      </c>
      <c r="AA243" s="30">
        <f t="shared" si="149"/>
        <v>6.3140692319120486</v>
      </c>
      <c r="AB243" s="30">
        <f t="shared" si="150"/>
        <v>2.9733205694316993</v>
      </c>
      <c r="AC243" s="30">
        <f t="shared" si="151"/>
        <v>2.4809767459508998</v>
      </c>
      <c r="AD243" s="30">
        <f t="shared" si="152"/>
        <v>1.8363330373596554</v>
      </c>
      <c r="AE243" s="32">
        <f t="shared" si="162"/>
        <v>13.604699584654302</v>
      </c>
      <c r="AF243" s="33">
        <f t="shared" si="170"/>
        <v>13.604699584654302</v>
      </c>
      <c r="AG243" s="40">
        <f t="shared" si="163"/>
        <v>61.412310068653383</v>
      </c>
      <c r="AH243" s="224">
        <f>AG243*$P$33</f>
        <v>5.150567535545882</v>
      </c>
      <c r="AI243" s="227">
        <f t="shared" si="164"/>
        <v>37.241405145360687</v>
      </c>
    </row>
    <row r="244" spans="1:35" x14ac:dyDescent="0.35">
      <c r="A244" s="45">
        <v>1625</v>
      </c>
      <c r="B244" s="58">
        <f>SUMIF([2]!Table2_23[ETA],'FIS Optimal Model'!A244,[2]!Table2_23[FIS PAX])</f>
        <v>0</v>
      </c>
      <c r="C244" s="44">
        <f t="shared" si="165"/>
        <v>0</v>
      </c>
      <c r="D244" s="52">
        <f t="shared" si="169"/>
        <v>0</v>
      </c>
      <c r="E244" s="26">
        <f t="shared" si="153"/>
        <v>0</v>
      </c>
      <c r="F244" s="26">
        <f t="shared" si="154"/>
        <v>0</v>
      </c>
      <c r="G244" s="26">
        <f t="shared" si="155"/>
        <v>0</v>
      </c>
      <c r="H244" s="26">
        <f t="shared" si="166"/>
        <v>0</v>
      </c>
      <c r="I244" s="27">
        <f t="shared" si="171"/>
        <v>9.9503999999999984</v>
      </c>
      <c r="J244" s="27">
        <f t="shared" si="171"/>
        <v>4.2713999999999999</v>
      </c>
      <c r="K244" s="27">
        <f t="shared" si="171"/>
        <v>2.9447999999999999</v>
      </c>
      <c r="L244" s="27">
        <f t="shared" si="171"/>
        <v>0.83340000000000003</v>
      </c>
      <c r="M244" s="28">
        <f t="shared" si="172"/>
        <v>3</v>
      </c>
      <c r="N244" s="29">
        <f t="shared" si="173"/>
        <v>6</v>
      </c>
      <c r="O244" s="28">
        <f t="shared" si="174"/>
        <v>1</v>
      </c>
      <c r="P244" s="28">
        <f t="shared" si="175"/>
        <v>1</v>
      </c>
      <c r="Q244" s="28">
        <f t="shared" si="156"/>
        <v>11</v>
      </c>
      <c r="R244" s="22">
        <f t="shared" si="157"/>
        <v>74.446579428514724</v>
      </c>
      <c r="S244" s="22">
        <f t="shared" si="158"/>
        <v>49.18715665330032</v>
      </c>
      <c r="T244" s="22">
        <f t="shared" si="159"/>
        <v>16.23555341601309</v>
      </c>
      <c r="U244" s="22">
        <f t="shared" si="160"/>
        <v>2.4716696264034415</v>
      </c>
      <c r="V244" s="21">
        <f t="shared" ref="V244:V307" si="176">IFERROR(R244*($I$30/M244),0)</f>
        <v>10.021998522666651</v>
      </c>
      <c r="W244" s="21">
        <f t="shared" si="136"/>
        <v>14.0614111997</v>
      </c>
      <c r="X244" s="21">
        <f t="shared" si="167"/>
        <v>5.5624142491999971</v>
      </c>
      <c r="Y244" s="21">
        <f t="shared" si="168"/>
        <v>1.1440839649999985</v>
      </c>
      <c r="Z244" s="221">
        <f t="shared" si="161"/>
        <v>10</v>
      </c>
      <c r="AA244" s="30">
        <f t="shared" si="149"/>
        <v>6.3140692319120486</v>
      </c>
      <c r="AB244" s="30">
        <f t="shared" si="150"/>
        <v>2.9733205694316993</v>
      </c>
      <c r="AC244" s="30">
        <f t="shared" si="151"/>
        <v>2.4809767459508998</v>
      </c>
      <c r="AD244" s="30">
        <f t="shared" si="152"/>
        <v>1.8363330373596554</v>
      </c>
      <c r="AE244" s="32">
        <f t="shared" si="162"/>
        <v>13.604699584654302</v>
      </c>
      <c r="AF244" s="33">
        <f t="shared" si="170"/>
        <v>13.604699584654302</v>
      </c>
      <c r="AG244" s="40">
        <f t="shared" si="163"/>
        <v>63.093603223855908</v>
      </c>
      <c r="AH244" s="224">
        <f>AG244*$P$33</f>
        <v>5.2915753226367928</v>
      </c>
      <c r="AI244" s="227">
        <f t="shared" si="164"/>
        <v>37.269963556758995</v>
      </c>
    </row>
    <row r="245" spans="1:35" x14ac:dyDescent="0.35">
      <c r="A245" s="45">
        <v>1626</v>
      </c>
      <c r="B245" s="58">
        <f>SUMIF([2]!Table2_23[ETA],'FIS Optimal Model'!A245,[2]!Table2_23[FIS PAX])</f>
        <v>0</v>
      </c>
      <c r="C245" s="44">
        <f t="shared" si="165"/>
        <v>0</v>
      </c>
      <c r="D245" s="52">
        <f t="shared" si="169"/>
        <v>0</v>
      </c>
      <c r="E245" s="26">
        <f t="shared" si="153"/>
        <v>0</v>
      </c>
      <c r="F245" s="26">
        <f t="shared" si="154"/>
        <v>0</v>
      </c>
      <c r="G245" s="26">
        <f t="shared" si="155"/>
        <v>0</v>
      </c>
      <c r="H245" s="26">
        <f t="shared" si="166"/>
        <v>0</v>
      </c>
      <c r="I245" s="27">
        <f t="shared" si="171"/>
        <v>9.9503999999999984</v>
      </c>
      <c r="J245" s="27">
        <f t="shared" si="171"/>
        <v>4.2713999999999999</v>
      </c>
      <c r="K245" s="27">
        <f t="shared" si="171"/>
        <v>2.9447999999999999</v>
      </c>
      <c r="L245" s="27">
        <f t="shared" si="171"/>
        <v>0.83340000000000003</v>
      </c>
      <c r="M245" s="28">
        <f t="shared" si="172"/>
        <v>3</v>
      </c>
      <c r="N245" s="29">
        <f t="shared" si="173"/>
        <v>6</v>
      </c>
      <c r="O245" s="28">
        <f t="shared" si="174"/>
        <v>1</v>
      </c>
      <c r="P245" s="28">
        <f t="shared" si="175"/>
        <v>1</v>
      </c>
      <c r="Q245" s="28">
        <f t="shared" si="156"/>
        <v>11</v>
      </c>
      <c r="R245" s="22">
        <f t="shared" si="157"/>
        <v>78.082910196602683</v>
      </c>
      <c r="S245" s="22">
        <f t="shared" si="158"/>
        <v>50.485236083868621</v>
      </c>
      <c r="T245" s="22">
        <f t="shared" si="159"/>
        <v>16.69937667006219</v>
      </c>
      <c r="U245" s="22">
        <f t="shared" si="160"/>
        <v>1.468736589043786</v>
      </c>
      <c r="V245" s="21">
        <f t="shared" si="176"/>
        <v>10.511521370666653</v>
      </c>
      <c r="W245" s="21">
        <f t="shared" ref="W245:W308" si="177">IFERROR(S245*($I$31/N245),0)</f>
        <v>14.4325005223</v>
      </c>
      <c r="X245" s="21">
        <f t="shared" si="167"/>
        <v>5.7213233427999963</v>
      </c>
      <c r="Y245" s="21">
        <f t="shared" si="168"/>
        <v>0.67984732359999855</v>
      </c>
      <c r="Z245" s="221">
        <f t="shared" si="161"/>
        <v>11</v>
      </c>
      <c r="AA245" s="30">
        <f t="shared" si="149"/>
        <v>6.3140692319120486</v>
      </c>
      <c r="AB245" s="30">
        <f t="shared" si="150"/>
        <v>2.9733205694316993</v>
      </c>
      <c r="AC245" s="30">
        <f t="shared" si="151"/>
        <v>2.4809767459508998</v>
      </c>
      <c r="AD245" s="30">
        <f t="shared" si="152"/>
        <v>1.8363330373596554</v>
      </c>
      <c r="AE245" s="32">
        <f t="shared" si="162"/>
        <v>13.604699584654302</v>
      </c>
      <c r="AF245" s="33">
        <f t="shared" si="170"/>
        <v>13.604699584654302</v>
      </c>
      <c r="AG245" s="40">
        <f t="shared" si="163"/>
        <v>64.774896379058433</v>
      </c>
      <c r="AH245" s="224">
        <f>AG245*$P$33</f>
        <v>5.4325831097277026</v>
      </c>
      <c r="AI245" s="227">
        <f t="shared" si="164"/>
        <v>38.327080379555603</v>
      </c>
    </row>
    <row r="246" spans="1:35" x14ac:dyDescent="0.35">
      <c r="A246" s="45">
        <v>1627</v>
      </c>
      <c r="B246" s="58">
        <f>SUMIF([2]!Table2_23[ETA],'FIS Optimal Model'!A246,[2]!Table2_23[FIS PAX])</f>
        <v>0</v>
      </c>
      <c r="C246" s="44">
        <f t="shared" si="165"/>
        <v>0</v>
      </c>
      <c r="D246" s="52">
        <f t="shared" si="169"/>
        <v>0</v>
      </c>
      <c r="E246" s="26">
        <f t="shared" si="153"/>
        <v>0</v>
      </c>
      <c r="F246" s="26">
        <f t="shared" si="154"/>
        <v>0</v>
      </c>
      <c r="G246" s="26">
        <f t="shared" si="155"/>
        <v>0</v>
      </c>
      <c r="H246" s="26">
        <f t="shared" si="166"/>
        <v>0</v>
      </c>
      <c r="I246" s="27">
        <f t="shared" si="171"/>
        <v>9.9503999999999984</v>
      </c>
      <c r="J246" s="27">
        <f t="shared" si="171"/>
        <v>4.2713999999999999</v>
      </c>
      <c r="K246" s="27">
        <f t="shared" si="171"/>
        <v>2.9447999999999999</v>
      </c>
      <c r="L246" s="27">
        <f t="shared" si="171"/>
        <v>0.83340000000000003</v>
      </c>
      <c r="M246" s="28">
        <f t="shared" si="172"/>
        <v>3</v>
      </c>
      <c r="N246" s="29">
        <f t="shared" si="173"/>
        <v>6</v>
      </c>
      <c r="O246" s="28">
        <f t="shared" si="174"/>
        <v>1</v>
      </c>
      <c r="P246" s="28">
        <f t="shared" si="175"/>
        <v>1</v>
      </c>
      <c r="Q246" s="28">
        <f t="shared" si="156"/>
        <v>11</v>
      </c>
      <c r="R246" s="22">
        <f t="shared" si="157"/>
        <v>81.719240964690641</v>
      </c>
      <c r="S246" s="22">
        <f t="shared" si="158"/>
        <v>51.783315514436921</v>
      </c>
      <c r="T246" s="22">
        <f t="shared" si="159"/>
        <v>17.163199924111289</v>
      </c>
      <c r="U246" s="22">
        <f t="shared" si="160"/>
        <v>0.46580355168413068</v>
      </c>
      <c r="V246" s="21">
        <f t="shared" si="176"/>
        <v>11.001044218666653</v>
      </c>
      <c r="W246" s="21">
        <f t="shared" si="177"/>
        <v>14.803589844899999</v>
      </c>
      <c r="X246" s="21">
        <f t="shared" si="167"/>
        <v>5.8802324363999965</v>
      </c>
      <c r="Y246" s="21">
        <f t="shared" si="168"/>
        <v>0.21561068219999871</v>
      </c>
      <c r="Z246" s="221">
        <f t="shared" si="161"/>
        <v>11</v>
      </c>
      <c r="AA246" s="30">
        <f t="shared" si="149"/>
        <v>6.3140692319120486</v>
      </c>
      <c r="AB246" s="30">
        <f t="shared" si="150"/>
        <v>2.9733205694316993</v>
      </c>
      <c r="AC246" s="30">
        <f t="shared" si="151"/>
        <v>2.4809767459508998</v>
      </c>
      <c r="AD246" s="30">
        <f t="shared" si="152"/>
        <v>1.8363330373596554</v>
      </c>
      <c r="AE246" s="32">
        <f t="shared" si="162"/>
        <v>13.604699584654302</v>
      </c>
      <c r="AF246" s="33">
        <f t="shared" si="170"/>
        <v>13.604699584654302</v>
      </c>
      <c r="AG246" s="40">
        <f t="shared" si="163"/>
        <v>66.456189534260957</v>
      </c>
      <c r="AH246" s="224">
        <f>AG246*$P$33</f>
        <v>5.5735908968186125</v>
      </c>
      <c r="AI246" s="227">
        <f t="shared" si="164"/>
        <v>38.355638790953911</v>
      </c>
    </row>
    <row r="247" spans="1:35" x14ac:dyDescent="0.35">
      <c r="A247" s="45">
        <v>1628</v>
      </c>
      <c r="B247" s="58">
        <f>SUMIF([2]!Table2_23[ETA],'FIS Optimal Model'!A247,[2]!Table2_23[FIS PAX])</f>
        <v>139</v>
      </c>
      <c r="C247" s="44">
        <f t="shared" si="165"/>
        <v>0</v>
      </c>
      <c r="D247" s="52">
        <f t="shared" si="169"/>
        <v>0</v>
      </c>
      <c r="E247" s="26">
        <f t="shared" si="153"/>
        <v>0</v>
      </c>
      <c r="F247" s="26">
        <f t="shared" si="154"/>
        <v>0</v>
      </c>
      <c r="G247" s="26">
        <f t="shared" si="155"/>
        <v>0</v>
      </c>
      <c r="H247" s="26">
        <f t="shared" si="166"/>
        <v>0</v>
      </c>
      <c r="I247" s="27">
        <f t="shared" si="171"/>
        <v>9.9503999999999984</v>
      </c>
      <c r="J247" s="27">
        <f t="shared" si="171"/>
        <v>4.2713999999999999</v>
      </c>
      <c r="K247" s="27">
        <f t="shared" si="171"/>
        <v>2.9447999999999999</v>
      </c>
      <c r="L247" s="27">
        <f t="shared" si="171"/>
        <v>0.83340000000000003</v>
      </c>
      <c r="M247" s="28">
        <f t="shared" si="172"/>
        <v>3</v>
      </c>
      <c r="N247" s="29">
        <f t="shared" si="173"/>
        <v>6</v>
      </c>
      <c r="O247" s="28">
        <f t="shared" si="174"/>
        <v>1</v>
      </c>
      <c r="P247" s="28">
        <f t="shared" si="175"/>
        <v>1</v>
      </c>
      <c r="Q247" s="28">
        <f t="shared" si="156"/>
        <v>11</v>
      </c>
      <c r="R247" s="22">
        <f t="shared" si="157"/>
        <v>85.3555717327786</v>
      </c>
      <c r="S247" s="22">
        <f t="shared" si="158"/>
        <v>52.585841516766607</v>
      </c>
      <c r="T247" s="22">
        <f t="shared" si="159"/>
        <v>17.627023178160389</v>
      </c>
      <c r="U247" s="22">
        <f t="shared" si="160"/>
        <v>0</v>
      </c>
      <c r="V247" s="21">
        <f t="shared" si="176"/>
        <v>11.490567066666655</v>
      </c>
      <c r="W247" s="21">
        <f t="shared" si="177"/>
        <v>15.033012500833333</v>
      </c>
      <c r="X247" s="21">
        <f t="shared" si="167"/>
        <v>6.0391415299999966</v>
      </c>
      <c r="Y247" s="21">
        <f t="shared" si="168"/>
        <v>0</v>
      </c>
      <c r="Z247" s="221">
        <f t="shared" si="161"/>
        <v>11</v>
      </c>
      <c r="AA247" s="30">
        <f t="shared" si="149"/>
        <v>6.3140692319120486</v>
      </c>
      <c r="AB247" s="30">
        <f t="shared" si="150"/>
        <v>2.9733205694316993</v>
      </c>
      <c r="AC247" s="30">
        <f t="shared" si="151"/>
        <v>2.4809767459508998</v>
      </c>
      <c r="AD247" s="30">
        <f t="shared" si="152"/>
        <v>0</v>
      </c>
      <c r="AE247" s="32">
        <f t="shared" si="162"/>
        <v>11.768366547294647</v>
      </c>
      <c r="AF247" s="33">
        <f t="shared" si="170"/>
        <v>13.604699584654302</v>
      </c>
      <c r="AG247" s="40">
        <f t="shared" si="163"/>
        <v>68.137482689463482</v>
      </c>
      <c r="AH247" s="224">
        <f>AG247*$P$33</f>
        <v>5.7145986839095224</v>
      </c>
      <c r="AI247" s="227">
        <f t="shared" si="164"/>
        <v>38.384197202352219</v>
      </c>
    </row>
    <row r="248" spans="1:35" x14ac:dyDescent="0.35">
      <c r="A248" s="45">
        <v>1629</v>
      </c>
      <c r="B248" s="58">
        <f>SUMIF([2]!Table2_23[ETA],'FIS Optimal Model'!A248,[2]!Table2_23[FIS PAX])</f>
        <v>0</v>
      </c>
      <c r="C248" s="44">
        <f t="shared" si="165"/>
        <v>18</v>
      </c>
      <c r="D248" s="52">
        <f t="shared" si="169"/>
        <v>121</v>
      </c>
      <c r="E248" s="26">
        <f t="shared" si="153"/>
        <v>9.9503999999999984</v>
      </c>
      <c r="F248" s="26">
        <f t="shared" si="154"/>
        <v>4.2713999999999999</v>
      </c>
      <c r="G248" s="26">
        <f t="shared" si="155"/>
        <v>2.9447999999999999</v>
      </c>
      <c r="H248" s="26">
        <f t="shared" si="166"/>
        <v>0.83340000000000003</v>
      </c>
      <c r="I248" s="27">
        <f t="shared" si="171"/>
        <v>4.4223999999999997</v>
      </c>
      <c r="J248" s="27">
        <f t="shared" si="171"/>
        <v>1.8984000000000001</v>
      </c>
      <c r="K248" s="27">
        <f t="shared" si="171"/>
        <v>1.3088</v>
      </c>
      <c r="L248" s="27">
        <f t="shared" si="171"/>
        <v>0.37040000000000001</v>
      </c>
      <c r="M248" s="28">
        <f t="shared" si="172"/>
        <v>3</v>
      </c>
      <c r="N248" s="29">
        <f t="shared" si="173"/>
        <v>6</v>
      </c>
      <c r="O248" s="28">
        <f t="shared" si="174"/>
        <v>1</v>
      </c>
      <c r="P248" s="28">
        <f t="shared" si="175"/>
        <v>1</v>
      </c>
      <c r="Q248" s="28">
        <f t="shared" si="156"/>
        <v>11</v>
      </c>
      <c r="R248" s="22">
        <f t="shared" si="157"/>
        <v>83.463902500866553</v>
      </c>
      <c r="S248" s="22">
        <f t="shared" si="158"/>
        <v>51.015367519096294</v>
      </c>
      <c r="T248" s="22">
        <f t="shared" si="159"/>
        <v>16.454846432209489</v>
      </c>
      <c r="U248" s="22">
        <f t="shared" si="160"/>
        <v>0</v>
      </c>
      <c r="V248" s="21">
        <f t="shared" si="176"/>
        <v>11.235910554666654</v>
      </c>
      <c r="W248" s="21">
        <f t="shared" si="177"/>
        <v>14.584052199766667</v>
      </c>
      <c r="X248" s="21">
        <f t="shared" si="167"/>
        <v>5.637545571599996</v>
      </c>
      <c r="Y248" s="21">
        <f t="shared" si="168"/>
        <v>0</v>
      </c>
      <c r="Z248" s="221">
        <f t="shared" si="161"/>
        <v>11</v>
      </c>
      <c r="AA248" s="30">
        <f t="shared" si="149"/>
        <v>6.3140692319120486</v>
      </c>
      <c r="AB248" s="30">
        <f t="shared" si="150"/>
        <v>2.9733205694316993</v>
      </c>
      <c r="AC248" s="30">
        <f t="shared" si="151"/>
        <v>2.4809767459508998</v>
      </c>
      <c r="AD248" s="30">
        <f t="shared" si="152"/>
        <v>0</v>
      </c>
      <c r="AE248" s="32">
        <f t="shared" si="162"/>
        <v>11.768366547294647</v>
      </c>
      <c r="AF248" s="33">
        <f t="shared" si="170"/>
        <v>13.604699584654302</v>
      </c>
      <c r="AG248" s="40">
        <f t="shared" si="163"/>
        <v>69.818775844666007</v>
      </c>
      <c r="AH248" s="224">
        <f>AG248*$P$33</f>
        <v>5.8556064710004323</v>
      </c>
      <c r="AI248" s="227">
        <f t="shared" si="164"/>
        <v>38.41275561375052</v>
      </c>
    </row>
    <row r="249" spans="1:35" x14ac:dyDescent="0.35">
      <c r="A249" s="45">
        <v>1630</v>
      </c>
      <c r="B249" s="58">
        <f>SUMIF([2]!Table2_23[ETA],'FIS Optimal Model'!A249,[2]!Table2_23[FIS PAX])</f>
        <v>0</v>
      </c>
      <c r="C249" s="44">
        <f t="shared" si="165"/>
        <v>18</v>
      </c>
      <c r="D249" s="52">
        <f t="shared" si="169"/>
        <v>103</v>
      </c>
      <c r="E249" s="26">
        <f t="shared" si="153"/>
        <v>9.9503999999999984</v>
      </c>
      <c r="F249" s="26">
        <f t="shared" si="154"/>
        <v>4.2713999999999999</v>
      </c>
      <c r="G249" s="26">
        <f t="shared" si="155"/>
        <v>2.9447999999999999</v>
      </c>
      <c r="H249" s="26">
        <f t="shared" si="166"/>
        <v>0.83340000000000003</v>
      </c>
      <c r="I249" s="27">
        <f t="shared" si="171"/>
        <v>0</v>
      </c>
      <c r="J249" s="27">
        <f t="shared" si="171"/>
        <v>0</v>
      </c>
      <c r="K249" s="27">
        <f t="shared" si="171"/>
        <v>0</v>
      </c>
      <c r="L249" s="27">
        <f t="shared" si="171"/>
        <v>0</v>
      </c>
      <c r="M249" s="28">
        <f t="shared" si="172"/>
        <v>3</v>
      </c>
      <c r="N249" s="29">
        <f t="shared" si="173"/>
        <v>6</v>
      </c>
      <c r="O249" s="28">
        <f t="shared" si="174"/>
        <v>1</v>
      </c>
      <c r="P249" s="28">
        <f t="shared" si="175"/>
        <v>1</v>
      </c>
      <c r="Q249" s="28">
        <f t="shared" si="156"/>
        <v>11</v>
      </c>
      <c r="R249" s="22">
        <f t="shared" si="157"/>
        <v>77.149833268954509</v>
      </c>
      <c r="S249" s="22">
        <f t="shared" si="158"/>
        <v>47.54649352142598</v>
      </c>
      <c r="T249" s="22">
        <f t="shared" si="159"/>
        <v>13.97386968625859</v>
      </c>
      <c r="U249" s="22">
        <f t="shared" si="160"/>
        <v>0</v>
      </c>
      <c r="V249" s="21">
        <f t="shared" si="176"/>
        <v>10.385910554666655</v>
      </c>
      <c r="W249" s="21">
        <f t="shared" si="177"/>
        <v>13.592385533100002</v>
      </c>
      <c r="X249" s="21">
        <f t="shared" si="167"/>
        <v>4.7875455715999964</v>
      </c>
      <c r="Y249" s="21">
        <f t="shared" si="168"/>
        <v>0</v>
      </c>
      <c r="Z249" s="221">
        <f t="shared" si="161"/>
        <v>10</v>
      </c>
      <c r="AA249" s="30">
        <f t="shared" si="149"/>
        <v>6.3140692319120486</v>
      </c>
      <c r="AB249" s="30">
        <f t="shared" si="150"/>
        <v>2.9733205694316993</v>
      </c>
      <c r="AC249" s="30">
        <f t="shared" si="151"/>
        <v>2.4809767459508998</v>
      </c>
      <c r="AD249" s="30">
        <f t="shared" si="152"/>
        <v>0</v>
      </c>
      <c r="AE249" s="32">
        <f t="shared" si="162"/>
        <v>11.768366547294647</v>
      </c>
      <c r="AF249" s="33">
        <f t="shared" si="170"/>
        <v>13.604699584654302</v>
      </c>
      <c r="AG249" s="40">
        <f t="shared" si="163"/>
        <v>71.500068999868532</v>
      </c>
      <c r="AH249" s="224">
        <f>AG249*$P$33</f>
        <v>5.9966142580913431</v>
      </c>
      <c r="AI249" s="227">
        <f t="shared" si="164"/>
        <v>37.41275561375052</v>
      </c>
    </row>
    <row r="250" spans="1:35" x14ac:dyDescent="0.35">
      <c r="A250" s="45">
        <v>1631</v>
      </c>
      <c r="B250" s="58">
        <f>SUMIF([2]!Table2_23[ETA],'FIS Optimal Model'!A250,[2]!Table2_23[FIS PAX])</f>
        <v>0</v>
      </c>
      <c r="C250" s="44">
        <f t="shared" si="165"/>
        <v>18</v>
      </c>
      <c r="D250" s="52">
        <f t="shared" si="169"/>
        <v>85</v>
      </c>
      <c r="E250" s="26">
        <f t="shared" si="153"/>
        <v>9.9503999999999984</v>
      </c>
      <c r="F250" s="26">
        <f t="shared" si="154"/>
        <v>4.2713999999999999</v>
      </c>
      <c r="G250" s="26">
        <f t="shared" si="155"/>
        <v>2.9447999999999999</v>
      </c>
      <c r="H250" s="26">
        <f t="shared" si="166"/>
        <v>0.83340000000000003</v>
      </c>
      <c r="I250" s="27">
        <f t="shared" si="171"/>
        <v>0</v>
      </c>
      <c r="J250" s="27">
        <f t="shared" si="171"/>
        <v>0</v>
      </c>
      <c r="K250" s="27">
        <f t="shared" si="171"/>
        <v>0</v>
      </c>
      <c r="L250" s="27">
        <f t="shared" si="171"/>
        <v>0</v>
      </c>
      <c r="M250" s="28">
        <f>IF(R249=0,0,$Q$20)</f>
        <v>3</v>
      </c>
      <c r="N250" s="29">
        <f>$U$20-M250-O250-P250</f>
        <v>7</v>
      </c>
      <c r="O250" s="28">
        <f>IF(T249=0,0,$S$20)</f>
        <v>1</v>
      </c>
      <c r="P250" s="28">
        <f>IF(U249=0,0,$T$20)</f>
        <v>0</v>
      </c>
      <c r="Q250" s="28">
        <f t="shared" si="156"/>
        <v>11</v>
      </c>
      <c r="R250" s="22">
        <f t="shared" si="157"/>
        <v>70.835764037042466</v>
      </c>
      <c r="S250" s="22">
        <f t="shared" si="158"/>
        <v>44.077619523755665</v>
      </c>
      <c r="T250" s="22">
        <f t="shared" si="159"/>
        <v>11.492892940307691</v>
      </c>
      <c r="U250" s="22">
        <f t="shared" si="160"/>
        <v>0</v>
      </c>
      <c r="V250" s="21">
        <f t="shared" si="176"/>
        <v>9.5359105546666569</v>
      </c>
      <c r="W250" s="21">
        <f t="shared" si="177"/>
        <v>10.800616171228572</v>
      </c>
      <c r="X250" s="21">
        <f t="shared" si="167"/>
        <v>3.9375455715999967</v>
      </c>
      <c r="Y250" s="21">
        <f t="shared" si="168"/>
        <v>0</v>
      </c>
      <c r="Z250" s="221">
        <f t="shared" si="161"/>
        <v>9</v>
      </c>
      <c r="AA250" s="30">
        <f t="shared" si="149"/>
        <v>6.3140692319120486</v>
      </c>
      <c r="AB250" s="30">
        <f t="shared" si="150"/>
        <v>3.4688739976703165</v>
      </c>
      <c r="AC250" s="30">
        <f t="shared" si="151"/>
        <v>2.4809767459508998</v>
      </c>
      <c r="AD250" s="30">
        <f t="shared" si="152"/>
        <v>0</v>
      </c>
      <c r="AE250" s="32">
        <f t="shared" si="162"/>
        <v>12.263919975533264</v>
      </c>
      <c r="AF250" s="33">
        <f t="shared" si="170"/>
        <v>13.604699584654302</v>
      </c>
      <c r="AG250" s="40">
        <f t="shared" si="163"/>
        <v>73.181362155071056</v>
      </c>
      <c r="AH250" s="224">
        <f>AG250*$P$33</f>
        <v>6.137622045182253</v>
      </c>
      <c r="AI250" s="227">
        <f t="shared" si="164"/>
        <v>36.41275561375052</v>
      </c>
    </row>
    <row r="251" spans="1:35" x14ac:dyDescent="0.35">
      <c r="A251" s="45">
        <v>1632</v>
      </c>
      <c r="B251" s="58">
        <f>SUMIF([2]!Table2_23[ETA],'FIS Optimal Model'!A251,[2]!Table2_23[FIS PAX])</f>
        <v>0</v>
      </c>
      <c r="C251" s="44">
        <f t="shared" si="165"/>
        <v>18</v>
      </c>
      <c r="D251" s="52">
        <f t="shared" si="169"/>
        <v>67</v>
      </c>
      <c r="E251" s="26">
        <f t="shared" si="153"/>
        <v>9.9503999999999984</v>
      </c>
      <c r="F251" s="26">
        <f t="shared" si="154"/>
        <v>4.2713999999999999</v>
      </c>
      <c r="G251" s="26">
        <f t="shared" si="155"/>
        <v>2.9447999999999999</v>
      </c>
      <c r="H251" s="26">
        <f t="shared" si="166"/>
        <v>0.83340000000000003</v>
      </c>
      <c r="I251" s="27">
        <f t="shared" si="171"/>
        <v>0</v>
      </c>
      <c r="J251" s="27">
        <f t="shared" si="171"/>
        <v>0</v>
      </c>
      <c r="K251" s="27">
        <f t="shared" si="171"/>
        <v>0</v>
      </c>
      <c r="L251" s="27">
        <f t="shared" si="171"/>
        <v>0</v>
      </c>
      <c r="M251" s="28">
        <f>$M$250</f>
        <v>3</v>
      </c>
      <c r="N251" s="29">
        <f>$N$250</f>
        <v>7</v>
      </c>
      <c r="O251" s="28">
        <f>$O$250</f>
        <v>1</v>
      </c>
      <c r="P251" s="28">
        <f>$P$250</f>
        <v>0</v>
      </c>
      <c r="Q251" s="28">
        <f t="shared" si="156"/>
        <v>11</v>
      </c>
      <c r="R251" s="22">
        <f t="shared" si="157"/>
        <v>64.521694805130423</v>
      </c>
      <c r="S251" s="22">
        <f t="shared" si="158"/>
        <v>40.60874552608535</v>
      </c>
      <c r="T251" s="22">
        <f t="shared" si="159"/>
        <v>9.0119161943567914</v>
      </c>
      <c r="U251" s="22">
        <f t="shared" si="160"/>
        <v>0</v>
      </c>
      <c r="V251" s="21">
        <f t="shared" si="176"/>
        <v>8.6859105546666573</v>
      </c>
      <c r="W251" s="21">
        <f t="shared" si="177"/>
        <v>9.9506161712285728</v>
      </c>
      <c r="X251" s="21">
        <f t="shared" si="167"/>
        <v>3.0875455715999971</v>
      </c>
      <c r="Y251" s="21">
        <f t="shared" si="168"/>
        <v>0</v>
      </c>
      <c r="Z251" s="221">
        <f t="shared" si="161"/>
        <v>8</v>
      </c>
      <c r="AA251" s="30">
        <f t="shared" si="149"/>
        <v>6.3140692319120486</v>
      </c>
      <c r="AB251" s="30">
        <f t="shared" si="150"/>
        <v>3.4688739976703165</v>
      </c>
      <c r="AC251" s="30">
        <f t="shared" si="151"/>
        <v>2.4809767459508998</v>
      </c>
      <c r="AD251" s="30">
        <f t="shared" si="152"/>
        <v>0</v>
      </c>
      <c r="AE251" s="32">
        <f t="shared" si="162"/>
        <v>12.263919975533264</v>
      </c>
      <c r="AF251" s="33">
        <f t="shared" si="170"/>
        <v>11.768366547294647</v>
      </c>
      <c r="AG251" s="40">
        <f t="shared" si="163"/>
        <v>73.026322272913916</v>
      </c>
      <c r="AH251" s="224">
        <f>AG251*$P$33</f>
        <v>6.1246190595778893</v>
      </c>
      <c r="AI251" s="227">
        <f t="shared" si="164"/>
        <v>35.41275561375052</v>
      </c>
    </row>
    <row r="252" spans="1:35" x14ac:dyDescent="0.35">
      <c r="A252" s="45">
        <v>1633</v>
      </c>
      <c r="B252" s="58">
        <f>SUMIF([2]!Table2_23[ETA],'FIS Optimal Model'!A252,[2]!Table2_23[FIS PAX])</f>
        <v>0</v>
      </c>
      <c r="C252" s="44">
        <f t="shared" si="165"/>
        <v>18</v>
      </c>
      <c r="D252" s="52">
        <f t="shared" si="169"/>
        <v>49</v>
      </c>
      <c r="E252" s="26">
        <f t="shared" si="153"/>
        <v>9.9503999999999984</v>
      </c>
      <c r="F252" s="26">
        <f t="shared" si="154"/>
        <v>4.2713999999999999</v>
      </c>
      <c r="G252" s="26">
        <f t="shared" si="155"/>
        <v>2.9447999999999999</v>
      </c>
      <c r="H252" s="26">
        <f t="shared" si="166"/>
        <v>0.83340000000000003</v>
      </c>
      <c r="I252" s="27">
        <f t="shared" si="171"/>
        <v>0</v>
      </c>
      <c r="J252" s="27">
        <f t="shared" si="171"/>
        <v>0</v>
      </c>
      <c r="K252" s="27">
        <f t="shared" si="171"/>
        <v>0</v>
      </c>
      <c r="L252" s="27">
        <f t="shared" si="171"/>
        <v>0</v>
      </c>
      <c r="M252" s="28">
        <f t="shared" ref="M252:M264" si="178">$M$250</f>
        <v>3</v>
      </c>
      <c r="N252" s="29">
        <f t="shared" ref="N252:N264" si="179">$N$250</f>
        <v>7</v>
      </c>
      <c r="O252" s="28">
        <f t="shared" ref="O252:O264" si="180">$O$250</f>
        <v>1</v>
      </c>
      <c r="P252" s="28">
        <f t="shared" ref="P252:P264" si="181">$P$250</f>
        <v>0</v>
      </c>
      <c r="Q252" s="28">
        <f t="shared" si="156"/>
        <v>11</v>
      </c>
      <c r="R252" s="22">
        <f t="shared" si="157"/>
        <v>58.207625573218372</v>
      </c>
      <c r="S252" s="22">
        <f t="shared" si="158"/>
        <v>37.139871528415036</v>
      </c>
      <c r="T252" s="22">
        <f t="shared" si="159"/>
        <v>6.530939448405892</v>
      </c>
      <c r="U252" s="22">
        <f t="shared" si="160"/>
        <v>0</v>
      </c>
      <c r="V252" s="21">
        <f t="shared" si="176"/>
        <v>7.8359105546666568</v>
      </c>
      <c r="W252" s="21">
        <f t="shared" si="177"/>
        <v>9.1006161712285731</v>
      </c>
      <c r="X252" s="21">
        <f t="shared" si="167"/>
        <v>2.2375455715999975</v>
      </c>
      <c r="Y252" s="21">
        <f t="shared" si="168"/>
        <v>0</v>
      </c>
      <c r="Z252" s="221">
        <f t="shared" si="161"/>
        <v>7</v>
      </c>
      <c r="AA252" s="30">
        <f t="shared" si="149"/>
        <v>6.3140692319120486</v>
      </c>
      <c r="AB252" s="30">
        <f t="shared" si="150"/>
        <v>3.4688739976703165</v>
      </c>
      <c r="AC252" s="30">
        <f t="shared" si="151"/>
        <v>2.4809767459508998</v>
      </c>
      <c r="AD252" s="30">
        <f t="shared" si="152"/>
        <v>0</v>
      </c>
      <c r="AE252" s="32">
        <f t="shared" si="162"/>
        <v>12.263919975533264</v>
      </c>
      <c r="AF252" s="33">
        <f t="shared" si="170"/>
        <v>11.768366547294647</v>
      </c>
      <c r="AG252" s="40">
        <f t="shared" si="163"/>
        <v>72.871282390756789</v>
      </c>
      <c r="AH252" s="224">
        <f>AG252*$P$33</f>
        <v>6.1116160739735266</v>
      </c>
      <c r="AI252" s="227">
        <f t="shared" si="164"/>
        <v>34.41275561375052</v>
      </c>
    </row>
    <row r="253" spans="1:35" x14ac:dyDescent="0.35">
      <c r="A253" s="45">
        <v>1634</v>
      </c>
      <c r="B253" s="58">
        <f>SUMIF([2]!Table2_23[ETA],'FIS Optimal Model'!A253,[2]!Table2_23[FIS PAX])</f>
        <v>0</v>
      </c>
      <c r="C253" s="44">
        <f t="shared" si="165"/>
        <v>18</v>
      </c>
      <c r="D253" s="52">
        <f t="shared" si="169"/>
        <v>31</v>
      </c>
      <c r="E253" s="26">
        <f t="shared" si="153"/>
        <v>9.9503999999999984</v>
      </c>
      <c r="F253" s="26">
        <f t="shared" si="154"/>
        <v>4.2713999999999999</v>
      </c>
      <c r="G253" s="26">
        <f t="shared" si="155"/>
        <v>2.9447999999999999</v>
      </c>
      <c r="H253" s="26">
        <f t="shared" si="166"/>
        <v>0.83340000000000003</v>
      </c>
      <c r="I253" s="27">
        <f t="shared" si="171"/>
        <v>9.9503999999999984</v>
      </c>
      <c r="J253" s="27">
        <f t="shared" si="171"/>
        <v>4.2713999999999999</v>
      </c>
      <c r="K253" s="27">
        <f t="shared" si="171"/>
        <v>2.9447999999999999</v>
      </c>
      <c r="L253" s="27">
        <f t="shared" si="171"/>
        <v>0.83340000000000003</v>
      </c>
      <c r="M253" s="28">
        <f t="shared" si="178"/>
        <v>3</v>
      </c>
      <c r="N253" s="29">
        <f t="shared" si="179"/>
        <v>7</v>
      </c>
      <c r="O253" s="28">
        <f t="shared" si="180"/>
        <v>1</v>
      </c>
      <c r="P253" s="28">
        <f t="shared" si="181"/>
        <v>0</v>
      </c>
      <c r="Q253" s="28">
        <f t="shared" si="156"/>
        <v>11</v>
      </c>
      <c r="R253" s="22">
        <f t="shared" si="157"/>
        <v>61.843956341306324</v>
      </c>
      <c r="S253" s="22">
        <f t="shared" si="158"/>
        <v>37.942397530744721</v>
      </c>
      <c r="T253" s="22">
        <f t="shared" si="159"/>
        <v>6.9947627024549925</v>
      </c>
      <c r="U253" s="22">
        <f t="shared" si="160"/>
        <v>0.83340000000000003</v>
      </c>
      <c r="V253" s="21">
        <f t="shared" si="176"/>
        <v>8.3254334026666559</v>
      </c>
      <c r="W253" s="21">
        <f t="shared" si="177"/>
        <v>9.2972641620285721</v>
      </c>
      <c r="X253" s="21">
        <f t="shared" si="167"/>
        <v>2.3964546651999976</v>
      </c>
      <c r="Y253" s="21">
        <f t="shared" si="168"/>
        <v>0</v>
      </c>
      <c r="Z253" s="221">
        <f t="shared" si="161"/>
        <v>8</v>
      </c>
      <c r="AA253" s="30">
        <f t="shared" si="149"/>
        <v>6.3140692319120486</v>
      </c>
      <c r="AB253" s="30">
        <f t="shared" si="150"/>
        <v>3.4688739976703165</v>
      </c>
      <c r="AC253" s="30">
        <f t="shared" si="151"/>
        <v>2.4809767459508998</v>
      </c>
      <c r="AD253" s="30">
        <f t="shared" si="152"/>
        <v>0</v>
      </c>
      <c r="AE253" s="32">
        <f t="shared" si="162"/>
        <v>12.263919975533264</v>
      </c>
      <c r="AF253" s="33">
        <f t="shared" si="170"/>
        <v>11.768366547294647</v>
      </c>
      <c r="AG253" s="40">
        <f t="shared" si="163"/>
        <v>72.716242508599663</v>
      </c>
      <c r="AH253" s="224">
        <f>AG253*$P$33</f>
        <v>6.0986130883691638</v>
      </c>
      <c r="AI253" s="227">
        <f t="shared" si="164"/>
        <v>35.469872436547135</v>
      </c>
    </row>
    <row r="254" spans="1:35" x14ac:dyDescent="0.35">
      <c r="A254" s="45">
        <v>1635</v>
      </c>
      <c r="B254" s="58">
        <f>SUMIF([2]!Table2_23[ETA],'FIS Optimal Model'!A254,[2]!Table2_23[FIS PAX])</f>
        <v>0</v>
      </c>
      <c r="C254" s="44">
        <f t="shared" si="165"/>
        <v>18</v>
      </c>
      <c r="D254" s="52">
        <f t="shared" si="169"/>
        <v>13</v>
      </c>
      <c r="E254" s="26">
        <f t="shared" si="153"/>
        <v>9.9503999999999984</v>
      </c>
      <c r="F254" s="26">
        <f t="shared" si="154"/>
        <v>4.2713999999999999</v>
      </c>
      <c r="G254" s="26">
        <f t="shared" si="155"/>
        <v>2.9447999999999999</v>
      </c>
      <c r="H254" s="26">
        <f t="shared" si="166"/>
        <v>0.83340000000000003</v>
      </c>
      <c r="I254" s="27">
        <f t="shared" si="171"/>
        <v>9.9503999999999984</v>
      </c>
      <c r="J254" s="27">
        <f t="shared" si="171"/>
        <v>4.2713999999999999</v>
      </c>
      <c r="K254" s="27">
        <f t="shared" si="171"/>
        <v>2.9447999999999999</v>
      </c>
      <c r="L254" s="27">
        <f t="shared" si="171"/>
        <v>0.83340000000000003</v>
      </c>
      <c r="M254" s="28">
        <f t="shared" si="178"/>
        <v>3</v>
      </c>
      <c r="N254" s="29">
        <f t="shared" si="179"/>
        <v>7</v>
      </c>
      <c r="O254" s="28">
        <f t="shared" si="180"/>
        <v>1</v>
      </c>
      <c r="P254" s="28">
        <f t="shared" si="181"/>
        <v>0</v>
      </c>
      <c r="Q254" s="28">
        <f t="shared" si="156"/>
        <v>11</v>
      </c>
      <c r="R254" s="22">
        <f t="shared" si="157"/>
        <v>65.480287109394268</v>
      </c>
      <c r="S254" s="22">
        <f t="shared" si="158"/>
        <v>38.744923533074406</v>
      </c>
      <c r="T254" s="22">
        <f t="shared" si="159"/>
        <v>7.4585859565040922</v>
      </c>
      <c r="U254" s="22">
        <f t="shared" si="160"/>
        <v>1.6668000000000001</v>
      </c>
      <c r="V254" s="21">
        <f t="shared" si="176"/>
        <v>8.8149562506666559</v>
      </c>
      <c r="W254" s="21">
        <f t="shared" si="177"/>
        <v>9.4939121528285728</v>
      </c>
      <c r="X254" s="21">
        <f t="shared" si="167"/>
        <v>2.5553637587999973</v>
      </c>
      <c r="Y254" s="21">
        <f t="shared" si="168"/>
        <v>0</v>
      </c>
      <c r="Z254" s="221">
        <f t="shared" si="161"/>
        <v>8</v>
      </c>
      <c r="AA254" s="30">
        <f t="shared" si="149"/>
        <v>6.3140692319120486</v>
      </c>
      <c r="AB254" s="30">
        <f t="shared" si="150"/>
        <v>3.4688739976703165</v>
      </c>
      <c r="AC254" s="30">
        <f t="shared" si="151"/>
        <v>2.4809767459508998</v>
      </c>
      <c r="AD254" s="30">
        <f t="shared" si="152"/>
        <v>0</v>
      </c>
      <c r="AE254" s="32">
        <f t="shared" si="162"/>
        <v>12.263919975533264</v>
      </c>
      <c r="AF254" s="33">
        <f t="shared" si="170"/>
        <v>12.263919975533264</v>
      </c>
      <c r="AG254" s="40">
        <f t="shared" si="163"/>
        <v>73.056756054681145</v>
      </c>
      <c r="AH254" s="224">
        <f>AG254*$P$33</f>
        <v>6.1271714997674689</v>
      </c>
      <c r="AI254" s="227">
        <f t="shared" si="164"/>
        <v>35.498430847945443</v>
      </c>
    </row>
    <row r="255" spans="1:35" x14ac:dyDescent="0.35">
      <c r="A255" s="45">
        <v>1636</v>
      </c>
      <c r="B255" s="58">
        <f>SUMIF([2]!Table2_23[ETA],'FIS Optimal Model'!A255,[2]!Table2_23[FIS PAX])</f>
        <v>0</v>
      </c>
      <c r="C255" s="44">
        <f t="shared" si="165"/>
        <v>13</v>
      </c>
      <c r="D255" s="52">
        <f t="shared" si="169"/>
        <v>0</v>
      </c>
      <c r="E255" s="26">
        <f t="shared" si="153"/>
        <v>7.186399999999999</v>
      </c>
      <c r="F255" s="26">
        <f t="shared" si="154"/>
        <v>3.0849000000000002</v>
      </c>
      <c r="G255" s="26">
        <f t="shared" si="155"/>
        <v>2.1267999999999998</v>
      </c>
      <c r="H255" s="26">
        <f t="shared" si="166"/>
        <v>0.60189999999999999</v>
      </c>
      <c r="I255" s="27">
        <f t="shared" si="171"/>
        <v>9.9503999999999984</v>
      </c>
      <c r="J255" s="27">
        <f t="shared" si="171"/>
        <v>4.2713999999999999</v>
      </c>
      <c r="K255" s="27">
        <f t="shared" si="171"/>
        <v>2.9447999999999999</v>
      </c>
      <c r="L255" s="27">
        <f t="shared" si="171"/>
        <v>0.83340000000000003</v>
      </c>
      <c r="M255" s="28">
        <f t="shared" si="178"/>
        <v>3</v>
      </c>
      <c r="N255" s="29">
        <f t="shared" si="179"/>
        <v>7</v>
      </c>
      <c r="O255" s="28">
        <f t="shared" si="180"/>
        <v>1</v>
      </c>
      <c r="P255" s="28">
        <f t="shared" si="181"/>
        <v>0</v>
      </c>
      <c r="Q255" s="28">
        <f t="shared" si="156"/>
        <v>11</v>
      </c>
      <c r="R255" s="22">
        <f t="shared" si="157"/>
        <v>69.116617877482213</v>
      </c>
      <c r="S255" s="22">
        <f t="shared" si="158"/>
        <v>39.547449535404091</v>
      </c>
      <c r="T255" s="22">
        <f t="shared" si="159"/>
        <v>7.9224092105531918</v>
      </c>
      <c r="U255" s="22">
        <f t="shared" si="160"/>
        <v>2.5002</v>
      </c>
      <c r="V255" s="21">
        <f t="shared" si="176"/>
        <v>9.3044790986666541</v>
      </c>
      <c r="W255" s="21">
        <f t="shared" si="177"/>
        <v>9.6905601436285735</v>
      </c>
      <c r="X255" s="21">
        <f t="shared" si="167"/>
        <v>2.7142728523999975</v>
      </c>
      <c r="Y255" s="21">
        <f t="shared" si="168"/>
        <v>0</v>
      </c>
      <c r="Z255" s="221">
        <f t="shared" si="161"/>
        <v>8</v>
      </c>
      <c r="AA255" s="30">
        <f t="shared" si="149"/>
        <v>6.3140692319120486</v>
      </c>
      <c r="AB255" s="30">
        <f t="shared" si="150"/>
        <v>3.4688739976703165</v>
      </c>
      <c r="AC255" s="30">
        <f t="shared" si="151"/>
        <v>2.4809767459508998</v>
      </c>
      <c r="AD255" s="30">
        <f t="shared" si="152"/>
        <v>0</v>
      </c>
      <c r="AE255" s="32">
        <f t="shared" si="162"/>
        <v>12.263919975533264</v>
      </c>
      <c r="AF255" s="33">
        <f t="shared" si="170"/>
        <v>12.263919975533264</v>
      </c>
      <c r="AG255" s="40">
        <f t="shared" si="163"/>
        <v>73.397269600762627</v>
      </c>
      <c r="AH255" s="224">
        <f>AG255*$P$33</f>
        <v>6.1557299111657739</v>
      </c>
      <c r="AI255" s="227">
        <f t="shared" si="164"/>
        <v>35.318913089112506</v>
      </c>
    </row>
    <row r="256" spans="1:35" x14ac:dyDescent="0.35">
      <c r="A256" s="45">
        <v>1637</v>
      </c>
      <c r="B256" s="58">
        <f>SUMIF([2]!Table2_23[ETA],'FIS Optimal Model'!A256,[2]!Table2_23[FIS PAX])</f>
        <v>0</v>
      </c>
      <c r="C256" s="44">
        <f t="shared" si="165"/>
        <v>0</v>
      </c>
      <c r="D256" s="52">
        <f t="shared" si="169"/>
        <v>0</v>
      </c>
      <c r="E256" s="26">
        <f t="shared" si="153"/>
        <v>0</v>
      </c>
      <c r="F256" s="26">
        <f t="shared" si="154"/>
        <v>0</v>
      </c>
      <c r="G256" s="26">
        <f t="shared" si="155"/>
        <v>0</v>
      </c>
      <c r="H256" s="26">
        <f t="shared" si="166"/>
        <v>0</v>
      </c>
      <c r="I256" s="27">
        <f t="shared" si="171"/>
        <v>9.9503999999999984</v>
      </c>
      <c r="J256" s="27">
        <f t="shared" si="171"/>
        <v>4.2713999999999999</v>
      </c>
      <c r="K256" s="27">
        <f t="shared" si="171"/>
        <v>2.9447999999999999</v>
      </c>
      <c r="L256" s="27">
        <f t="shared" si="171"/>
        <v>0.83340000000000003</v>
      </c>
      <c r="M256" s="28">
        <f t="shared" si="178"/>
        <v>3</v>
      </c>
      <c r="N256" s="29">
        <f t="shared" si="179"/>
        <v>7</v>
      </c>
      <c r="O256" s="28">
        <f t="shared" si="180"/>
        <v>1</v>
      </c>
      <c r="P256" s="28">
        <f t="shared" si="181"/>
        <v>0</v>
      </c>
      <c r="Q256" s="28">
        <f t="shared" si="156"/>
        <v>11</v>
      </c>
      <c r="R256" s="22">
        <f t="shared" si="157"/>
        <v>72.752948645570157</v>
      </c>
      <c r="S256" s="22">
        <f t="shared" si="158"/>
        <v>40.349975537733776</v>
      </c>
      <c r="T256" s="22">
        <f t="shared" si="159"/>
        <v>8.3862324646022905</v>
      </c>
      <c r="U256" s="22">
        <f t="shared" si="160"/>
        <v>3.3336000000000001</v>
      </c>
      <c r="V256" s="21">
        <f t="shared" si="176"/>
        <v>9.7940019466666541</v>
      </c>
      <c r="W256" s="21">
        <f t="shared" si="177"/>
        <v>9.8872081344285743</v>
      </c>
      <c r="X256" s="21">
        <f t="shared" si="167"/>
        <v>2.8731819459999968</v>
      </c>
      <c r="Y256" s="21">
        <f t="shared" si="168"/>
        <v>0</v>
      </c>
      <c r="Z256" s="221">
        <f t="shared" si="161"/>
        <v>9</v>
      </c>
      <c r="AA256" s="30">
        <f t="shared" si="149"/>
        <v>6.3140692319120486</v>
      </c>
      <c r="AB256" s="30">
        <f t="shared" si="150"/>
        <v>3.4688739976703165</v>
      </c>
      <c r="AC256" s="30">
        <f t="shared" si="151"/>
        <v>2.4809767459508998</v>
      </c>
      <c r="AD256" s="30">
        <f t="shared" si="152"/>
        <v>0</v>
      </c>
      <c r="AE256" s="32">
        <f t="shared" si="162"/>
        <v>12.263919975533264</v>
      </c>
      <c r="AF256" s="33">
        <f t="shared" si="170"/>
        <v>12.263919975533264</v>
      </c>
      <c r="AG256" s="40">
        <f t="shared" si="163"/>
        <v>73.737783146844109</v>
      </c>
      <c r="AH256" s="224">
        <f>AG256*$P$33</f>
        <v>6.184288322564079</v>
      </c>
      <c r="AI256" s="227">
        <f t="shared" si="164"/>
        <v>36.267899116837178</v>
      </c>
    </row>
    <row r="257" spans="1:35" x14ac:dyDescent="0.35">
      <c r="A257" s="45">
        <v>1638</v>
      </c>
      <c r="B257" s="58">
        <f>SUMIF([2]!Table2_23[ETA],'FIS Optimal Model'!A257,[2]!Table2_23[FIS PAX])</f>
        <v>0</v>
      </c>
      <c r="C257" s="44">
        <f t="shared" si="165"/>
        <v>0</v>
      </c>
      <c r="D257" s="52">
        <f t="shared" si="169"/>
        <v>0</v>
      </c>
      <c r="E257" s="26">
        <f t="shared" si="153"/>
        <v>0</v>
      </c>
      <c r="F257" s="26">
        <f t="shared" si="154"/>
        <v>0</v>
      </c>
      <c r="G257" s="26">
        <f t="shared" si="155"/>
        <v>0</v>
      </c>
      <c r="H257" s="26">
        <f t="shared" si="166"/>
        <v>0</v>
      </c>
      <c r="I257" s="27">
        <f t="shared" si="171"/>
        <v>9.9503999999999984</v>
      </c>
      <c r="J257" s="27">
        <f t="shared" si="171"/>
        <v>4.2713999999999999</v>
      </c>
      <c r="K257" s="27">
        <f t="shared" si="171"/>
        <v>2.9447999999999999</v>
      </c>
      <c r="L257" s="27">
        <f t="shared" si="171"/>
        <v>0.83340000000000003</v>
      </c>
      <c r="M257" s="28">
        <f t="shared" si="178"/>
        <v>3</v>
      </c>
      <c r="N257" s="29">
        <f t="shared" si="179"/>
        <v>7</v>
      </c>
      <c r="O257" s="28">
        <f t="shared" si="180"/>
        <v>1</v>
      </c>
      <c r="P257" s="28">
        <f t="shared" si="181"/>
        <v>0</v>
      </c>
      <c r="Q257" s="28">
        <f t="shared" si="156"/>
        <v>11</v>
      </c>
      <c r="R257" s="22">
        <f t="shared" si="157"/>
        <v>76.389279413658116</v>
      </c>
      <c r="S257" s="22">
        <f t="shared" si="158"/>
        <v>41.152501540063462</v>
      </c>
      <c r="T257" s="22">
        <f t="shared" si="159"/>
        <v>8.8500557186513902</v>
      </c>
      <c r="U257" s="22">
        <f t="shared" si="160"/>
        <v>4.1669999999999998</v>
      </c>
      <c r="V257" s="21">
        <f t="shared" si="176"/>
        <v>10.283524794666654</v>
      </c>
      <c r="W257" s="21">
        <f t="shared" si="177"/>
        <v>10.083856125228573</v>
      </c>
      <c r="X257" s="21">
        <f t="shared" si="167"/>
        <v>3.0320910395999969</v>
      </c>
      <c r="Y257" s="21">
        <f t="shared" si="168"/>
        <v>0</v>
      </c>
      <c r="Z257" s="221">
        <f t="shared" si="161"/>
        <v>9</v>
      </c>
      <c r="AA257" s="30">
        <f t="shared" si="149"/>
        <v>6.3140692319120486</v>
      </c>
      <c r="AB257" s="30">
        <f t="shared" si="150"/>
        <v>3.4688739976703165</v>
      </c>
      <c r="AC257" s="30">
        <f t="shared" si="151"/>
        <v>2.4809767459508998</v>
      </c>
      <c r="AD257" s="30">
        <f t="shared" si="152"/>
        <v>0</v>
      </c>
      <c r="AE257" s="32">
        <f t="shared" si="162"/>
        <v>12.263919975533264</v>
      </c>
      <c r="AF257" s="33">
        <f t="shared" si="170"/>
        <v>12.263919975533264</v>
      </c>
      <c r="AG257" s="40">
        <f t="shared" si="163"/>
        <v>74.078296692925591</v>
      </c>
      <c r="AH257" s="224">
        <f>AG257*$P$33</f>
        <v>6.212846733962385</v>
      </c>
      <c r="AI257" s="227">
        <f t="shared" si="164"/>
        <v>36.242392130699514</v>
      </c>
    </row>
    <row r="258" spans="1:35" x14ac:dyDescent="0.35">
      <c r="A258" s="45">
        <v>1639</v>
      </c>
      <c r="B258" s="58">
        <f>SUMIF([2]!Table2_23[ETA],'FIS Optimal Model'!A258,[2]!Table2_23[FIS PAX])</f>
        <v>0</v>
      </c>
      <c r="C258" s="44">
        <f t="shared" si="165"/>
        <v>0</v>
      </c>
      <c r="D258" s="52">
        <f t="shared" si="169"/>
        <v>0</v>
      </c>
      <c r="E258" s="26">
        <f t="shared" si="153"/>
        <v>0</v>
      </c>
      <c r="F258" s="26">
        <f t="shared" si="154"/>
        <v>0</v>
      </c>
      <c r="G258" s="26">
        <f t="shared" si="155"/>
        <v>0</v>
      </c>
      <c r="H258" s="26">
        <f t="shared" si="166"/>
        <v>0</v>
      </c>
      <c r="I258" s="27">
        <f t="shared" si="171"/>
        <v>9.9503999999999984</v>
      </c>
      <c r="J258" s="27">
        <f t="shared" si="171"/>
        <v>4.2713999999999999</v>
      </c>
      <c r="K258" s="27">
        <f t="shared" si="171"/>
        <v>2.9447999999999999</v>
      </c>
      <c r="L258" s="27">
        <f t="shared" si="171"/>
        <v>0.83340000000000003</v>
      </c>
      <c r="M258" s="28">
        <f t="shared" si="178"/>
        <v>3</v>
      </c>
      <c r="N258" s="29">
        <f t="shared" si="179"/>
        <v>7</v>
      </c>
      <c r="O258" s="28">
        <f t="shared" si="180"/>
        <v>1</v>
      </c>
      <c r="P258" s="28">
        <f t="shared" si="181"/>
        <v>0</v>
      </c>
      <c r="Q258" s="28">
        <f t="shared" si="156"/>
        <v>11</v>
      </c>
      <c r="R258" s="22">
        <f t="shared" si="157"/>
        <v>80.025610181746075</v>
      </c>
      <c r="S258" s="22">
        <f t="shared" si="158"/>
        <v>41.955027542393147</v>
      </c>
      <c r="T258" s="22">
        <f t="shared" si="159"/>
        <v>9.3138789727004898</v>
      </c>
      <c r="U258" s="22">
        <f t="shared" si="160"/>
        <v>5.0004</v>
      </c>
      <c r="V258" s="21">
        <f t="shared" si="176"/>
        <v>10.773047642666656</v>
      </c>
      <c r="W258" s="21">
        <f t="shared" si="177"/>
        <v>10.280504116028574</v>
      </c>
      <c r="X258" s="21">
        <f t="shared" si="167"/>
        <v>3.1910001331999966</v>
      </c>
      <c r="Y258" s="21">
        <f t="shared" si="168"/>
        <v>0</v>
      </c>
      <c r="Z258" s="221">
        <f t="shared" si="161"/>
        <v>9</v>
      </c>
      <c r="AA258" s="30">
        <f t="shared" si="149"/>
        <v>6.3140692319120486</v>
      </c>
      <c r="AB258" s="30">
        <f t="shared" si="150"/>
        <v>3.4688739976703165</v>
      </c>
      <c r="AC258" s="30">
        <f t="shared" si="151"/>
        <v>2.4809767459508998</v>
      </c>
      <c r="AD258" s="30">
        <f t="shared" si="152"/>
        <v>0</v>
      </c>
      <c r="AE258" s="32">
        <f t="shared" si="162"/>
        <v>12.263919975533264</v>
      </c>
      <c r="AF258" s="33">
        <f t="shared" si="170"/>
        <v>12.263919975533264</v>
      </c>
      <c r="AG258" s="40">
        <f t="shared" si="163"/>
        <v>74.418810239007072</v>
      </c>
      <c r="AH258" s="224">
        <f>AG258*$P$33</f>
        <v>6.24140514536069</v>
      </c>
      <c r="AI258" s="227">
        <f t="shared" si="164"/>
        <v>36.062874371866577</v>
      </c>
    </row>
    <row r="259" spans="1:35" x14ac:dyDescent="0.35">
      <c r="A259" s="45">
        <v>1640</v>
      </c>
      <c r="B259" s="58">
        <f>SUMIF([2]!Table2_23[ETA],'FIS Optimal Model'!A259,[2]!Table2_23[FIS PAX])</f>
        <v>0</v>
      </c>
      <c r="C259" s="44">
        <f t="shared" si="165"/>
        <v>0</v>
      </c>
      <c r="D259" s="52">
        <f t="shared" si="169"/>
        <v>0</v>
      </c>
      <c r="E259" s="26">
        <f t="shared" si="153"/>
        <v>0</v>
      </c>
      <c r="F259" s="26">
        <f t="shared" si="154"/>
        <v>0</v>
      </c>
      <c r="G259" s="26">
        <f t="shared" si="155"/>
        <v>0</v>
      </c>
      <c r="H259" s="26">
        <f t="shared" si="166"/>
        <v>0</v>
      </c>
      <c r="I259" s="27">
        <f t="shared" si="171"/>
        <v>9.9503999999999984</v>
      </c>
      <c r="J259" s="27">
        <f t="shared" si="171"/>
        <v>4.2713999999999999</v>
      </c>
      <c r="K259" s="27">
        <f t="shared" si="171"/>
        <v>2.9447999999999999</v>
      </c>
      <c r="L259" s="27">
        <f t="shared" si="171"/>
        <v>0.83340000000000003</v>
      </c>
      <c r="M259" s="28">
        <f t="shared" si="178"/>
        <v>3</v>
      </c>
      <c r="N259" s="29">
        <f t="shared" si="179"/>
        <v>7</v>
      </c>
      <c r="O259" s="28">
        <f t="shared" si="180"/>
        <v>1</v>
      </c>
      <c r="P259" s="28">
        <f t="shared" si="181"/>
        <v>0</v>
      </c>
      <c r="Q259" s="28">
        <f t="shared" si="156"/>
        <v>11</v>
      </c>
      <c r="R259" s="22">
        <f t="shared" si="157"/>
        <v>83.661940949834033</v>
      </c>
      <c r="S259" s="22">
        <f t="shared" si="158"/>
        <v>42.757553544722832</v>
      </c>
      <c r="T259" s="22">
        <f t="shared" si="159"/>
        <v>9.7777022267495894</v>
      </c>
      <c r="U259" s="22">
        <f t="shared" si="160"/>
        <v>5.8338000000000001</v>
      </c>
      <c r="V259" s="21">
        <f t="shared" si="176"/>
        <v>11.262570490666656</v>
      </c>
      <c r="W259" s="21">
        <f t="shared" si="177"/>
        <v>10.477152106828575</v>
      </c>
      <c r="X259" s="21">
        <f t="shared" si="167"/>
        <v>3.3499092267999964</v>
      </c>
      <c r="Y259" s="21">
        <f t="shared" si="168"/>
        <v>0</v>
      </c>
      <c r="Z259" s="221">
        <f t="shared" si="161"/>
        <v>10</v>
      </c>
      <c r="AA259" s="30">
        <f t="shared" si="149"/>
        <v>6.3140692319120486</v>
      </c>
      <c r="AB259" s="30">
        <f t="shared" si="150"/>
        <v>3.4688739976703165</v>
      </c>
      <c r="AC259" s="30">
        <f t="shared" si="151"/>
        <v>2.4809767459508998</v>
      </c>
      <c r="AD259" s="30">
        <f t="shared" si="152"/>
        <v>0</v>
      </c>
      <c r="AE259" s="32">
        <f t="shared" si="162"/>
        <v>12.263919975533264</v>
      </c>
      <c r="AF259" s="33">
        <f t="shared" si="170"/>
        <v>12.263919975533264</v>
      </c>
      <c r="AG259" s="40">
        <f t="shared" si="163"/>
        <v>74.759323785088554</v>
      </c>
      <c r="AH259" s="224">
        <f>AG259*$P$33</f>
        <v>6.2699635567589951</v>
      </c>
      <c r="AI259" s="227">
        <f t="shared" si="164"/>
        <v>36.703838854200704</v>
      </c>
    </row>
    <row r="260" spans="1:35" x14ac:dyDescent="0.35">
      <c r="A260" s="45">
        <v>1641</v>
      </c>
      <c r="B260" s="58">
        <f>SUMIF([2]!Table2_23[ETA],'FIS Optimal Model'!A260,[2]!Table2_23[FIS PAX])</f>
        <v>0</v>
      </c>
      <c r="C260" s="44">
        <f t="shared" si="165"/>
        <v>0</v>
      </c>
      <c r="D260" s="52">
        <f t="shared" si="169"/>
        <v>0</v>
      </c>
      <c r="E260" s="26">
        <f t="shared" si="153"/>
        <v>0</v>
      </c>
      <c r="F260" s="26">
        <f t="shared" si="154"/>
        <v>0</v>
      </c>
      <c r="G260" s="26">
        <f t="shared" si="155"/>
        <v>0</v>
      </c>
      <c r="H260" s="26">
        <f t="shared" si="166"/>
        <v>0</v>
      </c>
      <c r="I260" s="27">
        <f t="shared" si="171"/>
        <v>7.186399999999999</v>
      </c>
      <c r="J260" s="27">
        <f t="shared" si="171"/>
        <v>3.0849000000000002</v>
      </c>
      <c r="K260" s="27">
        <f t="shared" si="171"/>
        <v>2.1267999999999998</v>
      </c>
      <c r="L260" s="27">
        <f t="shared" si="171"/>
        <v>0.60189999999999999</v>
      </c>
      <c r="M260" s="28">
        <f t="shared" si="178"/>
        <v>3</v>
      </c>
      <c r="N260" s="29">
        <f t="shared" si="179"/>
        <v>7</v>
      </c>
      <c r="O260" s="28">
        <f t="shared" si="180"/>
        <v>1</v>
      </c>
      <c r="P260" s="28">
        <f t="shared" si="181"/>
        <v>0</v>
      </c>
      <c r="Q260" s="28">
        <f t="shared" si="156"/>
        <v>11</v>
      </c>
      <c r="R260" s="22">
        <f t="shared" si="157"/>
        <v>84.534271717921996</v>
      </c>
      <c r="S260" s="22">
        <f t="shared" si="158"/>
        <v>42.373579547052515</v>
      </c>
      <c r="T260" s="22">
        <f t="shared" si="159"/>
        <v>9.4235254807986895</v>
      </c>
      <c r="U260" s="22">
        <f t="shared" si="160"/>
        <v>6.4356999999999998</v>
      </c>
      <c r="V260" s="21">
        <f t="shared" si="176"/>
        <v>11.380003658666658</v>
      </c>
      <c r="W260" s="21">
        <f t="shared" si="177"/>
        <v>10.383064544628574</v>
      </c>
      <c r="X260" s="21">
        <f t="shared" si="167"/>
        <v>3.2285657943999966</v>
      </c>
      <c r="Y260" s="21">
        <f t="shared" si="168"/>
        <v>0</v>
      </c>
      <c r="Z260" s="221">
        <f t="shared" si="161"/>
        <v>10</v>
      </c>
      <c r="AA260" s="30">
        <f t="shared" si="149"/>
        <v>6.3140692319120486</v>
      </c>
      <c r="AB260" s="30">
        <f t="shared" si="150"/>
        <v>3.4688739976703165</v>
      </c>
      <c r="AC260" s="30">
        <f t="shared" si="151"/>
        <v>2.4809767459508998</v>
      </c>
      <c r="AD260" s="30">
        <f t="shared" si="152"/>
        <v>0</v>
      </c>
      <c r="AE260" s="32">
        <f t="shared" si="162"/>
        <v>12.263919975533264</v>
      </c>
      <c r="AF260" s="33">
        <f t="shared" si="170"/>
        <v>12.263919975533264</v>
      </c>
      <c r="AG260" s="40">
        <f t="shared" si="163"/>
        <v>75.099837331170036</v>
      </c>
      <c r="AH260" s="224">
        <f>AG260*$P$33</f>
        <v>6.2985219681573001</v>
      </c>
      <c r="AI260" s="227">
        <f t="shared" si="164"/>
        <v>36.524321095367767</v>
      </c>
    </row>
    <row r="261" spans="1:35" x14ac:dyDescent="0.35">
      <c r="A261" s="45">
        <v>1642</v>
      </c>
      <c r="B261" s="58">
        <f>SUMIF([2]!Table2_23[ETA],'FIS Optimal Model'!A261,[2]!Table2_23[FIS PAX])</f>
        <v>0</v>
      </c>
      <c r="C261" s="44">
        <f t="shared" si="165"/>
        <v>0</v>
      </c>
      <c r="D261" s="52">
        <f t="shared" si="169"/>
        <v>0</v>
      </c>
      <c r="E261" s="26">
        <f t="shared" si="153"/>
        <v>0</v>
      </c>
      <c r="F261" s="26">
        <f t="shared" si="154"/>
        <v>0</v>
      </c>
      <c r="G261" s="26">
        <f t="shared" si="155"/>
        <v>0</v>
      </c>
      <c r="H261" s="26">
        <f t="shared" si="166"/>
        <v>0</v>
      </c>
      <c r="I261" s="27">
        <f t="shared" si="171"/>
        <v>0</v>
      </c>
      <c r="J261" s="27">
        <f t="shared" si="171"/>
        <v>0</v>
      </c>
      <c r="K261" s="27">
        <f t="shared" si="171"/>
        <v>0</v>
      </c>
      <c r="L261" s="27">
        <f t="shared" si="171"/>
        <v>0</v>
      </c>
      <c r="M261" s="28">
        <f t="shared" si="178"/>
        <v>3</v>
      </c>
      <c r="N261" s="29">
        <f t="shared" si="179"/>
        <v>7</v>
      </c>
      <c r="O261" s="28">
        <f t="shared" si="180"/>
        <v>1</v>
      </c>
      <c r="P261" s="28">
        <f t="shared" si="181"/>
        <v>0</v>
      </c>
      <c r="Q261" s="28">
        <f t="shared" si="156"/>
        <v>11</v>
      </c>
      <c r="R261" s="22">
        <f t="shared" si="157"/>
        <v>78.220202486009953</v>
      </c>
      <c r="S261" s="22">
        <f t="shared" si="158"/>
        <v>38.9047055493822</v>
      </c>
      <c r="T261" s="22">
        <f t="shared" si="159"/>
        <v>6.9425487348477901</v>
      </c>
      <c r="U261" s="22">
        <f t="shared" si="160"/>
        <v>6.4356999999999998</v>
      </c>
      <c r="V261" s="21">
        <f t="shared" si="176"/>
        <v>10.53000365866666</v>
      </c>
      <c r="W261" s="21">
        <f t="shared" si="177"/>
        <v>9.5330645446285747</v>
      </c>
      <c r="X261" s="21">
        <f t="shared" si="167"/>
        <v>2.3785657943999969</v>
      </c>
      <c r="Y261" s="21">
        <f t="shared" si="168"/>
        <v>0</v>
      </c>
      <c r="Z261" s="221">
        <f t="shared" si="161"/>
        <v>9</v>
      </c>
      <c r="AA261" s="30">
        <f t="shared" si="149"/>
        <v>6.3140692319120486</v>
      </c>
      <c r="AB261" s="30">
        <f t="shared" si="150"/>
        <v>3.4688739976703165</v>
      </c>
      <c r="AC261" s="30">
        <f t="shared" si="151"/>
        <v>2.4809767459508998</v>
      </c>
      <c r="AD261" s="30">
        <f t="shared" si="152"/>
        <v>0</v>
      </c>
      <c r="AE261" s="32">
        <f t="shared" si="162"/>
        <v>12.263919975533264</v>
      </c>
      <c r="AF261" s="33">
        <f t="shared" si="170"/>
        <v>12.263919975533264</v>
      </c>
      <c r="AG261" s="40">
        <f t="shared" si="163"/>
        <v>75.440350877251518</v>
      </c>
      <c r="AH261" s="224">
        <f>AG261*$P$33</f>
        <v>6.3270803795556061</v>
      </c>
      <c r="AI261" s="227">
        <f t="shared" si="164"/>
        <v>35.524321095367767</v>
      </c>
    </row>
    <row r="262" spans="1:35" x14ac:dyDescent="0.35">
      <c r="A262" s="45">
        <v>1643</v>
      </c>
      <c r="B262" s="58">
        <f>SUMIF([2]!Table2_23[ETA],'FIS Optimal Model'!A262,[2]!Table2_23[FIS PAX])</f>
        <v>0</v>
      </c>
      <c r="C262" s="44">
        <f t="shared" si="165"/>
        <v>0</v>
      </c>
      <c r="D262" s="52">
        <f t="shared" si="169"/>
        <v>0</v>
      </c>
      <c r="E262" s="26">
        <f t="shared" si="153"/>
        <v>0</v>
      </c>
      <c r="F262" s="26">
        <f t="shared" si="154"/>
        <v>0</v>
      </c>
      <c r="G262" s="26">
        <f t="shared" si="155"/>
        <v>0</v>
      </c>
      <c r="H262" s="26">
        <f t="shared" si="166"/>
        <v>0</v>
      </c>
      <c r="I262" s="27">
        <f t="shared" si="171"/>
        <v>0</v>
      </c>
      <c r="J262" s="27">
        <f t="shared" si="171"/>
        <v>0</v>
      </c>
      <c r="K262" s="27">
        <f t="shared" si="171"/>
        <v>0</v>
      </c>
      <c r="L262" s="27">
        <f t="shared" si="171"/>
        <v>0</v>
      </c>
      <c r="M262" s="28">
        <f t="shared" si="178"/>
        <v>3</v>
      </c>
      <c r="N262" s="29">
        <f t="shared" si="179"/>
        <v>7</v>
      </c>
      <c r="O262" s="28">
        <f t="shared" si="180"/>
        <v>1</v>
      </c>
      <c r="P262" s="28">
        <f t="shared" si="181"/>
        <v>0</v>
      </c>
      <c r="Q262" s="28">
        <f t="shared" si="156"/>
        <v>11</v>
      </c>
      <c r="R262" s="22">
        <f t="shared" si="157"/>
        <v>71.906133254097909</v>
      </c>
      <c r="S262" s="22">
        <f t="shared" si="158"/>
        <v>35.435831551711885</v>
      </c>
      <c r="T262" s="22">
        <f t="shared" si="159"/>
        <v>4.4615719888968908</v>
      </c>
      <c r="U262" s="22">
        <f t="shared" si="160"/>
        <v>6.4356999999999998</v>
      </c>
      <c r="V262" s="21">
        <f t="shared" si="176"/>
        <v>9.68000365866666</v>
      </c>
      <c r="W262" s="21">
        <f t="shared" si="177"/>
        <v>8.683064544628575</v>
      </c>
      <c r="X262" s="21">
        <f t="shared" si="167"/>
        <v>1.5285657943999971</v>
      </c>
      <c r="Y262" s="21">
        <f t="shared" si="168"/>
        <v>0</v>
      </c>
      <c r="Z262" s="221">
        <f t="shared" si="161"/>
        <v>8</v>
      </c>
      <c r="AA262" s="30">
        <f t="shared" si="149"/>
        <v>6.3140692319120486</v>
      </c>
      <c r="AB262" s="30">
        <f t="shared" si="150"/>
        <v>3.4688739976703165</v>
      </c>
      <c r="AC262" s="30">
        <f t="shared" si="151"/>
        <v>2.4809767459508998</v>
      </c>
      <c r="AD262" s="30">
        <f t="shared" si="152"/>
        <v>0</v>
      </c>
      <c r="AE262" s="32">
        <f t="shared" si="162"/>
        <v>12.263919975533264</v>
      </c>
      <c r="AF262" s="33">
        <f t="shared" si="170"/>
        <v>12.263919975533264</v>
      </c>
      <c r="AG262" s="40">
        <f t="shared" si="163"/>
        <v>75.780864423333</v>
      </c>
      <c r="AH262" s="224">
        <f>AG262*$P$33</f>
        <v>6.3556387909539112</v>
      </c>
      <c r="AI262" s="227">
        <f t="shared" si="164"/>
        <v>34.524321095367767</v>
      </c>
    </row>
    <row r="263" spans="1:35" x14ac:dyDescent="0.35">
      <c r="A263" s="45">
        <v>1644</v>
      </c>
      <c r="B263" s="58">
        <f>SUMIF([2]!Table2_23[ETA],'FIS Optimal Model'!A263,[2]!Table2_23[FIS PAX])</f>
        <v>0</v>
      </c>
      <c r="C263" s="44">
        <f t="shared" si="165"/>
        <v>0</v>
      </c>
      <c r="D263" s="52">
        <f t="shared" si="169"/>
        <v>0</v>
      </c>
      <c r="E263" s="26">
        <f t="shared" si="153"/>
        <v>0</v>
      </c>
      <c r="F263" s="26">
        <f t="shared" si="154"/>
        <v>0</v>
      </c>
      <c r="G263" s="26">
        <f t="shared" si="155"/>
        <v>0</v>
      </c>
      <c r="H263" s="26">
        <f t="shared" si="166"/>
        <v>0</v>
      </c>
      <c r="I263" s="27">
        <f t="shared" si="171"/>
        <v>0</v>
      </c>
      <c r="J263" s="27">
        <f t="shared" si="171"/>
        <v>0</v>
      </c>
      <c r="K263" s="27">
        <f t="shared" si="171"/>
        <v>0</v>
      </c>
      <c r="L263" s="27">
        <f t="shared" si="171"/>
        <v>0</v>
      </c>
      <c r="M263" s="28">
        <f t="shared" si="178"/>
        <v>3</v>
      </c>
      <c r="N263" s="29">
        <f t="shared" si="179"/>
        <v>7</v>
      </c>
      <c r="O263" s="28">
        <f t="shared" si="180"/>
        <v>1</v>
      </c>
      <c r="P263" s="28">
        <f t="shared" si="181"/>
        <v>0</v>
      </c>
      <c r="Q263" s="28">
        <f t="shared" si="156"/>
        <v>11</v>
      </c>
      <c r="R263" s="22">
        <f t="shared" si="157"/>
        <v>65.592064022185866</v>
      </c>
      <c r="S263" s="22">
        <f t="shared" si="158"/>
        <v>31.966957554041571</v>
      </c>
      <c r="T263" s="22">
        <f t="shared" si="159"/>
        <v>1.980595242945991</v>
      </c>
      <c r="U263" s="22">
        <f t="shared" si="160"/>
        <v>6.4356999999999998</v>
      </c>
      <c r="V263" s="21">
        <f t="shared" si="176"/>
        <v>8.8300036586666604</v>
      </c>
      <c r="W263" s="21">
        <f t="shared" si="177"/>
        <v>7.8330645446285754</v>
      </c>
      <c r="X263" s="21">
        <f t="shared" si="167"/>
        <v>0.67856579439999709</v>
      </c>
      <c r="Y263" s="21">
        <f t="shared" si="168"/>
        <v>0</v>
      </c>
      <c r="Z263" s="221">
        <f t="shared" si="161"/>
        <v>7</v>
      </c>
      <c r="AA263" s="30">
        <f t="shared" si="149"/>
        <v>6.3140692319120486</v>
      </c>
      <c r="AB263" s="30">
        <f t="shared" si="150"/>
        <v>3.4688739976703165</v>
      </c>
      <c r="AC263" s="30">
        <f t="shared" si="151"/>
        <v>2.4809767459508998</v>
      </c>
      <c r="AD263" s="30">
        <f t="shared" si="152"/>
        <v>0</v>
      </c>
      <c r="AE263" s="32">
        <f t="shared" si="162"/>
        <v>12.263919975533264</v>
      </c>
      <c r="AF263" s="33">
        <f t="shared" si="170"/>
        <v>12.263919975533264</v>
      </c>
      <c r="AG263" s="40">
        <f t="shared" si="163"/>
        <v>76.121377969414482</v>
      </c>
      <c r="AH263" s="224">
        <f>AG263*$P$33</f>
        <v>6.3841972023522162</v>
      </c>
      <c r="AI263" s="227">
        <f t="shared" si="164"/>
        <v>33.524321095367767</v>
      </c>
    </row>
    <row r="264" spans="1:35" x14ac:dyDescent="0.35">
      <c r="A264" s="45">
        <v>1645</v>
      </c>
      <c r="B264" s="58">
        <f>SUMIF([2]!Table2_23[ETA],'FIS Optimal Model'!A264,[2]!Table2_23[FIS PAX])</f>
        <v>0</v>
      </c>
      <c r="C264" s="44">
        <f t="shared" si="165"/>
        <v>0</v>
      </c>
      <c r="D264" s="52">
        <f t="shared" si="169"/>
        <v>0</v>
      </c>
      <c r="E264" s="26">
        <f t="shared" si="153"/>
        <v>0</v>
      </c>
      <c r="F264" s="26">
        <f t="shared" si="154"/>
        <v>0</v>
      </c>
      <c r="G264" s="26">
        <f t="shared" si="155"/>
        <v>0</v>
      </c>
      <c r="H264" s="26">
        <f t="shared" si="166"/>
        <v>0</v>
      </c>
      <c r="I264" s="27">
        <f t="shared" si="171"/>
        <v>0</v>
      </c>
      <c r="J264" s="27">
        <f t="shared" si="171"/>
        <v>0</v>
      </c>
      <c r="K264" s="27">
        <f t="shared" si="171"/>
        <v>0</v>
      </c>
      <c r="L264" s="27">
        <f t="shared" si="171"/>
        <v>0</v>
      </c>
      <c r="M264" s="28">
        <f t="shared" si="178"/>
        <v>3</v>
      </c>
      <c r="N264" s="29">
        <f t="shared" si="179"/>
        <v>7</v>
      </c>
      <c r="O264" s="28">
        <f t="shared" si="180"/>
        <v>1</v>
      </c>
      <c r="P264" s="28">
        <f t="shared" si="181"/>
        <v>0</v>
      </c>
      <c r="Q264" s="28">
        <f t="shared" si="156"/>
        <v>11</v>
      </c>
      <c r="R264" s="22">
        <f t="shared" si="157"/>
        <v>59.277994790273816</v>
      </c>
      <c r="S264" s="22">
        <f t="shared" si="158"/>
        <v>28.498083556371256</v>
      </c>
      <c r="T264" s="22">
        <f t="shared" si="159"/>
        <v>0</v>
      </c>
      <c r="U264" s="22">
        <f t="shared" si="160"/>
        <v>6.4356999999999998</v>
      </c>
      <c r="V264" s="21">
        <f t="shared" si="176"/>
        <v>7.9800036586666607</v>
      </c>
      <c r="W264" s="21">
        <f t="shared" si="177"/>
        <v>6.9830645446285748</v>
      </c>
      <c r="X264" s="21">
        <f t="shared" si="167"/>
        <v>0</v>
      </c>
      <c r="Y264" s="21">
        <f t="shared" si="168"/>
        <v>0</v>
      </c>
      <c r="Z264" s="221">
        <f t="shared" si="161"/>
        <v>7</v>
      </c>
      <c r="AA264" s="30">
        <f t="shared" si="149"/>
        <v>6.3140692319120486</v>
      </c>
      <c r="AB264" s="30">
        <f t="shared" si="150"/>
        <v>3.4688739976703165</v>
      </c>
      <c r="AC264" s="30">
        <f t="shared" si="151"/>
        <v>0</v>
      </c>
      <c r="AD264" s="30">
        <f t="shared" si="152"/>
        <v>0</v>
      </c>
      <c r="AE264" s="32">
        <f t="shared" si="162"/>
        <v>9.7829432295823651</v>
      </c>
      <c r="AF264" s="33">
        <f t="shared" si="170"/>
        <v>12.263919975533264</v>
      </c>
      <c r="AG264" s="40">
        <f t="shared" si="163"/>
        <v>76.461891515495978</v>
      </c>
      <c r="AH264" s="224">
        <f>AG264*$P$33</f>
        <v>6.4127556137505231</v>
      </c>
      <c r="AI264" s="227">
        <f t="shared" si="164"/>
        <v>33.053873557516148</v>
      </c>
    </row>
    <row r="265" spans="1:35" x14ac:dyDescent="0.35">
      <c r="A265" s="45">
        <v>1646</v>
      </c>
      <c r="B265" s="58">
        <f>SUMIF([2]!Table2_23[ETA],'FIS Optimal Model'!A265,[2]!Table2_23[FIS PAX])</f>
        <v>0</v>
      </c>
      <c r="C265" s="44">
        <f t="shared" si="165"/>
        <v>0</v>
      </c>
      <c r="D265" s="52">
        <f t="shared" si="169"/>
        <v>0</v>
      </c>
      <c r="E265" s="26">
        <f t="shared" si="153"/>
        <v>0</v>
      </c>
      <c r="F265" s="26">
        <f t="shared" si="154"/>
        <v>0</v>
      </c>
      <c r="G265" s="26">
        <f t="shared" si="155"/>
        <v>0</v>
      </c>
      <c r="H265" s="26">
        <f t="shared" si="166"/>
        <v>0</v>
      </c>
      <c r="I265" s="27">
        <f t="shared" si="171"/>
        <v>0</v>
      </c>
      <c r="J265" s="27">
        <f t="shared" si="171"/>
        <v>0</v>
      </c>
      <c r="K265" s="27">
        <f t="shared" si="171"/>
        <v>0</v>
      </c>
      <c r="L265" s="27">
        <f t="shared" si="171"/>
        <v>0</v>
      </c>
      <c r="M265" s="28">
        <f>IF(R264=0,0,$Q$21)</f>
        <v>3</v>
      </c>
      <c r="N265" s="29">
        <f>$U$21-M265-O265-P265</f>
        <v>7</v>
      </c>
      <c r="O265" s="28">
        <f>IF(T264=0,0,$S$21)</f>
        <v>0</v>
      </c>
      <c r="P265" s="28">
        <f>IF(U264=0,0,$T$21)</f>
        <v>1</v>
      </c>
      <c r="Q265" s="28">
        <f t="shared" si="156"/>
        <v>11</v>
      </c>
      <c r="R265" s="22">
        <f t="shared" si="157"/>
        <v>52.963925558361765</v>
      </c>
      <c r="S265" s="22">
        <f t="shared" si="158"/>
        <v>25.029209558700941</v>
      </c>
      <c r="T265" s="22">
        <f t="shared" si="159"/>
        <v>0</v>
      </c>
      <c r="U265" s="22">
        <f t="shared" si="160"/>
        <v>4.5993669626403442</v>
      </c>
      <c r="V265" s="21">
        <f t="shared" si="176"/>
        <v>7.1300036586666602</v>
      </c>
      <c r="W265" s="21">
        <f t="shared" si="177"/>
        <v>6.1330645446285752</v>
      </c>
      <c r="X265" s="21">
        <f t="shared" si="167"/>
        <v>0</v>
      </c>
      <c r="Y265" s="21">
        <f t="shared" si="168"/>
        <v>2.1289503802999996</v>
      </c>
      <c r="Z265" s="221">
        <f t="shared" si="161"/>
        <v>6</v>
      </c>
      <c r="AA265" s="30">
        <f t="shared" si="149"/>
        <v>6.3140692319120486</v>
      </c>
      <c r="AB265" s="30">
        <f t="shared" si="150"/>
        <v>3.4688739976703165</v>
      </c>
      <c r="AC265" s="30">
        <f t="shared" si="151"/>
        <v>0</v>
      </c>
      <c r="AD265" s="30">
        <f t="shared" si="152"/>
        <v>1.8363330373596554</v>
      </c>
      <c r="AE265" s="32">
        <f t="shared" si="162"/>
        <v>11.61927626694202</v>
      </c>
      <c r="AF265" s="33">
        <f t="shared" si="170"/>
        <v>12.263919975533264</v>
      </c>
      <c r="AG265" s="40">
        <f t="shared" si="163"/>
        <v>76.802405061577474</v>
      </c>
      <c r="AH265" s="224">
        <f>AG265*$P$33</f>
        <v>6.441314025148829</v>
      </c>
      <c r="AI265" s="227">
        <f t="shared" si="164"/>
        <v>32.053873557516148</v>
      </c>
    </row>
    <row r="266" spans="1:35" x14ac:dyDescent="0.35">
      <c r="A266" s="45">
        <v>1647</v>
      </c>
      <c r="B266" s="58">
        <f>SUMIF([2]!Table2_23[ETA],'FIS Optimal Model'!A266,[2]!Table2_23[FIS PAX])</f>
        <v>0</v>
      </c>
      <c r="C266" s="44">
        <f t="shared" si="165"/>
        <v>0</v>
      </c>
      <c r="D266" s="52">
        <f t="shared" si="169"/>
        <v>0</v>
      </c>
      <c r="E266" s="26">
        <f t="shared" si="153"/>
        <v>0</v>
      </c>
      <c r="F266" s="26">
        <f t="shared" si="154"/>
        <v>0</v>
      </c>
      <c r="G266" s="26">
        <f t="shared" si="155"/>
        <v>0</v>
      </c>
      <c r="H266" s="26">
        <f t="shared" si="166"/>
        <v>0</v>
      </c>
      <c r="I266" s="27">
        <f t="shared" si="171"/>
        <v>0</v>
      </c>
      <c r="J266" s="27">
        <f t="shared" si="171"/>
        <v>0</v>
      </c>
      <c r="K266" s="27">
        <f t="shared" si="171"/>
        <v>0</v>
      </c>
      <c r="L266" s="27">
        <f t="shared" si="171"/>
        <v>0</v>
      </c>
      <c r="M266" s="28">
        <f>$M$265</f>
        <v>3</v>
      </c>
      <c r="N266" s="29">
        <f>$N$265</f>
        <v>7</v>
      </c>
      <c r="O266" s="28">
        <f>$O$265</f>
        <v>0</v>
      </c>
      <c r="P266" s="28">
        <f>$P$265</f>
        <v>1</v>
      </c>
      <c r="Q266" s="28">
        <f t="shared" ref="Q266:Q279" si="182">SUM(M266:P266)</f>
        <v>11</v>
      </c>
      <c r="R266" s="22">
        <f t="shared" si="157"/>
        <v>46.649856326449715</v>
      </c>
      <c r="S266" s="22">
        <f t="shared" si="158"/>
        <v>21.560335561030627</v>
      </c>
      <c r="T266" s="22">
        <f t="shared" si="159"/>
        <v>0</v>
      </c>
      <c r="U266" s="22">
        <f t="shared" si="160"/>
        <v>2.7630339252806886</v>
      </c>
      <c r="V266" s="21">
        <f t="shared" ref="V266:V279" si="183">IFERROR(R266*($I$30/M266),0)</f>
        <v>6.2800036586666605</v>
      </c>
      <c r="W266" s="21">
        <f t="shared" ref="W266:W279" si="184">IFERROR(S266*($I$31/N266),0)</f>
        <v>5.2830645446285756</v>
      </c>
      <c r="X266" s="21">
        <f t="shared" ref="X266:X279" si="185">IFERROR(T266*($I$32/O266),0)</f>
        <v>0</v>
      </c>
      <c r="Y266" s="21">
        <f t="shared" ref="Y266:Y279" si="186">IFERROR(U266*($I$33/P266),0)</f>
        <v>1.2789503802999997</v>
      </c>
      <c r="Z266" s="221">
        <f t="shared" si="161"/>
        <v>5</v>
      </c>
      <c r="AA266" s="30">
        <f t="shared" si="149"/>
        <v>6.3140692319120486</v>
      </c>
      <c r="AB266" s="30">
        <f t="shared" si="150"/>
        <v>3.4688739976703165</v>
      </c>
      <c r="AC266" s="30">
        <f t="shared" si="151"/>
        <v>0</v>
      </c>
      <c r="AD266" s="30">
        <f t="shared" si="152"/>
        <v>1.8363330373596554</v>
      </c>
      <c r="AE266" s="32">
        <f t="shared" si="162"/>
        <v>11.61927626694202</v>
      </c>
      <c r="AF266" s="33">
        <f t="shared" si="170"/>
        <v>12.263919975533264</v>
      </c>
      <c r="AG266" s="40">
        <f t="shared" si="163"/>
        <v>77.14291860765897</v>
      </c>
      <c r="AH266" s="224">
        <f>AG266*$P$33</f>
        <v>6.4698724365471358</v>
      </c>
      <c r="AI266" s="227">
        <f t="shared" si="164"/>
        <v>31.053873557516148</v>
      </c>
    </row>
    <row r="267" spans="1:35" x14ac:dyDescent="0.35">
      <c r="A267" s="45">
        <v>1648</v>
      </c>
      <c r="B267" s="58">
        <f>SUMIF([2]!Table2_23[ETA],'FIS Optimal Model'!A267,[2]!Table2_23[FIS PAX])</f>
        <v>0</v>
      </c>
      <c r="C267" s="44">
        <f t="shared" si="165"/>
        <v>0</v>
      </c>
      <c r="D267" s="52">
        <f t="shared" si="169"/>
        <v>0</v>
      </c>
      <c r="E267" s="26">
        <f t="shared" si="153"/>
        <v>0</v>
      </c>
      <c r="F267" s="26">
        <f t="shared" si="154"/>
        <v>0</v>
      </c>
      <c r="G267" s="26">
        <f t="shared" si="155"/>
        <v>0</v>
      </c>
      <c r="H267" s="26">
        <f t="shared" si="166"/>
        <v>0</v>
      </c>
      <c r="I267" s="27">
        <f t="shared" si="171"/>
        <v>0</v>
      </c>
      <c r="J267" s="27">
        <f t="shared" si="171"/>
        <v>0</v>
      </c>
      <c r="K267" s="27">
        <f t="shared" si="171"/>
        <v>0</v>
      </c>
      <c r="L267" s="27">
        <f t="shared" si="171"/>
        <v>0</v>
      </c>
      <c r="M267" s="28">
        <f t="shared" ref="M267:M279" si="187">$M$265</f>
        <v>3</v>
      </c>
      <c r="N267" s="29">
        <f t="shared" ref="N267:N279" si="188">$N$265</f>
        <v>7</v>
      </c>
      <c r="O267" s="28">
        <f t="shared" ref="O267:O279" si="189">$O$265</f>
        <v>0</v>
      </c>
      <c r="P267" s="28">
        <f t="shared" ref="P267:P279" si="190">$P$265</f>
        <v>1</v>
      </c>
      <c r="Q267" s="28">
        <f t="shared" si="182"/>
        <v>11</v>
      </c>
      <c r="R267" s="22">
        <f t="shared" si="157"/>
        <v>40.335787094537665</v>
      </c>
      <c r="S267" s="22">
        <f t="shared" si="158"/>
        <v>18.091461563360312</v>
      </c>
      <c r="T267" s="22">
        <f t="shared" si="159"/>
        <v>0</v>
      </c>
      <c r="U267" s="22">
        <f t="shared" si="160"/>
        <v>0.92670088792103322</v>
      </c>
      <c r="V267" s="21">
        <f t="shared" si="183"/>
        <v>5.43000365866666</v>
      </c>
      <c r="W267" s="21">
        <f t="shared" si="184"/>
        <v>4.4330645446285759</v>
      </c>
      <c r="X267" s="21">
        <f t="shared" si="185"/>
        <v>0</v>
      </c>
      <c r="Y267" s="21">
        <f t="shared" si="186"/>
        <v>0.42895038029999993</v>
      </c>
      <c r="Z267" s="221">
        <f t="shared" si="161"/>
        <v>5</v>
      </c>
      <c r="AA267" s="30">
        <f t="shared" si="149"/>
        <v>6.3140692319120486</v>
      </c>
      <c r="AB267" s="30">
        <f t="shared" si="150"/>
        <v>3.4688739976703165</v>
      </c>
      <c r="AC267" s="30">
        <f t="shared" si="151"/>
        <v>0</v>
      </c>
      <c r="AD267" s="30">
        <f t="shared" si="152"/>
        <v>1.8363330373596554</v>
      </c>
      <c r="AE267" s="32">
        <f t="shared" si="162"/>
        <v>11.61927626694202</v>
      </c>
      <c r="AF267" s="33">
        <f t="shared" si="170"/>
        <v>12.263919975533264</v>
      </c>
      <c r="AG267" s="40">
        <f t="shared" si="163"/>
        <v>77.483432153740466</v>
      </c>
      <c r="AH267" s="224">
        <f>AG267*$P$33</f>
        <v>6.4984308479454418</v>
      </c>
      <c r="AI267" s="227">
        <f t="shared" si="164"/>
        <v>30.583426019664529</v>
      </c>
    </row>
    <row r="268" spans="1:35" x14ac:dyDescent="0.35">
      <c r="A268" s="45">
        <v>1649</v>
      </c>
      <c r="B268" s="58">
        <f>SUMIF([2]!Table2_23[ETA],'FIS Optimal Model'!A268,[2]!Table2_23[FIS PAX])</f>
        <v>0</v>
      </c>
      <c r="C268" s="44">
        <f t="shared" si="165"/>
        <v>0</v>
      </c>
      <c r="D268" s="52">
        <f t="shared" si="169"/>
        <v>0</v>
      </c>
      <c r="E268" s="26">
        <f t="shared" si="153"/>
        <v>0</v>
      </c>
      <c r="F268" s="26">
        <f t="shared" si="154"/>
        <v>0</v>
      </c>
      <c r="G268" s="26">
        <f t="shared" si="155"/>
        <v>0</v>
      </c>
      <c r="H268" s="26">
        <f t="shared" si="166"/>
        <v>0</v>
      </c>
      <c r="I268" s="27">
        <f t="shared" si="171"/>
        <v>0</v>
      </c>
      <c r="J268" s="27">
        <f t="shared" si="171"/>
        <v>0</v>
      </c>
      <c r="K268" s="27">
        <f t="shared" si="171"/>
        <v>0</v>
      </c>
      <c r="L268" s="27">
        <f t="shared" si="171"/>
        <v>0</v>
      </c>
      <c r="M268" s="28">
        <f t="shared" si="187"/>
        <v>3</v>
      </c>
      <c r="N268" s="29">
        <f t="shared" si="188"/>
        <v>7</v>
      </c>
      <c r="O268" s="28">
        <f t="shared" si="189"/>
        <v>0</v>
      </c>
      <c r="P268" s="28">
        <f t="shared" si="190"/>
        <v>1</v>
      </c>
      <c r="Q268" s="28">
        <f t="shared" si="182"/>
        <v>11</v>
      </c>
      <c r="R268" s="22">
        <f t="shared" si="157"/>
        <v>34.021717862625614</v>
      </c>
      <c r="S268" s="22">
        <f t="shared" si="158"/>
        <v>14.127034137451378</v>
      </c>
      <c r="T268" s="22">
        <f t="shared" si="159"/>
        <v>0</v>
      </c>
      <c r="U268" s="22">
        <f t="shared" si="160"/>
        <v>0</v>
      </c>
      <c r="V268" s="21">
        <f t="shared" si="183"/>
        <v>4.5800036586666595</v>
      </c>
      <c r="W268" s="21">
        <f t="shared" si="184"/>
        <v>3.4616359732000039</v>
      </c>
      <c r="X268" s="21">
        <f t="shared" si="185"/>
        <v>0</v>
      </c>
      <c r="Y268" s="21">
        <f t="shared" si="186"/>
        <v>0</v>
      </c>
      <c r="Z268" s="221">
        <f t="shared" si="161"/>
        <v>4</v>
      </c>
      <c r="AA268" s="30">
        <f t="shared" si="149"/>
        <v>6.3140692319120486</v>
      </c>
      <c r="AB268" s="30">
        <f t="shared" si="150"/>
        <v>3.4688739976703165</v>
      </c>
      <c r="AC268" s="30">
        <f t="shared" si="151"/>
        <v>0</v>
      </c>
      <c r="AD268" s="30">
        <f t="shared" si="152"/>
        <v>0</v>
      </c>
      <c r="AE268" s="32">
        <f t="shared" si="162"/>
        <v>9.7829432295823651</v>
      </c>
      <c r="AF268" s="33">
        <f t="shared" si="170"/>
        <v>9.7829432295823651</v>
      </c>
      <c r="AG268" s="40">
        <f t="shared" si="163"/>
        <v>75.342968953871065</v>
      </c>
      <c r="AH268" s="224">
        <f>AG268*$P$33</f>
        <v>6.318913089112506</v>
      </c>
      <c r="AI268" s="227">
        <f t="shared" si="164"/>
        <v>29.583426019664529</v>
      </c>
    </row>
    <row r="269" spans="1:35" x14ac:dyDescent="0.35">
      <c r="A269" s="45">
        <v>1650</v>
      </c>
      <c r="B269" s="58">
        <f>SUMIF([2]!Table2_23[ETA],'FIS Optimal Model'!A269,[2]!Table2_23[FIS PAX])</f>
        <v>0</v>
      </c>
      <c r="C269" s="44">
        <f t="shared" si="165"/>
        <v>0</v>
      </c>
      <c r="D269" s="52">
        <f t="shared" si="169"/>
        <v>0</v>
      </c>
      <c r="E269" s="26">
        <f t="shared" si="153"/>
        <v>0</v>
      </c>
      <c r="F269" s="26">
        <f t="shared" si="154"/>
        <v>0</v>
      </c>
      <c r="G269" s="26">
        <f t="shared" si="155"/>
        <v>0</v>
      </c>
      <c r="H269" s="26">
        <f t="shared" si="166"/>
        <v>0</v>
      </c>
      <c r="I269" s="27">
        <f t="shared" si="171"/>
        <v>0</v>
      </c>
      <c r="J269" s="27">
        <f t="shared" si="171"/>
        <v>0</v>
      </c>
      <c r="K269" s="27">
        <f t="shared" si="171"/>
        <v>0</v>
      </c>
      <c r="L269" s="27">
        <f t="shared" si="171"/>
        <v>0</v>
      </c>
      <c r="M269" s="28">
        <f t="shared" si="187"/>
        <v>3</v>
      </c>
      <c r="N269" s="29">
        <f t="shared" si="188"/>
        <v>7</v>
      </c>
      <c r="O269" s="28">
        <f t="shared" si="189"/>
        <v>0</v>
      </c>
      <c r="P269" s="28">
        <f t="shared" si="190"/>
        <v>1</v>
      </c>
      <c r="Q269" s="28">
        <f t="shared" si="182"/>
        <v>11</v>
      </c>
      <c r="R269" s="22">
        <f t="shared" si="157"/>
        <v>27.707648630713564</v>
      </c>
      <c r="S269" s="22">
        <f t="shared" si="158"/>
        <v>10.162606711542445</v>
      </c>
      <c r="T269" s="22">
        <f t="shared" si="159"/>
        <v>0</v>
      </c>
      <c r="U269" s="22">
        <f t="shared" si="160"/>
        <v>0</v>
      </c>
      <c r="V269" s="21">
        <f t="shared" si="183"/>
        <v>3.7300036586666598</v>
      </c>
      <c r="W269" s="21">
        <f t="shared" si="184"/>
        <v>2.4902074017714324</v>
      </c>
      <c r="X269" s="21">
        <f t="shared" si="185"/>
        <v>0</v>
      </c>
      <c r="Y269" s="21">
        <f t="shared" si="186"/>
        <v>0</v>
      </c>
      <c r="Z269" s="221">
        <f t="shared" si="161"/>
        <v>3</v>
      </c>
      <c r="AA269" s="30">
        <f t="shared" si="149"/>
        <v>6.3140692319120486</v>
      </c>
      <c r="AB269" s="30">
        <f t="shared" si="150"/>
        <v>3.4688739976703165</v>
      </c>
      <c r="AC269" s="30">
        <f t="shared" si="151"/>
        <v>0</v>
      </c>
      <c r="AD269" s="30">
        <f t="shared" si="152"/>
        <v>0</v>
      </c>
      <c r="AE269" s="32">
        <f t="shared" si="162"/>
        <v>9.7829432295823651</v>
      </c>
      <c r="AF269" s="33">
        <f t="shared" si="170"/>
        <v>11.61927626694202</v>
      </c>
      <c r="AG269" s="40">
        <f t="shared" si="163"/>
        <v>75.0388387913613</v>
      </c>
      <c r="AH269" s="224">
        <f>AG269*$P$33</f>
        <v>6.293406102974842</v>
      </c>
      <c r="AI269" s="227">
        <f t="shared" si="164"/>
        <v>28.583426019664529</v>
      </c>
    </row>
    <row r="270" spans="1:35" x14ac:dyDescent="0.35">
      <c r="A270" s="45">
        <v>1651</v>
      </c>
      <c r="B270" s="58">
        <f>SUMIF([2]!Table2_23[ETA],'FIS Optimal Model'!A270,[2]!Table2_23[FIS PAX])</f>
        <v>0</v>
      </c>
      <c r="C270" s="44">
        <f t="shared" si="165"/>
        <v>0</v>
      </c>
      <c r="D270" s="52">
        <f t="shared" si="169"/>
        <v>0</v>
      </c>
      <c r="E270" s="26">
        <f t="shared" si="153"/>
        <v>0</v>
      </c>
      <c r="F270" s="26">
        <f t="shared" si="154"/>
        <v>0</v>
      </c>
      <c r="G270" s="26">
        <f t="shared" si="155"/>
        <v>0</v>
      </c>
      <c r="H270" s="26">
        <f t="shared" si="166"/>
        <v>0</v>
      </c>
      <c r="I270" s="27">
        <f t="shared" si="171"/>
        <v>0</v>
      </c>
      <c r="J270" s="27">
        <f t="shared" si="171"/>
        <v>0</v>
      </c>
      <c r="K270" s="27">
        <f t="shared" si="171"/>
        <v>0</v>
      </c>
      <c r="L270" s="27">
        <f t="shared" si="171"/>
        <v>0</v>
      </c>
      <c r="M270" s="28">
        <f t="shared" si="187"/>
        <v>3</v>
      </c>
      <c r="N270" s="29">
        <f t="shared" si="188"/>
        <v>7</v>
      </c>
      <c r="O270" s="28">
        <f t="shared" si="189"/>
        <v>0</v>
      </c>
      <c r="P270" s="28">
        <f t="shared" si="190"/>
        <v>1</v>
      </c>
      <c r="Q270" s="28">
        <f t="shared" si="182"/>
        <v>11</v>
      </c>
      <c r="R270" s="22">
        <f t="shared" si="157"/>
        <v>21.393579398801513</v>
      </c>
      <c r="S270" s="22">
        <f t="shared" si="158"/>
        <v>6.1981792856335121</v>
      </c>
      <c r="T270" s="22">
        <f t="shared" si="159"/>
        <v>0</v>
      </c>
      <c r="U270" s="22">
        <f t="shared" si="160"/>
        <v>0</v>
      </c>
      <c r="V270" s="21">
        <f t="shared" si="183"/>
        <v>2.8800036586666593</v>
      </c>
      <c r="W270" s="21">
        <f t="shared" si="184"/>
        <v>1.5187788303428607</v>
      </c>
      <c r="X270" s="21">
        <f t="shared" si="185"/>
        <v>0</v>
      </c>
      <c r="Y270" s="21">
        <f t="shared" si="186"/>
        <v>0</v>
      </c>
      <c r="Z270" s="221">
        <f t="shared" si="161"/>
        <v>2</v>
      </c>
      <c r="AA270" s="30">
        <f t="shared" si="149"/>
        <v>6.3140692319120486</v>
      </c>
      <c r="AB270" s="30">
        <f t="shared" si="150"/>
        <v>3.4688739976703165</v>
      </c>
      <c r="AC270" s="30">
        <f t="shared" si="151"/>
        <v>0</v>
      </c>
      <c r="AD270" s="30">
        <f t="shared" si="152"/>
        <v>0</v>
      </c>
      <c r="AE270" s="32">
        <f t="shared" si="162"/>
        <v>9.7829432295823651</v>
      </c>
      <c r="AF270" s="33">
        <f t="shared" si="170"/>
        <v>11.61927626694202</v>
      </c>
      <c r="AG270" s="40">
        <f t="shared" si="163"/>
        <v>74.734708628851536</v>
      </c>
      <c r="AH270" s="224">
        <f>AG270*$P$33</f>
        <v>6.2678991168371772</v>
      </c>
      <c r="AI270" s="227">
        <f t="shared" si="164"/>
        <v>27.583426019664529</v>
      </c>
    </row>
    <row r="271" spans="1:35" x14ac:dyDescent="0.35">
      <c r="A271" s="45">
        <v>1652</v>
      </c>
      <c r="B271" s="58">
        <f>SUMIF([2]!Table2_23[ETA],'FIS Optimal Model'!A271,[2]!Table2_23[FIS PAX])</f>
        <v>62</v>
      </c>
      <c r="C271" s="44">
        <f t="shared" si="165"/>
        <v>0</v>
      </c>
      <c r="D271" s="52">
        <f t="shared" si="169"/>
        <v>0</v>
      </c>
      <c r="E271" s="26">
        <f t="shared" si="153"/>
        <v>0</v>
      </c>
      <c r="F271" s="26">
        <f t="shared" si="154"/>
        <v>0</v>
      </c>
      <c r="G271" s="26">
        <f t="shared" si="155"/>
        <v>0</v>
      </c>
      <c r="H271" s="26">
        <f t="shared" si="166"/>
        <v>0</v>
      </c>
      <c r="I271" s="27">
        <f t="shared" si="171"/>
        <v>0</v>
      </c>
      <c r="J271" s="27">
        <f t="shared" si="171"/>
        <v>0</v>
      </c>
      <c r="K271" s="27">
        <f t="shared" si="171"/>
        <v>0</v>
      </c>
      <c r="L271" s="27">
        <f t="shared" si="171"/>
        <v>0</v>
      </c>
      <c r="M271" s="28">
        <f t="shared" si="187"/>
        <v>3</v>
      </c>
      <c r="N271" s="29">
        <f t="shared" si="188"/>
        <v>7</v>
      </c>
      <c r="O271" s="28">
        <f t="shared" si="189"/>
        <v>0</v>
      </c>
      <c r="P271" s="28">
        <f t="shared" si="190"/>
        <v>1</v>
      </c>
      <c r="Q271" s="28">
        <f t="shared" si="182"/>
        <v>11</v>
      </c>
      <c r="R271" s="22">
        <f t="shared" si="157"/>
        <v>15.079510166889465</v>
      </c>
      <c r="S271" s="22">
        <f t="shared" si="158"/>
        <v>2.2337518597245793</v>
      </c>
      <c r="T271" s="22">
        <f t="shared" si="159"/>
        <v>0</v>
      </c>
      <c r="U271" s="22">
        <f t="shared" si="160"/>
        <v>0</v>
      </c>
      <c r="V271" s="21">
        <f t="shared" si="183"/>
        <v>2.0300036586666597</v>
      </c>
      <c r="W271" s="21">
        <f t="shared" si="184"/>
        <v>0.54735025891428912</v>
      </c>
      <c r="X271" s="21">
        <f t="shared" si="185"/>
        <v>0</v>
      </c>
      <c r="Y271" s="21">
        <f t="shared" si="186"/>
        <v>0</v>
      </c>
      <c r="Z271" s="221">
        <f t="shared" si="161"/>
        <v>2</v>
      </c>
      <c r="AA271" s="30">
        <f t="shared" si="149"/>
        <v>6.3140692319120486</v>
      </c>
      <c r="AB271" s="30">
        <f t="shared" si="150"/>
        <v>3.4688739976703165</v>
      </c>
      <c r="AC271" s="30">
        <f t="shared" si="151"/>
        <v>0</v>
      </c>
      <c r="AD271" s="30">
        <f t="shared" si="152"/>
        <v>0</v>
      </c>
      <c r="AE271" s="32">
        <f t="shared" si="162"/>
        <v>9.7829432295823651</v>
      </c>
      <c r="AF271" s="33">
        <f t="shared" si="170"/>
        <v>11.61927626694202</v>
      </c>
      <c r="AG271" s="40">
        <f t="shared" si="163"/>
        <v>74.430578466341771</v>
      </c>
      <c r="AH271" s="224">
        <f>AG271*$P$33</f>
        <v>6.2423921306995132</v>
      </c>
      <c r="AI271" s="227">
        <f t="shared" si="164"/>
        <v>26.583426019664529</v>
      </c>
    </row>
    <row r="272" spans="1:35" x14ac:dyDescent="0.35">
      <c r="A272" s="45">
        <v>1653</v>
      </c>
      <c r="B272" s="58">
        <f>SUMIF([2]!Table2_23[ETA],'FIS Optimal Model'!A272,[2]!Table2_23[FIS PAX])</f>
        <v>0</v>
      </c>
      <c r="C272" s="44">
        <f t="shared" si="165"/>
        <v>18</v>
      </c>
      <c r="D272" s="52">
        <f t="shared" si="169"/>
        <v>44</v>
      </c>
      <c r="E272" s="26">
        <f t="shared" si="153"/>
        <v>9.9503999999999984</v>
      </c>
      <c r="F272" s="26">
        <f t="shared" si="154"/>
        <v>4.2713999999999999</v>
      </c>
      <c r="G272" s="26">
        <f t="shared" si="155"/>
        <v>2.9447999999999999</v>
      </c>
      <c r="H272" s="26">
        <f t="shared" si="166"/>
        <v>0.83340000000000003</v>
      </c>
      <c r="I272" s="27">
        <f t="shared" si="171"/>
        <v>0</v>
      </c>
      <c r="J272" s="27">
        <f t="shared" si="171"/>
        <v>0</v>
      </c>
      <c r="K272" s="27">
        <f t="shared" si="171"/>
        <v>0</v>
      </c>
      <c r="L272" s="27">
        <f t="shared" si="171"/>
        <v>0</v>
      </c>
      <c r="M272" s="28">
        <f t="shared" si="187"/>
        <v>3</v>
      </c>
      <c r="N272" s="29">
        <f t="shared" si="188"/>
        <v>7</v>
      </c>
      <c r="O272" s="28">
        <f t="shared" si="189"/>
        <v>0</v>
      </c>
      <c r="P272" s="28">
        <f t="shared" si="190"/>
        <v>1</v>
      </c>
      <c r="Q272" s="28">
        <f t="shared" si="182"/>
        <v>11</v>
      </c>
      <c r="R272" s="22">
        <f t="shared" si="157"/>
        <v>8.7654409349774163</v>
      </c>
      <c r="S272" s="22">
        <f t="shared" si="158"/>
        <v>0</v>
      </c>
      <c r="T272" s="22">
        <f t="shared" si="159"/>
        <v>0</v>
      </c>
      <c r="U272" s="22">
        <f t="shared" si="160"/>
        <v>0</v>
      </c>
      <c r="V272" s="21">
        <f t="shared" si="183"/>
        <v>1.1800036586666598</v>
      </c>
      <c r="W272" s="21">
        <f t="shared" si="184"/>
        <v>0</v>
      </c>
      <c r="X272" s="21">
        <f t="shared" si="185"/>
        <v>0</v>
      </c>
      <c r="Y272" s="21">
        <f t="shared" si="186"/>
        <v>0</v>
      </c>
      <c r="Z272" s="221">
        <f t="shared" si="161"/>
        <v>1</v>
      </c>
      <c r="AA272" s="30">
        <f t="shared" si="149"/>
        <v>6.3140692319120486</v>
      </c>
      <c r="AB272" s="30">
        <f t="shared" si="150"/>
        <v>0</v>
      </c>
      <c r="AC272" s="30">
        <f t="shared" si="151"/>
        <v>0</v>
      </c>
      <c r="AD272" s="30">
        <f t="shared" si="152"/>
        <v>0</v>
      </c>
      <c r="AE272" s="32">
        <f t="shared" si="162"/>
        <v>6.3140692319120486</v>
      </c>
      <c r="AF272" s="33">
        <f t="shared" si="170"/>
        <v>9.7829432295823651</v>
      </c>
      <c r="AG272" s="40">
        <f t="shared" si="163"/>
        <v>72.290115266472355</v>
      </c>
      <c r="AH272" s="224">
        <f>AG272*$P$33</f>
        <v>6.0628743718665756</v>
      </c>
      <c r="AI272" s="227">
        <f t="shared" si="164"/>
        <v>25.583426019664529</v>
      </c>
    </row>
    <row r="273" spans="1:35" x14ac:dyDescent="0.35">
      <c r="A273" s="45">
        <v>1654</v>
      </c>
      <c r="B273" s="58">
        <f>SUMIF([2]!Table2_23[ETA],'FIS Optimal Model'!A273,[2]!Table2_23[FIS PAX])</f>
        <v>104</v>
      </c>
      <c r="C273" s="44">
        <f t="shared" si="165"/>
        <v>18</v>
      </c>
      <c r="D273" s="52">
        <f t="shared" si="169"/>
        <v>26</v>
      </c>
      <c r="E273" s="26">
        <f t="shared" si="153"/>
        <v>9.9503999999999984</v>
      </c>
      <c r="F273" s="26">
        <f t="shared" si="154"/>
        <v>4.2713999999999999</v>
      </c>
      <c r="G273" s="26">
        <f t="shared" si="155"/>
        <v>2.9447999999999999</v>
      </c>
      <c r="H273" s="26">
        <f t="shared" si="166"/>
        <v>0.83340000000000003</v>
      </c>
      <c r="I273" s="27">
        <f t="shared" si="171"/>
        <v>0</v>
      </c>
      <c r="J273" s="27">
        <f t="shared" si="171"/>
        <v>0</v>
      </c>
      <c r="K273" s="27">
        <f t="shared" si="171"/>
        <v>0</v>
      </c>
      <c r="L273" s="27">
        <f t="shared" si="171"/>
        <v>0</v>
      </c>
      <c r="M273" s="28">
        <f t="shared" si="187"/>
        <v>3</v>
      </c>
      <c r="N273" s="29">
        <f t="shared" si="188"/>
        <v>7</v>
      </c>
      <c r="O273" s="28">
        <f t="shared" si="189"/>
        <v>0</v>
      </c>
      <c r="P273" s="28">
        <f t="shared" si="190"/>
        <v>1</v>
      </c>
      <c r="Q273" s="28">
        <f t="shared" si="182"/>
        <v>11</v>
      </c>
      <c r="R273" s="22">
        <f t="shared" si="157"/>
        <v>2.4513717030653677</v>
      </c>
      <c r="S273" s="22">
        <f t="shared" si="158"/>
        <v>0</v>
      </c>
      <c r="T273" s="22">
        <f t="shared" si="159"/>
        <v>0</v>
      </c>
      <c r="U273" s="22">
        <f t="shared" si="160"/>
        <v>0</v>
      </c>
      <c r="V273" s="21">
        <f t="shared" si="183"/>
        <v>0.33000365866665976</v>
      </c>
      <c r="W273" s="21">
        <f t="shared" si="184"/>
        <v>0</v>
      </c>
      <c r="X273" s="21">
        <f t="shared" si="185"/>
        <v>0</v>
      </c>
      <c r="Y273" s="21">
        <f t="shared" si="186"/>
        <v>0</v>
      </c>
      <c r="Z273" s="221">
        <f t="shared" si="161"/>
        <v>1</v>
      </c>
      <c r="AA273" s="30">
        <f t="shared" si="149"/>
        <v>6.3140692319120486</v>
      </c>
      <c r="AB273" s="30">
        <f t="shared" si="150"/>
        <v>0</v>
      </c>
      <c r="AC273" s="30">
        <f t="shared" si="151"/>
        <v>0</v>
      </c>
      <c r="AD273" s="30">
        <f t="shared" si="152"/>
        <v>0</v>
      </c>
      <c r="AE273" s="32">
        <f t="shared" si="162"/>
        <v>6.3140692319120486</v>
      </c>
      <c r="AF273" s="33">
        <f t="shared" si="170"/>
        <v>9.7829432295823651</v>
      </c>
      <c r="AG273" s="40">
        <f t="shared" si="163"/>
        <v>70.14965206660294</v>
      </c>
      <c r="AH273" s="224">
        <f>AG273*$P$33</f>
        <v>5.883356613033639</v>
      </c>
      <c r="AI273" s="227">
        <f t="shared" si="164"/>
        <v>24.583426019664529</v>
      </c>
    </row>
    <row r="274" spans="1:35" x14ac:dyDescent="0.35">
      <c r="A274" s="45">
        <v>1655</v>
      </c>
      <c r="B274" s="58">
        <f>SUMIF([2]!Table2_23[ETA],'FIS Optimal Model'!A274,[2]!Table2_23[FIS PAX])</f>
        <v>0</v>
      </c>
      <c r="C274" s="44">
        <f t="shared" si="165"/>
        <v>18</v>
      </c>
      <c r="D274" s="52">
        <f t="shared" si="169"/>
        <v>112</v>
      </c>
      <c r="E274" s="26">
        <f t="shared" si="153"/>
        <v>9.9503999999999984</v>
      </c>
      <c r="F274" s="26">
        <f t="shared" si="154"/>
        <v>4.2713999999999999</v>
      </c>
      <c r="G274" s="26">
        <f t="shared" si="155"/>
        <v>2.9447999999999999</v>
      </c>
      <c r="H274" s="26">
        <f t="shared" si="166"/>
        <v>0.83340000000000003</v>
      </c>
      <c r="I274" s="27">
        <f t="shared" si="171"/>
        <v>0</v>
      </c>
      <c r="J274" s="27">
        <f t="shared" si="171"/>
        <v>0</v>
      </c>
      <c r="K274" s="27">
        <f t="shared" si="171"/>
        <v>0</v>
      </c>
      <c r="L274" s="27">
        <f t="shared" si="171"/>
        <v>0</v>
      </c>
      <c r="M274" s="28">
        <f t="shared" si="187"/>
        <v>3</v>
      </c>
      <c r="N274" s="29">
        <f>$N$265</f>
        <v>7</v>
      </c>
      <c r="O274" s="28">
        <f t="shared" si="189"/>
        <v>0</v>
      </c>
      <c r="P274" s="28">
        <f t="shared" si="190"/>
        <v>1</v>
      </c>
      <c r="Q274" s="28">
        <f t="shared" si="182"/>
        <v>11</v>
      </c>
      <c r="R274" s="22">
        <f t="shared" si="157"/>
        <v>0</v>
      </c>
      <c r="S274" s="22">
        <f t="shared" si="158"/>
        <v>0</v>
      </c>
      <c r="T274" s="22">
        <f t="shared" si="159"/>
        <v>0</v>
      </c>
      <c r="U274" s="22">
        <f t="shared" si="160"/>
        <v>0</v>
      </c>
      <c r="V274" s="21">
        <f t="shared" si="183"/>
        <v>0</v>
      </c>
      <c r="W274" s="21">
        <f t="shared" si="184"/>
        <v>0</v>
      </c>
      <c r="X274" s="21">
        <f t="shared" si="185"/>
        <v>0</v>
      </c>
      <c r="Y274" s="21">
        <f t="shared" si="186"/>
        <v>0</v>
      </c>
      <c r="Z274" s="221">
        <f t="shared" si="161"/>
        <v>0</v>
      </c>
      <c r="AA274" s="30">
        <f t="shared" si="149"/>
        <v>0</v>
      </c>
      <c r="AB274" s="30">
        <f t="shared" si="150"/>
        <v>0</v>
      </c>
      <c r="AC274" s="30">
        <f t="shared" si="151"/>
        <v>0</v>
      </c>
      <c r="AD274" s="30">
        <f t="shared" si="152"/>
        <v>0</v>
      </c>
      <c r="AE274" s="32">
        <f t="shared" si="162"/>
        <v>0</v>
      </c>
      <c r="AF274" s="33">
        <f t="shared" si="170"/>
        <v>9.7829432295823651</v>
      </c>
      <c r="AG274" s="40">
        <f t="shared" si="163"/>
        <v>68.009188866733524</v>
      </c>
      <c r="AH274" s="224">
        <f>AG274*$P$33</f>
        <v>5.7038388542007024</v>
      </c>
      <c r="AI274" s="227">
        <f t="shared" si="164"/>
        <v>2.5834260196645307</v>
      </c>
    </row>
    <row r="275" spans="1:35" x14ac:dyDescent="0.35">
      <c r="A275" s="45">
        <v>1656</v>
      </c>
      <c r="B275" s="58">
        <f>SUMIF([2]!Table2_23[ETA],'FIS Optimal Model'!A275,[2]!Table2_23[FIS PAX])</f>
        <v>0</v>
      </c>
      <c r="C275" s="44">
        <f t="shared" si="165"/>
        <v>18</v>
      </c>
      <c r="D275" s="52">
        <f t="shared" si="169"/>
        <v>94</v>
      </c>
      <c r="E275" s="26">
        <f t="shared" si="153"/>
        <v>9.9503999999999984</v>
      </c>
      <c r="F275" s="26">
        <f t="shared" si="154"/>
        <v>4.2713999999999999</v>
      </c>
      <c r="G275" s="26">
        <f t="shared" si="155"/>
        <v>2.9447999999999999</v>
      </c>
      <c r="H275" s="26">
        <f t="shared" si="166"/>
        <v>0.83340000000000003</v>
      </c>
      <c r="I275" s="27">
        <f t="shared" si="171"/>
        <v>0</v>
      </c>
      <c r="J275" s="27">
        <f t="shared" si="171"/>
        <v>0</v>
      </c>
      <c r="K275" s="27">
        <f t="shared" si="171"/>
        <v>0</v>
      </c>
      <c r="L275" s="27">
        <f t="shared" si="171"/>
        <v>0</v>
      </c>
      <c r="M275" s="28">
        <f t="shared" si="187"/>
        <v>3</v>
      </c>
      <c r="N275" s="29">
        <f t="shared" si="188"/>
        <v>7</v>
      </c>
      <c r="O275" s="28">
        <f t="shared" si="189"/>
        <v>0</v>
      </c>
      <c r="P275" s="28">
        <f t="shared" si="190"/>
        <v>1</v>
      </c>
      <c r="Q275" s="28">
        <f t="shared" si="182"/>
        <v>11</v>
      </c>
      <c r="R275" s="22">
        <f t="shared" si="157"/>
        <v>0</v>
      </c>
      <c r="S275" s="22">
        <f t="shared" si="158"/>
        <v>0</v>
      </c>
      <c r="T275" s="22">
        <f t="shared" si="159"/>
        <v>0</v>
      </c>
      <c r="U275" s="22">
        <f t="shared" si="160"/>
        <v>0</v>
      </c>
      <c r="V275" s="21">
        <f t="shared" si="183"/>
        <v>0</v>
      </c>
      <c r="W275" s="21">
        <f t="shared" si="184"/>
        <v>0</v>
      </c>
      <c r="X275" s="21">
        <f t="shared" si="185"/>
        <v>0</v>
      </c>
      <c r="Y275" s="21">
        <f t="shared" si="186"/>
        <v>0</v>
      </c>
      <c r="Z275" s="221">
        <f t="shared" si="161"/>
        <v>0</v>
      </c>
      <c r="AA275" s="30">
        <f t="shared" si="149"/>
        <v>0</v>
      </c>
      <c r="AB275" s="30">
        <f t="shared" si="150"/>
        <v>0</v>
      </c>
      <c r="AC275" s="30">
        <f t="shared" si="151"/>
        <v>0</v>
      </c>
      <c r="AD275" s="30">
        <f t="shared" si="152"/>
        <v>0</v>
      </c>
      <c r="AE275" s="32">
        <f t="shared" si="162"/>
        <v>0</v>
      </c>
      <c r="AF275" s="33">
        <f t="shared" si="170"/>
        <v>9.7829432295823651</v>
      </c>
      <c r="AG275" s="40">
        <f t="shared" si="163"/>
        <v>65.868725666864108</v>
      </c>
      <c r="AH275" s="224">
        <f>AG275*$P$33</f>
        <v>5.5243210953677648</v>
      </c>
      <c r="AI275" s="227">
        <f t="shared" si="164"/>
        <v>1.5834260196645307</v>
      </c>
    </row>
    <row r="276" spans="1:35" x14ac:dyDescent="0.35">
      <c r="A276" s="45">
        <v>1657</v>
      </c>
      <c r="B276" s="58">
        <f>SUMIF([2]!Table2_23[ETA],'FIS Optimal Model'!A276,[2]!Table2_23[FIS PAX])</f>
        <v>0</v>
      </c>
      <c r="C276" s="44">
        <f t="shared" si="165"/>
        <v>18</v>
      </c>
      <c r="D276" s="52">
        <f t="shared" si="169"/>
        <v>76</v>
      </c>
      <c r="E276" s="26">
        <f t="shared" si="153"/>
        <v>9.9503999999999984</v>
      </c>
      <c r="F276" s="26">
        <f t="shared" si="154"/>
        <v>4.2713999999999999</v>
      </c>
      <c r="G276" s="26">
        <f t="shared" si="155"/>
        <v>2.9447999999999999</v>
      </c>
      <c r="H276" s="26">
        <f t="shared" si="166"/>
        <v>0.83340000000000003</v>
      </c>
      <c r="I276" s="27">
        <f t="shared" si="171"/>
        <v>0</v>
      </c>
      <c r="J276" s="27">
        <f t="shared" si="171"/>
        <v>0</v>
      </c>
      <c r="K276" s="27">
        <f t="shared" si="171"/>
        <v>0</v>
      </c>
      <c r="L276" s="27">
        <f t="shared" si="171"/>
        <v>0</v>
      </c>
      <c r="M276" s="28">
        <f t="shared" si="187"/>
        <v>3</v>
      </c>
      <c r="N276" s="29">
        <f t="shared" si="188"/>
        <v>7</v>
      </c>
      <c r="O276" s="28">
        <f t="shared" si="189"/>
        <v>0</v>
      </c>
      <c r="P276" s="28">
        <f t="shared" si="190"/>
        <v>1</v>
      </c>
      <c r="Q276" s="28">
        <f t="shared" si="182"/>
        <v>11</v>
      </c>
      <c r="R276" s="22">
        <f t="shared" si="157"/>
        <v>0</v>
      </c>
      <c r="S276" s="22">
        <f t="shared" si="158"/>
        <v>0</v>
      </c>
      <c r="T276" s="22">
        <f t="shared" si="159"/>
        <v>0</v>
      </c>
      <c r="U276" s="22">
        <f t="shared" si="160"/>
        <v>0</v>
      </c>
      <c r="V276" s="21">
        <f t="shared" si="183"/>
        <v>0</v>
      </c>
      <c r="W276" s="21">
        <f t="shared" si="184"/>
        <v>0</v>
      </c>
      <c r="X276" s="21">
        <f t="shared" si="185"/>
        <v>0</v>
      </c>
      <c r="Y276" s="21">
        <f t="shared" si="186"/>
        <v>0</v>
      </c>
      <c r="Z276" s="221">
        <f t="shared" si="161"/>
        <v>0</v>
      </c>
      <c r="AA276" s="30">
        <f t="shared" si="149"/>
        <v>0</v>
      </c>
      <c r="AB276" s="30">
        <f t="shared" si="150"/>
        <v>0</v>
      </c>
      <c r="AC276" s="30">
        <f t="shared" si="151"/>
        <v>0</v>
      </c>
      <c r="AD276" s="30">
        <f t="shared" si="152"/>
        <v>0</v>
      </c>
      <c r="AE276" s="32">
        <f t="shared" si="162"/>
        <v>0</v>
      </c>
      <c r="AF276" s="33">
        <f t="shared" si="170"/>
        <v>6.3140692319120486</v>
      </c>
      <c r="AG276" s="40">
        <f t="shared" si="163"/>
        <v>60.259388469324378</v>
      </c>
      <c r="AH276" s="224">
        <f>AG276*$P$33</f>
        <v>5.0538735575161482</v>
      </c>
      <c r="AI276" s="227">
        <f t="shared" si="164"/>
        <v>1.4039082608315936</v>
      </c>
    </row>
    <row r="277" spans="1:35" x14ac:dyDescent="0.35">
      <c r="A277" s="45">
        <v>1658</v>
      </c>
      <c r="B277" s="58">
        <f>SUMIF([2]!Table2_23[ETA],'FIS Optimal Model'!A277,[2]!Table2_23[FIS PAX])</f>
        <v>0</v>
      </c>
      <c r="C277" s="44">
        <f t="shared" si="165"/>
        <v>18</v>
      </c>
      <c r="D277" s="52">
        <f t="shared" si="169"/>
        <v>58</v>
      </c>
      <c r="E277" s="26">
        <f t="shared" si="153"/>
        <v>9.9503999999999984</v>
      </c>
      <c r="F277" s="26">
        <f t="shared" si="154"/>
        <v>4.2713999999999999</v>
      </c>
      <c r="G277" s="26">
        <f t="shared" si="155"/>
        <v>2.9447999999999999</v>
      </c>
      <c r="H277" s="26">
        <f t="shared" si="166"/>
        <v>0.83340000000000003</v>
      </c>
      <c r="I277" s="27">
        <f t="shared" si="171"/>
        <v>9.9503999999999984</v>
      </c>
      <c r="J277" s="27">
        <f t="shared" si="171"/>
        <v>4.2713999999999999</v>
      </c>
      <c r="K277" s="27">
        <f t="shared" si="171"/>
        <v>2.9447999999999999</v>
      </c>
      <c r="L277" s="27">
        <f t="shared" si="171"/>
        <v>0.83340000000000003</v>
      </c>
      <c r="M277" s="28">
        <f t="shared" si="187"/>
        <v>3</v>
      </c>
      <c r="N277" s="29">
        <f t="shared" si="188"/>
        <v>7</v>
      </c>
      <c r="O277" s="28">
        <f t="shared" si="189"/>
        <v>0</v>
      </c>
      <c r="P277" s="28">
        <f t="shared" si="190"/>
        <v>1</v>
      </c>
      <c r="Q277" s="28">
        <f t="shared" si="182"/>
        <v>11</v>
      </c>
      <c r="R277" s="22">
        <f t="shared" si="157"/>
        <v>3.6363307680879497</v>
      </c>
      <c r="S277" s="22">
        <f t="shared" si="158"/>
        <v>0.30697257409106715</v>
      </c>
      <c r="T277" s="22">
        <f t="shared" si="159"/>
        <v>2.9447999999999999</v>
      </c>
      <c r="U277" s="22">
        <f t="shared" si="160"/>
        <v>0</v>
      </c>
      <c r="V277" s="21">
        <f t="shared" si="183"/>
        <v>0.48952284799999973</v>
      </c>
      <c r="W277" s="21">
        <f t="shared" si="184"/>
        <v>7.5219419371428481E-2</v>
      </c>
      <c r="X277" s="21">
        <f t="shared" si="185"/>
        <v>0</v>
      </c>
      <c r="Y277" s="21">
        <f t="shared" si="186"/>
        <v>0</v>
      </c>
      <c r="Z277" s="221">
        <f t="shared" si="161"/>
        <v>1</v>
      </c>
      <c r="AA277" s="30">
        <f t="shared" si="149"/>
        <v>6.3140692319120486</v>
      </c>
      <c r="AB277" s="30">
        <f t="shared" si="150"/>
        <v>3.4688739976703165</v>
      </c>
      <c r="AC277" s="30">
        <f t="shared" si="151"/>
        <v>0</v>
      </c>
      <c r="AD277" s="30">
        <f t="shared" si="152"/>
        <v>0</v>
      </c>
      <c r="AE277" s="32">
        <f t="shared" si="162"/>
        <v>9.7829432295823651</v>
      </c>
      <c r="AF277" s="33">
        <f t="shared" si="170"/>
        <v>6.3140692319120486</v>
      </c>
      <c r="AG277" s="40">
        <f t="shared" si="163"/>
        <v>54.650051271784648</v>
      </c>
      <c r="AH277" s="224">
        <f>AG277*$P$33</f>
        <v>4.5834260196645307</v>
      </c>
      <c r="AI277" s="227">
        <f t="shared" si="164"/>
        <v>23.044872743165719</v>
      </c>
    </row>
    <row r="278" spans="1:35" x14ac:dyDescent="0.35">
      <c r="A278" s="45">
        <v>1659</v>
      </c>
      <c r="B278" s="58">
        <f>SUMIF([2]!Table2_23[ETA],'FIS Optimal Model'!A278,[2]!Table2_23[FIS PAX])</f>
        <v>106</v>
      </c>
      <c r="C278" s="44">
        <f t="shared" si="165"/>
        <v>18</v>
      </c>
      <c r="D278" s="52">
        <f t="shared" si="169"/>
        <v>40</v>
      </c>
      <c r="E278" s="26">
        <f t="shared" si="153"/>
        <v>9.9503999999999984</v>
      </c>
      <c r="F278" s="26">
        <f t="shared" si="154"/>
        <v>4.2713999999999999</v>
      </c>
      <c r="G278" s="26">
        <f t="shared" si="155"/>
        <v>2.9447999999999999</v>
      </c>
      <c r="H278" s="26">
        <f t="shared" si="166"/>
        <v>0.83340000000000003</v>
      </c>
      <c r="I278" s="27">
        <f t="shared" si="171"/>
        <v>9.9503999999999984</v>
      </c>
      <c r="J278" s="27">
        <f t="shared" si="171"/>
        <v>4.2713999999999999</v>
      </c>
      <c r="K278" s="27">
        <f t="shared" si="171"/>
        <v>2.9447999999999999</v>
      </c>
      <c r="L278" s="27">
        <f t="shared" si="171"/>
        <v>0.83340000000000003</v>
      </c>
      <c r="M278" s="28">
        <f t="shared" si="187"/>
        <v>3</v>
      </c>
      <c r="N278" s="29">
        <f t="shared" si="188"/>
        <v>7</v>
      </c>
      <c r="O278" s="28">
        <f t="shared" si="189"/>
        <v>0</v>
      </c>
      <c r="P278" s="28">
        <f t="shared" si="190"/>
        <v>1</v>
      </c>
      <c r="Q278" s="28">
        <f t="shared" si="182"/>
        <v>11</v>
      </c>
      <c r="R278" s="22">
        <f t="shared" si="157"/>
        <v>7.2726615361758995</v>
      </c>
      <c r="S278" s="22">
        <f t="shared" si="158"/>
        <v>0.6139451481821343</v>
      </c>
      <c r="T278" s="22">
        <f t="shared" si="159"/>
        <v>5.8895999999999997</v>
      </c>
      <c r="U278" s="22">
        <f t="shared" si="160"/>
        <v>0</v>
      </c>
      <c r="V278" s="21">
        <f t="shared" si="183"/>
        <v>0.97904569599999947</v>
      </c>
      <c r="W278" s="21">
        <f t="shared" si="184"/>
        <v>0.15043883874285696</v>
      </c>
      <c r="X278" s="21">
        <f t="shared" si="185"/>
        <v>0</v>
      </c>
      <c r="Y278" s="21">
        <f t="shared" si="186"/>
        <v>0</v>
      </c>
      <c r="Z278" s="221">
        <f t="shared" si="161"/>
        <v>1</v>
      </c>
      <c r="AA278" s="30">
        <f t="shared" si="149"/>
        <v>6.3140692319120486</v>
      </c>
      <c r="AB278" s="30">
        <f t="shared" si="150"/>
        <v>3.4688739976703165</v>
      </c>
      <c r="AC278" s="30">
        <f t="shared" si="151"/>
        <v>0</v>
      </c>
      <c r="AD278" s="30">
        <f t="shared" si="152"/>
        <v>0</v>
      </c>
      <c r="AE278" s="32">
        <f t="shared" si="162"/>
        <v>9.7829432295823651</v>
      </c>
      <c r="AF278" s="33">
        <f t="shared" si="170"/>
        <v>0</v>
      </c>
      <c r="AG278" s="40">
        <f t="shared" si="163"/>
        <v>42.726644842332867</v>
      </c>
      <c r="AH278" s="224">
        <f>AG278*$P$33</f>
        <v>3.5834260196645307</v>
      </c>
      <c r="AI278" s="227">
        <f t="shared" si="164"/>
        <v>23.073431154564027</v>
      </c>
    </row>
    <row r="279" spans="1:35" x14ac:dyDescent="0.35">
      <c r="A279" s="45">
        <v>1700</v>
      </c>
      <c r="B279" s="58">
        <f>SUMIF([2]!Table2_23[ETA],'FIS Optimal Model'!A279,[2]!Table2_23[FIS PAX])</f>
        <v>0</v>
      </c>
      <c r="C279" s="44">
        <f t="shared" si="165"/>
        <v>18</v>
      </c>
      <c r="D279" s="52">
        <f t="shared" si="169"/>
        <v>128</v>
      </c>
      <c r="E279" s="26">
        <f t="shared" si="153"/>
        <v>9.9503999999999984</v>
      </c>
      <c r="F279" s="26">
        <f t="shared" si="154"/>
        <v>4.2713999999999999</v>
      </c>
      <c r="G279" s="26">
        <f t="shared" si="155"/>
        <v>2.9447999999999999</v>
      </c>
      <c r="H279" s="26">
        <f t="shared" si="166"/>
        <v>0.83340000000000003</v>
      </c>
      <c r="I279" s="27">
        <f t="shared" si="171"/>
        <v>9.9503999999999984</v>
      </c>
      <c r="J279" s="27">
        <f t="shared" si="171"/>
        <v>4.2713999999999999</v>
      </c>
      <c r="K279" s="27">
        <f t="shared" si="171"/>
        <v>2.9447999999999999</v>
      </c>
      <c r="L279" s="27">
        <f t="shared" si="171"/>
        <v>0.83340000000000003</v>
      </c>
      <c r="M279" s="28">
        <f t="shared" si="187"/>
        <v>3</v>
      </c>
      <c r="N279" s="29">
        <f t="shared" si="188"/>
        <v>7</v>
      </c>
      <c r="O279" s="28">
        <f t="shared" si="189"/>
        <v>0</v>
      </c>
      <c r="P279" s="28">
        <f t="shared" si="190"/>
        <v>1</v>
      </c>
      <c r="Q279" s="28">
        <f t="shared" si="182"/>
        <v>11</v>
      </c>
      <c r="R279" s="22">
        <f t="shared" si="157"/>
        <v>10.908992304263849</v>
      </c>
      <c r="S279" s="22">
        <f t="shared" si="158"/>
        <v>0.92091772227320146</v>
      </c>
      <c r="T279" s="22">
        <f t="shared" si="159"/>
        <v>8.8343999999999987</v>
      </c>
      <c r="U279" s="22">
        <f t="shared" si="160"/>
        <v>0</v>
      </c>
      <c r="V279" s="21">
        <f t="shared" si="183"/>
        <v>1.4685685439999994</v>
      </c>
      <c r="W279" s="21">
        <f t="shared" si="184"/>
        <v>0.22565825811428544</v>
      </c>
      <c r="X279" s="21">
        <f t="shared" si="185"/>
        <v>0</v>
      </c>
      <c r="Y279" s="21">
        <f t="shared" si="186"/>
        <v>0</v>
      </c>
      <c r="Z279" s="221">
        <f t="shared" si="161"/>
        <v>1</v>
      </c>
      <c r="AA279" s="30">
        <f t="shared" si="149"/>
        <v>6.3140692319120486</v>
      </c>
      <c r="AB279" s="30">
        <f t="shared" si="150"/>
        <v>3.4688739976703165</v>
      </c>
      <c r="AC279" s="30">
        <f t="shared" si="151"/>
        <v>0</v>
      </c>
      <c r="AD279" s="30">
        <f t="shared" si="152"/>
        <v>0</v>
      </c>
      <c r="AE279" s="32">
        <f t="shared" si="162"/>
        <v>9.7829432295823651</v>
      </c>
      <c r="AF279" s="33">
        <f t="shared" si="170"/>
        <v>0</v>
      </c>
      <c r="AG279" s="40">
        <f t="shared" si="163"/>
        <v>30.803238412881086</v>
      </c>
      <c r="AH279" s="224">
        <f>AG279*$P$33</f>
        <v>2.5834260196645307</v>
      </c>
      <c r="AI279" s="227">
        <f t="shared" si="164"/>
        <v>23.101989565962331</v>
      </c>
    </row>
    <row r="280" spans="1:35" x14ac:dyDescent="0.35">
      <c r="A280" s="45">
        <v>1701</v>
      </c>
      <c r="B280" s="58">
        <f>SUMIF([2]!Table2_23[ETA],'FIS Optimal Model'!A280,[2]!Table2_23[FIS PAX])</f>
        <v>0</v>
      </c>
      <c r="C280" s="44">
        <f t="shared" si="165"/>
        <v>18</v>
      </c>
      <c r="D280" s="52">
        <f t="shared" si="169"/>
        <v>110</v>
      </c>
      <c r="E280" s="26">
        <f t="shared" si="153"/>
        <v>9.9503999999999984</v>
      </c>
      <c r="F280" s="26">
        <f t="shared" si="154"/>
        <v>4.2713999999999999</v>
      </c>
      <c r="G280" s="26">
        <f t="shared" si="155"/>
        <v>2.9447999999999999</v>
      </c>
      <c r="H280" s="26">
        <f t="shared" si="166"/>
        <v>0.83340000000000003</v>
      </c>
      <c r="I280" s="27">
        <f t="shared" si="171"/>
        <v>9.9503999999999984</v>
      </c>
      <c r="J280" s="27">
        <f t="shared" si="171"/>
        <v>4.2713999999999999</v>
      </c>
      <c r="K280" s="27">
        <f t="shared" si="171"/>
        <v>2.9447999999999999</v>
      </c>
      <c r="L280" s="27">
        <f t="shared" si="171"/>
        <v>0.83340000000000003</v>
      </c>
      <c r="M280" s="28">
        <f>IF(R279=0,0,$Q$22)</f>
        <v>3</v>
      </c>
      <c r="N280" s="29">
        <f>$U$22-M280-O280-P280</f>
        <v>7</v>
      </c>
      <c r="O280" s="28">
        <f>IF(T279=0,0,$S$22)</f>
        <v>1</v>
      </c>
      <c r="P280" s="28">
        <f>IF(U279=0,0,$T$22)</f>
        <v>0</v>
      </c>
      <c r="Q280" s="28">
        <f t="shared" si="156"/>
        <v>11</v>
      </c>
      <c r="R280" s="22">
        <f t="shared" si="157"/>
        <v>14.545323072351799</v>
      </c>
      <c r="S280" s="22">
        <f t="shared" si="158"/>
        <v>1.7234437246028849</v>
      </c>
      <c r="T280" s="22">
        <f t="shared" si="159"/>
        <v>9.2982232540490983</v>
      </c>
      <c r="U280" s="22">
        <f t="shared" si="160"/>
        <v>0.83340000000000003</v>
      </c>
      <c r="V280" s="21">
        <f t="shared" si="176"/>
        <v>1.9580913919999989</v>
      </c>
      <c r="W280" s="21">
        <f t="shared" si="177"/>
        <v>0.42230624891428525</v>
      </c>
      <c r="X280" s="21">
        <f t="shared" si="167"/>
        <v>3.1856363743999996</v>
      </c>
      <c r="Y280" s="21">
        <f t="shared" si="168"/>
        <v>0</v>
      </c>
      <c r="Z280" s="221">
        <f t="shared" si="161"/>
        <v>2</v>
      </c>
      <c r="AA280" s="30">
        <f t="shared" si="149"/>
        <v>6.3140692319120486</v>
      </c>
      <c r="AB280" s="30">
        <f t="shared" si="150"/>
        <v>3.4688739976703165</v>
      </c>
      <c r="AC280" s="30">
        <f t="shared" si="151"/>
        <v>2.4809767459508998</v>
      </c>
      <c r="AD280" s="30">
        <f t="shared" si="152"/>
        <v>0</v>
      </c>
      <c r="AE280" s="32">
        <f t="shared" si="162"/>
        <v>12.263919975533264</v>
      </c>
      <c r="AF280" s="33">
        <f t="shared" si="170"/>
        <v>0</v>
      </c>
      <c r="AG280" s="40">
        <f t="shared" si="163"/>
        <v>18.879831983429305</v>
      </c>
      <c r="AH280" s="224">
        <f>AG280*$P$33</f>
        <v>1.5834260196645307</v>
      </c>
      <c r="AI280" s="227">
        <f t="shared" si="164"/>
        <v>24.159106388758943</v>
      </c>
    </row>
    <row r="281" spans="1:35" x14ac:dyDescent="0.35">
      <c r="A281" s="45">
        <v>1702</v>
      </c>
      <c r="B281" s="58">
        <f>SUMIF([2]!Table2_23[ETA],'FIS Optimal Model'!A281,[2]!Table2_23[FIS PAX])</f>
        <v>0</v>
      </c>
      <c r="C281" s="44">
        <f t="shared" si="165"/>
        <v>18</v>
      </c>
      <c r="D281" s="52">
        <f t="shared" si="169"/>
        <v>92</v>
      </c>
      <c r="E281" s="26">
        <f t="shared" si="153"/>
        <v>9.9503999999999984</v>
      </c>
      <c r="F281" s="26">
        <f t="shared" si="154"/>
        <v>4.2713999999999999</v>
      </c>
      <c r="G281" s="26">
        <f t="shared" si="155"/>
        <v>2.9447999999999999</v>
      </c>
      <c r="H281" s="26">
        <f t="shared" si="166"/>
        <v>0.83340000000000003</v>
      </c>
      <c r="I281" s="27">
        <f t="shared" si="171"/>
        <v>9.9503999999999984</v>
      </c>
      <c r="J281" s="27">
        <f t="shared" si="171"/>
        <v>4.2713999999999999</v>
      </c>
      <c r="K281" s="27">
        <f t="shared" si="171"/>
        <v>2.9447999999999999</v>
      </c>
      <c r="L281" s="27">
        <f t="shared" si="171"/>
        <v>0.83340000000000003</v>
      </c>
      <c r="M281" s="28">
        <f>$M$280</f>
        <v>3</v>
      </c>
      <c r="N281" s="29">
        <f>$N$280</f>
        <v>7</v>
      </c>
      <c r="O281" s="28">
        <f>$O$280</f>
        <v>1</v>
      </c>
      <c r="P281" s="28">
        <f>$P$280</f>
        <v>0</v>
      </c>
      <c r="Q281" s="28">
        <f t="shared" ref="Q281:Q294" si="191">SUM(M281:P281)</f>
        <v>11</v>
      </c>
      <c r="R281" s="22">
        <f t="shared" si="157"/>
        <v>18.181653840439751</v>
      </c>
      <c r="S281" s="22">
        <f t="shared" si="158"/>
        <v>2.5259697269325683</v>
      </c>
      <c r="T281" s="22">
        <f t="shared" si="159"/>
        <v>9.762046508098198</v>
      </c>
      <c r="U281" s="22">
        <f t="shared" si="160"/>
        <v>1.6668000000000001</v>
      </c>
      <c r="V281" s="21">
        <f t="shared" ref="V281:V294" si="192">IFERROR(R281*($I$30/M281),0)</f>
        <v>2.4476142399999992</v>
      </c>
      <c r="W281" s="21">
        <f t="shared" ref="W281:W294" si="193">IFERROR(S281*($I$31/N281),0)</f>
        <v>0.61895423971428509</v>
      </c>
      <c r="X281" s="21">
        <f t="shared" ref="X281:X294" si="194">IFERROR(T281*($I$32/O281),0)</f>
        <v>3.3445454679999993</v>
      </c>
      <c r="Y281" s="21">
        <f t="shared" ref="Y281:Y294" si="195">IFERROR(U281*($I$33/P281),0)</f>
        <v>0</v>
      </c>
      <c r="Z281" s="221">
        <f t="shared" si="161"/>
        <v>3</v>
      </c>
      <c r="AA281" s="30">
        <f t="shared" si="149"/>
        <v>6.3140692319120486</v>
      </c>
      <c r="AB281" s="30">
        <f t="shared" si="150"/>
        <v>3.4688739976703165</v>
      </c>
      <c r="AC281" s="30">
        <f t="shared" si="151"/>
        <v>2.4809767459508998</v>
      </c>
      <c r="AD281" s="30">
        <f t="shared" si="152"/>
        <v>0</v>
      </c>
      <c r="AE281" s="32">
        <f t="shared" si="162"/>
        <v>12.263919975533264</v>
      </c>
      <c r="AF281" s="33">
        <f t="shared" si="170"/>
        <v>9.7829432295823651</v>
      </c>
      <c r="AG281" s="40">
        <f t="shared" si="163"/>
        <v>16.73936878355989</v>
      </c>
      <c r="AH281" s="224">
        <f>AG281*$P$33</f>
        <v>1.4039082608315936</v>
      </c>
      <c r="AI281" s="227">
        <f t="shared" si="164"/>
        <v>25.216223211555551</v>
      </c>
    </row>
    <row r="282" spans="1:35" x14ac:dyDescent="0.35">
      <c r="A282" s="45">
        <v>1703</v>
      </c>
      <c r="B282" s="58">
        <f>SUMIF([2]!Table2_23[ETA],'FIS Optimal Model'!A282,[2]!Table2_23[FIS PAX])</f>
        <v>0</v>
      </c>
      <c r="C282" s="44">
        <f t="shared" si="165"/>
        <v>18</v>
      </c>
      <c r="D282" s="52">
        <f t="shared" si="169"/>
        <v>74</v>
      </c>
      <c r="E282" s="26">
        <f t="shared" si="153"/>
        <v>9.9503999999999984</v>
      </c>
      <c r="F282" s="26">
        <f t="shared" si="154"/>
        <v>4.2713999999999999</v>
      </c>
      <c r="G282" s="26">
        <f t="shared" si="155"/>
        <v>2.9447999999999999</v>
      </c>
      <c r="H282" s="26">
        <f t="shared" si="166"/>
        <v>0.83340000000000003</v>
      </c>
      <c r="I282" s="27">
        <f t="shared" si="171"/>
        <v>9.9503999999999984</v>
      </c>
      <c r="J282" s="27">
        <f t="shared" si="171"/>
        <v>4.2713999999999999</v>
      </c>
      <c r="K282" s="27">
        <f t="shared" si="171"/>
        <v>2.9447999999999999</v>
      </c>
      <c r="L282" s="27">
        <f t="shared" si="171"/>
        <v>0.83340000000000003</v>
      </c>
      <c r="M282" s="28">
        <f t="shared" ref="M282:M294" si="196">$M$280</f>
        <v>3</v>
      </c>
      <c r="N282" s="29">
        <f t="shared" ref="N282:N294" si="197">$N$280</f>
        <v>7</v>
      </c>
      <c r="O282" s="28">
        <f t="shared" ref="O282:O294" si="198">$O$280</f>
        <v>1</v>
      </c>
      <c r="P282" s="28">
        <f t="shared" ref="P282:P294" si="199">$P$280</f>
        <v>0</v>
      </c>
      <c r="Q282" s="28">
        <f t="shared" si="191"/>
        <v>11</v>
      </c>
      <c r="R282" s="22">
        <f t="shared" si="157"/>
        <v>21.817984608527702</v>
      </c>
      <c r="S282" s="22">
        <f t="shared" si="158"/>
        <v>3.3284957292622517</v>
      </c>
      <c r="T282" s="22">
        <f t="shared" si="159"/>
        <v>10.225869762147298</v>
      </c>
      <c r="U282" s="22">
        <f t="shared" si="160"/>
        <v>2.5002</v>
      </c>
      <c r="V282" s="21">
        <f t="shared" si="192"/>
        <v>2.9371370879999992</v>
      </c>
      <c r="W282" s="21">
        <f t="shared" si="193"/>
        <v>0.81560223051428493</v>
      </c>
      <c r="X282" s="21">
        <f t="shared" si="194"/>
        <v>3.503454561599999</v>
      </c>
      <c r="Y282" s="21">
        <f t="shared" si="195"/>
        <v>0</v>
      </c>
      <c r="Z282" s="221">
        <f t="shared" si="161"/>
        <v>3</v>
      </c>
      <c r="AA282" s="30">
        <f t="shared" si="149"/>
        <v>6.3140692319120486</v>
      </c>
      <c r="AB282" s="30">
        <f t="shared" si="150"/>
        <v>3.4688739976703165</v>
      </c>
      <c r="AC282" s="30">
        <f t="shared" si="151"/>
        <v>2.4809767459508998</v>
      </c>
      <c r="AD282" s="30">
        <f t="shared" si="152"/>
        <v>0</v>
      </c>
      <c r="AE282" s="32">
        <f t="shared" si="162"/>
        <v>12.263919975533264</v>
      </c>
      <c r="AF282" s="33">
        <f t="shared" si="170"/>
        <v>9.7829432295823651</v>
      </c>
      <c r="AG282" s="40">
        <f t="shared" si="163"/>
        <v>14.598905583690474</v>
      </c>
      <c r="AH282" s="224">
        <f>AG282*$P$33</f>
        <v>1.2243905019986565</v>
      </c>
      <c r="AI282" s="227">
        <f t="shared" si="164"/>
        <v>25.244781622953859</v>
      </c>
    </row>
    <row r="283" spans="1:35" x14ac:dyDescent="0.35">
      <c r="A283" s="45">
        <v>1704</v>
      </c>
      <c r="B283" s="58">
        <f>SUMIF([2]!Table2_23[ETA],'FIS Optimal Model'!A283,[2]!Table2_23[FIS PAX])</f>
        <v>0</v>
      </c>
      <c r="C283" s="44">
        <f t="shared" si="165"/>
        <v>18</v>
      </c>
      <c r="D283" s="52">
        <f t="shared" si="169"/>
        <v>56</v>
      </c>
      <c r="E283" s="26">
        <f t="shared" si="153"/>
        <v>9.9503999999999984</v>
      </c>
      <c r="F283" s="26">
        <f t="shared" si="154"/>
        <v>4.2713999999999999</v>
      </c>
      <c r="G283" s="26">
        <f t="shared" si="155"/>
        <v>2.9447999999999999</v>
      </c>
      <c r="H283" s="26">
        <f t="shared" si="166"/>
        <v>0.83340000000000003</v>
      </c>
      <c r="I283" s="27">
        <f t="shared" si="171"/>
        <v>9.9503999999999984</v>
      </c>
      <c r="J283" s="27">
        <f t="shared" si="171"/>
        <v>4.2713999999999999</v>
      </c>
      <c r="K283" s="27">
        <f t="shared" si="171"/>
        <v>2.9447999999999999</v>
      </c>
      <c r="L283" s="27">
        <f t="shared" si="171"/>
        <v>0.83340000000000003</v>
      </c>
      <c r="M283" s="28">
        <f t="shared" si="196"/>
        <v>3</v>
      </c>
      <c r="N283" s="29">
        <f t="shared" si="197"/>
        <v>7</v>
      </c>
      <c r="O283" s="28">
        <f t="shared" si="198"/>
        <v>1</v>
      </c>
      <c r="P283" s="28">
        <f t="shared" si="199"/>
        <v>0</v>
      </c>
      <c r="Q283" s="28">
        <f t="shared" si="191"/>
        <v>11</v>
      </c>
      <c r="R283" s="22">
        <f t="shared" si="157"/>
        <v>25.454315376615654</v>
      </c>
      <c r="S283" s="22">
        <f t="shared" si="158"/>
        <v>4.1310217315919351</v>
      </c>
      <c r="T283" s="22">
        <f t="shared" si="159"/>
        <v>10.689693016196397</v>
      </c>
      <c r="U283" s="22">
        <f t="shared" si="160"/>
        <v>3.3336000000000001</v>
      </c>
      <c r="V283" s="21">
        <f t="shared" si="192"/>
        <v>3.4266599359999992</v>
      </c>
      <c r="W283" s="21">
        <f t="shared" si="193"/>
        <v>1.0122502213142848</v>
      </c>
      <c r="X283" s="21">
        <f t="shared" si="194"/>
        <v>3.6623636551999992</v>
      </c>
      <c r="Y283" s="21">
        <f t="shared" si="195"/>
        <v>0</v>
      </c>
      <c r="Z283" s="221">
        <f t="shared" si="161"/>
        <v>3</v>
      </c>
      <c r="AA283" s="30">
        <f t="shared" si="149"/>
        <v>6.3140692319120486</v>
      </c>
      <c r="AB283" s="30">
        <f t="shared" si="150"/>
        <v>3.4688739976703165</v>
      </c>
      <c r="AC283" s="30">
        <f t="shared" si="151"/>
        <v>2.4809767459508998</v>
      </c>
      <c r="AD283" s="30">
        <f t="shared" si="152"/>
        <v>0</v>
      </c>
      <c r="AE283" s="32">
        <f t="shared" si="162"/>
        <v>12.263919975533264</v>
      </c>
      <c r="AF283" s="33">
        <f t="shared" si="170"/>
        <v>9.7829432295823651</v>
      </c>
      <c r="AG283" s="40">
        <f t="shared" si="163"/>
        <v>12.458442383821058</v>
      </c>
      <c r="AH283" s="224">
        <f>AG283*$P$33</f>
        <v>1.0448727431657194</v>
      </c>
      <c r="AI283" s="227">
        <f t="shared" si="164"/>
        <v>25.273340034352163</v>
      </c>
    </row>
    <row r="284" spans="1:35" x14ac:dyDescent="0.35">
      <c r="A284" s="45">
        <v>1705</v>
      </c>
      <c r="B284" s="58">
        <f>SUMIF([2]!Table2_23[ETA],'FIS Optimal Model'!A284,[2]!Table2_23[FIS PAX])</f>
        <v>0</v>
      </c>
      <c r="C284" s="44">
        <f t="shared" si="165"/>
        <v>18</v>
      </c>
      <c r="D284" s="52">
        <f t="shared" si="169"/>
        <v>38</v>
      </c>
      <c r="E284" s="26">
        <f t="shared" si="153"/>
        <v>9.9503999999999984</v>
      </c>
      <c r="F284" s="26">
        <f t="shared" si="154"/>
        <v>4.2713999999999999</v>
      </c>
      <c r="G284" s="26">
        <f t="shared" si="155"/>
        <v>2.9447999999999999</v>
      </c>
      <c r="H284" s="26">
        <f t="shared" si="166"/>
        <v>0.83340000000000003</v>
      </c>
      <c r="I284" s="27">
        <f t="shared" si="171"/>
        <v>9.9503999999999984</v>
      </c>
      <c r="J284" s="27">
        <f t="shared" si="171"/>
        <v>4.2713999999999999</v>
      </c>
      <c r="K284" s="27">
        <f t="shared" si="171"/>
        <v>2.9447999999999999</v>
      </c>
      <c r="L284" s="27">
        <f t="shared" si="171"/>
        <v>0.83340000000000003</v>
      </c>
      <c r="M284" s="28">
        <f t="shared" si="196"/>
        <v>3</v>
      </c>
      <c r="N284" s="29">
        <f t="shared" si="197"/>
        <v>7</v>
      </c>
      <c r="O284" s="28">
        <f t="shared" si="198"/>
        <v>1</v>
      </c>
      <c r="P284" s="28">
        <f t="shared" si="199"/>
        <v>0</v>
      </c>
      <c r="Q284" s="28">
        <f t="shared" si="191"/>
        <v>11</v>
      </c>
      <c r="R284" s="22">
        <f t="shared" si="157"/>
        <v>29.090646144703602</v>
      </c>
      <c r="S284" s="22">
        <f t="shared" si="158"/>
        <v>4.9335477339216185</v>
      </c>
      <c r="T284" s="22">
        <f t="shared" si="159"/>
        <v>11.153516270245497</v>
      </c>
      <c r="U284" s="22">
        <f t="shared" si="160"/>
        <v>4.1669999999999998</v>
      </c>
      <c r="V284" s="21">
        <f t="shared" si="192"/>
        <v>3.9161827839999988</v>
      </c>
      <c r="W284" s="21">
        <f t="shared" si="193"/>
        <v>1.2088982121142846</v>
      </c>
      <c r="X284" s="21">
        <f t="shared" si="194"/>
        <v>3.8212727487999989</v>
      </c>
      <c r="Y284" s="21">
        <f t="shared" si="195"/>
        <v>0</v>
      </c>
      <c r="Z284" s="221">
        <f t="shared" si="161"/>
        <v>4</v>
      </c>
      <c r="AA284" s="30">
        <f t="shared" si="149"/>
        <v>6.3140692319120486</v>
      </c>
      <c r="AB284" s="30">
        <f t="shared" si="150"/>
        <v>3.4688739976703165</v>
      </c>
      <c r="AC284" s="30">
        <f t="shared" si="151"/>
        <v>2.4809767459508998</v>
      </c>
      <c r="AD284" s="30">
        <f t="shared" si="152"/>
        <v>0</v>
      </c>
      <c r="AE284" s="32">
        <f t="shared" si="162"/>
        <v>12.263919975533264</v>
      </c>
      <c r="AF284" s="33">
        <f t="shared" si="170"/>
        <v>12.263919975533264</v>
      </c>
      <c r="AG284" s="40">
        <f t="shared" si="163"/>
        <v>12.798955929902542</v>
      </c>
      <c r="AH284" s="224">
        <f>AG284*$P$33</f>
        <v>1.0734311545640249</v>
      </c>
      <c r="AI284" s="227">
        <f t="shared" si="164"/>
        <v>26.330456857148775</v>
      </c>
    </row>
    <row r="285" spans="1:35" x14ac:dyDescent="0.35">
      <c r="A285" s="45">
        <v>1706</v>
      </c>
      <c r="B285" s="58">
        <f>SUMIF([2]!Table2_23[ETA],'FIS Optimal Model'!A285,[2]!Table2_23[FIS PAX])</f>
        <v>0</v>
      </c>
      <c r="C285" s="44">
        <f t="shared" si="165"/>
        <v>18</v>
      </c>
      <c r="D285" s="52">
        <f t="shared" si="169"/>
        <v>20</v>
      </c>
      <c r="E285" s="26">
        <f t="shared" si="153"/>
        <v>9.9503999999999984</v>
      </c>
      <c r="F285" s="26">
        <f t="shared" si="154"/>
        <v>4.2713999999999999</v>
      </c>
      <c r="G285" s="26">
        <f t="shared" si="155"/>
        <v>2.9447999999999999</v>
      </c>
      <c r="H285" s="26">
        <f t="shared" si="166"/>
        <v>0.83340000000000003</v>
      </c>
      <c r="I285" s="27">
        <f t="shared" si="171"/>
        <v>9.9503999999999984</v>
      </c>
      <c r="J285" s="27">
        <f t="shared" si="171"/>
        <v>4.2713999999999999</v>
      </c>
      <c r="K285" s="27">
        <f t="shared" si="171"/>
        <v>2.9447999999999999</v>
      </c>
      <c r="L285" s="27">
        <f t="shared" si="171"/>
        <v>0.83340000000000003</v>
      </c>
      <c r="M285" s="28">
        <f t="shared" si="196"/>
        <v>3</v>
      </c>
      <c r="N285" s="29">
        <f t="shared" si="197"/>
        <v>7</v>
      </c>
      <c r="O285" s="28">
        <f t="shared" si="198"/>
        <v>1</v>
      </c>
      <c r="P285" s="28">
        <f t="shared" si="199"/>
        <v>0</v>
      </c>
      <c r="Q285" s="28">
        <f t="shared" si="191"/>
        <v>11</v>
      </c>
      <c r="R285" s="22">
        <f t="shared" si="157"/>
        <v>32.726976912791557</v>
      </c>
      <c r="S285" s="22">
        <f t="shared" si="158"/>
        <v>5.7360737362513019</v>
      </c>
      <c r="T285" s="22">
        <f t="shared" si="159"/>
        <v>11.617339524294596</v>
      </c>
      <c r="U285" s="22">
        <f t="shared" si="160"/>
        <v>5.0004</v>
      </c>
      <c r="V285" s="21">
        <f t="shared" si="192"/>
        <v>4.4057056319999992</v>
      </c>
      <c r="W285" s="21">
        <f t="shared" si="193"/>
        <v>1.4055462029142844</v>
      </c>
      <c r="X285" s="21">
        <f t="shared" si="194"/>
        <v>3.9801818423999986</v>
      </c>
      <c r="Y285" s="21">
        <f t="shared" si="195"/>
        <v>0</v>
      </c>
      <c r="Z285" s="221">
        <f t="shared" si="161"/>
        <v>4</v>
      </c>
      <c r="AA285" s="30">
        <f t="shared" si="149"/>
        <v>6.3140692319120486</v>
      </c>
      <c r="AB285" s="30">
        <f t="shared" si="150"/>
        <v>3.4688739976703165</v>
      </c>
      <c r="AC285" s="30">
        <f t="shared" si="151"/>
        <v>2.4809767459508998</v>
      </c>
      <c r="AD285" s="30">
        <f t="shared" si="152"/>
        <v>0</v>
      </c>
      <c r="AE285" s="32">
        <f t="shared" si="162"/>
        <v>12.263919975533264</v>
      </c>
      <c r="AF285" s="33">
        <f t="shared" si="170"/>
        <v>12.263919975533264</v>
      </c>
      <c r="AG285" s="40">
        <f t="shared" si="163"/>
        <v>13.139469475984026</v>
      </c>
      <c r="AH285" s="224">
        <f>AG285*$P$33</f>
        <v>1.1019895659623302</v>
      </c>
      <c r="AI285" s="227">
        <f t="shared" si="164"/>
        <v>26.359015268547079</v>
      </c>
    </row>
    <row r="286" spans="1:35" x14ac:dyDescent="0.35">
      <c r="A286" s="45">
        <v>1707</v>
      </c>
      <c r="B286" s="58">
        <f>SUMIF([2]!Table2_23[ETA],'FIS Optimal Model'!A286,[2]!Table2_23[FIS PAX])</f>
        <v>0</v>
      </c>
      <c r="C286" s="44">
        <f t="shared" si="165"/>
        <v>18</v>
      </c>
      <c r="D286" s="52">
        <f t="shared" si="169"/>
        <v>2</v>
      </c>
      <c r="E286" s="26">
        <f t="shared" si="153"/>
        <v>9.9503999999999984</v>
      </c>
      <c r="F286" s="26">
        <f t="shared" si="154"/>
        <v>4.2713999999999999</v>
      </c>
      <c r="G286" s="26">
        <f t="shared" si="155"/>
        <v>2.9447999999999999</v>
      </c>
      <c r="H286" s="26">
        <f t="shared" si="166"/>
        <v>0.83340000000000003</v>
      </c>
      <c r="I286" s="27">
        <f t="shared" si="171"/>
        <v>9.9503999999999984</v>
      </c>
      <c r="J286" s="27">
        <f t="shared" si="171"/>
        <v>4.2713999999999999</v>
      </c>
      <c r="K286" s="27">
        <f t="shared" si="171"/>
        <v>2.9447999999999999</v>
      </c>
      <c r="L286" s="27">
        <f t="shared" si="171"/>
        <v>0.83340000000000003</v>
      </c>
      <c r="M286" s="28">
        <f t="shared" si="196"/>
        <v>3</v>
      </c>
      <c r="N286" s="29">
        <f t="shared" si="197"/>
        <v>7</v>
      </c>
      <c r="O286" s="28">
        <f t="shared" si="198"/>
        <v>1</v>
      </c>
      <c r="P286" s="28">
        <f t="shared" si="199"/>
        <v>0</v>
      </c>
      <c r="Q286" s="28">
        <f t="shared" si="191"/>
        <v>11</v>
      </c>
      <c r="R286" s="22">
        <f t="shared" si="157"/>
        <v>36.363307680879501</v>
      </c>
      <c r="S286" s="22">
        <f t="shared" si="158"/>
        <v>6.5385997385809853</v>
      </c>
      <c r="T286" s="22">
        <f t="shared" si="159"/>
        <v>12.081162778343696</v>
      </c>
      <c r="U286" s="22">
        <f t="shared" si="160"/>
        <v>5.8338000000000001</v>
      </c>
      <c r="V286" s="21">
        <f t="shared" si="192"/>
        <v>4.8952284799999983</v>
      </c>
      <c r="W286" s="21">
        <f t="shared" si="193"/>
        <v>1.6021941937142843</v>
      </c>
      <c r="X286" s="21">
        <f t="shared" si="194"/>
        <v>4.1390909359999988</v>
      </c>
      <c r="Y286" s="21">
        <f t="shared" si="195"/>
        <v>0</v>
      </c>
      <c r="Z286" s="221">
        <f t="shared" si="161"/>
        <v>4</v>
      </c>
      <c r="AA286" s="30">
        <f t="shared" si="149"/>
        <v>6.3140692319120486</v>
      </c>
      <c r="AB286" s="30">
        <f t="shared" si="150"/>
        <v>3.4688739976703165</v>
      </c>
      <c r="AC286" s="30">
        <f t="shared" si="151"/>
        <v>2.4809767459508998</v>
      </c>
      <c r="AD286" s="30">
        <f t="shared" si="152"/>
        <v>0</v>
      </c>
      <c r="AE286" s="32">
        <f t="shared" si="162"/>
        <v>12.263919975533264</v>
      </c>
      <c r="AF286" s="33">
        <f t="shared" si="170"/>
        <v>12.263919975533264</v>
      </c>
      <c r="AG286" s="40">
        <f t="shared" si="163"/>
        <v>13.479983022065509</v>
      </c>
      <c r="AH286" s="224">
        <f>AG286*$P$33</f>
        <v>1.1305479773606357</v>
      </c>
      <c r="AI286" s="227">
        <f t="shared" si="164"/>
        <v>26.387573679945383</v>
      </c>
    </row>
    <row r="287" spans="1:35" x14ac:dyDescent="0.35">
      <c r="A287" s="45">
        <v>1708</v>
      </c>
      <c r="B287" s="58">
        <f>SUMIF([2]!Table2_23[ETA],'FIS Optimal Model'!A287,[2]!Table2_23[FIS PAX])</f>
        <v>0</v>
      </c>
      <c r="C287" s="44">
        <f t="shared" si="165"/>
        <v>2</v>
      </c>
      <c r="D287" s="52">
        <f t="shared" si="169"/>
        <v>0</v>
      </c>
      <c r="E287" s="26">
        <f t="shared" si="153"/>
        <v>1.1055999999999999</v>
      </c>
      <c r="F287" s="26">
        <f t="shared" si="154"/>
        <v>0.47460000000000002</v>
      </c>
      <c r="G287" s="26">
        <f t="shared" si="155"/>
        <v>0.32719999999999999</v>
      </c>
      <c r="H287" s="26">
        <f t="shared" si="166"/>
        <v>9.2600000000000002E-2</v>
      </c>
      <c r="I287" s="27">
        <f t="shared" si="171"/>
        <v>9.9503999999999984</v>
      </c>
      <c r="J287" s="27">
        <f t="shared" si="171"/>
        <v>4.2713999999999999</v>
      </c>
      <c r="K287" s="27">
        <f t="shared" si="171"/>
        <v>2.9447999999999999</v>
      </c>
      <c r="L287" s="27">
        <f t="shared" si="171"/>
        <v>0.83340000000000003</v>
      </c>
      <c r="M287" s="28">
        <f t="shared" si="196"/>
        <v>3</v>
      </c>
      <c r="N287" s="29">
        <f t="shared" si="197"/>
        <v>7</v>
      </c>
      <c r="O287" s="28">
        <f t="shared" si="198"/>
        <v>1</v>
      </c>
      <c r="P287" s="28">
        <f t="shared" si="199"/>
        <v>0</v>
      </c>
      <c r="Q287" s="28">
        <f t="shared" si="191"/>
        <v>11</v>
      </c>
      <c r="R287" s="22">
        <f t="shared" si="157"/>
        <v>39.999638448967445</v>
      </c>
      <c r="S287" s="22">
        <f t="shared" si="158"/>
        <v>7.3411257409106687</v>
      </c>
      <c r="T287" s="22">
        <f t="shared" si="159"/>
        <v>12.544986032392796</v>
      </c>
      <c r="U287" s="22">
        <f t="shared" si="160"/>
        <v>6.6672000000000002</v>
      </c>
      <c r="V287" s="21">
        <f t="shared" si="192"/>
        <v>5.3847513279999975</v>
      </c>
      <c r="W287" s="21">
        <f t="shared" si="193"/>
        <v>1.7988421845142841</v>
      </c>
      <c r="X287" s="21">
        <f t="shared" si="194"/>
        <v>4.2980000295999989</v>
      </c>
      <c r="Y287" s="21">
        <f t="shared" si="195"/>
        <v>0</v>
      </c>
      <c r="Z287" s="221">
        <f t="shared" si="161"/>
        <v>5</v>
      </c>
      <c r="AA287" s="30">
        <f t="shared" si="149"/>
        <v>6.3140692319120486</v>
      </c>
      <c r="AB287" s="30">
        <f t="shared" si="150"/>
        <v>3.4688739976703165</v>
      </c>
      <c r="AC287" s="30">
        <f t="shared" si="151"/>
        <v>2.4809767459508998</v>
      </c>
      <c r="AD287" s="30">
        <f t="shared" si="152"/>
        <v>0</v>
      </c>
      <c r="AE287" s="32">
        <f t="shared" si="162"/>
        <v>12.263919975533264</v>
      </c>
      <c r="AF287" s="33">
        <f t="shared" si="170"/>
        <v>12.263919975533264</v>
      </c>
      <c r="AG287" s="40">
        <f t="shared" si="163"/>
        <v>13.820496568146993</v>
      </c>
      <c r="AH287" s="224">
        <f>AG287*$P$33</f>
        <v>1.159106388758941</v>
      </c>
      <c r="AI287" s="227">
        <f t="shared" si="164"/>
        <v>27.444690502741995</v>
      </c>
    </row>
    <row r="288" spans="1:35" x14ac:dyDescent="0.35">
      <c r="A288" s="45">
        <v>1709</v>
      </c>
      <c r="B288" s="58">
        <f>SUMIF([2]!Table2_23[ETA],'FIS Optimal Model'!A288,[2]!Table2_23[FIS PAX])</f>
        <v>0</v>
      </c>
      <c r="C288" s="44">
        <f t="shared" si="165"/>
        <v>0</v>
      </c>
      <c r="D288" s="52">
        <f t="shared" si="169"/>
        <v>0</v>
      </c>
      <c r="E288" s="26">
        <f t="shared" si="153"/>
        <v>0</v>
      </c>
      <c r="F288" s="26">
        <f t="shared" si="154"/>
        <v>0</v>
      </c>
      <c r="G288" s="26">
        <f t="shared" si="155"/>
        <v>0</v>
      </c>
      <c r="H288" s="26">
        <f t="shared" si="166"/>
        <v>0</v>
      </c>
      <c r="I288" s="27">
        <f t="shared" si="171"/>
        <v>9.9503999999999984</v>
      </c>
      <c r="J288" s="27">
        <f t="shared" si="171"/>
        <v>4.2713999999999999</v>
      </c>
      <c r="K288" s="27">
        <f t="shared" si="171"/>
        <v>2.9447999999999999</v>
      </c>
      <c r="L288" s="27">
        <f t="shared" si="171"/>
        <v>0.83340000000000003</v>
      </c>
      <c r="M288" s="28">
        <f t="shared" si="196"/>
        <v>3</v>
      </c>
      <c r="N288" s="29">
        <f t="shared" si="197"/>
        <v>7</v>
      </c>
      <c r="O288" s="28">
        <f t="shared" si="198"/>
        <v>1</v>
      </c>
      <c r="P288" s="28">
        <f t="shared" si="199"/>
        <v>0</v>
      </c>
      <c r="Q288" s="28">
        <f t="shared" si="191"/>
        <v>11</v>
      </c>
      <c r="R288" s="22">
        <f t="shared" si="157"/>
        <v>43.63596921705539</v>
      </c>
      <c r="S288" s="22">
        <f t="shared" si="158"/>
        <v>8.1436517432403512</v>
      </c>
      <c r="T288" s="22">
        <f t="shared" si="159"/>
        <v>13.008809286441895</v>
      </c>
      <c r="U288" s="22">
        <f t="shared" si="160"/>
        <v>7.5006000000000004</v>
      </c>
      <c r="V288" s="21">
        <f t="shared" si="192"/>
        <v>5.8742741759999966</v>
      </c>
      <c r="W288" s="21">
        <f t="shared" si="193"/>
        <v>1.9954901753142837</v>
      </c>
      <c r="X288" s="21">
        <f t="shared" si="194"/>
        <v>4.4569091231999982</v>
      </c>
      <c r="Y288" s="21">
        <f t="shared" si="195"/>
        <v>0</v>
      </c>
      <c r="Z288" s="221">
        <f t="shared" si="161"/>
        <v>5</v>
      </c>
      <c r="AA288" s="30">
        <f t="shared" si="149"/>
        <v>6.3140692319120486</v>
      </c>
      <c r="AB288" s="30">
        <f t="shared" si="150"/>
        <v>3.4688739976703165</v>
      </c>
      <c r="AC288" s="30">
        <f t="shared" si="151"/>
        <v>2.4809767459508998</v>
      </c>
      <c r="AD288" s="30">
        <f t="shared" si="152"/>
        <v>0</v>
      </c>
      <c r="AE288" s="32">
        <f t="shared" si="162"/>
        <v>12.263919975533264</v>
      </c>
      <c r="AF288" s="33">
        <f t="shared" si="170"/>
        <v>12.263919975533264</v>
      </c>
      <c r="AG288" s="40">
        <f t="shared" si="163"/>
        <v>14.161010114228477</v>
      </c>
      <c r="AH288" s="224">
        <f>AG288*$P$33</f>
        <v>1.1876648001572465</v>
      </c>
      <c r="AI288" s="227">
        <f t="shared" si="164"/>
        <v>27.473248914140299</v>
      </c>
    </row>
    <row r="289" spans="1:35" x14ac:dyDescent="0.35">
      <c r="A289" s="45">
        <v>1710</v>
      </c>
      <c r="B289" s="58">
        <f>SUMIF([2]!Table2_23[ETA],'FIS Optimal Model'!A289,[2]!Table2_23[FIS PAX])</f>
        <v>0</v>
      </c>
      <c r="C289" s="44">
        <f t="shared" si="165"/>
        <v>0</v>
      </c>
      <c r="D289" s="52">
        <f t="shared" si="169"/>
        <v>0</v>
      </c>
      <c r="E289" s="26">
        <f t="shared" si="153"/>
        <v>0</v>
      </c>
      <c r="F289" s="26">
        <f t="shared" si="154"/>
        <v>0</v>
      </c>
      <c r="G289" s="26">
        <f t="shared" si="155"/>
        <v>0</v>
      </c>
      <c r="H289" s="26">
        <f t="shared" si="166"/>
        <v>0</v>
      </c>
      <c r="I289" s="27">
        <f t="shared" si="171"/>
        <v>9.9503999999999984</v>
      </c>
      <c r="J289" s="27">
        <f t="shared" si="171"/>
        <v>4.2713999999999999</v>
      </c>
      <c r="K289" s="27">
        <f t="shared" si="171"/>
        <v>2.9447999999999999</v>
      </c>
      <c r="L289" s="27">
        <f t="shared" si="171"/>
        <v>0.83340000000000003</v>
      </c>
      <c r="M289" s="28">
        <f t="shared" si="196"/>
        <v>3</v>
      </c>
      <c r="N289" s="29">
        <f t="shared" si="197"/>
        <v>7</v>
      </c>
      <c r="O289" s="28">
        <f t="shared" si="198"/>
        <v>1</v>
      </c>
      <c r="P289" s="28">
        <f t="shared" si="199"/>
        <v>0</v>
      </c>
      <c r="Q289" s="28">
        <f t="shared" si="191"/>
        <v>11</v>
      </c>
      <c r="R289" s="22">
        <f t="shared" si="157"/>
        <v>47.272299985143334</v>
      </c>
      <c r="S289" s="22">
        <f t="shared" si="158"/>
        <v>8.9461777455700346</v>
      </c>
      <c r="T289" s="22">
        <f t="shared" si="159"/>
        <v>13.472632540490995</v>
      </c>
      <c r="U289" s="22">
        <f t="shared" si="160"/>
        <v>8.3339999999999996</v>
      </c>
      <c r="V289" s="21">
        <f t="shared" si="192"/>
        <v>6.3637970239999948</v>
      </c>
      <c r="W289" s="21">
        <f t="shared" si="193"/>
        <v>2.1921381661142836</v>
      </c>
      <c r="X289" s="21">
        <f t="shared" si="194"/>
        <v>4.6158182167999984</v>
      </c>
      <c r="Y289" s="21">
        <f t="shared" si="195"/>
        <v>0</v>
      </c>
      <c r="Z289" s="221">
        <f t="shared" si="161"/>
        <v>5</v>
      </c>
      <c r="AA289" s="30">
        <f t="shared" si="149"/>
        <v>6.3140692319120486</v>
      </c>
      <c r="AB289" s="30">
        <f t="shared" si="150"/>
        <v>3.4688739976703165</v>
      </c>
      <c r="AC289" s="30">
        <f t="shared" si="151"/>
        <v>2.4809767459508998</v>
      </c>
      <c r="AD289" s="30">
        <f t="shared" si="152"/>
        <v>0</v>
      </c>
      <c r="AE289" s="32">
        <f t="shared" si="162"/>
        <v>12.263919975533264</v>
      </c>
      <c r="AF289" s="33">
        <f t="shared" si="170"/>
        <v>12.263919975533264</v>
      </c>
      <c r="AG289" s="40">
        <f t="shared" si="163"/>
        <v>14.50152366030996</v>
      </c>
      <c r="AH289" s="224">
        <f>AG289*$P$33</f>
        <v>1.216223211555552</v>
      </c>
      <c r="AI289" s="227">
        <f t="shared" si="164"/>
        <v>27.364888319215197</v>
      </c>
    </row>
    <row r="290" spans="1:35" x14ac:dyDescent="0.35">
      <c r="A290" s="45">
        <v>1711</v>
      </c>
      <c r="B290" s="58">
        <f>SUMIF([2]!Table2_23[ETA],'FIS Optimal Model'!A290,[2]!Table2_23[FIS PAX])</f>
        <v>104</v>
      </c>
      <c r="C290" s="44">
        <f t="shared" si="165"/>
        <v>0</v>
      </c>
      <c r="D290" s="52">
        <f t="shared" si="169"/>
        <v>0</v>
      </c>
      <c r="E290" s="26">
        <f t="shared" si="153"/>
        <v>0</v>
      </c>
      <c r="F290" s="26">
        <f t="shared" si="154"/>
        <v>0</v>
      </c>
      <c r="G290" s="26">
        <f t="shared" si="155"/>
        <v>0</v>
      </c>
      <c r="H290" s="26">
        <f t="shared" si="166"/>
        <v>0</v>
      </c>
      <c r="I290" s="27">
        <f t="shared" si="171"/>
        <v>9.9503999999999984</v>
      </c>
      <c r="J290" s="27">
        <f t="shared" si="171"/>
        <v>4.2713999999999999</v>
      </c>
      <c r="K290" s="27">
        <f t="shared" si="171"/>
        <v>2.9447999999999999</v>
      </c>
      <c r="L290" s="27">
        <f t="shared" si="171"/>
        <v>0.83340000000000003</v>
      </c>
      <c r="M290" s="28">
        <f t="shared" si="196"/>
        <v>3</v>
      </c>
      <c r="N290" s="29">
        <f t="shared" si="197"/>
        <v>7</v>
      </c>
      <c r="O290" s="28">
        <f t="shared" si="198"/>
        <v>1</v>
      </c>
      <c r="P290" s="28">
        <f t="shared" si="199"/>
        <v>0</v>
      </c>
      <c r="Q290" s="28">
        <f t="shared" si="191"/>
        <v>11</v>
      </c>
      <c r="R290" s="22">
        <f t="shared" si="157"/>
        <v>50.908630753231279</v>
      </c>
      <c r="S290" s="22">
        <f t="shared" si="158"/>
        <v>9.7487037478997181</v>
      </c>
      <c r="T290" s="22">
        <f t="shared" si="159"/>
        <v>13.936455794540095</v>
      </c>
      <c r="U290" s="22">
        <f t="shared" si="160"/>
        <v>9.1673999999999989</v>
      </c>
      <c r="V290" s="21">
        <f t="shared" si="192"/>
        <v>6.8533198719999939</v>
      </c>
      <c r="W290" s="21">
        <f t="shared" si="193"/>
        <v>2.3887861569142834</v>
      </c>
      <c r="X290" s="21">
        <f t="shared" si="194"/>
        <v>4.7747273103999985</v>
      </c>
      <c r="Y290" s="21">
        <f t="shared" si="195"/>
        <v>0</v>
      </c>
      <c r="Z290" s="221">
        <f t="shared" si="161"/>
        <v>6</v>
      </c>
      <c r="AA290" s="30">
        <f t="shared" si="149"/>
        <v>6.3140692319120486</v>
      </c>
      <c r="AB290" s="30">
        <f t="shared" si="150"/>
        <v>3.4688739976703165</v>
      </c>
      <c r="AC290" s="30">
        <f t="shared" si="151"/>
        <v>2.4809767459508998</v>
      </c>
      <c r="AD290" s="30">
        <f t="shared" si="152"/>
        <v>0</v>
      </c>
      <c r="AE290" s="32">
        <f t="shared" si="162"/>
        <v>12.263919975533264</v>
      </c>
      <c r="AF290" s="33">
        <f t="shared" si="170"/>
        <v>12.263919975533264</v>
      </c>
      <c r="AG290" s="40">
        <f t="shared" si="163"/>
        <v>14.842037206391444</v>
      </c>
      <c r="AH290" s="224">
        <f>AG290*$P$33</f>
        <v>1.2447816229538573</v>
      </c>
      <c r="AI290" s="227">
        <f t="shared" si="164"/>
        <v>28.646903893397017</v>
      </c>
    </row>
    <row r="291" spans="1:35" x14ac:dyDescent="0.35">
      <c r="A291" s="45">
        <v>1712</v>
      </c>
      <c r="B291" s="58">
        <f>SUMIF([2]!Table2_23[ETA],'FIS Optimal Model'!A291,[2]!Table2_23[FIS PAX])</f>
        <v>0</v>
      </c>
      <c r="C291" s="44">
        <f t="shared" si="165"/>
        <v>18</v>
      </c>
      <c r="D291" s="52">
        <f t="shared" si="169"/>
        <v>86</v>
      </c>
      <c r="E291" s="26">
        <f t="shared" si="153"/>
        <v>9.9503999999999984</v>
      </c>
      <c r="F291" s="26">
        <f t="shared" si="154"/>
        <v>4.2713999999999999</v>
      </c>
      <c r="G291" s="26">
        <f t="shared" si="155"/>
        <v>2.9447999999999999</v>
      </c>
      <c r="H291" s="26">
        <f t="shared" si="166"/>
        <v>0.83340000000000003</v>
      </c>
      <c r="I291" s="27">
        <f t="shared" si="171"/>
        <v>9.9503999999999984</v>
      </c>
      <c r="J291" s="27">
        <f t="shared" si="171"/>
        <v>4.2713999999999999</v>
      </c>
      <c r="K291" s="27">
        <f t="shared" si="171"/>
        <v>2.9447999999999999</v>
      </c>
      <c r="L291" s="27">
        <f t="shared" si="171"/>
        <v>0.83340000000000003</v>
      </c>
      <c r="M291" s="28">
        <f t="shared" si="196"/>
        <v>3</v>
      </c>
      <c r="N291" s="29">
        <f t="shared" si="197"/>
        <v>7</v>
      </c>
      <c r="O291" s="28">
        <f t="shared" si="198"/>
        <v>1</v>
      </c>
      <c r="P291" s="28">
        <f t="shared" si="199"/>
        <v>0</v>
      </c>
      <c r="Q291" s="28">
        <f t="shared" si="191"/>
        <v>11</v>
      </c>
      <c r="R291" s="22">
        <f t="shared" si="157"/>
        <v>54.544961521319223</v>
      </c>
      <c r="S291" s="22">
        <f t="shared" si="158"/>
        <v>10.551229750229401</v>
      </c>
      <c r="T291" s="22">
        <f t="shared" si="159"/>
        <v>14.400279048589194</v>
      </c>
      <c r="U291" s="22">
        <f t="shared" si="160"/>
        <v>10.000799999999998</v>
      </c>
      <c r="V291" s="21">
        <f t="shared" si="192"/>
        <v>7.3428427199999931</v>
      </c>
      <c r="W291" s="21">
        <f t="shared" si="193"/>
        <v>2.5854341477142833</v>
      </c>
      <c r="X291" s="21">
        <f t="shared" si="194"/>
        <v>4.9336364039999978</v>
      </c>
      <c r="Y291" s="21">
        <f t="shared" si="195"/>
        <v>0</v>
      </c>
      <c r="Z291" s="221">
        <f t="shared" si="161"/>
        <v>6</v>
      </c>
      <c r="AA291" s="30">
        <f t="shared" si="149"/>
        <v>6.3140692319120486</v>
      </c>
      <c r="AB291" s="30">
        <f t="shared" si="150"/>
        <v>3.4688739976703165</v>
      </c>
      <c r="AC291" s="30">
        <f t="shared" si="151"/>
        <v>2.4809767459508998</v>
      </c>
      <c r="AD291" s="30">
        <f t="shared" si="152"/>
        <v>0</v>
      </c>
      <c r="AE291" s="32">
        <f t="shared" si="162"/>
        <v>12.263919975533264</v>
      </c>
      <c r="AF291" s="33">
        <f t="shared" si="170"/>
        <v>12.263919975533264</v>
      </c>
      <c r="AG291" s="40">
        <f t="shared" si="163"/>
        <v>15.182550752472928</v>
      </c>
      <c r="AH291" s="224">
        <f>AG291*$P$33</f>
        <v>1.2733400343521628</v>
      </c>
      <c r="AI291" s="227">
        <f t="shared" si="164"/>
        <v>28.787911680487927</v>
      </c>
    </row>
    <row r="292" spans="1:35" x14ac:dyDescent="0.35">
      <c r="A292" s="45">
        <v>1713</v>
      </c>
      <c r="B292" s="58">
        <f>SUMIF([2]!Table2_23[ETA],'FIS Optimal Model'!A292,[2]!Table2_23[FIS PAX])</f>
        <v>0</v>
      </c>
      <c r="C292" s="44">
        <f t="shared" si="165"/>
        <v>18</v>
      </c>
      <c r="D292" s="52">
        <f t="shared" si="169"/>
        <v>68</v>
      </c>
      <c r="E292" s="26">
        <f t="shared" si="153"/>
        <v>9.9503999999999984</v>
      </c>
      <c r="F292" s="26">
        <f t="shared" si="154"/>
        <v>4.2713999999999999</v>
      </c>
      <c r="G292" s="26">
        <f t="shared" si="155"/>
        <v>2.9447999999999999</v>
      </c>
      <c r="H292" s="26">
        <f t="shared" si="166"/>
        <v>0.83340000000000003</v>
      </c>
      <c r="I292" s="27">
        <f t="shared" si="171"/>
        <v>1.1055999999999999</v>
      </c>
      <c r="J292" s="27">
        <f t="shared" si="171"/>
        <v>0.47460000000000002</v>
      </c>
      <c r="K292" s="27">
        <f t="shared" si="171"/>
        <v>0.32719999999999999</v>
      </c>
      <c r="L292" s="27">
        <f t="shared" si="171"/>
        <v>9.2600000000000002E-2</v>
      </c>
      <c r="M292" s="28">
        <f t="shared" si="196"/>
        <v>3</v>
      </c>
      <c r="N292" s="29">
        <f t="shared" si="197"/>
        <v>7</v>
      </c>
      <c r="O292" s="28">
        <f t="shared" si="198"/>
        <v>1</v>
      </c>
      <c r="P292" s="28">
        <f t="shared" si="199"/>
        <v>0</v>
      </c>
      <c r="Q292" s="28">
        <f t="shared" si="191"/>
        <v>11</v>
      </c>
      <c r="R292" s="22">
        <f t="shared" si="157"/>
        <v>49.336492289407175</v>
      </c>
      <c r="S292" s="22">
        <f t="shared" si="158"/>
        <v>7.5569557525590847</v>
      </c>
      <c r="T292" s="22">
        <f t="shared" si="159"/>
        <v>12.246502302638294</v>
      </c>
      <c r="U292" s="22">
        <f t="shared" si="160"/>
        <v>10.093399999999997</v>
      </c>
      <c r="V292" s="21">
        <f t="shared" si="192"/>
        <v>6.6416785919999937</v>
      </c>
      <c r="W292" s="21">
        <f t="shared" si="193"/>
        <v>1.8517283689142829</v>
      </c>
      <c r="X292" s="21">
        <f t="shared" si="194"/>
        <v>4.1957374143999981</v>
      </c>
      <c r="Y292" s="21">
        <f t="shared" si="195"/>
        <v>0</v>
      </c>
      <c r="Z292" s="221">
        <f t="shared" si="161"/>
        <v>5</v>
      </c>
      <c r="AA292" s="30">
        <f t="shared" si="149"/>
        <v>6.3140692319120486</v>
      </c>
      <c r="AB292" s="30">
        <f t="shared" si="150"/>
        <v>3.4688739976703165</v>
      </c>
      <c r="AC292" s="30">
        <f t="shared" si="151"/>
        <v>2.4809767459508998</v>
      </c>
      <c r="AD292" s="30">
        <f t="shared" si="152"/>
        <v>0</v>
      </c>
      <c r="AE292" s="32">
        <f t="shared" si="162"/>
        <v>12.263919975533264</v>
      </c>
      <c r="AF292" s="33">
        <f t="shared" si="170"/>
        <v>12.263919975533264</v>
      </c>
      <c r="AG292" s="40">
        <f t="shared" si="163"/>
        <v>15.523064298554411</v>
      </c>
      <c r="AH292" s="224">
        <f>AG292*$P$33</f>
        <v>1.3018984457504681</v>
      </c>
      <c r="AI292" s="227">
        <f t="shared" si="164"/>
        <v>27.787911680487927</v>
      </c>
    </row>
    <row r="293" spans="1:35" x14ac:dyDescent="0.35">
      <c r="A293" s="45">
        <v>1714</v>
      </c>
      <c r="B293" s="58">
        <f>SUMIF([2]!Table2_23[ETA],'FIS Optimal Model'!A293,[2]!Table2_23[FIS PAX])</f>
        <v>0</v>
      </c>
      <c r="C293" s="44">
        <f t="shared" si="165"/>
        <v>18</v>
      </c>
      <c r="D293" s="52">
        <f t="shared" si="169"/>
        <v>50</v>
      </c>
      <c r="E293" s="26">
        <f t="shared" si="153"/>
        <v>9.9503999999999984</v>
      </c>
      <c r="F293" s="26">
        <f t="shared" si="154"/>
        <v>4.2713999999999999</v>
      </c>
      <c r="G293" s="26">
        <f t="shared" si="155"/>
        <v>2.9447999999999999</v>
      </c>
      <c r="H293" s="26">
        <f t="shared" si="166"/>
        <v>0.83340000000000003</v>
      </c>
      <c r="I293" s="27">
        <f t="shared" si="171"/>
        <v>0</v>
      </c>
      <c r="J293" s="27">
        <f t="shared" si="171"/>
        <v>0</v>
      </c>
      <c r="K293" s="27">
        <f t="shared" si="171"/>
        <v>0</v>
      </c>
      <c r="L293" s="27">
        <f t="shared" si="171"/>
        <v>0</v>
      </c>
      <c r="M293" s="28">
        <f t="shared" si="196"/>
        <v>3</v>
      </c>
      <c r="N293" s="29">
        <f t="shared" si="197"/>
        <v>7</v>
      </c>
      <c r="O293" s="28">
        <f t="shared" si="198"/>
        <v>1</v>
      </c>
      <c r="P293" s="28">
        <f t="shared" si="199"/>
        <v>0</v>
      </c>
      <c r="Q293" s="28">
        <f t="shared" si="191"/>
        <v>11</v>
      </c>
      <c r="R293" s="22">
        <f t="shared" si="157"/>
        <v>43.022423057495125</v>
      </c>
      <c r="S293" s="22">
        <f t="shared" si="158"/>
        <v>4.0880817548887682</v>
      </c>
      <c r="T293" s="22">
        <f t="shared" si="159"/>
        <v>9.7655255566873951</v>
      </c>
      <c r="U293" s="22">
        <f t="shared" si="160"/>
        <v>10.093399999999997</v>
      </c>
      <c r="V293" s="21">
        <f t="shared" si="192"/>
        <v>5.7916785919999931</v>
      </c>
      <c r="W293" s="21">
        <f t="shared" si="193"/>
        <v>1.0017283689142829</v>
      </c>
      <c r="X293" s="21">
        <f t="shared" si="194"/>
        <v>3.3457374143999985</v>
      </c>
      <c r="Y293" s="21">
        <f t="shared" si="195"/>
        <v>0</v>
      </c>
      <c r="Z293" s="221">
        <f t="shared" si="161"/>
        <v>4</v>
      </c>
      <c r="AA293" s="30">
        <f t="shared" si="149"/>
        <v>6.3140692319120486</v>
      </c>
      <c r="AB293" s="30">
        <f t="shared" si="150"/>
        <v>3.4688739976703165</v>
      </c>
      <c r="AC293" s="30">
        <f t="shared" si="151"/>
        <v>2.4809767459508998</v>
      </c>
      <c r="AD293" s="30">
        <f t="shared" si="152"/>
        <v>0</v>
      </c>
      <c r="AE293" s="32">
        <f t="shared" si="162"/>
        <v>12.263919975533264</v>
      </c>
      <c r="AF293" s="33">
        <f t="shared" si="170"/>
        <v>12.263919975533264</v>
      </c>
      <c r="AG293" s="40">
        <f t="shared" si="163"/>
        <v>15.863577844635895</v>
      </c>
      <c r="AH293" s="224">
        <f>AG293*$P$33</f>
        <v>1.3304568571487736</v>
      </c>
      <c r="AI293" s="227">
        <f t="shared" si="164"/>
        <v>26.787911680487927</v>
      </c>
    </row>
    <row r="294" spans="1:35" x14ac:dyDescent="0.35">
      <c r="A294" s="45">
        <v>1715</v>
      </c>
      <c r="B294" s="58">
        <f>SUMIF([2]!Table2_23[ETA],'FIS Optimal Model'!A294,[2]!Table2_23[FIS PAX])</f>
        <v>0</v>
      </c>
      <c r="C294" s="44">
        <f t="shared" si="165"/>
        <v>18</v>
      </c>
      <c r="D294" s="52">
        <f t="shared" si="169"/>
        <v>32</v>
      </c>
      <c r="E294" s="26">
        <f t="shared" si="153"/>
        <v>9.9503999999999984</v>
      </c>
      <c r="F294" s="26">
        <f t="shared" si="154"/>
        <v>4.2713999999999999</v>
      </c>
      <c r="G294" s="26">
        <f t="shared" si="155"/>
        <v>2.9447999999999999</v>
      </c>
      <c r="H294" s="26">
        <f t="shared" si="166"/>
        <v>0.83340000000000003</v>
      </c>
      <c r="I294" s="27">
        <f t="shared" si="171"/>
        <v>0</v>
      </c>
      <c r="J294" s="27">
        <f t="shared" si="171"/>
        <v>0</v>
      </c>
      <c r="K294" s="27">
        <f t="shared" si="171"/>
        <v>0</v>
      </c>
      <c r="L294" s="27">
        <f t="shared" si="171"/>
        <v>0</v>
      </c>
      <c r="M294" s="28">
        <f t="shared" si="196"/>
        <v>3</v>
      </c>
      <c r="N294" s="29">
        <f t="shared" si="197"/>
        <v>7</v>
      </c>
      <c r="O294" s="28">
        <f t="shared" si="198"/>
        <v>1</v>
      </c>
      <c r="P294" s="28">
        <f t="shared" si="199"/>
        <v>0</v>
      </c>
      <c r="Q294" s="28">
        <f t="shared" si="191"/>
        <v>11</v>
      </c>
      <c r="R294" s="22">
        <f t="shared" si="157"/>
        <v>36.708353825583075</v>
      </c>
      <c r="S294" s="22">
        <f t="shared" si="158"/>
        <v>0.61920775721845178</v>
      </c>
      <c r="T294" s="22">
        <f t="shared" si="159"/>
        <v>7.2845488107364957</v>
      </c>
      <c r="U294" s="22">
        <f t="shared" si="160"/>
        <v>10.093399999999997</v>
      </c>
      <c r="V294" s="21">
        <f t="shared" si="192"/>
        <v>4.9416785919999935</v>
      </c>
      <c r="W294" s="21">
        <f t="shared" si="193"/>
        <v>0.15172836891428262</v>
      </c>
      <c r="X294" s="21">
        <f t="shared" si="194"/>
        <v>2.4957374143999984</v>
      </c>
      <c r="Y294" s="21">
        <f t="shared" si="195"/>
        <v>0</v>
      </c>
      <c r="Z294" s="221">
        <f t="shared" si="161"/>
        <v>4</v>
      </c>
      <c r="AA294" s="30">
        <f t="shared" si="149"/>
        <v>6.3140692319120486</v>
      </c>
      <c r="AB294" s="30">
        <f t="shared" si="150"/>
        <v>3.4688739976703165</v>
      </c>
      <c r="AC294" s="30">
        <f t="shared" si="151"/>
        <v>2.4809767459508998</v>
      </c>
      <c r="AD294" s="30">
        <f t="shared" si="152"/>
        <v>0</v>
      </c>
      <c r="AE294" s="32">
        <f t="shared" si="162"/>
        <v>12.263919975533264</v>
      </c>
      <c r="AF294" s="33">
        <f t="shared" si="170"/>
        <v>12.263919975533264</v>
      </c>
      <c r="AG294" s="40">
        <f t="shared" si="163"/>
        <v>16.20409139071738</v>
      </c>
      <c r="AH294" s="224">
        <f>AG294*$P$33</f>
        <v>1.3590152685470791</v>
      </c>
      <c r="AI294" s="227">
        <f t="shared" si="164"/>
        <v>26.928919467578837</v>
      </c>
    </row>
    <row r="295" spans="1:35" x14ac:dyDescent="0.35">
      <c r="A295" s="45">
        <v>1716</v>
      </c>
      <c r="B295" s="58">
        <f>SUMIF([2]!Table2_23[ETA],'FIS Optimal Model'!A295,[2]!Table2_23[FIS PAX])</f>
        <v>0</v>
      </c>
      <c r="C295" s="44">
        <f t="shared" si="165"/>
        <v>18</v>
      </c>
      <c r="D295" s="52">
        <f t="shared" si="169"/>
        <v>14</v>
      </c>
      <c r="E295" s="26">
        <f t="shared" si="153"/>
        <v>9.9503999999999984</v>
      </c>
      <c r="F295" s="26">
        <f t="shared" si="154"/>
        <v>4.2713999999999999</v>
      </c>
      <c r="G295" s="26">
        <f t="shared" si="155"/>
        <v>2.9447999999999999</v>
      </c>
      <c r="H295" s="26">
        <f t="shared" si="166"/>
        <v>0.83340000000000003</v>
      </c>
      <c r="I295" s="27">
        <f t="shared" si="171"/>
        <v>0</v>
      </c>
      <c r="J295" s="27">
        <f t="shared" si="171"/>
        <v>0</v>
      </c>
      <c r="K295" s="27">
        <f t="shared" si="171"/>
        <v>0</v>
      </c>
      <c r="L295" s="27">
        <f t="shared" si="171"/>
        <v>0</v>
      </c>
      <c r="M295" s="28">
        <f>IF(R294=0,0,$Q$23)</f>
        <v>3</v>
      </c>
      <c r="N295" s="29">
        <f>$U$23-M295-O295-P295</f>
        <v>6</v>
      </c>
      <c r="O295" s="28">
        <f>IF(T294=0,0,$S$23)</f>
        <v>1</v>
      </c>
      <c r="P295" s="28">
        <f>IF(U294=0,0,$T$23)</f>
        <v>1</v>
      </c>
      <c r="Q295" s="28">
        <f t="shared" si="156"/>
        <v>11</v>
      </c>
      <c r="R295" s="22">
        <f t="shared" si="157"/>
        <v>30.394284593671024</v>
      </c>
      <c r="S295" s="22">
        <f t="shared" si="158"/>
        <v>0</v>
      </c>
      <c r="T295" s="22">
        <f t="shared" si="159"/>
        <v>4.8035720647855964</v>
      </c>
      <c r="U295" s="22">
        <f t="shared" si="160"/>
        <v>8.2570669626403426</v>
      </c>
      <c r="V295" s="21">
        <f t="shared" si="176"/>
        <v>4.091678591999993</v>
      </c>
      <c r="W295" s="21">
        <f t="shared" si="177"/>
        <v>0</v>
      </c>
      <c r="X295" s="21">
        <f t="shared" si="167"/>
        <v>1.6457374143999988</v>
      </c>
      <c r="Y295" s="21">
        <f t="shared" si="168"/>
        <v>3.8220228985999989</v>
      </c>
      <c r="Z295" s="221">
        <f t="shared" si="161"/>
        <v>3</v>
      </c>
      <c r="AA295" s="30">
        <f t="shared" ref="AA295:AA339" si="200">IF(R295&lt;&gt;0,($J$30*M295*$L$33),0)</f>
        <v>6.3140692319120486</v>
      </c>
      <c r="AB295" s="30">
        <f t="shared" ref="AB295:AB339" si="201">IF(W295&lt;&gt;0,($J$31*N295*$L$33),0)</f>
        <v>0</v>
      </c>
      <c r="AC295" s="30">
        <f t="shared" ref="AC295:AC339" si="202">IF(X295&lt;&gt;0,($J$32*O295*$L$33),0)</f>
        <v>2.4809767459508998</v>
      </c>
      <c r="AD295" s="30">
        <f t="shared" ref="AD295:AD339" si="203">IF(Y295&lt;&gt;0,($J$33*P295*$L$33),0)</f>
        <v>1.8363330373596554</v>
      </c>
      <c r="AE295" s="32">
        <f t="shared" si="162"/>
        <v>10.631379015222603</v>
      </c>
      <c r="AF295" s="33">
        <f t="shared" si="170"/>
        <v>12.263919975533264</v>
      </c>
      <c r="AG295" s="40">
        <f t="shared" si="163"/>
        <v>16.544604936798862</v>
      </c>
      <c r="AH295" s="224">
        <f>AG295*$P$33</f>
        <v>1.3875736799453844</v>
      </c>
      <c r="AI295" s="227">
        <f t="shared" si="164"/>
        <v>25.928919467578837</v>
      </c>
    </row>
    <row r="296" spans="1:35" x14ac:dyDescent="0.35">
      <c r="A296" s="45">
        <v>1717</v>
      </c>
      <c r="B296" s="58">
        <f>SUMIF([2]!Table2_23[ETA],'FIS Optimal Model'!A296,[2]!Table2_23[FIS PAX])</f>
        <v>0</v>
      </c>
      <c r="C296" s="44">
        <f t="shared" si="165"/>
        <v>14</v>
      </c>
      <c r="D296" s="52">
        <f t="shared" si="169"/>
        <v>0</v>
      </c>
      <c r="E296" s="26">
        <f t="shared" ref="E296:E339" si="204">$C$30*C296</f>
        <v>7.7391999999999994</v>
      </c>
      <c r="F296" s="26">
        <f t="shared" ref="F296:F339" si="205">$C$31*C296</f>
        <v>3.3222</v>
      </c>
      <c r="G296" s="26">
        <f t="shared" ref="G296:G339" si="206">$C$32*C296</f>
        <v>2.2904</v>
      </c>
      <c r="H296" s="26">
        <f t="shared" si="166"/>
        <v>0.6482</v>
      </c>
      <c r="I296" s="27">
        <f t="shared" si="171"/>
        <v>9.9503999999999984</v>
      </c>
      <c r="J296" s="27">
        <f t="shared" si="171"/>
        <v>4.2713999999999999</v>
      </c>
      <c r="K296" s="27">
        <f t="shared" si="171"/>
        <v>2.9447999999999999</v>
      </c>
      <c r="L296" s="27">
        <f t="shared" si="171"/>
        <v>0.83340000000000003</v>
      </c>
      <c r="M296" s="28">
        <f>$M$295</f>
        <v>3</v>
      </c>
      <c r="N296" s="29">
        <f>$N$295</f>
        <v>6</v>
      </c>
      <c r="O296" s="28">
        <f>$O$295</f>
        <v>1</v>
      </c>
      <c r="P296" s="28">
        <f>$P$295</f>
        <v>1</v>
      </c>
      <c r="Q296" s="28">
        <f t="shared" ref="Q296:Q339" si="207">SUM(M296:P296)</f>
        <v>11</v>
      </c>
      <c r="R296" s="22">
        <f t="shared" ref="R296:R339" si="208">MAX(R295-($J$30*M296*$L$33)+I296,0)</f>
        <v>34.030615361758976</v>
      </c>
      <c r="S296" s="22">
        <f t="shared" ref="S296:S339" si="209">IF(U296&lt;&gt;0,(MAX(S295-($J$31*N296*$L$33)+J296,0)),(MAX(S295-($J$31*(N296+P296)*$L$33)+J296,0)))</f>
        <v>1.2980794305683006</v>
      </c>
      <c r="T296" s="22">
        <f t="shared" ref="T296:T339" si="210">MAX(T295-($J$32*O296*$L$33)+K296,0)</f>
        <v>5.267395318834696</v>
      </c>
      <c r="U296" s="22">
        <f t="shared" ref="U296:U339" si="211">MAX(U295-($J$33*P296*$L$33)+L296,0)</f>
        <v>7.2541339252806871</v>
      </c>
      <c r="V296" s="21">
        <f t="shared" si="176"/>
        <v>4.581201439999993</v>
      </c>
      <c r="W296" s="21">
        <f t="shared" si="177"/>
        <v>0.37108932259999999</v>
      </c>
      <c r="X296" s="21">
        <f t="shared" si="167"/>
        <v>1.8046465079999987</v>
      </c>
      <c r="Y296" s="21">
        <f t="shared" si="168"/>
        <v>3.357786257199999</v>
      </c>
      <c r="Z296" s="221">
        <f t="shared" ref="Z296:Z339" si="212">ROUNDUP(SUM(V296*$C$30,W296*$C$31,X296*$C$32,Y296*$C$33),0)</f>
        <v>4</v>
      </c>
      <c r="AA296" s="30">
        <f t="shared" si="200"/>
        <v>6.3140692319120486</v>
      </c>
      <c r="AB296" s="30">
        <f t="shared" si="201"/>
        <v>2.9733205694316993</v>
      </c>
      <c r="AC296" s="30">
        <f t="shared" si="202"/>
        <v>2.4809767459508998</v>
      </c>
      <c r="AD296" s="30">
        <f t="shared" si="203"/>
        <v>1.8363330373596554</v>
      </c>
      <c r="AE296" s="32">
        <f t="shared" ref="AE296:AE339" si="213">SUM(AA296:AD296)</f>
        <v>13.604699584654302</v>
      </c>
      <c r="AF296" s="33">
        <f t="shared" si="170"/>
        <v>12.263919975533264</v>
      </c>
      <c r="AG296" s="40">
        <f t="shared" ref="AG296:AG359" si="214">MAX(AG295-$Q$33+AF296,0)</f>
        <v>16.885118482880344</v>
      </c>
      <c r="AH296" s="224">
        <f>AG296*$P$33</f>
        <v>1.4161320913436897</v>
      </c>
      <c r="AI296" s="227">
        <f t="shared" ref="AI296:AI339" si="215">SUM(Z296,IF(Z296&lt;&gt;0,$F$31,0),IF(Z296&lt;&gt;0,$N$33,0),IF(Z296&lt;&gt;0,$T$33,0),IF(Z296=0,AH301,IF(Z296=1,AH302,IF(Z296=2,AH303,IF(Z296=3,AH304,IF(Z296=4,AH305,IF(Z296=5,AH306,IF(Z296=6,AH307,IF(Z296=7,AH308,IF(Z296=8,AH309,IF(Z296=9,AH310,IF(Z296=10,AH311,IF(Z296=11,AH312,IF(Z296=12,AH313,IF(Z296=13,AH314,IF(Z296=14,AH315,IF(Z296=15,AH316,IF(Z296=16,AH317,IF(Z296=17,AH318,IF(Z296=18,AH319,IF(Z296=19,AH320,IF(Z296=20,AH321,IF(Z296=21,AH322,IF(Z296=22,AH323,IF(Z296=23,AH324,IF(Z296=24,AH325,IF(Z296=25,AH326,IF(Z296=26,AH327,IF(Z296=27,AH328,IF(Z296=28,AH329,IF(Z296=29,AH330,IF(Z296=30,AH331))))))))))))))))))))))))))))))))</f>
        <v>27.210935041760656</v>
      </c>
    </row>
    <row r="297" spans="1:35" x14ac:dyDescent="0.35">
      <c r="A297" s="45">
        <v>1718</v>
      </c>
      <c r="B297" s="58">
        <f>SUMIF([2]!Table2_23[ETA],'FIS Optimal Model'!A297,[2]!Table2_23[FIS PAX])</f>
        <v>0</v>
      </c>
      <c r="C297" s="44">
        <f t="shared" ref="C297:C339" si="216">IF((D296-D297)&gt;-1,(D296-D297),18)</f>
        <v>0</v>
      </c>
      <c r="D297" s="52">
        <f t="shared" si="169"/>
        <v>0</v>
      </c>
      <c r="E297" s="26">
        <f t="shared" si="204"/>
        <v>0</v>
      </c>
      <c r="F297" s="26">
        <f t="shared" si="205"/>
        <v>0</v>
      </c>
      <c r="G297" s="26">
        <f t="shared" si="206"/>
        <v>0</v>
      </c>
      <c r="H297" s="26">
        <f t="shared" ref="H297:H339" si="217">$C$33*C297</f>
        <v>0</v>
      </c>
      <c r="I297" s="27">
        <f t="shared" si="171"/>
        <v>9.9503999999999984</v>
      </c>
      <c r="J297" s="27">
        <f t="shared" si="171"/>
        <v>4.2713999999999999</v>
      </c>
      <c r="K297" s="27">
        <f t="shared" si="171"/>
        <v>2.9447999999999999</v>
      </c>
      <c r="L297" s="27">
        <f t="shared" si="171"/>
        <v>0.83340000000000003</v>
      </c>
      <c r="M297" s="28">
        <f t="shared" ref="M297:M309" si="218">$M$295</f>
        <v>3</v>
      </c>
      <c r="N297" s="29">
        <f t="shared" ref="N297:N309" si="219">$N$295</f>
        <v>6</v>
      </c>
      <c r="O297" s="28">
        <f t="shared" ref="O297:O309" si="220">$O$295</f>
        <v>1</v>
      </c>
      <c r="P297" s="28">
        <f t="shared" ref="P297:P309" si="221">$P$295</f>
        <v>1</v>
      </c>
      <c r="Q297" s="28">
        <f t="shared" si="207"/>
        <v>11</v>
      </c>
      <c r="R297" s="22">
        <f t="shared" si="208"/>
        <v>37.66694612984692</v>
      </c>
      <c r="S297" s="22">
        <f t="shared" si="209"/>
        <v>2.5961588611366011</v>
      </c>
      <c r="T297" s="22">
        <f t="shared" si="210"/>
        <v>5.7312185728837957</v>
      </c>
      <c r="U297" s="22">
        <f t="shared" si="211"/>
        <v>6.2512008879210317</v>
      </c>
      <c r="V297" s="21">
        <f t="shared" si="176"/>
        <v>5.0707242879999921</v>
      </c>
      <c r="W297" s="21">
        <f t="shared" si="177"/>
        <v>0.74217864519999999</v>
      </c>
      <c r="X297" s="21">
        <f t="shared" ref="X297:X339" si="222">IFERROR(T297*($I$32/O297),0)</f>
        <v>1.9635556015999986</v>
      </c>
      <c r="Y297" s="21">
        <f t="shared" ref="Y297:Y339" si="223">IFERROR(U297*($I$33/P297),0)</f>
        <v>2.8935496157999991</v>
      </c>
      <c r="Z297" s="221">
        <f t="shared" si="212"/>
        <v>4</v>
      </c>
      <c r="AA297" s="30">
        <f t="shared" si="200"/>
        <v>6.3140692319120486</v>
      </c>
      <c r="AB297" s="30">
        <f t="shared" si="201"/>
        <v>2.9733205694316993</v>
      </c>
      <c r="AC297" s="30">
        <f t="shared" si="202"/>
        <v>2.4809767459508998</v>
      </c>
      <c r="AD297" s="30">
        <f t="shared" si="203"/>
        <v>1.8363330373596554</v>
      </c>
      <c r="AE297" s="32">
        <f t="shared" si="213"/>
        <v>13.604699584654302</v>
      </c>
      <c r="AF297" s="33">
        <f t="shared" si="170"/>
        <v>12.263919975533264</v>
      </c>
      <c r="AG297" s="40">
        <f t="shared" si="214"/>
        <v>17.225632028961826</v>
      </c>
      <c r="AH297" s="224">
        <f>AG297*$P$33</f>
        <v>1.444690502741995</v>
      </c>
      <c r="AI297" s="227">
        <f t="shared" si="215"/>
        <v>27.351942828851566</v>
      </c>
    </row>
    <row r="298" spans="1:35" x14ac:dyDescent="0.35">
      <c r="A298" s="45">
        <v>1719</v>
      </c>
      <c r="B298" s="58">
        <f>SUMIF([2]!Table2_23[ETA],'FIS Optimal Model'!A298,[2]!Table2_23[FIS PAX])</f>
        <v>0</v>
      </c>
      <c r="C298" s="44">
        <f t="shared" si="216"/>
        <v>0</v>
      </c>
      <c r="D298" s="52">
        <f t="shared" ref="D298:D339" si="224">MAX(D297-$E$31+B297,0)</f>
        <v>0</v>
      </c>
      <c r="E298" s="26">
        <f t="shared" si="204"/>
        <v>0</v>
      </c>
      <c r="F298" s="26">
        <f t="shared" si="205"/>
        <v>0</v>
      </c>
      <c r="G298" s="26">
        <f t="shared" si="206"/>
        <v>0</v>
      </c>
      <c r="H298" s="26">
        <f t="shared" si="217"/>
        <v>0</v>
      </c>
      <c r="I298" s="27">
        <f t="shared" si="171"/>
        <v>9.9503999999999984</v>
      </c>
      <c r="J298" s="27">
        <f t="shared" si="171"/>
        <v>4.2713999999999999</v>
      </c>
      <c r="K298" s="27">
        <f t="shared" si="171"/>
        <v>2.9447999999999999</v>
      </c>
      <c r="L298" s="27">
        <f t="shared" si="171"/>
        <v>0.83340000000000003</v>
      </c>
      <c r="M298" s="28">
        <f t="shared" si="218"/>
        <v>3</v>
      </c>
      <c r="N298" s="29">
        <f t="shared" si="219"/>
        <v>6</v>
      </c>
      <c r="O298" s="28">
        <f t="shared" si="220"/>
        <v>1</v>
      </c>
      <c r="P298" s="28">
        <f t="shared" si="221"/>
        <v>1</v>
      </c>
      <c r="Q298" s="28">
        <f t="shared" si="207"/>
        <v>11</v>
      </c>
      <c r="R298" s="22">
        <f t="shared" si="208"/>
        <v>41.303276897934865</v>
      </c>
      <c r="S298" s="22">
        <f t="shared" si="209"/>
        <v>3.8942382917049017</v>
      </c>
      <c r="T298" s="22">
        <f t="shared" si="210"/>
        <v>6.1950418269328953</v>
      </c>
      <c r="U298" s="22">
        <f t="shared" si="211"/>
        <v>5.2482678505613762</v>
      </c>
      <c r="V298" s="21">
        <f t="shared" si="176"/>
        <v>5.5602471359999912</v>
      </c>
      <c r="W298" s="21">
        <f t="shared" si="177"/>
        <v>1.1132679677999999</v>
      </c>
      <c r="X298" s="21">
        <f t="shared" si="222"/>
        <v>2.1224646951999984</v>
      </c>
      <c r="Y298" s="21">
        <f t="shared" si="223"/>
        <v>2.4293129743999993</v>
      </c>
      <c r="Z298" s="221">
        <f t="shared" si="212"/>
        <v>4</v>
      </c>
      <c r="AA298" s="30">
        <f t="shared" si="200"/>
        <v>6.3140692319120486</v>
      </c>
      <c r="AB298" s="30">
        <f t="shared" si="201"/>
        <v>2.9733205694316993</v>
      </c>
      <c r="AC298" s="30">
        <f t="shared" si="202"/>
        <v>2.4809767459508998</v>
      </c>
      <c r="AD298" s="30">
        <f t="shared" si="203"/>
        <v>1.8363330373596554</v>
      </c>
      <c r="AE298" s="32">
        <f t="shared" si="213"/>
        <v>13.604699584654302</v>
      </c>
      <c r="AF298" s="33">
        <f t="shared" si="170"/>
        <v>12.263919975533264</v>
      </c>
      <c r="AG298" s="40">
        <f t="shared" si="214"/>
        <v>17.566145575043308</v>
      </c>
      <c r="AH298" s="224">
        <f>AG298*$P$33</f>
        <v>1.4732489141403</v>
      </c>
      <c r="AI298" s="227">
        <f t="shared" si="215"/>
        <v>27.338939843247203</v>
      </c>
    </row>
    <row r="299" spans="1:35" x14ac:dyDescent="0.35">
      <c r="A299" s="45">
        <v>1720</v>
      </c>
      <c r="B299" s="58">
        <f>SUMIF([2]!Table2_23[ETA],'FIS Optimal Model'!A299,[2]!Table2_23[FIS PAX])</f>
        <v>0</v>
      </c>
      <c r="C299" s="44">
        <f t="shared" si="216"/>
        <v>0</v>
      </c>
      <c r="D299" s="52">
        <f t="shared" si="224"/>
        <v>0</v>
      </c>
      <c r="E299" s="26">
        <f t="shared" si="204"/>
        <v>0</v>
      </c>
      <c r="F299" s="26">
        <f t="shared" si="205"/>
        <v>0</v>
      </c>
      <c r="G299" s="26">
        <f t="shared" si="206"/>
        <v>0</v>
      </c>
      <c r="H299" s="26">
        <f t="shared" si="217"/>
        <v>0</v>
      </c>
      <c r="I299" s="27">
        <f t="shared" si="171"/>
        <v>9.9503999999999984</v>
      </c>
      <c r="J299" s="27">
        <f t="shared" si="171"/>
        <v>4.2713999999999999</v>
      </c>
      <c r="K299" s="27">
        <f t="shared" si="171"/>
        <v>2.9447999999999999</v>
      </c>
      <c r="L299" s="27">
        <f t="shared" si="171"/>
        <v>0.83340000000000003</v>
      </c>
      <c r="M299" s="28">
        <f t="shared" si="218"/>
        <v>3</v>
      </c>
      <c r="N299" s="29">
        <f t="shared" si="219"/>
        <v>6</v>
      </c>
      <c r="O299" s="28">
        <f t="shared" si="220"/>
        <v>1</v>
      </c>
      <c r="P299" s="28">
        <f t="shared" si="221"/>
        <v>1</v>
      </c>
      <c r="Q299" s="28">
        <f t="shared" si="207"/>
        <v>11</v>
      </c>
      <c r="R299" s="22">
        <f t="shared" si="208"/>
        <v>44.939607666022809</v>
      </c>
      <c r="S299" s="22">
        <f t="shared" si="209"/>
        <v>5.1923177222732022</v>
      </c>
      <c r="T299" s="22">
        <f t="shared" si="210"/>
        <v>6.6588650809819949</v>
      </c>
      <c r="U299" s="22">
        <f t="shared" si="211"/>
        <v>4.2453348132017208</v>
      </c>
      <c r="V299" s="21">
        <f t="shared" si="176"/>
        <v>6.0497699839999903</v>
      </c>
      <c r="W299" s="21">
        <f t="shared" si="177"/>
        <v>1.4843572904</v>
      </c>
      <c r="X299" s="21">
        <f t="shared" si="222"/>
        <v>2.2813737887999981</v>
      </c>
      <c r="Y299" s="21">
        <f t="shared" si="223"/>
        <v>1.9650763329999992</v>
      </c>
      <c r="Z299" s="221">
        <f t="shared" si="212"/>
        <v>5</v>
      </c>
      <c r="AA299" s="30">
        <f t="shared" si="200"/>
        <v>6.3140692319120486</v>
      </c>
      <c r="AB299" s="30">
        <f t="shared" si="201"/>
        <v>2.9733205694316993</v>
      </c>
      <c r="AC299" s="30">
        <f t="shared" si="202"/>
        <v>2.4809767459508998</v>
      </c>
      <c r="AD299" s="30">
        <f t="shared" si="203"/>
        <v>1.8363330373596554</v>
      </c>
      <c r="AE299" s="32">
        <f t="shared" si="213"/>
        <v>13.604699584654302</v>
      </c>
      <c r="AF299" s="33">
        <f t="shared" si="170"/>
        <v>10.631379015222603</v>
      </c>
      <c r="AG299" s="40">
        <f t="shared" si="214"/>
        <v>16.27411816081413</v>
      </c>
      <c r="AH299" s="224">
        <f>AG299*$P$33</f>
        <v>1.3648883192151984</v>
      </c>
      <c r="AI299" s="227">
        <f t="shared" si="215"/>
        <v>27.398044767543968</v>
      </c>
    </row>
    <row r="300" spans="1:35" x14ac:dyDescent="0.35">
      <c r="A300" s="45">
        <v>1721</v>
      </c>
      <c r="B300" s="58">
        <f>SUMIF([2]!Table2_23[ETA],'FIS Optimal Model'!A300,[2]!Table2_23[FIS PAX])</f>
        <v>0</v>
      </c>
      <c r="C300" s="44">
        <f t="shared" si="216"/>
        <v>0</v>
      </c>
      <c r="D300" s="52">
        <f t="shared" si="224"/>
        <v>0</v>
      </c>
      <c r="E300" s="26">
        <f t="shared" si="204"/>
        <v>0</v>
      </c>
      <c r="F300" s="26">
        <f t="shared" si="205"/>
        <v>0</v>
      </c>
      <c r="G300" s="26">
        <f t="shared" si="206"/>
        <v>0</v>
      </c>
      <c r="H300" s="26">
        <f t="shared" si="217"/>
        <v>0</v>
      </c>
      <c r="I300" s="27">
        <f t="shared" si="171"/>
        <v>9.9503999999999984</v>
      </c>
      <c r="J300" s="27">
        <f t="shared" si="171"/>
        <v>4.2713999999999999</v>
      </c>
      <c r="K300" s="27">
        <f t="shared" si="171"/>
        <v>2.9447999999999999</v>
      </c>
      <c r="L300" s="27">
        <f t="shared" ref="L300:L339" si="225">H295</f>
        <v>0.83340000000000003</v>
      </c>
      <c r="M300" s="28">
        <f t="shared" si="218"/>
        <v>3</v>
      </c>
      <c r="N300" s="29">
        <f t="shared" si="219"/>
        <v>6</v>
      </c>
      <c r="O300" s="28">
        <f t="shared" si="220"/>
        <v>1</v>
      </c>
      <c r="P300" s="28">
        <f t="shared" si="221"/>
        <v>1</v>
      </c>
      <c r="Q300" s="28">
        <f t="shared" si="207"/>
        <v>11</v>
      </c>
      <c r="R300" s="22">
        <f t="shared" si="208"/>
        <v>48.575938434110753</v>
      </c>
      <c r="S300" s="22">
        <f t="shared" si="209"/>
        <v>6.4903971528415028</v>
      </c>
      <c r="T300" s="22">
        <f t="shared" si="210"/>
        <v>7.1226883350310954</v>
      </c>
      <c r="U300" s="22">
        <f t="shared" si="211"/>
        <v>3.2424017758420653</v>
      </c>
      <c r="V300" s="21">
        <f t="shared" si="176"/>
        <v>6.5392928319999895</v>
      </c>
      <c r="W300" s="21">
        <f t="shared" si="177"/>
        <v>1.855446613</v>
      </c>
      <c r="X300" s="21">
        <f t="shared" si="222"/>
        <v>2.4402828823999987</v>
      </c>
      <c r="Y300" s="21">
        <f t="shared" si="223"/>
        <v>1.5008396915999993</v>
      </c>
      <c r="Z300" s="221">
        <f t="shared" si="212"/>
        <v>5</v>
      </c>
      <c r="AA300" s="30">
        <f t="shared" si="200"/>
        <v>6.3140692319120486</v>
      </c>
      <c r="AB300" s="30">
        <f t="shared" si="201"/>
        <v>2.9733205694316993</v>
      </c>
      <c r="AC300" s="30">
        <f t="shared" si="202"/>
        <v>2.4809767459508998</v>
      </c>
      <c r="AD300" s="30">
        <f t="shared" si="203"/>
        <v>1.8363330373596554</v>
      </c>
      <c r="AE300" s="32">
        <f t="shared" si="213"/>
        <v>13.604699584654302</v>
      </c>
      <c r="AF300" s="33">
        <f t="shared" ref="AF300:AF339" si="226">AE296</f>
        <v>13.604699584654302</v>
      </c>
      <c r="AG300" s="40">
        <f t="shared" si="214"/>
        <v>17.955411316016651</v>
      </c>
      <c r="AH300" s="224">
        <f>AG300*$P$33</f>
        <v>1.505896106306108</v>
      </c>
      <c r="AI300" s="227">
        <f t="shared" si="215"/>
        <v>26.927597229692353</v>
      </c>
    </row>
    <row r="301" spans="1:35" x14ac:dyDescent="0.35">
      <c r="A301" s="45">
        <v>1722</v>
      </c>
      <c r="B301" s="58">
        <f>SUMIF([2]!Table2_23[ETA],'FIS Optimal Model'!A301,[2]!Table2_23[FIS PAX])</f>
        <v>0</v>
      </c>
      <c r="C301" s="44">
        <f t="shared" si="216"/>
        <v>0</v>
      </c>
      <c r="D301" s="52">
        <f t="shared" si="224"/>
        <v>0</v>
      </c>
      <c r="E301" s="26">
        <f t="shared" si="204"/>
        <v>0</v>
      </c>
      <c r="F301" s="26">
        <f t="shared" si="205"/>
        <v>0</v>
      </c>
      <c r="G301" s="26">
        <f t="shared" si="206"/>
        <v>0</v>
      </c>
      <c r="H301" s="26">
        <f t="shared" si="217"/>
        <v>0</v>
      </c>
      <c r="I301" s="27">
        <f t="shared" ref="I301:K339" si="227">E296</f>
        <v>7.7391999999999994</v>
      </c>
      <c r="J301" s="27">
        <f t="shared" si="227"/>
        <v>3.3222</v>
      </c>
      <c r="K301" s="27">
        <f t="shared" si="227"/>
        <v>2.2904</v>
      </c>
      <c r="L301" s="27">
        <f t="shared" si="225"/>
        <v>0.6482</v>
      </c>
      <c r="M301" s="28">
        <f t="shared" si="218"/>
        <v>3</v>
      </c>
      <c r="N301" s="29">
        <f t="shared" si="219"/>
        <v>6</v>
      </c>
      <c r="O301" s="28">
        <f t="shared" si="220"/>
        <v>1</v>
      </c>
      <c r="P301" s="28">
        <f t="shared" si="221"/>
        <v>1</v>
      </c>
      <c r="Q301" s="28">
        <f t="shared" si="207"/>
        <v>11</v>
      </c>
      <c r="R301" s="22">
        <f t="shared" si="208"/>
        <v>50.0010692021987</v>
      </c>
      <c r="S301" s="22">
        <f t="shared" si="209"/>
        <v>6.8392765834098039</v>
      </c>
      <c r="T301" s="22">
        <f t="shared" si="210"/>
        <v>6.9321115890801952</v>
      </c>
      <c r="U301" s="22">
        <f t="shared" si="211"/>
        <v>2.0542687384824099</v>
      </c>
      <c r="V301" s="21">
        <f t="shared" si="176"/>
        <v>6.7311439359999881</v>
      </c>
      <c r="W301" s="21">
        <f t="shared" si="177"/>
        <v>1.9551827528000001</v>
      </c>
      <c r="X301" s="21">
        <f t="shared" si="222"/>
        <v>2.3749899551999984</v>
      </c>
      <c r="Y301" s="21">
        <f t="shared" si="223"/>
        <v>0.95087785939999936</v>
      </c>
      <c r="Z301" s="221">
        <f t="shared" si="212"/>
        <v>5</v>
      </c>
      <c r="AA301" s="30">
        <f t="shared" si="200"/>
        <v>6.3140692319120486</v>
      </c>
      <c r="AB301" s="30">
        <f t="shared" si="201"/>
        <v>2.9733205694316993</v>
      </c>
      <c r="AC301" s="30">
        <f t="shared" si="202"/>
        <v>2.4809767459508998</v>
      </c>
      <c r="AD301" s="30">
        <f t="shared" si="203"/>
        <v>1.8363330373596554</v>
      </c>
      <c r="AE301" s="32">
        <f t="shared" si="213"/>
        <v>13.604699584654302</v>
      </c>
      <c r="AF301" s="33">
        <f t="shared" si="226"/>
        <v>13.604699584654302</v>
      </c>
      <c r="AG301" s="40">
        <f t="shared" si="214"/>
        <v>19.636704471219172</v>
      </c>
      <c r="AH301" s="224">
        <f>AG301*$P$33</f>
        <v>1.6469038933970179</v>
      </c>
      <c r="AI301" s="227">
        <f t="shared" si="215"/>
        <v>26.457149691840733</v>
      </c>
    </row>
    <row r="302" spans="1:35" x14ac:dyDescent="0.35">
      <c r="A302" s="45">
        <v>1723</v>
      </c>
      <c r="B302" s="58">
        <f>SUMIF([2]!Table2_23[ETA],'FIS Optimal Model'!A302,[2]!Table2_23[FIS PAX])</f>
        <v>0</v>
      </c>
      <c r="C302" s="44">
        <f t="shared" si="216"/>
        <v>0</v>
      </c>
      <c r="D302" s="52">
        <f t="shared" si="224"/>
        <v>0</v>
      </c>
      <c r="E302" s="26">
        <f t="shared" si="204"/>
        <v>0</v>
      </c>
      <c r="F302" s="26">
        <f t="shared" si="205"/>
        <v>0</v>
      </c>
      <c r="G302" s="26">
        <f t="shared" si="206"/>
        <v>0</v>
      </c>
      <c r="H302" s="26">
        <f t="shared" si="217"/>
        <v>0</v>
      </c>
      <c r="I302" s="27">
        <f t="shared" si="227"/>
        <v>0</v>
      </c>
      <c r="J302" s="27">
        <f t="shared" si="227"/>
        <v>0</v>
      </c>
      <c r="K302" s="27">
        <f t="shared" si="227"/>
        <v>0</v>
      </c>
      <c r="L302" s="27">
        <f t="shared" si="225"/>
        <v>0</v>
      </c>
      <c r="M302" s="28">
        <f t="shared" si="218"/>
        <v>3</v>
      </c>
      <c r="N302" s="29">
        <f t="shared" si="219"/>
        <v>6</v>
      </c>
      <c r="O302" s="28">
        <f t="shared" si="220"/>
        <v>1</v>
      </c>
      <c r="P302" s="28">
        <f t="shared" si="221"/>
        <v>1</v>
      </c>
      <c r="Q302" s="28">
        <f t="shared" si="207"/>
        <v>11</v>
      </c>
      <c r="R302" s="22">
        <f t="shared" si="208"/>
        <v>43.686999970286649</v>
      </c>
      <c r="S302" s="22">
        <f t="shared" si="209"/>
        <v>3.8659560139781046</v>
      </c>
      <c r="T302" s="22">
        <f t="shared" si="210"/>
        <v>4.4511348431292959</v>
      </c>
      <c r="U302" s="22">
        <f t="shared" si="211"/>
        <v>0.21793570112275451</v>
      </c>
      <c r="V302" s="21">
        <f t="shared" si="176"/>
        <v>5.8811439359999884</v>
      </c>
      <c r="W302" s="21">
        <f t="shared" si="177"/>
        <v>1.1051827528</v>
      </c>
      <c r="X302" s="21">
        <f t="shared" si="222"/>
        <v>1.5249899551999986</v>
      </c>
      <c r="Y302" s="21">
        <f t="shared" si="223"/>
        <v>0.10087785939999948</v>
      </c>
      <c r="Z302" s="221">
        <f t="shared" si="212"/>
        <v>4</v>
      </c>
      <c r="AA302" s="30">
        <f t="shared" si="200"/>
        <v>6.3140692319120486</v>
      </c>
      <c r="AB302" s="30">
        <f t="shared" si="201"/>
        <v>2.9733205694316993</v>
      </c>
      <c r="AC302" s="30">
        <f t="shared" si="202"/>
        <v>2.4809767459508998</v>
      </c>
      <c r="AD302" s="30">
        <f t="shared" si="203"/>
        <v>1.8363330373596554</v>
      </c>
      <c r="AE302" s="32">
        <f t="shared" si="213"/>
        <v>13.604699584654302</v>
      </c>
      <c r="AF302" s="33">
        <f t="shared" si="226"/>
        <v>13.604699584654302</v>
      </c>
      <c r="AG302" s="40">
        <f t="shared" si="214"/>
        <v>21.317997626421693</v>
      </c>
      <c r="AH302" s="224">
        <f>AG302*$P$33</f>
        <v>1.7879116804879276</v>
      </c>
      <c r="AI302" s="227">
        <f t="shared" si="215"/>
        <v>25.457149691840733</v>
      </c>
    </row>
    <row r="303" spans="1:35" x14ac:dyDescent="0.35">
      <c r="A303" s="45">
        <v>1724</v>
      </c>
      <c r="B303" s="58">
        <f>SUMIF([2]!Table2_23[ETA],'FIS Optimal Model'!A303,[2]!Table2_23[FIS PAX])</f>
        <v>0</v>
      </c>
      <c r="C303" s="44">
        <f t="shared" si="216"/>
        <v>0</v>
      </c>
      <c r="D303" s="52">
        <f t="shared" si="224"/>
        <v>0</v>
      </c>
      <c r="E303" s="26">
        <f t="shared" si="204"/>
        <v>0</v>
      </c>
      <c r="F303" s="26">
        <f t="shared" si="205"/>
        <v>0</v>
      </c>
      <c r="G303" s="26">
        <f t="shared" si="206"/>
        <v>0</v>
      </c>
      <c r="H303" s="26">
        <f t="shared" si="217"/>
        <v>0</v>
      </c>
      <c r="I303" s="27">
        <f t="shared" si="227"/>
        <v>0</v>
      </c>
      <c r="J303" s="27">
        <f t="shared" si="227"/>
        <v>0</v>
      </c>
      <c r="K303" s="27">
        <f t="shared" si="227"/>
        <v>0</v>
      </c>
      <c r="L303" s="27">
        <f t="shared" si="225"/>
        <v>0</v>
      </c>
      <c r="M303" s="28">
        <f t="shared" si="218"/>
        <v>3</v>
      </c>
      <c r="N303" s="29">
        <f t="shared" si="219"/>
        <v>6</v>
      </c>
      <c r="O303" s="28">
        <f t="shared" si="220"/>
        <v>1</v>
      </c>
      <c r="P303" s="28">
        <f t="shared" si="221"/>
        <v>1</v>
      </c>
      <c r="Q303" s="28">
        <f t="shared" si="207"/>
        <v>11</v>
      </c>
      <c r="R303" s="22">
        <f t="shared" si="208"/>
        <v>37.372930738374599</v>
      </c>
      <c r="S303" s="22">
        <f t="shared" si="209"/>
        <v>0.39708201630778817</v>
      </c>
      <c r="T303" s="22">
        <f t="shared" si="210"/>
        <v>1.9701580971783961</v>
      </c>
      <c r="U303" s="22">
        <f t="shared" si="211"/>
        <v>0</v>
      </c>
      <c r="V303" s="21">
        <f t="shared" si="176"/>
        <v>5.0311439359999879</v>
      </c>
      <c r="W303" s="21">
        <f t="shared" si="177"/>
        <v>0.11351608613333315</v>
      </c>
      <c r="X303" s="21">
        <f t="shared" si="222"/>
        <v>0.67498995519999871</v>
      </c>
      <c r="Y303" s="21">
        <f t="shared" si="223"/>
        <v>0</v>
      </c>
      <c r="Z303" s="221">
        <f t="shared" si="212"/>
        <v>3</v>
      </c>
      <c r="AA303" s="30">
        <f t="shared" si="200"/>
        <v>6.3140692319120486</v>
      </c>
      <c r="AB303" s="30">
        <f t="shared" si="201"/>
        <v>2.9733205694316993</v>
      </c>
      <c r="AC303" s="30">
        <f t="shared" si="202"/>
        <v>2.4809767459508998</v>
      </c>
      <c r="AD303" s="30">
        <f t="shared" si="203"/>
        <v>0</v>
      </c>
      <c r="AE303" s="32">
        <f t="shared" si="213"/>
        <v>11.768366547294647</v>
      </c>
      <c r="AF303" s="33">
        <f t="shared" si="226"/>
        <v>13.604699584654302</v>
      </c>
      <c r="AG303" s="40">
        <f t="shared" si="214"/>
        <v>22.999290781624214</v>
      </c>
      <c r="AH303" s="224">
        <f>AG303*$P$33</f>
        <v>1.9289194675788375</v>
      </c>
      <c r="AI303" s="227">
        <f t="shared" si="215"/>
        <v>24.457149691840733</v>
      </c>
    </row>
    <row r="304" spans="1:35" x14ac:dyDescent="0.35">
      <c r="A304" s="45">
        <v>1725</v>
      </c>
      <c r="B304" s="58">
        <f>SUMIF([2]!Table2_23[ETA],'FIS Optimal Model'!A304,[2]!Table2_23[FIS PAX])</f>
        <v>0</v>
      </c>
      <c r="C304" s="44">
        <f t="shared" si="216"/>
        <v>0</v>
      </c>
      <c r="D304" s="52">
        <f t="shared" si="224"/>
        <v>0</v>
      </c>
      <c r="E304" s="26">
        <f t="shared" si="204"/>
        <v>0</v>
      </c>
      <c r="F304" s="26">
        <f t="shared" si="205"/>
        <v>0</v>
      </c>
      <c r="G304" s="26">
        <f t="shared" si="206"/>
        <v>0</v>
      </c>
      <c r="H304" s="26">
        <f t="shared" si="217"/>
        <v>0</v>
      </c>
      <c r="I304" s="27">
        <f t="shared" si="227"/>
        <v>0</v>
      </c>
      <c r="J304" s="27">
        <f t="shared" si="227"/>
        <v>0</v>
      </c>
      <c r="K304" s="27">
        <f t="shared" si="227"/>
        <v>0</v>
      </c>
      <c r="L304" s="27">
        <f t="shared" si="225"/>
        <v>0</v>
      </c>
      <c r="M304" s="28">
        <f t="shared" si="218"/>
        <v>3</v>
      </c>
      <c r="N304" s="29">
        <f t="shared" si="219"/>
        <v>6</v>
      </c>
      <c r="O304" s="28">
        <f t="shared" si="220"/>
        <v>1</v>
      </c>
      <c r="P304" s="28">
        <f t="shared" si="221"/>
        <v>1</v>
      </c>
      <c r="Q304" s="28">
        <f t="shared" si="207"/>
        <v>11</v>
      </c>
      <c r="R304" s="22">
        <f t="shared" si="208"/>
        <v>31.058861506462549</v>
      </c>
      <c r="S304" s="22">
        <f t="shared" si="209"/>
        <v>0</v>
      </c>
      <c r="T304" s="22">
        <f t="shared" si="210"/>
        <v>0</v>
      </c>
      <c r="U304" s="22">
        <f t="shared" si="211"/>
        <v>0</v>
      </c>
      <c r="V304" s="21">
        <f t="shared" si="176"/>
        <v>4.1811439359999882</v>
      </c>
      <c r="W304" s="21">
        <f t="shared" si="177"/>
        <v>0</v>
      </c>
      <c r="X304" s="21">
        <f t="shared" si="222"/>
        <v>0</v>
      </c>
      <c r="Y304" s="21">
        <f t="shared" si="223"/>
        <v>0</v>
      </c>
      <c r="Z304" s="221">
        <f t="shared" si="212"/>
        <v>3</v>
      </c>
      <c r="AA304" s="30">
        <f t="shared" si="200"/>
        <v>6.3140692319120486</v>
      </c>
      <c r="AB304" s="30">
        <f t="shared" si="201"/>
        <v>0</v>
      </c>
      <c r="AC304" s="30">
        <f t="shared" si="202"/>
        <v>0</v>
      </c>
      <c r="AD304" s="30">
        <f t="shared" si="203"/>
        <v>0</v>
      </c>
      <c r="AE304" s="32">
        <f t="shared" si="213"/>
        <v>6.3140692319120486</v>
      </c>
      <c r="AF304" s="33">
        <f t="shared" si="226"/>
        <v>13.604699584654302</v>
      </c>
      <c r="AG304" s="40">
        <f t="shared" si="214"/>
        <v>24.680583936826736</v>
      </c>
      <c r="AH304" s="224">
        <f>AG304*$P$33</f>
        <v>2.0699272546697474</v>
      </c>
      <c r="AI304" s="227">
        <f t="shared" si="215"/>
        <v>24</v>
      </c>
    </row>
    <row r="305" spans="1:35" x14ac:dyDescent="0.35">
      <c r="A305" s="45">
        <v>1726</v>
      </c>
      <c r="B305" s="58">
        <f>SUMIF([2]!Table2_23[ETA],'FIS Optimal Model'!A305,[2]!Table2_23[FIS PAX])</f>
        <v>0</v>
      </c>
      <c r="C305" s="44">
        <f t="shared" si="216"/>
        <v>0</v>
      </c>
      <c r="D305" s="52">
        <f t="shared" si="224"/>
        <v>0</v>
      </c>
      <c r="E305" s="26">
        <f t="shared" si="204"/>
        <v>0</v>
      </c>
      <c r="F305" s="26">
        <f t="shared" si="205"/>
        <v>0</v>
      </c>
      <c r="G305" s="26">
        <f t="shared" si="206"/>
        <v>0</v>
      </c>
      <c r="H305" s="26">
        <f t="shared" si="217"/>
        <v>0</v>
      </c>
      <c r="I305" s="27">
        <f t="shared" si="227"/>
        <v>0</v>
      </c>
      <c r="J305" s="27">
        <f t="shared" si="227"/>
        <v>0</v>
      </c>
      <c r="K305" s="27">
        <f t="shared" si="227"/>
        <v>0</v>
      </c>
      <c r="L305" s="27">
        <f t="shared" si="225"/>
        <v>0</v>
      </c>
      <c r="M305" s="28">
        <f t="shared" si="218"/>
        <v>3</v>
      </c>
      <c r="N305" s="29">
        <f t="shared" si="219"/>
        <v>6</v>
      </c>
      <c r="O305" s="28">
        <f t="shared" si="220"/>
        <v>1</v>
      </c>
      <c r="P305" s="28">
        <f t="shared" si="221"/>
        <v>1</v>
      </c>
      <c r="Q305" s="28">
        <f t="shared" si="207"/>
        <v>11</v>
      </c>
      <c r="R305" s="22">
        <f t="shared" si="208"/>
        <v>24.744792274550498</v>
      </c>
      <c r="S305" s="22">
        <f t="shared" si="209"/>
        <v>0</v>
      </c>
      <c r="T305" s="22">
        <f t="shared" si="210"/>
        <v>0</v>
      </c>
      <c r="U305" s="22">
        <f t="shared" si="211"/>
        <v>0</v>
      </c>
      <c r="V305" s="21">
        <f t="shared" si="176"/>
        <v>3.3311439359999877</v>
      </c>
      <c r="W305" s="21">
        <f t="shared" si="177"/>
        <v>0</v>
      </c>
      <c r="X305" s="21">
        <f t="shared" si="222"/>
        <v>0</v>
      </c>
      <c r="Y305" s="21">
        <f t="shared" si="223"/>
        <v>0</v>
      </c>
      <c r="Z305" s="221">
        <f t="shared" si="212"/>
        <v>2</v>
      </c>
      <c r="AA305" s="30">
        <f t="shared" si="200"/>
        <v>6.3140692319120486</v>
      </c>
      <c r="AB305" s="30">
        <f t="shared" si="201"/>
        <v>0</v>
      </c>
      <c r="AC305" s="30">
        <f t="shared" si="202"/>
        <v>0</v>
      </c>
      <c r="AD305" s="30">
        <f t="shared" si="203"/>
        <v>0</v>
      </c>
      <c r="AE305" s="32">
        <f t="shared" si="213"/>
        <v>6.3140692319120486</v>
      </c>
      <c r="AF305" s="33">
        <f t="shared" si="226"/>
        <v>13.604699584654302</v>
      </c>
      <c r="AG305" s="40">
        <f t="shared" si="214"/>
        <v>26.361877092029257</v>
      </c>
      <c r="AH305" s="224">
        <f>AG305*$P$33</f>
        <v>2.2109350417606568</v>
      </c>
      <c r="AI305" s="227">
        <f t="shared" si="215"/>
        <v>23</v>
      </c>
    </row>
    <row r="306" spans="1:35" x14ac:dyDescent="0.35">
      <c r="A306" s="45">
        <v>1727</v>
      </c>
      <c r="B306" s="58">
        <f>SUMIF([2]!Table2_23[ETA],'FIS Optimal Model'!A306,[2]!Table2_23[FIS PAX])</f>
        <v>0</v>
      </c>
      <c r="C306" s="44">
        <f t="shared" si="216"/>
        <v>0</v>
      </c>
      <c r="D306" s="52">
        <f t="shared" si="224"/>
        <v>0</v>
      </c>
      <c r="E306" s="26">
        <f t="shared" si="204"/>
        <v>0</v>
      </c>
      <c r="F306" s="26">
        <f t="shared" si="205"/>
        <v>0</v>
      </c>
      <c r="G306" s="26">
        <f t="shared" si="206"/>
        <v>0</v>
      </c>
      <c r="H306" s="26">
        <f t="shared" si="217"/>
        <v>0</v>
      </c>
      <c r="I306" s="27">
        <f t="shared" si="227"/>
        <v>0</v>
      </c>
      <c r="J306" s="27">
        <f t="shared" si="227"/>
        <v>0</v>
      </c>
      <c r="K306" s="27">
        <f t="shared" si="227"/>
        <v>0</v>
      </c>
      <c r="L306" s="27">
        <f t="shared" si="225"/>
        <v>0</v>
      </c>
      <c r="M306" s="28">
        <f t="shared" si="218"/>
        <v>3</v>
      </c>
      <c r="N306" s="29">
        <f t="shared" si="219"/>
        <v>6</v>
      </c>
      <c r="O306" s="28">
        <f t="shared" si="220"/>
        <v>1</v>
      </c>
      <c r="P306" s="28">
        <f t="shared" si="221"/>
        <v>1</v>
      </c>
      <c r="Q306" s="28">
        <f t="shared" si="207"/>
        <v>11</v>
      </c>
      <c r="R306" s="22">
        <f t="shared" si="208"/>
        <v>18.430723042638448</v>
      </c>
      <c r="S306" s="22">
        <f t="shared" si="209"/>
        <v>0</v>
      </c>
      <c r="T306" s="22">
        <f t="shared" si="210"/>
        <v>0</v>
      </c>
      <c r="U306" s="22">
        <f t="shared" si="211"/>
        <v>0</v>
      </c>
      <c r="V306" s="21">
        <f t="shared" si="176"/>
        <v>2.4811439359999876</v>
      </c>
      <c r="W306" s="21">
        <f t="shared" si="177"/>
        <v>0</v>
      </c>
      <c r="X306" s="21">
        <f t="shared" si="222"/>
        <v>0</v>
      </c>
      <c r="Y306" s="21">
        <f t="shared" si="223"/>
        <v>0</v>
      </c>
      <c r="Z306" s="221">
        <f t="shared" si="212"/>
        <v>2</v>
      </c>
      <c r="AA306" s="30">
        <f t="shared" si="200"/>
        <v>6.3140692319120486</v>
      </c>
      <c r="AB306" s="30">
        <f t="shared" si="201"/>
        <v>0</v>
      </c>
      <c r="AC306" s="30">
        <f t="shared" si="202"/>
        <v>0</v>
      </c>
      <c r="AD306" s="30">
        <f t="shared" si="203"/>
        <v>0</v>
      </c>
      <c r="AE306" s="32">
        <f t="shared" si="213"/>
        <v>6.3140692319120486</v>
      </c>
      <c r="AF306" s="33">
        <f t="shared" si="226"/>
        <v>13.604699584654302</v>
      </c>
      <c r="AG306" s="40">
        <f t="shared" si="214"/>
        <v>28.043170247231778</v>
      </c>
      <c r="AH306" s="224">
        <f>AG306*$P$33</f>
        <v>2.3519428288515667</v>
      </c>
      <c r="AI306" s="227">
        <f t="shared" si="215"/>
        <v>23</v>
      </c>
    </row>
    <row r="307" spans="1:35" x14ac:dyDescent="0.35">
      <c r="A307" s="45">
        <v>1728</v>
      </c>
      <c r="B307" s="58">
        <f>SUMIF([2]!Table2_23[ETA],'FIS Optimal Model'!A307,[2]!Table2_23[FIS PAX])</f>
        <v>0</v>
      </c>
      <c r="C307" s="44">
        <f t="shared" si="216"/>
        <v>0</v>
      </c>
      <c r="D307" s="52">
        <f t="shared" si="224"/>
        <v>0</v>
      </c>
      <c r="E307" s="26">
        <f t="shared" si="204"/>
        <v>0</v>
      </c>
      <c r="F307" s="26">
        <f t="shared" si="205"/>
        <v>0</v>
      </c>
      <c r="G307" s="26">
        <f t="shared" si="206"/>
        <v>0</v>
      </c>
      <c r="H307" s="26">
        <f t="shared" si="217"/>
        <v>0</v>
      </c>
      <c r="I307" s="27">
        <f t="shared" si="227"/>
        <v>0</v>
      </c>
      <c r="J307" s="27">
        <f t="shared" si="227"/>
        <v>0</v>
      </c>
      <c r="K307" s="27">
        <f t="shared" si="227"/>
        <v>0</v>
      </c>
      <c r="L307" s="27">
        <f t="shared" si="225"/>
        <v>0</v>
      </c>
      <c r="M307" s="28">
        <f t="shared" si="218"/>
        <v>3</v>
      </c>
      <c r="N307" s="29">
        <f t="shared" si="219"/>
        <v>6</v>
      </c>
      <c r="O307" s="28">
        <f t="shared" si="220"/>
        <v>1</v>
      </c>
      <c r="P307" s="28">
        <f t="shared" si="221"/>
        <v>1</v>
      </c>
      <c r="Q307" s="28">
        <f t="shared" si="207"/>
        <v>11</v>
      </c>
      <c r="R307" s="22">
        <f t="shared" si="208"/>
        <v>12.116653810726399</v>
      </c>
      <c r="S307" s="22">
        <f t="shared" si="209"/>
        <v>0</v>
      </c>
      <c r="T307" s="22">
        <f t="shared" si="210"/>
        <v>0</v>
      </c>
      <c r="U307" s="22">
        <f t="shared" si="211"/>
        <v>0</v>
      </c>
      <c r="V307" s="21">
        <f t="shared" si="176"/>
        <v>1.6311439359999877</v>
      </c>
      <c r="W307" s="21">
        <f t="shared" si="177"/>
        <v>0</v>
      </c>
      <c r="X307" s="21">
        <f t="shared" si="222"/>
        <v>0</v>
      </c>
      <c r="Y307" s="21">
        <f t="shared" si="223"/>
        <v>0</v>
      </c>
      <c r="Z307" s="221">
        <f t="shared" si="212"/>
        <v>1</v>
      </c>
      <c r="AA307" s="30">
        <f t="shared" si="200"/>
        <v>6.3140692319120486</v>
      </c>
      <c r="AB307" s="30">
        <f t="shared" si="201"/>
        <v>0</v>
      </c>
      <c r="AC307" s="30">
        <f t="shared" si="202"/>
        <v>0</v>
      </c>
      <c r="AD307" s="30">
        <f t="shared" si="203"/>
        <v>0</v>
      </c>
      <c r="AE307" s="32">
        <f t="shared" si="213"/>
        <v>6.3140692319120486</v>
      </c>
      <c r="AF307" s="33">
        <f t="shared" si="226"/>
        <v>11.768366547294647</v>
      </c>
      <c r="AG307" s="40">
        <f t="shared" si="214"/>
        <v>27.888130365074645</v>
      </c>
      <c r="AH307" s="224">
        <f>AG307*$P$33</f>
        <v>2.3389398432472035</v>
      </c>
      <c r="AI307" s="227">
        <f t="shared" si="215"/>
        <v>22</v>
      </c>
    </row>
    <row r="308" spans="1:35" x14ac:dyDescent="0.35">
      <c r="A308" s="45">
        <v>1729</v>
      </c>
      <c r="B308" s="58">
        <f>SUMIF([2]!Table2_23[ETA],'FIS Optimal Model'!A308,[2]!Table2_23[FIS PAX])</f>
        <v>0</v>
      </c>
      <c r="C308" s="44">
        <f t="shared" si="216"/>
        <v>0</v>
      </c>
      <c r="D308" s="52">
        <f t="shared" si="224"/>
        <v>0</v>
      </c>
      <c r="E308" s="26">
        <f t="shared" si="204"/>
        <v>0</v>
      </c>
      <c r="F308" s="26">
        <f t="shared" si="205"/>
        <v>0</v>
      </c>
      <c r="G308" s="26">
        <f t="shared" si="206"/>
        <v>0</v>
      </c>
      <c r="H308" s="26">
        <f t="shared" si="217"/>
        <v>0</v>
      </c>
      <c r="I308" s="27">
        <f t="shared" si="227"/>
        <v>0</v>
      </c>
      <c r="J308" s="27">
        <f t="shared" si="227"/>
        <v>0</v>
      </c>
      <c r="K308" s="27">
        <f t="shared" si="227"/>
        <v>0</v>
      </c>
      <c r="L308" s="27">
        <f t="shared" si="225"/>
        <v>0</v>
      </c>
      <c r="M308" s="28">
        <f t="shared" si="218"/>
        <v>3</v>
      </c>
      <c r="N308" s="29">
        <f t="shared" si="219"/>
        <v>6</v>
      </c>
      <c r="O308" s="28">
        <f t="shared" si="220"/>
        <v>1</v>
      </c>
      <c r="P308" s="28">
        <f t="shared" si="221"/>
        <v>1</v>
      </c>
      <c r="Q308" s="28">
        <f t="shared" si="207"/>
        <v>11</v>
      </c>
      <c r="R308" s="22">
        <f t="shared" si="208"/>
        <v>5.8025845788143506</v>
      </c>
      <c r="S308" s="22">
        <f t="shared" si="209"/>
        <v>0</v>
      </c>
      <c r="T308" s="22">
        <f t="shared" si="210"/>
        <v>0</v>
      </c>
      <c r="U308" s="22">
        <f t="shared" si="211"/>
        <v>0</v>
      </c>
      <c r="V308" s="21">
        <f t="shared" ref="V308:V339" si="228">IFERROR(R308*($I$30/M308),0)</f>
        <v>0.78114393599998777</v>
      </c>
      <c r="W308" s="21">
        <f t="shared" si="177"/>
        <v>0</v>
      </c>
      <c r="X308" s="21">
        <f t="shared" si="222"/>
        <v>0</v>
      </c>
      <c r="Y308" s="21">
        <f t="shared" si="223"/>
        <v>0</v>
      </c>
      <c r="Z308" s="221">
        <f t="shared" si="212"/>
        <v>1</v>
      </c>
      <c r="AA308" s="30">
        <f t="shared" si="200"/>
        <v>6.3140692319120486</v>
      </c>
      <c r="AB308" s="30">
        <f t="shared" si="201"/>
        <v>0</v>
      </c>
      <c r="AC308" s="30">
        <f t="shared" si="202"/>
        <v>0</v>
      </c>
      <c r="AD308" s="30">
        <f t="shared" si="203"/>
        <v>0</v>
      </c>
      <c r="AE308" s="32">
        <f t="shared" si="213"/>
        <v>6.3140692319120486</v>
      </c>
      <c r="AF308" s="33">
        <f t="shared" si="226"/>
        <v>6.3140692319120486</v>
      </c>
      <c r="AG308" s="40">
        <f t="shared" si="214"/>
        <v>22.278793167534914</v>
      </c>
      <c r="AH308" s="224">
        <f>AG308*$P$33</f>
        <v>1.8684923053955864</v>
      </c>
      <c r="AI308" s="227">
        <f t="shared" si="215"/>
        <v>22</v>
      </c>
    </row>
    <row r="309" spans="1:35" x14ac:dyDescent="0.35">
      <c r="A309" s="45">
        <v>1730</v>
      </c>
      <c r="B309" s="58">
        <f>SUMIF([2]!Table2_23[ETA],'FIS Optimal Model'!A309,[2]!Table2_23[FIS PAX])</f>
        <v>0</v>
      </c>
      <c r="C309" s="44">
        <f t="shared" si="216"/>
        <v>0</v>
      </c>
      <c r="D309" s="52">
        <f t="shared" si="224"/>
        <v>0</v>
      </c>
      <c r="E309" s="26">
        <f t="shared" si="204"/>
        <v>0</v>
      </c>
      <c r="F309" s="26">
        <f t="shared" si="205"/>
        <v>0</v>
      </c>
      <c r="G309" s="26">
        <f t="shared" si="206"/>
        <v>0</v>
      </c>
      <c r="H309" s="26">
        <f t="shared" si="217"/>
        <v>0</v>
      </c>
      <c r="I309" s="27">
        <f t="shared" si="227"/>
        <v>0</v>
      </c>
      <c r="J309" s="27">
        <f t="shared" si="227"/>
        <v>0</v>
      </c>
      <c r="K309" s="27">
        <f t="shared" si="227"/>
        <v>0</v>
      </c>
      <c r="L309" s="27">
        <f t="shared" si="225"/>
        <v>0</v>
      </c>
      <c r="M309" s="28">
        <f t="shared" si="218"/>
        <v>3</v>
      </c>
      <c r="N309" s="29">
        <f t="shared" si="219"/>
        <v>6</v>
      </c>
      <c r="O309" s="28">
        <f t="shared" si="220"/>
        <v>1</v>
      </c>
      <c r="P309" s="28">
        <f t="shared" si="221"/>
        <v>1</v>
      </c>
      <c r="Q309" s="28">
        <f t="shared" si="207"/>
        <v>11</v>
      </c>
      <c r="R309" s="22">
        <f t="shared" si="208"/>
        <v>0</v>
      </c>
      <c r="S309" s="22">
        <f t="shared" si="209"/>
        <v>0</v>
      </c>
      <c r="T309" s="22">
        <f t="shared" si="210"/>
        <v>0</v>
      </c>
      <c r="U309" s="22">
        <f t="shared" si="211"/>
        <v>0</v>
      </c>
      <c r="V309" s="21">
        <f t="shared" si="228"/>
        <v>0</v>
      </c>
      <c r="W309" s="21">
        <f t="shared" ref="W309:W339" si="229">IFERROR(S309*($I$31/N309),0)</f>
        <v>0</v>
      </c>
      <c r="X309" s="21">
        <f t="shared" si="222"/>
        <v>0</v>
      </c>
      <c r="Y309" s="21">
        <f t="shared" si="223"/>
        <v>0</v>
      </c>
      <c r="Z309" s="221">
        <f t="shared" si="212"/>
        <v>0</v>
      </c>
      <c r="AA309" s="30">
        <f t="shared" si="200"/>
        <v>0</v>
      </c>
      <c r="AB309" s="30">
        <f t="shared" si="201"/>
        <v>0</v>
      </c>
      <c r="AC309" s="30">
        <f t="shared" si="202"/>
        <v>0</v>
      </c>
      <c r="AD309" s="30">
        <f t="shared" si="203"/>
        <v>0</v>
      </c>
      <c r="AE309" s="32">
        <f t="shared" si="213"/>
        <v>0</v>
      </c>
      <c r="AF309" s="33">
        <f t="shared" si="226"/>
        <v>6.3140692319120486</v>
      </c>
      <c r="AG309" s="40">
        <f t="shared" si="214"/>
        <v>16.669455969995184</v>
      </c>
      <c r="AH309" s="224">
        <f>AG309*$P$33</f>
        <v>1.3980447675439693</v>
      </c>
      <c r="AI309" s="227">
        <f t="shared" si="215"/>
        <v>0</v>
      </c>
    </row>
    <row r="310" spans="1:35" x14ac:dyDescent="0.35">
      <c r="A310" s="45">
        <v>1731</v>
      </c>
      <c r="B310" s="58">
        <f>SUMIF([2]!Table2_23[ETA],'FIS Optimal Model'!A310,[2]!Table2_23[FIS PAX])</f>
        <v>0</v>
      </c>
      <c r="C310" s="44">
        <f t="shared" si="216"/>
        <v>0</v>
      </c>
      <c r="D310" s="52">
        <f t="shared" si="224"/>
        <v>0</v>
      </c>
      <c r="E310" s="26">
        <f t="shared" si="204"/>
        <v>0</v>
      </c>
      <c r="F310" s="26">
        <f t="shared" si="205"/>
        <v>0</v>
      </c>
      <c r="G310" s="26">
        <f t="shared" si="206"/>
        <v>0</v>
      </c>
      <c r="H310" s="26">
        <f t="shared" si="217"/>
        <v>0</v>
      </c>
      <c r="I310" s="27">
        <f t="shared" si="227"/>
        <v>0</v>
      </c>
      <c r="J310" s="27">
        <f t="shared" si="227"/>
        <v>0</v>
      </c>
      <c r="K310" s="27">
        <f t="shared" si="227"/>
        <v>0</v>
      </c>
      <c r="L310" s="27">
        <f t="shared" si="225"/>
        <v>0</v>
      </c>
      <c r="M310" s="28">
        <f>IF(R309=0,0,$Q$24)</f>
        <v>0</v>
      </c>
      <c r="N310" s="29">
        <f>$U$24-M310-O310-P310</f>
        <v>11</v>
      </c>
      <c r="O310" s="28">
        <f>IF(T309=0,0,$S$24)</f>
        <v>0</v>
      </c>
      <c r="P310" s="28">
        <f>IF(U309=0,0,$T$24)</f>
        <v>0</v>
      </c>
      <c r="Q310" s="28">
        <f t="shared" si="207"/>
        <v>11</v>
      </c>
      <c r="R310" s="22">
        <f t="shared" si="208"/>
        <v>0</v>
      </c>
      <c r="S310" s="22">
        <f t="shared" si="209"/>
        <v>0</v>
      </c>
      <c r="T310" s="22">
        <f t="shared" si="210"/>
        <v>0</v>
      </c>
      <c r="U310" s="22">
        <f t="shared" si="211"/>
        <v>0</v>
      </c>
      <c r="V310" s="21">
        <f t="shared" si="228"/>
        <v>0</v>
      </c>
      <c r="W310" s="21">
        <f t="shared" si="229"/>
        <v>0</v>
      </c>
      <c r="X310" s="21">
        <f t="shared" si="222"/>
        <v>0</v>
      </c>
      <c r="Y310" s="21">
        <f t="shared" si="223"/>
        <v>0</v>
      </c>
      <c r="Z310" s="221">
        <f t="shared" si="212"/>
        <v>0</v>
      </c>
      <c r="AA310" s="30">
        <f t="shared" si="200"/>
        <v>0</v>
      </c>
      <c r="AB310" s="30">
        <f t="shared" si="201"/>
        <v>0</v>
      </c>
      <c r="AC310" s="30">
        <f t="shared" si="202"/>
        <v>0</v>
      </c>
      <c r="AD310" s="30">
        <f t="shared" si="203"/>
        <v>0</v>
      </c>
      <c r="AE310" s="32">
        <f t="shared" si="213"/>
        <v>0</v>
      </c>
      <c r="AF310" s="33">
        <f t="shared" si="226"/>
        <v>6.3140692319120486</v>
      </c>
      <c r="AG310" s="40">
        <f t="shared" si="214"/>
        <v>11.060118772455452</v>
      </c>
      <c r="AH310" s="224">
        <f>AG310*$P$33</f>
        <v>0.92759722969235214</v>
      </c>
      <c r="AI310" s="227">
        <f t="shared" si="215"/>
        <v>0</v>
      </c>
    </row>
    <row r="311" spans="1:35" x14ac:dyDescent="0.35">
      <c r="A311" s="45">
        <v>1732</v>
      </c>
      <c r="B311" s="58">
        <f>SUMIF([2]!Table2_23[ETA],'FIS Optimal Model'!A311,[2]!Table2_23[FIS PAX])</f>
        <v>0</v>
      </c>
      <c r="C311" s="44">
        <f t="shared" si="216"/>
        <v>0</v>
      </c>
      <c r="D311" s="52">
        <f t="shared" si="224"/>
        <v>0</v>
      </c>
      <c r="E311" s="26">
        <f t="shared" si="204"/>
        <v>0</v>
      </c>
      <c r="F311" s="26">
        <f t="shared" si="205"/>
        <v>0</v>
      </c>
      <c r="G311" s="26">
        <f t="shared" si="206"/>
        <v>0</v>
      </c>
      <c r="H311" s="26">
        <f t="shared" si="217"/>
        <v>0</v>
      </c>
      <c r="I311" s="27">
        <f t="shared" si="227"/>
        <v>0</v>
      </c>
      <c r="J311" s="27">
        <f t="shared" si="227"/>
        <v>0</v>
      </c>
      <c r="K311" s="27">
        <f t="shared" si="227"/>
        <v>0</v>
      </c>
      <c r="L311" s="27">
        <f t="shared" si="225"/>
        <v>0</v>
      </c>
      <c r="M311" s="28">
        <f>$M$310</f>
        <v>0</v>
      </c>
      <c r="N311" s="29">
        <f>$N$310</f>
        <v>11</v>
      </c>
      <c r="O311" s="28">
        <f>$O$310</f>
        <v>0</v>
      </c>
      <c r="P311" s="28">
        <f>$P$310</f>
        <v>0</v>
      </c>
      <c r="Q311" s="28">
        <f t="shared" si="207"/>
        <v>11</v>
      </c>
      <c r="R311" s="22">
        <f t="shared" si="208"/>
        <v>0</v>
      </c>
      <c r="S311" s="22">
        <f t="shared" si="209"/>
        <v>0</v>
      </c>
      <c r="T311" s="22">
        <f t="shared" si="210"/>
        <v>0</v>
      </c>
      <c r="U311" s="22">
        <f t="shared" si="211"/>
        <v>0</v>
      </c>
      <c r="V311" s="21">
        <f t="shared" si="228"/>
        <v>0</v>
      </c>
      <c r="W311" s="21">
        <f t="shared" si="229"/>
        <v>0</v>
      </c>
      <c r="X311" s="21">
        <f t="shared" si="222"/>
        <v>0</v>
      </c>
      <c r="Y311" s="21">
        <f t="shared" si="223"/>
        <v>0</v>
      </c>
      <c r="Z311" s="221">
        <f t="shared" si="212"/>
        <v>0</v>
      </c>
      <c r="AA311" s="30">
        <f t="shared" si="200"/>
        <v>0</v>
      </c>
      <c r="AB311" s="30">
        <f t="shared" si="201"/>
        <v>0</v>
      </c>
      <c r="AC311" s="30">
        <f t="shared" si="202"/>
        <v>0</v>
      </c>
      <c r="AD311" s="30">
        <f t="shared" si="203"/>
        <v>0</v>
      </c>
      <c r="AE311" s="32">
        <f t="shared" si="213"/>
        <v>0</v>
      </c>
      <c r="AF311" s="33">
        <f t="shared" si="226"/>
        <v>6.3140692319120486</v>
      </c>
      <c r="AG311" s="40">
        <f t="shared" si="214"/>
        <v>5.4507815749157196</v>
      </c>
      <c r="AH311" s="224">
        <f>AG311*$P$33</f>
        <v>0.45714969184073501</v>
      </c>
      <c r="AI311" s="227">
        <f t="shared" si="215"/>
        <v>0</v>
      </c>
    </row>
    <row r="312" spans="1:35" x14ac:dyDescent="0.35">
      <c r="A312" s="45">
        <v>1733</v>
      </c>
      <c r="B312" s="58">
        <f>SUMIF([2]!Table2_23[ETA],'FIS Optimal Model'!A312,[2]!Table2_23[FIS PAX])</f>
        <v>0</v>
      </c>
      <c r="C312" s="44">
        <f t="shared" si="216"/>
        <v>0</v>
      </c>
      <c r="D312" s="52">
        <f t="shared" si="224"/>
        <v>0</v>
      </c>
      <c r="E312" s="26">
        <f t="shared" si="204"/>
        <v>0</v>
      </c>
      <c r="F312" s="26">
        <f t="shared" si="205"/>
        <v>0</v>
      </c>
      <c r="G312" s="26">
        <f t="shared" si="206"/>
        <v>0</v>
      </c>
      <c r="H312" s="26">
        <f t="shared" si="217"/>
        <v>0</v>
      </c>
      <c r="I312" s="27">
        <f t="shared" si="227"/>
        <v>0</v>
      </c>
      <c r="J312" s="27">
        <f t="shared" si="227"/>
        <v>0</v>
      </c>
      <c r="K312" s="27">
        <f t="shared" si="227"/>
        <v>0</v>
      </c>
      <c r="L312" s="27">
        <f t="shared" si="225"/>
        <v>0</v>
      </c>
      <c r="M312" s="28">
        <f t="shared" ref="M312:M324" si="230">$M$310</f>
        <v>0</v>
      </c>
      <c r="N312" s="29">
        <f t="shared" ref="N312:N324" si="231">$N$310</f>
        <v>11</v>
      </c>
      <c r="O312" s="28">
        <f t="shared" ref="O312:O324" si="232">$O$310</f>
        <v>0</v>
      </c>
      <c r="P312" s="28">
        <f t="shared" ref="P312:P324" si="233">$P$310</f>
        <v>0</v>
      </c>
      <c r="Q312" s="28">
        <f t="shared" si="207"/>
        <v>11</v>
      </c>
      <c r="R312" s="22">
        <f t="shared" si="208"/>
        <v>0</v>
      </c>
      <c r="S312" s="22">
        <f t="shared" si="209"/>
        <v>0</v>
      </c>
      <c r="T312" s="22">
        <f t="shared" si="210"/>
        <v>0</v>
      </c>
      <c r="U312" s="22">
        <f t="shared" si="211"/>
        <v>0</v>
      </c>
      <c r="V312" s="21">
        <f t="shared" si="228"/>
        <v>0</v>
      </c>
      <c r="W312" s="21">
        <f t="shared" si="229"/>
        <v>0</v>
      </c>
      <c r="X312" s="21">
        <f t="shared" si="222"/>
        <v>0</v>
      </c>
      <c r="Y312" s="21">
        <f t="shared" si="223"/>
        <v>0</v>
      </c>
      <c r="Z312" s="221">
        <f t="shared" si="212"/>
        <v>0</v>
      </c>
      <c r="AA312" s="30">
        <f t="shared" si="200"/>
        <v>0</v>
      </c>
      <c r="AB312" s="30">
        <f t="shared" si="201"/>
        <v>0</v>
      </c>
      <c r="AC312" s="30">
        <f t="shared" si="202"/>
        <v>0</v>
      </c>
      <c r="AD312" s="30">
        <f t="shared" si="203"/>
        <v>0</v>
      </c>
      <c r="AE312" s="32">
        <f t="shared" si="213"/>
        <v>0</v>
      </c>
      <c r="AF312" s="33">
        <f t="shared" si="226"/>
        <v>6.3140692319120486</v>
      </c>
      <c r="AG312" s="40">
        <f t="shared" si="214"/>
        <v>0</v>
      </c>
      <c r="AH312" s="224">
        <f>AG312*$P$33</f>
        <v>0</v>
      </c>
      <c r="AI312" s="227">
        <f t="shared" si="215"/>
        <v>0</v>
      </c>
    </row>
    <row r="313" spans="1:35" x14ac:dyDescent="0.35">
      <c r="A313" s="45">
        <v>1734</v>
      </c>
      <c r="B313" s="58">
        <f>SUMIF([2]!Table2_23[ETA],'FIS Optimal Model'!A313,[2]!Table2_23[FIS PAX])</f>
        <v>0</v>
      </c>
      <c r="C313" s="44">
        <f t="shared" si="216"/>
        <v>0</v>
      </c>
      <c r="D313" s="52">
        <f t="shared" si="224"/>
        <v>0</v>
      </c>
      <c r="E313" s="26">
        <f t="shared" si="204"/>
        <v>0</v>
      </c>
      <c r="F313" s="26">
        <f t="shared" si="205"/>
        <v>0</v>
      </c>
      <c r="G313" s="26">
        <f t="shared" si="206"/>
        <v>0</v>
      </c>
      <c r="H313" s="26">
        <f t="shared" si="217"/>
        <v>0</v>
      </c>
      <c r="I313" s="27">
        <f t="shared" si="227"/>
        <v>0</v>
      </c>
      <c r="J313" s="27">
        <f t="shared" si="227"/>
        <v>0</v>
      </c>
      <c r="K313" s="27">
        <f t="shared" si="227"/>
        <v>0</v>
      </c>
      <c r="L313" s="27">
        <f t="shared" si="225"/>
        <v>0</v>
      </c>
      <c r="M313" s="28">
        <f t="shared" si="230"/>
        <v>0</v>
      </c>
      <c r="N313" s="29">
        <f t="shared" si="231"/>
        <v>11</v>
      </c>
      <c r="O313" s="28">
        <f t="shared" si="232"/>
        <v>0</v>
      </c>
      <c r="P313" s="28">
        <f t="shared" si="233"/>
        <v>0</v>
      </c>
      <c r="Q313" s="28">
        <f t="shared" si="207"/>
        <v>11</v>
      </c>
      <c r="R313" s="22">
        <f t="shared" si="208"/>
        <v>0</v>
      </c>
      <c r="S313" s="22">
        <f t="shared" si="209"/>
        <v>0</v>
      </c>
      <c r="T313" s="22">
        <f t="shared" si="210"/>
        <v>0</v>
      </c>
      <c r="U313" s="22">
        <f t="shared" si="211"/>
        <v>0</v>
      </c>
      <c r="V313" s="21">
        <f t="shared" si="228"/>
        <v>0</v>
      </c>
      <c r="W313" s="21">
        <f t="shared" si="229"/>
        <v>0</v>
      </c>
      <c r="X313" s="21">
        <f t="shared" si="222"/>
        <v>0</v>
      </c>
      <c r="Y313" s="21">
        <f t="shared" si="223"/>
        <v>0</v>
      </c>
      <c r="Z313" s="221">
        <f t="shared" si="212"/>
        <v>0</v>
      </c>
      <c r="AA313" s="30">
        <f t="shared" si="200"/>
        <v>0</v>
      </c>
      <c r="AB313" s="30">
        <f t="shared" si="201"/>
        <v>0</v>
      </c>
      <c r="AC313" s="30">
        <f t="shared" si="202"/>
        <v>0</v>
      </c>
      <c r="AD313" s="30">
        <f t="shared" si="203"/>
        <v>0</v>
      </c>
      <c r="AE313" s="32">
        <f t="shared" si="213"/>
        <v>0</v>
      </c>
      <c r="AF313" s="33">
        <f t="shared" si="226"/>
        <v>0</v>
      </c>
      <c r="AG313" s="40">
        <f t="shared" si="214"/>
        <v>0</v>
      </c>
      <c r="AH313" s="224">
        <f>AG313*$P$33</f>
        <v>0</v>
      </c>
      <c r="AI313" s="227">
        <f t="shared" si="215"/>
        <v>0</v>
      </c>
    </row>
    <row r="314" spans="1:35" x14ac:dyDescent="0.35">
      <c r="A314" s="45">
        <v>1735</v>
      </c>
      <c r="B314" s="58">
        <f>SUMIF([2]!Table2_23[ETA],'FIS Optimal Model'!A314,[2]!Table2_23[FIS PAX])</f>
        <v>0</v>
      </c>
      <c r="C314" s="44">
        <f t="shared" si="216"/>
        <v>0</v>
      </c>
      <c r="D314" s="52">
        <f t="shared" si="224"/>
        <v>0</v>
      </c>
      <c r="E314" s="26">
        <f t="shared" si="204"/>
        <v>0</v>
      </c>
      <c r="F314" s="26">
        <f t="shared" si="205"/>
        <v>0</v>
      </c>
      <c r="G314" s="26">
        <f t="shared" si="206"/>
        <v>0</v>
      </c>
      <c r="H314" s="26">
        <f t="shared" si="217"/>
        <v>0</v>
      </c>
      <c r="I314" s="27">
        <f t="shared" si="227"/>
        <v>0</v>
      </c>
      <c r="J314" s="27">
        <f t="shared" si="227"/>
        <v>0</v>
      </c>
      <c r="K314" s="27">
        <f t="shared" si="227"/>
        <v>0</v>
      </c>
      <c r="L314" s="27">
        <f t="shared" si="225"/>
        <v>0</v>
      </c>
      <c r="M314" s="28">
        <f t="shared" si="230"/>
        <v>0</v>
      </c>
      <c r="N314" s="29">
        <f t="shared" si="231"/>
        <v>11</v>
      </c>
      <c r="O314" s="28">
        <f t="shared" si="232"/>
        <v>0</v>
      </c>
      <c r="P314" s="28">
        <f t="shared" si="233"/>
        <v>0</v>
      </c>
      <c r="Q314" s="28">
        <f t="shared" si="207"/>
        <v>11</v>
      </c>
      <c r="R314" s="22">
        <f t="shared" si="208"/>
        <v>0</v>
      </c>
      <c r="S314" s="22">
        <f t="shared" si="209"/>
        <v>0</v>
      </c>
      <c r="T314" s="22">
        <f t="shared" si="210"/>
        <v>0</v>
      </c>
      <c r="U314" s="22">
        <f t="shared" si="211"/>
        <v>0</v>
      </c>
      <c r="V314" s="21">
        <f t="shared" si="228"/>
        <v>0</v>
      </c>
      <c r="W314" s="21">
        <f t="shared" si="229"/>
        <v>0</v>
      </c>
      <c r="X314" s="21">
        <f t="shared" si="222"/>
        <v>0</v>
      </c>
      <c r="Y314" s="21">
        <f t="shared" si="223"/>
        <v>0</v>
      </c>
      <c r="Z314" s="221">
        <f t="shared" si="212"/>
        <v>0</v>
      </c>
      <c r="AA314" s="30">
        <f t="shared" si="200"/>
        <v>0</v>
      </c>
      <c r="AB314" s="30">
        <f t="shared" si="201"/>
        <v>0</v>
      </c>
      <c r="AC314" s="30">
        <f t="shared" si="202"/>
        <v>0</v>
      </c>
      <c r="AD314" s="30">
        <f t="shared" si="203"/>
        <v>0</v>
      </c>
      <c r="AE314" s="32">
        <f t="shared" si="213"/>
        <v>0</v>
      </c>
      <c r="AF314" s="33">
        <f t="shared" si="226"/>
        <v>0</v>
      </c>
      <c r="AG314" s="40">
        <f t="shared" si="214"/>
        <v>0</v>
      </c>
      <c r="AH314" s="224">
        <f>AG314*$P$33</f>
        <v>0</v>
      </c>
      <c r="AI314" s="227">
        <f t="shared" si="215"/>
        <v>0</v>
      </c>
    </row>
    <row r="315" spans="1:35" x14ac:dyDescent="0.35">
      <c r="A315" s="45">
        <v>1736</v>
      </c>
      <c r="B315" s="58">
        <f>SUMIF([2]!Table2_23[ETA],'FIS Optimal Model'!A315,[2]!Table2_23[FIS PAX])</f>
        <v>0</v>
      </c>
      <c r="C315" s="44">
        <f t="shared" si="216"/>
        <v>0</v>
      </c>
      <c r="D315" s="52">
        <f t="shared" si="224"/>
        <v>0</v>
      </c>
      <c r="E315" s="26">
        <f t="shared" si="204"/>
        <v>0</v>
      </c>
      <c r="F315" s="26">
        <f t="shared" si="205"/>
        <v>0</v>
      </c>
      <c r="G315" s="26">
        <f t="shared" si="206"/>
        <v>0</v>
      </c>
      <c r="H315" s="26">
        <f t="shared" si="217"/>
        <v>0</v>
      </c>
      <c r="I315" s="27">
        <f t="shared" si="227"/>
        <v>0</v>
      </c>
      <c r="J315" s="27">
        <f t="shared" si="227"/>
        <v>0</v>
      </c>
      <c r="K315" s="27">
        <f t="shared" si="227"/>
        <v>0</v>
      </c>
      <c r="L315" s="27">
        <f t="shared" si="225"/>
        <v>0</v>
      </c>
      <c r="M315" s="28">
        <f t="shared" si="230"/>
        <v>0</v>
      </c>
      <c r="N315" s="29">
        <f t="shared" si="231"/>
        <v>11</v>
      </c>
      <c r="O315" s="28">
        <f t="shared" si="232"/>
        <v>0</v>
      </c>
      <c r="P315" s="28">
        <f t="shared" si="233"/>
        <v>0</v>
      </c>
      <c r="Q315" s="28">
        <f t="shared" si="207"/>
        <v>11</v>
      </c>
      <c r="R315" s="22">
        <f t="shared" si="208"/>
        <v>0</v>
      </c>
      <c r="S315" s="22">
        <f t="shared" si="209"/>
        <v>0</v>
      </c>
      <c r="T315" s="22">
        <f t="shared" si="210"/>
        <v>0</v>
      </c>
      <c r="U315" s="22">
        <f t="shared" si="211"/>
        <v>0</v>
      </c>
      <c r="V315" s="21">
        <f t="shared" si="228"/>
        <v>0</v>
      </c>
      <c r="W315" s="21">
        <f t="shared" si="229"/>
        <v>0</v>
      </c>
      <c r="X315" s="21">
        <f t="shared" si="222"/>
        <v>0</v>
      </c>
      <c r="Y315" s="21">
        <f t="shared" si="223"/>
        <v>0</v>
      </c>
      <c r="Z315" s="221">
        <f t="shared" si="212"/>
        <v>0</v>
      </c>
      <c r="AA315" s="30">
        <f t="shared" si="200"/>
        <v>0</v>
      </c>
      <c r="AB315" s="30">
        <f t="shared" si="201"/>
        <v>0</v>
      </c>
      <c r="AC315" s="30">
        <f t="shared" si="202"/>
        <v>0</v>
      </c>
      <c r="AD315" s="30">
        <f t="shared" si="203"/>
        <v>0</v>
      </c>
      <c r="AE315" s="32">
        <f t="shared" si="213"/>
        <v>0</v>
      </c>
      <c r="AF315" s="33">
        <f t="shared" si="226"/>
        <v>0</v>
      </c>
      <c r="AG315" s="40">
        <f t="shared" si="214"/>
        <v>0</v>
      </c>
      <c r="AH315" s="224">
        <f>AG315*$P$33</f>
        <v>0</v>
      </c>
      <c r="AI315" s="227">
        <f t="shared" si="215"/>
        <v>0</v>
      </c>
    </row>
    <row r="316" spans="1:35" x14ac:dyDescent="0.35">
      <c r="A316" s="45">
        <v>1737</v>
      </c>
      <c r="B316" s="58">
        <f>SUMIF([2]!Table2_23[ETA],'FIS Optimal Model'!A316,[2]!Table2_23[FIS PAX])</f>
        <v>0</v>
      </c>
      <c r="C316" s="44">
        <f t="shared" si="216"/>
        <v>0</v>
      </c>
      <c r="D316" s="52">
        <f t="shared" si="224"/>
        <v>0</v>
      </c>
      <c r="E316" s="26">
        <f t="shared" si="204"/>
        <v>0</v>
      </c>
      <c r="F316" s="26">
        <f t="shared" si="205"/>
        <v>0</v>
      </c>
      <c r="G316" s="26">
        <f t="shared" si="206"/>
        <v>0</v>
      </c>
      <c r="H316" s="26">
        <f t="shared" si="217"/>
        <v>0</v>
      </c>
      <c r="I316" s="27">
        <f t="shared" si="227"/>
        <v>0</v>
      </c>
      <c r="J316" s="27">
        <f t="shared" si="227"/>
        <v>0</v>
      </c>
      <c r="K316" s="27">
        <f t="shared" si="227"/>
        <v>0</v>
      </c>
      <c r="L316" s="27">
        <f t="shared" si="225"/>
        <v>0</v>
      </c>
      <c r="M316" s="28">
        <f t="shared" si="230"/>
        <v>0</v>
      </c>
      <c r="N316" s="29">
        <f t="shared" si="231"/>
        <v>11</v>
      </c>
      <c r="O316" s="28">
        <f t="shared" si="232"/>
        <v>0</v>
      </c>
      <c r="P316" s="28">
        <f t="shared" si="233"/>
        <v>0</v>
      </c>
      <c r="Q316" s="28">
        <f t="shared" si="207"/>
        <v>11</v>
      </c>
      <c r="R316" s="22">
        <f t="shared" si="208"/>
        <v>0</v>
      </c>
      <c r="S316" s="22">
        <f t="shared" si="209"/>
        <v>0</v>
      </c>
      <c r="T316" s="22">
        <f t="shared" si="210"/>
        <v>0</v>
      </c>
      <c r="U316" s="22">
        <f t="shared" si="211"/>
        <v>0</v>
      </c>
      <c r="V316" s="21">
        <f t="shared" si="228"/>
        <v>0</v>
      </c>
      <c r="W316" s="21">
        <f t="shared" si="229"/>
        <v>0</v>
      </c>
      <c r="X316" s="21">
        <f t="shared" si="222"/>
        <v>0</v>
      </c>
      <c r="Y316" s="21">
        <f t="shared" si="223"/>
        <v>0</v>
      </c>
      <c r="Z316" s="221">
        <f t="shared" si="212"/>
        <v>0</v>
      </c>
      <c r="AA316" s="30">
        <f t="shared" si="200"/>
        <v>0</v>
      </c>
      <c r="AB316" s="30">
        <f t="shared" si="201"/>
        <v>0</v>
      </c>
      <c r="AC316" s="30">
        <f t="shared" si="202"/>
        <v>0</v>
      </c>
      <c r="AD316" s="30">
        <f t="shared" si="203"/>
        <v>0</v>
      </c>
      <c r="AE316" s="32">
        <f t="shared" si="213"/>
        <v>0</v>
      </c>
      <c r="AF316" s="33">
        <f t="shared" si="226"/>
        <v>0</v>
      </c>
      <c r="AG316" s="40">
        <f t="shared" si="214"/>
        <v>0</v>
      </c>
      <c r="AH316" s="224">
        <f>AG316*$P$33</f>
        <v>0</v>
      </c>
      <c r="AI316" s="227">
        <f t="shared" si="215"/>
        <v>0</v>
      </c>
    </row>
    <row r="317" spans="1:35" x14ac:dyDescent="0.35">
      <c r="A317" s="45">
        <v>1738</v>
      </c>
      <c r="B317" s="58">
        <f>SUMIF([2]!Table2_23[ETA],'FIS Optimal Model'!A317,[2]!Table2_23[FIS PAX])</f>
        <v>0</v>
      </c>
      <c r="C317" s="44">
        <f t="shared" si="216"/>
        <v>0</v>
      </c>
      <c r="D317" s="52">
        <f t="shared" si="224"/>
        <v>0</v>
      </c>
      <c r="E317" s="26">
        <f t="shared" si="204"/>
        <v>0</v>
      </c>
      <c r="F317" s="26">
        <f t="shared" si="205"/>
        <v>0</v>
      </c>
      <c r="G317" s="26">
        <f t="shared" si="206"/>
        <v>0</v>
      </c>
      <c r="H317" s="26">
        <f t="shared" si="217"/>
        <v>0</v>
      </c>
      <c r="I317" s="27">
        <f t="shared" si="227"/>
        <v>0</v>
      </c>
      <c r="J317" s="27">
        <f t="shared" si="227"/>
        <v>0</v>
      </c>
      <c r="K317" s="27">
        <f t="shared" si="227"/>
        <v>0</v>
      </c>
      <c r="L317" s="27">
        <f t="shared" si="225"/>
        <v>0</v>
      </c>
      <c r="M317" s="28">
        <f t="shared" si="230"/>
        <v>0</v>
      </c>
      <c r="N317" s="29">
        <f t="shared" si="231"/>
        <v>11</v>
      </c>
      <c r="O317" s="28">
        <f t="shared" si="232"/>
        <v>0</v>
      </c>
      <c r="P317" s="28">
        <f t="shared" si="233"/>
        <v>0</v>
      </c>
      <c r="Q317" s="28">
        <f t="shared" si="207"/>
        <v>11</v>
      </c>
      <c r="R317" s="22">
        <f t="shared" si="208"/>
        <v>0</v>
      </c>
      <c r="S317" s="22">
        <f t="shared" si="209"/>
        <v>0</v>
      </c>
      <c r="T317" s="22">
        <f t="shared" si="210"/>
        <v>0</v>
      </c>
      <c r="U317" s="22">
        <f t="shared" si="211"/>
        <v>0</v>
      </c>
      <c r="V317" s="21">
        <f t="shared" si="228"/>
        <v>0</v>
      </c>
      <c r="W317" s="21">
        <f t="shared" si="229"/>
        <v>0</v>
      </c>
      <c r="X317" s="21">
        <f t="shared" si="222"/>
        <v>0</v>
      </c>
      <c r="Y317" s="21">
        <f t="shared" si="223"/>
        <v>0</v>
      </c>
      <c r="Z317" s="221">
        <f t="shared" si="212"/>
        <v>0</v>
      </c>
      <c r="AA317" s="30">
        <f t="shared" si="200"/>
        <v>0</v>
      </c>
      <c r="AB317" s="30">
        <f t="shared" si="201"/>
        <v>0</v>
      </c>
      <c r="AC317" s="30">
        <f t="shared" si="202"/>
        <v>0</v>
      </c>
      <c r="AD317" s="30">
        <f t="shared" si="203"/>
        <v>0</v>
      </c>
      <c r="AE317" s="32">
        <f t="shared" si="213"/>
        <v>0</v>
      </c>
      <c r="AF317" s="33">
        <f t="shared" si="226"/>
        <v>0</v>
      </c>
      <c r="AG317" s="40">
        <f t="shared" si="214"/>
        <v>0</v>
      </c>
      <c r="AH317" s="224">
        <f>AG317*$P$33</f>
        <v>0</v>
      </c>
      <c r="AI317" s="227">
        <f t="shared" si="215"/>
        <v>0</v>
      </c>
    </row>
    <row r="318" spans="1:35" x14ac:dyDescent="0.35">
      <c r="A318" s="45">
        <v>1739</v>
      </c>
      <c r="B318" s="58">
        <f>SUMIF([2]!Table2_23[ETA],'FIS Optimal Model'!A318,[2]!Table2_23[FIS PAX])</f>
        <v>0</v>
      </c>
      <c r="C318" s="44">
        <f t="shared" si="216"/>
        <v>0</v>
      </c>
      <c r="D318" s="52">
        <f t="shared" si="224"/>
        <v>0</v>
      </c>
      <c r="E318" s="26">
        <f t="shared" si="204"/>
        <v>0</v>
      </c>
      <c r="F318" s="26">
        <f t="shared" si="205"/>
        <v>0</v>
      </c>
      <c r="G318" s="26">
        <f t="shared" si="206"/>
        <v>0</v>
      </c>
      <c r="H318" s="26">
        <f t="shared" si="217"/>
        <v>0</v>
      </c>
      <c r="I318" s="27">
        <f t="shared" si="227"/>
        <v>0</v>
      </c>
      <c r="J318" s="27">
        <f t="shared" si="227"/>
        <v>0</v>
      </c>
      <c r="K318" s="27">
        <f t="shared" si="227"/>
        <v>0</v>
      </c>
      <c r="L318" s="27">
        <f t="shared" si="225"/>
        <v>0</v>
      </c>
      <c r="M318" s="28">
        <f t="shared" si="230"/>
        <v>0</v>
      </c>
      <c r="N318" s="29">
        <f t="shared" si="231"/>
        <v>11</v>
      </c>
      <c r="O318" s="28">
        <f t="shared" si="232"/>
        <v>0</v>
      </c>
      <c r="P318" s="28">
        <f t="shared" si="233"/>
        <v>0</v>
      </c>
      <c r="Q318" s="28">
        <f t="shared" si="207"/>
        <v>11</v>
      </c>
      <c r="R318" s="22">
        <f t="shared" si="208"/>
        <v>0</v>
      </c>
      <c r="S318" s="22">
        <f t="shared" si="209"/>
        <v>0</v>
      </c>
      <c r="T318" s="22">
        <f t="shared" si="210"/>
        <v>0</v>
      </c>
      <c r="U318" s="22">
        <f t="shared" si="211"/>
        <v>0</v>
      </c>
      <c r="V318" s="21">
        <f t="shared" si="228"/>
        <v>0</v>
      </c>
      <c r="W318" s="21">
        <f t="shared" si="229"/>
        <v>0</v>
      </c>
      <c r="X318" s="21">
        <f t="shared" si="222"/>
        <v>0</v>
      </c>
      <c r="Y318" s="21">
        <f t="shared" si="223"/>
        <v>0</v>
      </c>
      <c r="Z318" s="221">
        <f t="shared" si="212"/>
        <v>0</v>
      </c>
      <c r="AA318" s="30">
        <f t="shared" si="200"/>
        <v>0</v>
      </c>
      <c r="AB318" s="30">
        <f t="shared" si="201"/>
        <v>0</v>
      </c>
      <c r="AC318" s="30">
        <f t="shared" si="202"/>
        <v>0</v>
      </c>
      <c r="AD318" s="30">
        <f t="shared" si="203"/>
        <v>0</v>
      </c>
      <c r="AE318" s="32">
        <f t="shared" si="213"/>
        <v>0</v>
      </c>
      <c r="AF318" s="33">
        <f t="shared" si="226"/>
        <v>0</v>
      </c>
      <c r="AG318" s="40">
        <f t="shared" si="214"/>
        <v>0</v>
      </c>
      <c r="AH318" s="224">
        <f>AG318*$P$33</f>
        <v>0</v>
      </c>
      <c r="AI318" s="227">
        <f t="shared" si="215"/>
        <v>0</v>
      </c>
    </row>
    <row r="319" spans="1:35" x14ac:dyDescent="0.35">
      <c r="A319" s="45">
        <v>1740</v>
      </c>
      <c r="B319" s="58">
        <f>SUMIF([2]!Table2_23[ETA],'FIS Optimal Model'!A319,[2]!Table2_23[FIS PAX])</f>
        <v>0</v>
      </c>
      <c r="C319" s="44">
        <f t="shared" si="216"/>
        <v>0</v>
      </c>
      <c r="D319" s="52">
        <f t="shared" si="224"/>
        <v>0</v>
      </c>
      <c r="E319" s="26">
        <f t="shared" si="204"/>
        <v>0</v>
      </c>
      <c r="F319" s="26">
        <f t="shared" si="205"/>
        <v>0</v>
      </c>
      <c r="G319" s="26">
        <f t="shared" si="206"/>
        <v>0</v>
      </c>
      <c r="H319" s="26">
        <f t="shared" si="217"/>
        <v>0</v>
      </c>
      <c r="I319" s="27">
        <f t="shared" si="227"/>
        <v>0</v>
      </c>
      <c r="J319" s="27">
        <f t="shared" si="227"/>
        <v>0</v>
      </c>
      <c r="K319" s="27">
        <f t="shared" si="227"/>
        <v>0</v>
      </c>
      <c r="L319" s="27">
        <f t="shared" si="225"/>
        <v>0</v>
      </c>
      <c r="M319" s="28">
        <f t="shared" si="230"/>
        <v>0</v>
      </c>
      <c r="N319" s="29">
        <f t="shared" si="231"/>
        <v>11</v>
      </c>
      <c r="O319" s="28">
        <f t="shared" si="232"/>
        <v>0</v>
      </c>
      <c r="P319" s="28">
        <f t="shared" si="233"/>
        <v>0</v>
      </c>
      <c r="Q319" s="28">
        <f t="shared" si="207"/>
        <v>11</v>
      </c>
      <c r="R319" s="22">
        <f t="shared" si="208"/>
        <v>0</v>
      </c>
      <c r="S319" s="22">
        <f t="shared" si="209"/>
        <v>0</v>
      </c>
      <c r="T319" s="22">
        <f t="shared" si="210"/>
        <v>0</v>
      </c>
      <c r="U319" s="22">
        <f t="shared" si="211"/>
        <v>0</v>
      </c>
      <c r="V319" s="21">
        <f t="shared" si="228"/>
        <v>0</v>
      </c>
      <c r="W319" s="21">
        <f t="shared" si="229"/>
        <v>0</v>
      </c>
      <c r="X319" s="21">
        <f t="shared" si="222"/>
        <v>0</v>
      </c>
      <c r="Y319" s="21">
        <f t="shared" si="223"/>
        <v>0</v>
      </c>
      <c r="Z319" s="221">
        <f t="shared" si="212"/>
        <v>0</v>
      </c>
      <c r="AA319" s="30">
        <f t="shared" si="200"/>
        <v>0</v>
      </c>
      <c r="AB319" s="30">
        <f t="shared" si="201"/>
        <v>0</v>
      </c>
      <c r="AC319" s="30">
        <f t="shared" si="202"/>
        <v>0</v>
      </c>
      <c r="AD319" s="30">
        <f t="shared" si="203"/>
        <v>0</v>
      </c>
      <c r="AE319" s="32">
        <f t="shared" si="213"/>
        <v>0</v>
      </c>
      <c r="AF319" s="33">
        <f t="shared" si="226"/>
        <v>0</v>
      </c>
      <c r="AG319" s="40">
        <f t="shared" si="214"/>
        <v>0</v>
      </c>
      <c r="AH319" s="224">
        <f>AG319*$P$33</f>
        <v>0</v>
      </c>
      <c r="AI319" s="227">
        <f t="shared" si="215"/>
        <v>0</v>
      </c>
    </row>
    <row r="320" spans="1:35" x14ac:dyDescent="0.35">
      <c r="A320" s="45">
        <v>1741</v>
      </c>
      <c r="B320" s="58">
        <f>SUMIF([2]!Table2_23[ETA],'FIS Optimal Model'!A320,[2]!Table2_23[FIS PAX])</f>
        <v>0</v>
      </c>
      <c r="C320" s="44">
        <f t="shared" si="216"/>
        <v>0</v>
      </c>
      <c r="D320" s="52">
        <f t="shared" si="224"/>
        <v>0</v>
      </c>
      <c r="E320" s="26">
        <f t="shared" si="204"/>
        <v>0</v>
      </c>
      <c r="F320" s="26">
        <f t="shared" si="205"/>
        <v>0</v>
      </c>
      <c r="G320" s="26">
        <f t="shared" si="206"/>
        <v>0</v>
      </c>
      <c r="H320" s="26">
        <f t="shared" si="217"/>
        <v>0</v>
      </c>
      <c r="I320" s="27">
        <f t="shared" si="227"/>
        <v>0</v>
      </c>
      <c r="J320" s="27">
        <f t="shared" si="227"/>
        <v>0</v>
      </c>
      <c r="K320" s="27">
        <f t="shared" si="227"/>
        <v>0</v>
      </c>
      <c r="L320" s="27">
        <f t="shared" si="225"/>
        <v>0</v>
      </c>
      <c r="M320" s="28">
        <f t="shared" si="230"/>
        <v>0</v>
      </c>
      <c r="N320" s="29">
        <f t="shared" si="231"/>
        <v>11</v>
      </c>
      <c r="O320" s="28">
        <f t="shared" si="232"/>
        <v>0</v>
      </c>
      <c r="P320" s="28">
        <f t="shared" si="233"/>
        <v>0</v>
      </c>
      <c r="Q320" s="28">
        <f t="shared" si="207"/>
        <v>11</v>
      </c>
      <c r="R320" s="22">
        <f t="shared" si="208"/>
        <v>0</v>
      </c>
      <c r="S320" s="22">
        <f t="shared" si="209"/>
        <v>0</v>
      </c>
      <c r="T320" s="22">
        <f t="shared" si="210"/>
        <v>0</v>
      </c>
      <c r="U320" s="22">
        <f t="shared" si="211"/>
        <v>0</v>
      </c>
      <c r="V320" s="21">
        <f t="shared" si="228"/>
        <v>0</v>
      </c>
      <c r="W320" s="21">
        <f t="shared" si="229"/>
        <v>0</v>
      </c>
      <c r="X320" s="21">
        <f t="shared" si="222"/>
        <v>0</v>
      </c>
      <c r="Y320" s="21">
        <f t="shared" si="223"/>
        <v>0</v>
      </c>
      <c r="Z320" s="221">
        <f t="shared" si="212"/>
        <v>0</v>
      </c>
      <c r="AA320" s="30">
        <f t="shared" si="200"/>
        <v>0</v>
      </c>
      <c r="AB320" s="30">
        <f t="shared" si="201"/>
        <v>0</v>
      </c>
      <c r="AC320" s="30">
        <f t="shared" si="202"/>
        <v>0</v>
      </c>
      <c r="AD320" s="30">
        <f t="shared" si="203"/>
        <v>0</v>
      </c>
      <c r="AE320" s="32">
        <f t="shared" si="213"/>
        <v>0</v>
      </c>
      <c r="AF320" s="33">
        <f t="shared" si="226"/>
        <v>0</v>
      </c>
      <c r="AG320" s="40">
        <f t="shared" si="214"/>
        <v>0</v>
      </c>
      <c r="AH320" s="224">
        <f>AG320*$P$33</f>
        <v>0</v>
      </c>
      <c r="AI320" s="227">
        <f t="shared" si="215"/>
        <v>0</v>
      </c>
    </row>
    <row r="321" spans="1:35" x14ac:dyDescent="0.35">
      <c r="A321" s="45">
        <v>1742</v>
      </c>
      <c r="B321" s="58">
        <f>SUMIF([2]!Table2_23[ETA],'FIS Optimal Model'!A321,[2]!Table2_23[FIS PAX])</f>
        <v>0</v>
      </c>
      <c r="C321" s="44">
        <f t="shared" si="216"/>
        <v>0</v>
      </c>
      <c r="D321" s="52">
        <f t="shared" si="224"/>
        <v>0</v>
      </c>
      <c r="E321" s="26">
        <f t="shared" si="204"/>
        <v>0</v>
      </c>
      <c r="F321" s="26">
        <f t="shared" si="205"/>
        <v>0</v>
      </c>
      <c r="G321" s="26">
        <f t="shared" si="206"/>
        <v>0</v>
      </c>
      <c r="H321" s="26">
        <f t="shared" si="217"/>
        <v>0</v>
      </c>
      <c r="I321" s="27">
        <f t="shared" si="227"/>
        <v>0</v>
      </c>
      <c r="J321" s="27">
        <f t="shared" si="227"/>
        <v>0</v>
      </c>
      <c r="K321" s="27">
        <f t="shared" si="227"/>
        <v>0</v>
      </c>
      <c r="L321" s="27">
        <f t="shared" si="225"/>
        <v>0</v>
      </c>
      <c r="M321" s="28">
        <f t="shared" si="230"/>
        <v>0</v>
      </c>
      <c r="N321" s="29">
        <f t="shared" si="231"/>
        <v>11</v>
      </c>
      <c r="O321" s="28">
        <f t="shared" si="232"/>
        <v>0</v>
      </c>
      <c r="P321" s="28">
        <f t="shared" si="233"/>
        <v>0</v>
      </c>
      <c r="Q321" s="28">
        <f t="shared" si="207"/>
        <v>11</v>
      </c>
      <c r="R321" s="22">
        <f t="shared" si="208"/>
        <v>0</v>
      </c>
      <c r="S321" s="22">
        <f t="shared" si="209"/>
        <v>0</v>
      </c>
      <c r="T321" s="22">
        <f t="shared" si="210"/>
        <v>0</v>
      </c>
      <c r="U321" s="22">
        <f t="shared" si="211"/>
        <v>0</v>
      </c>
      <c r="V321" s="21">
        <f t="shared" si="228"/>
        <v>0</v>
      </c>
      <c r="W321" s="21">
        <f t="shared" si="229"/>
        <v>0</v>
      </c>
      <c r="X321" s="21">
        <f t="shared" si="222"/>
        <v>0</v>
      </c>
      <c r="Y321" s="21">
        <f t="shared" si="223"/>
        <v>0</v>
      </c>
      <c r="Z321" s="221">
        <f t="shared" si="212"/>
        <v>0</v>
      </c>
      <c r="AA321" s="30">
        <f t="shared" si="200"/>
        <v>0</v>
      </c>
      <c r="AB321" s="30">
        <f t="shared" si="201"/>
        <v>0</v>
      </c>
      <c r="AC321" s="30">
        <f t="shared" si="202"/>
        <v>0</v>
      </c>
      <c r="AD321" s="30">
        <f t="shared" si="203"/>
        <v>0</v>
      </c>
      <c r="AE321" s="32">
        <f t="shared" si="213"/>
        <v>0</v>
      </c>
      <c r="AF321" s="33">
        <f t="shared" si="226"/>
        <v>0</v>
      </c>
      <c r="AG321" s="40">
        <f t="shared" si="214"/>
        <v>0</v>
      </c>
      <c r="AH321" s="224">
        <f>AG321*$P$33</f>
        <v>0</v>
      </c>
      <c r="AI321" s="227">
        <f t="shared" si="215"/>
        <v>0</v>
      </c>
    </row>
    <row r="322" spans="1:35" x14ac:dyDescent="0.35">
      <c r="A322" s="45">
        <v>1743</v>
      </c>
      <c r="B322" s="58">
        <f>SUMIF([2]!Table2_23[ETA],'FIS Optimal Model'!A322,[2]!Table2_23[FIS PAX])</f>
        <v>0</v>
      </c>
      <c r="C322" s="44">
        <f t="shared" si="216"/>
        <v>0</v>
      </c>
      <c r="D322" s="52">
        <f t="shared" si="224"/>
        <v>0</v>
      </c>
      <c r="E322" s="26">
        <f t="shared" si="204"/>
        <v>0</v>
      </c>
      <c r="F322" s="26">
        <f t="shared" si="205"/>
        <v>0</v>
      </c>
      <c r="G322" s="26">
        <f t="shared" si="206"/>
        <v>0</v>
      </c>
      <c r="H322" s="26">
        <f t="shared" si="217"/>
        <v>0</v>
      </c>
      <c r="I322" s="27">
        <f t="shared" si="227"/>
        <v>0</v>
      </c>
      <c r="J322" s="27">
        <f t="shared" si="227"/>
        <v>0</v>
      </c>
      <c r="K322" s="27">
        <f t="shared" si="227"/>
        <v>0</v>
      </c>
      <c r="L322" s="27">
        <f t="shared" si="225"/>
        <v>0</v>
      </c>
      <c r="M322" s="28">
        <f t="shared" si="230"/>
        <v>0</v>
      </c>
      <c r="N322" s="29">
        <f t="shared" si="231"/>
        <v>11</v>
      </c>
      <c r="O322" s="28">
        <f t="shared" si="232"/>
        <v>0</v>
      </c>
      <c r="P322" s="28">
        <f t="shared" si="233"/>
        <v>0</v>
      </c>
      <c r="Q322" s="28">
        <f t="shared" si="207"/>
        <v>11</v>
      </c>
      <c r="R322" s="22">
        <f t="shared" si="208"/>
        <v>0</v>
      </c>
      <c r="S322" s="22">
        <f t="shared" si="209"/>
        <v>0</v>
      </c>
      <c r="T322" s="22">
        <f t="shared" si="210"/>
        <v>0</v>
      </c>
      <c r="U322" s="22">
        <f t="shared" si="211"/>
        <v>0</v>
      </c>
      <c r="V322" s="21">
        <f t="shared" si="228"/>
        <v>0</v>
      </c>
      <c r="W322" s="21">
        <f t="shared" si="229"/>
        <v>0</v>
      </c>
      <c r="X322" s="21">
        <f t="shared" si="222"/>
        <v>0</v>
      </c>
      <c r="Y322" s="21">
        <f t="shared" si="223"/>
        <v>0</v>
      </c>
      <c r="Z322" s="221">
        <f t="shared" si="212"/>
        <v>0</v>
      </c>
      <c r="AA322" s="30">
        <f t="shared" si="200"/>
        <v>0</v>
      </c>
      <c r="AB322" s="30">
        <f t="shared" si="201"/>
        <v>0</v>
      </c>
      <c r="AC322" s="30">
        <f t="shared" si="202"/>
        <v>0</v>
      </c>
      <c r="AD322" s="30">
        <f t="shared" si="203"/>
        <v>0</v>
      </c>
      <c r="AE322" s="32">
        <f t="shared" si="213"/>
        <v>0</v>
      </c>
      <c r="AF322" s="33">
        <f t="shared" si="226"/>
        <v>0</v>
      </c>
      <c r="AG322" s="40">
        <f t="shared" si="214"/>
        <v>0</v>
      </c>
      <c r="AH322" s="224">
        <f>AG322*$P$33</f>
        <v>0</v>
      </c>
      <c r="AI322" s="227">
        <f t="shared" si="215"/>
        <v>0</v>
      </c>
    </row>
    <row r="323" spans="1:35" x14ac:dyDescent="0.35">
      <c r="A323" s="45">
        <v>1744</v>
      </c>
      <c r="B323" s="58">
        <f>SUMIF([2]!Table2_23[ETA],'FIS Optimal Model'!A323,[2]!Table2_23[FIS PAX])</f>
        <v>0</v>
      </c>
      <c r="C323" s="44">
        <f t="shared" si="216"/>
        <v>0</v>
      </c>
      <c r="D323" s="52">
        <f t="shared" si="224"/>
        <v>0</v>
      </c>
      <c r="E323" s="26">
        <f t="shared" si="204"/>
        <v>0</v>
      </c>
      <c r="F323" s="26">
        <f t="shared" si="205"/>
        <v>0</v>
      </c>
      <c r="G323" s="26">
        <f t="shared" si="206"/>
        <v>0</v>
      </c>
      <c r="H323" s="26">
        <f t="shared" si="217"/>
        <v>0</v>
      </c>
      <c r="I323" s="27">
        <f t="shared" si="227"/>
        <v>0</v>
      </c>
      <c r="J323" s="27">
        <f t="shared" si="227"/>
        <v>0</v>
      </c>
      <c r="K323" s="27">
        <f t="shared" si="227"/>
        <v>0</v>
      </c>
      <c r="L323" s="27">
        <f t="shared" si="225"/>
        <v>0</v>
      </c>
      <c r="M323" s="28">
        <f t="shared" si="230"/>
        <v>0</v>
      </c>
      <c r="N323" s="29">
        <f t="shared" si="231"/>
        <v>11</v>
      </c>
      <c r="O323" s="28">
        <f t="shared" si="232"/>
        <v>0</v>
      </c>
      <c r="P323" s="28">
        <f t="shared" si="233"/>
        <v>0</v>
      </c>
      <c r="Q323" s="28">
        <f t="shared" si="207"/>
        <v>11</v>
      </c>
      <c r="R323" s="22">
        <f t="shared" si="208"/>
        <v>0</v>
      </c>
      <c r="S323" s="22">
        <f t="shared" si="209"/>
        <v>0</v>
      </c>
      <c r="T323" s="22">
        <f t="shared" si="210"/>
        <v>0</v>
      </c>
      <c r="U323" s="22">
        <f t="shared" si="211"/>
        <v>0</v>
      </c>
      <c r="V323" s="21">
        <f t="shared" si="228"/>
        <v>0</v>
      </c>
      <c r="W323" s="21">
        <f t="shared" si="229"/>
        <v>0</v>
      </c>
      <c r="X323" s="21">
        <f t="shared" si="222"/>
        <v>0</v>
      </c>
      <c r="Y323" s="21">
        <f t="shared" si="223"/>
        <v>0</v>
      </c>
      <c r="Z323" s="221">
        <f t="shared" si="212"/>
        <v>0</v>
      </c>
      <c r="AA323" s="30">
        <f t="shared" si="200"/>
        <v>0</v>
      </c>
      <c r="AB323" s="30">
        <f t="shared" si="201"/>
        <v>0</v>
      </c>
      <c r="AC323" s="30">
        <f t="shared" si="202"/>
        <v>0</v>
      </c>
      <c r="AD323" s="30">
        <f t="shared" si="203"/>
        <v>0</v>
      </c>
      <c r="AE323" s="32">
        <f t="shared" si="213"/>
        <v>0</v>
      </c>
      <c r="AF323" s="33">
        <f t="shared" si="226"/>
        <v>0</v>
      </c>
      <c r="AG323" s="40">
        <f t="shared" si="214"/>
        <v>0</v>
      </c>
      <c r="AH323" s="224">
        <f>AG323*$P$33</f>
        <v>0</v>
      </c>
      <c r="AI323" s="227">
        <f t="shared" si="215"/>
        <v>0</v>
      </c>
    </row>
    <row r="324" spans="1:35" x14ac:dyDescent="0.35">
      <c r="A324" s="45">
        <v>1745</v>
      </c>
      <c r="B324" s="58">
        <f>SUMIF([2]!Table2_23[ETA],'FIS Optimal Model'!A324,[2]!Table2_23[FIS PAX])</f>
        <v>0</v>
      </c>
      <c r="C324" s="44">
        <f t="shared" si="216"/>
        <v>0</v>
      </c>
      <c r="D324" s="52">
        <f t="shared" si="224"/>
        <v>0</v>
      </c>
      <c r="E324" s="26">
        <f t="shared" si="204"/>
        <v>0</v>
      </c>
      <c r="F324" s="26">
        <f t="shared" si="205"/>
        <v>0</v>
      </c>
      <c r="G324" s="26">
        <f t="shared" si="206"/>
        <v>0</v>
      </c>
      <c r="H324" s="26">
        <f t="shared" si="217"/>
        <v>0</v>
      </c>
      <c r="I324" s="27">
        <f t="shared" si="227"/>
        <v>0</v>
      </c>
      <c r="J324" s="27">
        <f t="shared" si="227"/>
        <v>0</v>
      </c>
      <c r="K324" s="27">
        <f t="shared" si="227"/>
        <v>0</v>
      </c>
      <c r="L324" s="27">
        <f t="shared" si="225"/>
        <v>0</v>
      </c>
      <c r="M324" s="28">
        <f t="shared" si="230"/>
        <v>0</v>
      </c>
      <c r="N324" s="29">
        <f t="shared" si="231"/>
        <v>11</v>
      </c>
      <c r="O324" s="28">
        <f t="shared" si="232"/>
        <v>0</v>
      </c>
      <c r="P324" s="28">
        <f t="shared" si="233"/>
        <v>0</v>
      </c>
      <c r="Q324" s="28">
        <f t="shared" si="207"/>
        <v>11</v>
      </c>
      <c r="R324" s="22">
        <f t="shared" si="208"/>
        <v>0</v>
      </c>
      <c r="S324" s="22">
        <f t="shared" si="209"/>
        <v>0</v>
      </c>
      <c r="T324" s="22">
        <f t="shared" si="210"/>
        <v>0</v>
      </c>
      <c r="U324" s="22">
        <f t="shared" si="211"/>
        <v>0</v>
      </c>
      <c r="V324" s="21">
        <f t="shared" si="228"/>
        <v>0</v>
      </c>
      <c r="W324" s="21">
        <f t="shared" si="229"/>
        <v>0</v>
      </c>
      <c r="X324" s="21">
        <f t="shared" si="222"/>
        <v>0</v>
      </c>
      <c r="Y324" s="21">
        <f t="shared" si="223"/>
        <v>0</v>
      </c>
      <c r="Z324" s="221">
        <f t="shared" si="212"/>
        <v>0</v>
      </c>
      <c r="AA324" s="30">
        <f t="shared" si="200"/>
        <v>0</v>
      </c>
      <c r="AB324" s="30">
        <f t="shared" si="201"/>
        <v>0</v>
      </c>
      <c r="AC324" s="30">
        <f t="shared" si="202"/>
        <v>0</v>
      </c>
      <c r="AD324" s="30">
        <f t="shared" si="203"/>
        <v>0</v>
      </c>
      <c r="AE324" s="32">
        <f t="shared" si="213"/>
        <v>0</v>
      </c>
      <c r="AF324" s="33">
        <f t="shared" si="226"/>
        <v>0</v>
      </c>
      <c r="AG324" s="40">
        <f t="shared" si="214"/>
        <v>0</v>
      </c>
      <c r="AH324" s="224">
        <f>AG324*$P$33</f>
        <v>0</v>
      </c>
      <c r="AI324" s="227">
        <f t="shared" si="215"/>
        <v>0</v>
      </c>
    </row>
    <row r="325" spans="1:35" x14ac:dyDescent="0.35">
      <c r="A325" s="45">
        <v>1746</v>
      </c>
      <c r="B325" s="58">
        <f>SUMIF([2]!Table2_23[ETA],'FIS Optimal Model'!A325,[2]!Table2_23[FIS PAX])</f>
        <v>0</v>
      </c>
      <c r="C325" s="44">
        <f t="shared" si="216"/>
        <v>0</v>
      </c>
      <c r="D325" s="52">
        <f t="shared" si="224"/>
        <v>0</v>
      </c>
      <c r="E325" s="26">
        <f t="shared" si="204"/>
        <v>0</v>
      </c>
      <c r="F325" s="26">
        <f t="shared" si="205"/>
        <v>0</v>
      </c>
      <c r="G325" s="26">
        <f t="shared" si="206"/>
        <v>0</v>
      </c>
      <c r="H325" s="26">
        <f t="shared" si="217"/>
        <v>0</v>
      </c>
      <c r="I325" s="27">
        <f t="shared" si="227"/>
        <v>0</v>
      </c>
      <c r="J325" s="27">
        <f t="shared" si="227"/>
        <v>0</v>
      </c>
      <c r="K325" s="27">
        <f t="shared" si="227"/>
        <v>0</v>
      </c>
      <c r="L325" s="27">
        <f t="shared" si="225"/>
        <v>0</v>
      </c>
      <c r="M325" s="28">
        <f>IF(R324=0,0,$Q$25)</f>
        <v>0</v>
      </c>
      <c r="N325" s="29">
        <f>$U$25-M325-O325-P325</f>
        <v>11</v>
      </c>
      <c r="O325" s="28">
        <f>IF(T324=0,0,$S$25)</f>
        <v>0</v>
      </c>
      <c r="P325" s="28">
        <f>IF(U324=0,0,$T$25)</f>
        <v>0</v>
      </c>
      <c r="Q325" s="28">
        <f t="shared" si="207"/>
        <v>11</v>
      </c>
      <c r="R325" s="22">
        <f t="shared" si="208"/>
        <v>0</v>
      </c>
      <c r="S325" s="22">
        <f t="shared" si="209"/>
        <v>0</v>
      </c>
      <c r="T325" s="22">
        <f t="shared" si="210"/>
        <v>0</v>
      </c>
      <c r="U325" s="22">
        <f t="shared" si="211"/>
        <v>0</v>
      </c>
      <c r="V325" s="21">
        <f t="shared" si="228"/>
        <v>0</v>
      </c>
      <c r="W325" s="21">
        <f t="shared" si="229"/>
        <v>0</v>
      </c>
      <c r="X325" s="21">
        <f t="shared" si="222"/>
        <v>0</v>
      </c>
      <c r="Y325" s="21">
        <f t="shared" si="223"/>
        <v>0</v>
      </c>
      <c r="Z325" s="221">
        <f t="shared" si="212"/>
        <v>0</v>
      </c>
      <c r="AA325" s="30">
        <f t="shared" si="200"/>
        <v>0</v>
      </c>
      <c r="AB325" s="30">
        <f t="shared" si="201"/>
        <v>0</v>
      </c>
      <c r="AC325" s="30">
        <f t="shared" si="202"/>
        <v>0</v>
      </c>
      <c r="AD325" s="30">
        <f t="shared" si="203"/>
        <v>0</v>
      </c>
      <c r="AE325" s="32">
        <f t="shared" si="213"/>
        <v>0</v>
      </c>
      <c r="AF325" s="33">
        <f t="shared" si="226"/>
        <v>0</v>
      </c>
      <c r="AG325" s="40">
        <f t="shared" si="214"/>
        <v>0</v>
      </c>
      <c r="AH325" s="224">
        <f>AG325*$P$33</f>
        <v>0</v>
      </c>
      <c r="AI325" s="227">
        <f t="shared" si="215"/>
        <v>0</v>
      </c>
    </row>
    <row r="326" spans="1:35" x14ac:dyDescent="0.35">
      <c r="A326" s="45">
        <v>1747</v>
      </c>
      <c r="B326" s="58">
        <f>SUMIF([2]!Table2_23[ETA],'FIS Optimal Model'!A326,[2]!Table2_23[FIS PAX])</f>
        <v>0</v>
      </c>
      <c r="C326" s="44">
        <f t="shared" si="216"/>
        <v>0</v>
      </c>
      <c r="D326" s="52">
        <f t="shared" si="224"/>
        <v>0</v>
      </c>
      <c r="E326" s="26">
        <f t="shared" si="204"/>
        <v>0</v>
      </c>
      <c r="F326" s="26">
        <f t="shared" si="205"/>
        <v>0</v>
      </c>
      <c r="G326" s="26">
        <f t="shared" si="206"/>
        <v>0</v>
      </c>
      <c r="H326" s="26">
        <f t="shared" si="217"/>
        <v>0</v>
      </c>
      <c r="I326" s="27">
        <f t="shared" si="227"/>
        <v>0</v>
      </c>
      <c r="J326" s="27">
        <f t="shared" si="227"/>
        <v>0</v>
      </c>
      <c r="K326" s="27">
        <f t="shared" si="227"/>
        <v>0</v>
      </c>
      <c r="L326" s="27">
        <f t="shared" si="225"/>
        <v>0</v>
      </c>
      <c r="M326" s="28">
        <f>M325</f>
        <v>0</v>
      </c>
      <c r="N326" s="29">
        <f>$N$325</f>
        <v>11</v>
      </c>
      <c r="O326" s="28">
        <f>$O$325</f>
        <v>0</v>
      </c>
      <c r="P326" s="28">
        <f>$P$325</f>
        <v>0</v>
      </c>
      <c r="Q326" s="28">
        <f t="shared" si="207"/>
        <v>11</v>
      </c>
      <c r="R326" s="22">
        <f t="shared" si="208"/>
        <v>0</v>
      </c>
      <c r="S326" s="22">
        <f t="shared" si="209"/>
        <v>0</v>
      </c>
      <c r="T326" s="22">
        <f t="shared" si="210"/>
        <v>0</v>
      </c>
      <c r="U326" s="22">
        <f t="shared" si="211"/>
        <v>0</v>
      </c>
      <c r="V326" s="21">
        <f t="shared" si="228"/>
        <v>0</v>
      </c>
      <c r="W326" s="21">
        <f t="shared" si="229"/>
        <v>0</v>
      </c>
      <c r="X326" s="21">
        <f t="shared" si="222"/>
        <v>0</v>
      </c>
      <c r="Y326" s="21">
        <f t="shared" si="223"/>
        <v>0</v>
      </c>
      <c r="Z326" s="221">
        <f t="shared" si="212"/>
        <v>0</v>
      </c>
      <c r="AA326" s="30">
        <f t="shared" si="200"/>
        <v>0</v>
      </c>
      <c r="AB326" s="30">
        <f t="shared" si="201"/>
        <v>0</v>
      </c>
      <c r="AC326" s="30">
        <f t="shared" si="202"/>
        <v>0</v>
      </c>
      <c r="AD326" s="30">
        <f t="shared" si="203"/>
        <v>0</v>
      </c>
      <c r="AE326" s="32">
        <f t="shared" si="213"/>
        <v>0</v>
      </c>
      <c r="AF326" s="33">
        <f t="shared" si="226"/>
        <v>0</v>
      </c>
      <c r="AG326" s="40">
        <f t="shared" si="214"/>
        <v>0</v>
      </c>
      <c r="AH326" s="224">
        <f>AG326*$P$33</f>
        <v>0</v>
      </c>
      <c r="AI326" s="227">
        <f t="shared" si="215"/>
        <v>0</v>
      </c>
    </row>
    <row r="327" spans="1:35" x14ac:dyDescent="0.35">
      <c r="A327" s="45">
        <v>1748</v>
      </c>
      <c r="B327" s="58">
        <f>SUMIF([2]!Table2_23[ETA],'FIS Optimal Model'!A327,[2]!Table2_23[FIS PAX])</f>
        <v>0</v>
      </c>
      <c r="C327" s="44">
        <f t="shared" si="216"/>
        <v>0</v>
      </c>
      <c r="D327" s="52">
        <f t="shared" si="224"/>
        <v>0</v>
      </c>
      <c r="E327" s="26">
        <f t="shared" si="204"/>
        <v>0</v>
      </c>
      <c r="F327" s="26">
        <f t="shared" si="205"/>
        <v>0</v>
      </c>
      <c r="G327" s="26">
        <f t="shared" si="206"/>
        <v>0</v>
      </c>
      <c r="H327" s="26">
        <f t="shared" si="217"/>
        <v>0</v>
      </c>
      <c r="I327" s="27">
        <f t="shared" si="227"/>
        <v>0</v>
      </c>
      <c r="J327" s="27">
        <f t="shared" si="227"/>
        <v>0</v>
      </c>
      <c r="K327" s="27">
        <f t="shared" si="227"/>
        <v>0</v>
      </c>
      <c r="L327" s="27">
        <f t="shared" si="225"/>
        <v>0</v>
      </c>
      <c r="M327" s="28">
        <f t="shared" ref="M327:M339" si="234">M326</f>
        <v>0</v>
      </c>
      <c r="N327" s="29">
        <f t="shared" ref="N327:N339" si="235">$N$325</f>
        <v>11</v>
      </c>
      <c r="O327" s="28">
        <f t="shared" ref="O327:O339" si="236">$O$325</f>
        <v>0</v>
      </c>
      <c r="P327" s="28">
        <f t="shared" ref="P327:P339" si="237">$P$325</f>
        <v>0</v>
      </c>
      <c r="Q327" s="28">
        <f t="shared" si="207"/>
        <v>11</v>
      </c>
      <c r="R327" s="22">
        <f t="shared" si="208"/>
        <v>0</v>
      </c>
      <c r="S327" s="22">
        <f t="shared" si="209"/>
        <v>0</v>
      </c>
      <c r="T327" s="22">
        <f t="shared" si="210"/>
        <v>0</v>
      </c>
      <c r="U327" s="22">
        <f t="shared" si="211"/>
        <v>0</v>
      </c>
      <c r="V327" s="21">
        <f t="shared" si="228"/>
        <v>0</v>
      </c>
      <c r="W327" s="21">
        <f t="shared" si="229"/>
        <v>0</v>
      </c>
      <c r="X327" s="21">
        <f t="shared" si="222"/>
        <v>0</v>
      </c>
      <c r="Y327" s="21">
        <f t="shared" si="223"/>
        <v>0</v>
      </c>
      <c r="Z327" s="221">
        <f t="shared" si="212"/>
        <v>0</v>
      </c>
      <c r="AA327" s="30">
        <f t="shared" si="200"/>
        <v>0</v>
      </c>
      <c r="AB327" s="30">
        <f t="shared" si="201"/>
        <v>0</v>
      </c>
      <c r="AC327" s="30">
        <f t="shared" si="202"/>
        <v>0</v>
      </c>
      <c r="AD327" s="30">
        <f t="shared" si="203"/>
        <v>0</v>
      </c>
      <c r="AE327" s="32">
        <f t="shared" si="213"/>
        <v>0</v>
      </c>
      <c r="AF327" s="33">
        <f t="shared" si="226"/>
        <v>0</v>
      </c>
      <c r="AG327" s="40">
        <f t="shared" si="214"/>
        <v>0</v>
      </c>
      <c r="AH327" s="224">
        <f>AG327*$P$33</f>
        <v>0</v>
      </c>
      <c r="AI327" s="227">
        <f t="shared" si="215"/>
        <v>0</v>
      </c>
    </row>
    <row r="328" spans="1:35" x14ac:dyDescent="0.35">
      <c r="A328" s="45">
        <v>1749</v>
      </c>
      <c r="B328" s="58">
        <f>SUMIF([2]!Table2_23[ETA],'FIS Optimal Model'!A328,[2]!Table2_23[FIS PAX])</f>
        <v>0</v>
      </c>
      <c r="C328" s="44">
        <f t="shared" si="216"/>
        <v>0</v>
      </c>
      <c r="D328" s="52">
        <f t="shared" si="224"/>
        <v>0</v>
      </c>
      <c r="E328" s="26">
        <f t="shared" si="204"/>
        <v>0</v>
      </c>
      <c r="F328" s="26">
        <f t="shared" si="205"/>
        <v>0</v>
      </c>
      <c r="G328" s="26">
        <f t="shared" si="206"/>
        <v>0</v>
      </c>
      <c r="H328" s="26">
        <f t="shared" si="217"/>
        <v>0</v>
      </c>
      <c r="I328" s="27">
        <f t="shared" si="227"/>
        <v>0</v>
      </c>
      <c r="J328" s="27">
        <f t="shared" si="227"/>
        <v>0</v>
      </c>
      <c r="K328" s="27">
        <f t="shared" si="227"/>
        <v>0</v>
      </c>
      <c r="L328" s="27">
        <f t="shared" si="225"/>
        <v>0</v>
      </c>
      <c r="M328" s="28">
        <f t="shared" si="234"/>
        <v>0</v>
      </c>
      <c r="N328" s="29">
        <f t="shared" si="235"/>
        <v>11</v>
      </c>
      <c r="O328" s="28">
        <f t="shared" si="236"/>
        <v>0</v>
      </c>
      <c r="P328" s="28">
        <f t="shared" si="237"/>
        <v>0</v>
      </c>
      <c r="Q328" s="28">
        <f t="shared" si="207"/>
        <v>11</v>
      </c>
      <c r="R328" s="22">
        <f t="shared" si="208"/>
        <v>0</v>
      </c>
      <c r="S328" s="22">
        <f t="shared" si="209"/>
        <v>0</v>
      </c>
      <c r="T328" s="22">
        <f t="shared" si="210"/>
        <v>0</v>
      </c>
      <c r="U328" s="22">
        <f t="shared" si="211"/>
        <v>0</v>
      </c>
      <c r="V328" s="21">
        <f t="shared" si="228"/>
        <v>0</v>
      </c>
      <c r="W328" s="21">
        <f t="shared" si="229"/>
        <v>0</v>
      </c>
      <c r="X328" s="21">
        <f t="shared" si="222"/>
        <v>0</v>
      </c>
      <c r="Y328" s="21">
        <f t="shared" si="223"/>
        <v>0</v>
      </c>
      <c r="Z328" s="221">
        <f t="shared" si="212"/>
        <v>0</v>
      </c>
      <c r="AA328" s="30">
        <f t="shared" si="200"/>
        <v>0</v>
      </c>
      <c r="AB328" s="30">
        <f t="shared" si="201"/>
        <v>0</v>
      </c>
      <c r="AC328" s="30">
        <f t="shared" si="202"/>
        <v>0</v>
      </c>
      <c r="AD328" s="30">
        <f t="shared" si="203"/>
        <v>0</v>
      </c>
      <c r="AE328" s="32">
        <f t="shared" si="213"/>
        <v>0</v>
      </c>
      <c r="AF328" s="33">
        <f t="shared" si="226"/>
        <v>0</v>
      </c>
      <c r="AG328" s="40">
        <f t="shared" si="214"/>
        <v>0</v>
      </c>
      <c r="AH328" s="224">
        <f>AG328*$P$33</f>
        <v>0</v>
      </c>
      <c r="AI328" s="227">
        <f t="shared" si="215"/>
        <v>0</v>
      </c>
    </row>
    <row r="329" spans="1:35" x14ac:dyDescent="0.35">
      <c r="A329" s="45">
        <v>1750</v>
      </c>
      <c r="B329" s="58">
        <f>SUMIF([2]!Table2_23[ETA],'FIS Optimal Model'!A329,[2]!Table2_23[FIS PAX])</f>
        <v>0</v>
      </c>
      <c r="C329" s="44">
        <f t="shared" si="216"/>
        <v>0</v>
      </c>
      <c r="D329" s="52">
        <f t="shared" si="224"/>
        <v>0</v>
      </c>
      <c r="E329" s="26">
        <f t="shared" si="204"/>
        <v>0</v>
      </c>
      <c r="F329" s="26">
        <f t="shared" si="205"/>
        <v>0</v>
      </c>
      <c r="G329" s="26">
        <f t="shared" si="206"/>
        <v>0</v>
      </c>
      <c r="H329" s="26">
        <f t="shared" si="217"/>
        <v>0</v>
      </c>
      <c r="I329" s="27">
        <f t="shared" si="227"/>
        <v>0</v>
      </c>
      <c r="J329" s="27">
        <f t="shared" si="227"/>
        <v>0</v>
      </c>
      <c r="K329" s="27">
        <f t="shared" si="227"/>
        <v>0</v>
      </c>
      <c r="L329" s="27">
        <f t="shared" si="225"/>
        <v>0</v>
      </c>
      <c r="M329" s="28">
        <f t="shared" si="234"/>
        <v>0</v>
      </c>
      <c r="N329" s="29">
        <f t="shared" si="235"/>
        <v>11</v>
      </c>
      <c r="O329" s="28">
        <f t="shared" si="236"/>
        <v>0</v>
      </c>
      <c r="P329" s="28">
        <f t="shared" si="237"/>
        <v>0</v>
      </c>
      <c r="Q329" s="28">
        <f t="shared" si="207"/>
        <v>11</v>
      </c>
      <c r="R329" s="22">
        <f t="shared" si="208"/>
        <v>0</v>
      </c>
      <c r="S329" s="22">
        <f t="shared" si="209"/>
        <v>0</v>
      </c>
      <c r="T329" s="22">
        <f t="shared" si="210"/>
        <v>0</v>
      </c>
      <c r="U329" s="22">
        <f t="shared" si="211"/>
        <v>0</v>
      </c>
      <c r="V329" s="21">
        <f t="shared" si="228"/>
        <v>0</v>
      </c>
      <c r="W329" s="21">
        <f t="shared" si="229"/>
        <v>0</v>
      </c>
      <c r="X329" s="21">
        <f t="shared" si="222"/>
        <v>0</v>
      </c>
      <c r="Y329" s="21">
        <f t="shared" si="223"/>
        <v>0</v>
      </c>
      <c r="Z329" s="221">
        <f t="shared" si="212"/>
        <v>0</v>
      </c>
      <c r="AA329" s="30">
        <f t="shared" si="200"/>
        <v>0</v>
      </c>
      <c r="AB329" s="30">
        <f t="shared" si="201"/>
        <v>0</v>
      </c>
      <c r="AC329" s="30">
        <f t="shared" si="202"/>
        <v>0</v>
      </c>
      <c r="AD329" s="30">
        <f t="shared" si="203"/>
        <v>0</v>
      </c>
      <c r="AE329" s="32">
        <f t="shared" si="213"/>
        <v>0</v>
      </c>
      <c r="AF329" s="33">
        <f t="shared" si="226"/>
        <v>0</v>
      </c>
      <c r="AG329" s="40">
        <f t="shared" si="214"/>
        <v>0</v>
      </c>
      <c r="AH329" s="224">
        <f>AG329*$P$33</f>
        <v>0</v>
      </c>
      <c r="AI329" s="227">
        <f t="shared" si="215"/>
        <v>0</v>
      </c>
    </row>
    <row r="330" spans="1:35" x14ac:dyDescent="0.35">
      <c r="A330" s="45">
        <v>1751</v>
      </c>
      <c r="B330" s="58">
        <f>SUMIF([2]!Table2_23[ETA],'FIS Optimal Model'!A330,[2]!Table2_23[FIS PAX])</f>
        <v>0</v>
      </c>
      <c r="C330" s="44">
        <f t="shared" si="216"/>
        <v>0</v>
      </c>
      <c r="D330" s="52">
        <f t="shared" si="224"/>
        <v>0</v>
      </c>
      <c r="E330" s="26">
        <f t="shared" si="204"/>
        <v>0</v>
      </c>
      <c r="F330" s="26">
        <f t="shared" si="205"/>
        <v>0</v>
      </c>
      <c r="G330" s="26">
        <f t="shared" si="206"/>
        <v>0</v>
      </c>
      <c r="H330" s="26">
        <f t="shared" si="217"/>
        <v>0</v>
      </c>
      <c r="I330" s="27">
        <f t="shared" si="227"/>
        <v>0</v>
      </c>
      <c r="J330" s="27">
        <f t="shared" si="227"/>
        <v>0</v>
      </c>
      <c r="K330" s="27">
        <f t="shared" si="227"/>
        <v>0</v>
      </c>
      <c r="L330" s="27">
        <f t="shared" si="225"/>
        <v>0</v>
      </c>
      <c r="M330" s="28">
        <f t="shared" si="234"/>
        <v>0</v>
      </c>
      <c r="N330" s="29">
        <f t="shared" si="235"/>
        <v>11</v>
      </c>
      <c r="O330" s="28">
        <f t="shared" si="236"/>
        <v>0</v>
      </c>
      <c r="P330" s="28">
        <f t="shared" si="237"/>
        <v>0</v>
      </c>
      <c r="Q330" s="28">
        <f t="shared" si="207"/>
        <v>11</v>
      </c>
      <c r="R330" s="22">
        <f t="shared" si="208"/>
        <v>0</v>
      </c>
      <c r="S330" s="22">
        <f t="shared" si="209"/>
        <v>0</v>
      </c>
      <c r="T330" s="22">
        <f t="shared" si="210"/>
        <v>0</v>
      </c>
      <c r="U330" s="22">
        <f t="shared" si="211"/>
        <v>0</v>
      </c>
      <c r="V330" s="21">
        <f t="shared" si="228"/>
        <v>0</v>
      </c>
      <c r="W330" s="21">
        <f t="shared" si="229"/>
        <v>0</v>
      </c>
      <c r="X330" s="21">
        <f t="shared" si="222"/>
        <v>0</v>
      </c>
      <c r="Y330" s="21">
        <f t="shared" si="223"/>
        <v>0</v>
      </c>
      <c r="Z330" s="221">
        <f t="shared" si="212"/>
        <v>0</v>
      </c>
      <c r="AA330" s="30">
        <f t="shared" si="200"/>
        <v>0</v>
      </c>
      <c r="AB330" s="30">
        <f t="shared" si="201"/>
        <v>0</v>
      </c>
      <c r="AC330" s="30">
        <f t="shared" si="202"/>
        <v>0</v>
      </c>
      <c r="AD330" s="30">
        <f t="shared" si="203"/>
        <v>0</v>
      </c>
      <c r="AE330" s="32">
        <f t="shared" si="213"/>
        <v>0</v>
      </c>
      <c r="AF330" s="33">
        <f t="shared" si="226"/>
        <v>0</v>
      </c>
      <c r="AG330" s="40">
        <f t="shared" si="214"/>
        <v>0</v>
      </c>
      <c r="AH330" s="224">
        <f>AG330*$P$33</f>
        <v>0</v>
      </c>
      <c r="AI330" s="227">
        <f t="shared" si="215"/>
        <v>0</v>
      </c>
    </row>
    <row r="331" spans="1:35" x14ac:dyDescent="0.35">
      <c r="A331" s="45">
        <v>1752</v>
      </c>
      <c r="B331" s="58">
        <f>SUMIF([2]!Table2_23[ETA],'FIS Optimal Model'!A331,[2]!Table2_23[FIS PAX])</f>
        <v>0</v>
      </c>
      <c r="C331" s="44">
        <f t="shared" si="216"/>
        <v>0</v>
      </c>
      <c r="D331" s="52">
        <f t="shared" si="224"/>
        <v>0</v>
      </c>
      <c r="E331" s="26">
        <f t="shared" si="204"/>
        <v>0</v>
      </c>
      <c r="F331" s="26">
        <f t="shared" si="205"/>
        <v>0</v>
      </c>
      <c r="G331" s="26">
        <f t="shared" si="206"/>
        <v>0</v>
      </c>
      <c r="H331" s="26">
        <f t="shared" si="217"/>
        <v>0</v>
      </c>
      <c r="I331" s="27">
        <f t="shared" si="227"/>
        <v>0</v>
      </c>
      <c r="J331" s="27">
        <f t="shared" si="227"/>
        <v>0</v>
      </c>
      <c r="K331" s="27">
        <f t="shared" si="227"/>
        <v>0</v>
      </c>
      <c r="L331" s="27">
        <f t="shared" si="225"/>
        <v>0</v>
      </c>
      <c r="M331" s="28">
        <f t="shared" si="234"/>
        <v>0</v>
      </c>
      <c r="N331" s="29">
        <f t="shared" si="235"/>
        <v>11</v>
      </c>
      <c r="O331" s="28">
        <f t="shared" si="236"/>
        <v>0</v>
      </c>
      <c r="P331" s="28">
        <f t="shared" si="237"/>
        <v>0</v>
      </c>
      <c r="Q331" s="28">
        <f t="shared" si="207"/>
        <v>11</v>
      </c>
      <c r="R331" s="22">
        <f t="shared" si="208"/>
        <v>0</v>
      </c>
      <c r="S331" s="22">
        <f t="shared" si="209"/>
        <v>0</v>
      </c>
      <c r="T331" s="22">
        <f t="shared" si="210"/>
        <v>0</v>
      </c>
      <c r="U331" s="22">
        <f t="shared" si="211"/>
        <v>0</v>
      </c>
      <c r="V331" s="21">
        <f t="shared" si="228"/>
        <v>0</v>
      </c>
      <c r="W331" s="21">
        <f t="shared" si="229"/>
        <v>0</v>
      </c>
      <c r="X331" s="21">
        <f t="shared" si="222"/>
        <v>0</v>
      </c>
      <c r="Y331" s="21">
        <f t="shared" si="223"/>
        <v>0</v>
      </c>
      <c r="Z331" s="221">
        <f t="shared" si="212"/>
        <v>0</v>
      </c>
      <c r="AA331" s="30">
        <f t="shared" si="200"/>
        <v>0</v>
      </c>
      <c r="AB331" s="30">
        <f t="shared" si="201"/>
        <v>0</v>
      </c>
      <c r="AC331" s="30">
        <f t="shared" si="202"/>
        <v>0</v>
      </c>
      <c r="AD331" s="30">
        <f t="shared" si="203"/>
        <v>0</v>
      </c>
      <c r="AE331" s="32">
        <f t="shared" si="213"/>
        <v>0</v>
      </c>
      <c r="AF331" s="33">
        <f t="shared" si="226"/>
        <v>0</v>
      </c>
      <c r="AG331" s="40">
        <f t="shared" si="214"/>
        <v>0</v>
      </c>
      <c r="AH331" s="224">
        <f>AG331*$P$33</f>
        <v>0</v>
      </c>
      <c r="AI331" s="227">
        <f t="shared" si="215"/>
        <v>0</v>
      </c>
    </row>
    <row r="332" spans="1:35" x14ac:dyDescent="0.35">
      <c r="A332" s="45">
        <v>1753</v>
      </c>
      <c r="B332" s="58">
        <f>SUMIF([2]!Table2_23[ETA],'FIS Optimal Model'!A332,[2]!Table2_23[FIS PAX])</f>
        <v>0</v>
      </c>
      <c r="C332" s="44">
        <f t="shared" si="216"/>
        <v>0</v>
      </c>
      <c r="D332" s="52">
        <f t="shared" si="224"/>
        <v>0</v>
      </c>
      <c r="E332" s="26">
        <f t="shared" si="204"/>
        <v>0</v>
      </c>
      <c r="F332" s="26">
        <f t="shared" si="205"/>
        <v>0</v>
      </c>
      <c r="G332" s="26">
        <f t="shared" si="206"/>
        <v>0</v>
      </c>
      <c r="H332" s="26">
        <f t="shared" si="217"/>
        <v>0</v>
      </c>
      <c r="I332" s="27">
        <f t="shared" si="227"/>
        <v>0</v>
      </c>
      <c r="J332" s="27">
        <f t="shared" si="227"/>
        <v>0</v>
      </c>
      <c r="K332" s="27">
        <f t="shared" si="227"/>
        <v>0</v>
      </c>
      <c r="L332" s="27">
        <f t="shared" si="225"/>
        <v>0</v>
      </c>
      <c r="M332" s="28">
        <f t="shared" si="234"/>
        <v>0</v>
      </c>
      <c r="N332" s="29">
        <f t="shared" si="235"/>
        <v>11</v>
      </c>
      <c r="O332" s="28">
        <f t="shared" si="236"/>
        <v>0</v>
      </c>
      <c r="P332" s="28">
        <f t="shared" si="237"/>
        <v>0</v>
      </c>
      <c r="Q332" s="28">
        <f t="shared" si="207"/>
        <v>11</v>
      </c>
      <c r="R332" s="22">
        <f t="shared" si="208"/>
        <v>0</v>
      </c>
      <c r="S332" s="22">
        <f t="shared" si="209"/>
        <v>0</v>
      </c>
      <c r="T332" s="22">
        <f t="shared" si="210"/>
        <v>0</v>
      </c>
      <c r="U332" s="22">
        <f t="shared" si="211"/>
        <v>0</v>
      </c>
      <c r="V332" s="21">
        <f t="shared" si="228"/>
        <v>0</v>
      </c>
      <c r="W332" s="21">
        <f t="shared" si="229"/>
        <v>0</v>
      </c>
      <c r="X332" s="21">
        <f t="shared" si="222"/>
        <v>0</v>
      </c>
      <c r="Y332" s="21">
        <f t="shared" si="223"/>
        <v>0</v>
      </c>
      <c r="Z332" s="221">
        <f t="shared" si="212"/>
        <v>0</v>
      </c>
      <c r="AA332" s="30">
        <f t="shared" si="200"/>
        <v>0</v>
      </c>
      <c r="AB332" s="30">
        <f t="shared" si="201"/>
        <v>0</v>
      </c>
      <c r="AC332" s="30">
        <f t="shared" si="202"/>
        <v>0</v>
      </c>
      <c r="AD332" s="30">
        <f t="shared" si="203"/>
        <v>0</v>
      </c>
      <c r="AE332" s="32">
        <f t="shared" si="213"/>
        <v>0</v>
      </c>
      <c r="AF332" s="33">
        <f t="shared" si="226"/>
        <v>0</v>
      </c>
      <c r="AG332" s="40">
        <f t="shared" si="214"/>
        <v>0</v>
      </c>
      <c r="AH332" s="224">
        <f>AG332*$P$33</f>
        <v>0</v>
      </c>
      <c r="AI332" s="227">
        <f t="shared" si="215"/>
        <v>0</v>
      </c>
    </row>
    <row r="333" spans="1:35" x14ac:dyDescent="0.35">
      <c r="A333" s="45">
        <v>1754</v>
      </c>
      <c r="B333" s="58">
        <f>SUMIF([2]!Table2_23[ETA],'FIS Optimal Model'!A333,[2]!Table2_23[FIS PAX])</f>
        <v>0</v>
      </c>
      <c r="C333" s="44">
        <f t="shared" si="216"/>
        <v>0</v>
      </c>
      <c r="D333" s="52">
        <f t="shared" si="224"/>
        <v>0</v>
      </c>
      <c r="E333" s="26">
        <f t="shared" si="204"/>
        <v>0</v>
      </c>
      <c r="F333" s="26">
        <f t="shared" si="205"/>
        <v>0</v>
      </c>
      <c r="G333" s="26">
        <f t="shared" si="206"/>
        <v>0</v>
      </c>
      <c r="H333" s="26">
        <f t="shared" si="217"/>
        <v>0</v>
      </c>
      <c r="I333" s="27">
        <f t="shared" si="227"/>
        <v>0</v>
      </c>
      <c r="J333" s="27">
        <f t="shared" si="227"/>
        <v>0</v>
      </c>
      <c r="K333" s="27">
        <f t="shared" si="227"/>
        <v>0</v>
      </c>
      <c r="L333" s="27">
        <f t="shared" si="225"/>
        <v>0</v>
      </c>
      <c r="M333" s="28">
        <f t="shared" si="234"/>
        <v>0</v>
      </c>
      <c r="N333" s="29">
        <f t="shared" si="235"/>
        <v>11</v>
      </c>
      <c r="O333" s="28">
        <f t="shared" si="236"/>
        <v>0</v>
      </c>
      <c r="P333" s="28">
        <f t="shared" si="237"/>
        <v>0</v>
      </c>
      <c r="Q333" s="28">
        <f t="shared" si="207"/>
        <v>11</v>
      </c>
      <c r="R333" s="22">
        <f t="shared" si="208"/>
        <v>0</v>
      </c>
      <c r="S333" s="22">
        <f t="shared" si="209"/>
        <v>0</v>
      </c>
      <c r="T333" s="22">
        <f t="shared" si="210"/>
        <v>0</v>
      </c>
      <c r="U333" s="22">
        <f t="shared" si="211"/>
        <v>0</v>
      </c>
      <c r="V333" s="21">
        <f t="shared" si="228"/>
        <v>0</v>
      </c>
      <c r="W333" s="21">
        <f t="shared" si="229"/>
        <v>0</v>
      </c>
      <c r="X333" s="21">
        <f t="shared" si="222"/>
        <v>0</v>
      </c>
      <c r="Y333" s="21">
        <f t="shared" si="223"/>
        <v>0</v>
      </c>
      <c r="Z333" s="221">
        <f t="shared" si="212"/>
        <v>0</v>
      </c>
      <c r="AA333" s="30">
        <f t="shared" si="200"/>
        <v>0</v>
      </c>
      <c r="AB333" s="30">
        <f t="shared" si="201"/>
        <v>0</v>
      </c>
      <c r="AC333" s="30">
        <f t="shared" si="202"/>
        <v>0</v>
      </c>
      <c r="AD333" s="30">
        <f t="shared" si="203"/>
        <v>0</v>
      </c>
      <c r="AE333" s="32">
        <f t="shared" si="213"/>
        <v>0</v>
      </c>
      <c r="AF333" s="33">
        <f t="shared" si="226"/>
        <v>0</v>
      </c>
      <c r="AG333" s="40">
        <f t="shared" si="214"/>
        <v>0</v>
      </c>
      <c r="AH333" s="224">
        <f>AG333*$P$33</f>
        <v>0</v>
      </c>
      <c r="AI333" s="227">
        <f t="shared" si="215"/>
        <v>0</v>
      </c>
    </row>
    <row r="334" spans="1:35" x14ac:dyDescent="0.35">
      <c r="A334" s="45">
        <v>1755</v>
      </c>
      <c r="B334" s="58">
        <f>SUMIF([2]!Table2_23[ETA],'FIS Optimal Model'!A334,[2]!Table2_23[FIS PAX])</f>
        <v>0</v>
      </c>
      <c r="C334" s="44">
        <f t="shared" si="216"/>
        <v>0</v>
      </c>
      <c r="D334" s="52">
        <f t="shared" si="224"/>
        <v>0</v>
      </c>
      <c r="E334" s="26">
        <f t="shared" si="204"/>
        <v>0</v>
      </c>
      <c r="F334" s="26">
        <f t="shared" si="205"/>
        <v>0</v>
      </c>
      <c r="G334" s="26">
        <f t="shared" si="206"/>
        <v>0</v>
      </c>
      <c r="H334" s="26">
        <f t="shared" si="217"/>
        <v>0</v>
      </c>
      <c r="I334" s="27">
        <f t="shared" si="227"/>
        <v>0</v>
      </c>
      <c r="J334" s="27">
        <f t="shared" si="227"/>
        <v>0</v>
      </c>
      <c r="K334" s="27">
        <f t="shared" si="227"/>
        <v>0</v>
      </c>
      <c r="L334" s="27">
        <f t="shared" si="225"/>
        <v>0</v>
      </c>
      <c r="M334" s="28">
        <f t="shared" si="234"/>
        <v>0</v>
      </c>
      <c r="N334" s="29">
        <f t="shared" si="235"/>
        <v>11</v>
      </c>
      <c r="O334" s="28">
        <f t="shared" si="236"/>
        <v>0</v>
      </c>
      <c r="P334" s="28">
        <f t="shared" si="237"/>
        <v>0</v>
      </c>
      <c r="Q334" s="28">
        <f t="shared" si="207"/>
        <v>11</v>
      </c>
      <c r="R334" s="22">
        <f t="shared" si="208"/>
        <v>0</v>
      </c>
      <c r="S334" s="22">
        <f t="shared" si="209"/>
        <v>0</v>
      </c>
      <c r="T334" s="22">
        <f t="shared" si="210"/>
        <v>0</v>
      </c>
      <c r="U334" s="22">
        <f t="shared" si="211"/>
        <v>0</v>
      </c>
      <c r="V334" s="21">
        <f t="shared" si="228"/>
        <v>0</v>
      </c>
      <c r="W334" s="21">
        <f t="shared" si="229"/>
        <v>0</v>
      </c>
      <c r="X334" s="21">
        <f t="shared" si="222"/>
        <v>0</v>
      </c>
      <c r="Y334" s="21">
        <f t="shared" si="223"/>
        <v>0</v>
      </c>
      <c r="Z334" s="221">
        <f t="shared" si="212"/>
        <v>0</v>
      </c>
      <c r="AA334" s="30">
        <f t="shared" si="200"/>
        <v>0</v>
      </c>
      <c r="AB334" s="30">
        <f t="shared" si="201"/>
        <v>0</v>
      </c>
      <c r="AC334" s="30">
        <f t="shared" si="202"/>
        <v>0</v>
      </c>
      <c r="AD334" s="30">
        <f t="shared" si="203"/>
        <v>0</v>
      </c>
      <c r="AE334" s="32">
        <f t="shared" si="213"/>
        <v>0</v>
      </c>
      <c r="AF334" s="33">
        <f t="shared" si="226"/>
        <v>0</v>
      </c>
      <c r="AG334" s="40">
        <f t="shared" si="214"/>
        <v>0</v>
      </c>
      <c r="AH334" s="224">
        <f>AG334*$P$33</f>
        <v>0</v>
      </c>
      <c r="AI334" s="227">
        <f t="shared" si="215"/>
        <v>0</v>
      </c>
    </row>
    <row r="335" spans="1:35" x14ac:dyDescent="0.35">
      <c r="A335" s="45">
        <v>1756</v>
      </c>
      <c r="B335" s="58">
        <f>SUMIF([2]!Table2_23[ETA],'FIS Optimal Model'!A335,[2]!Table2_23[FIS PAX])</f>
        <v>0</v>
      </c>
      <c r="C335" s="44">
        <f t="shared" si="216"/>
        <v>0</v>
      </c>
      <c r="D335" s="52">
        <f t="shared" si="224"/>
        <v>0</v>
      </c>
      <c r="E335" s="26">
        <f t="shared" si="204"/>
        <v>0</v>
      </c>
      <c r="F335" s="26">
        <f t="shared" si="205"/>
        <v>0</v>
      </c>
      <c r="G335" s="26">
        <f t="shared" si="206"/>
        <v>0</v>
      </c>
      <c r="H335" s="26">
        <f t="shared" si="217"/>
        <v>0</v>
      </c>
      <c r="I335" s="27">
        <f t="shared" si="227"/>
        <v>0</v>
      </c>
      <c r="J335" s="27">
        <f t="shared" si="227"/>
        <v>0</v>
      </c>
      <c r="K335" s="27">
        <f t="shared" si="227"/>
        <v>0</v>
      </c>
      <c r="L335" s="27">
        <f t="shared" si="225"/>
        <v>0</v>
      </c>
      <c r="M335" s="28">
        <f t="shared" si="234"/>
        <v>0</v>
      </c>
      <c r="N335" s="29">
        <f t="shared" si="235"/>
        <v>11</v>
      </c>
      <c r="O335" s="28">
        <f t="shared" si="236"/>
        <v>0</v>
      </c>
      <c r="P335" s="28">
        <f t="shared" si="237"/>
        <v>0</v>
      </c>
      <c r="Q335" s="28">
        <f t="shared" si="207"/>
        <v>11</v>
      </c>
      <c r="R335" s="22">
        <f t="shared" si="208"/>
        <v>0</v>
      </c>
      <c r="S335" s="22">
        <f t="shared" si="209"/>
        <v>0</v>
      </c>
      <c r="T335" s="22">
        <f t="shared" si="210"/>
        <v>0</v>
      </c>
      <c r="U335" s="22">
        <f t="shared" si="211"/>
        <v>0</v>
      </c>
      <c r="V335" s="21">
        <f t="shared" si="228"/>
        <v>0</v>
      </c>
      <c r="W335" s="21">
        <f t="shared" si="229"/>
        <v>0</v>
      </c>
      <c r="X335" s="21">
        <f t="shared" si="222"/>
        <v>0</v>
      </c>
      <c r="Y335" s="21">
        <f t="shared" si="223"/>
        <v>0</v>
      </c>
      <c r="Z335" s="221">
        <f t="shared" si="212"/>
        <v>0</v>
      </c>
      <c r="AA335" s="30">
        <f t="shared" si="200"/>
        <v>0</v>
      </c>
      <c r="AB335" s="30">
        <f t="shared" si="201"/>
        <v>0</v>
      </c>
      <c r="AC335" s="30">
        <f t="shared" si="202"/>
        <v>0</v>
      </c>
      <c r="AD335" s="30">
        <f t="shared" si="203"/>
        <v>0</v>
      </c>
      <c r="AE335" s="32">
        <f t="shared" si="213"/>
        <v>0</v>
      </c>
      <c r="AF335" s="33">
        <f t="shared" si="226"/>
        <v>0</v>
      </c>
      <c r="AG335" s="40">
        <f t="shared" si="214"/>
        <v>0</v>
      </c>
      <c r="AH335" s="224">
        <f>AG335*$P$33</f>
        <v>0</v>
      </c>
      <c r="AI335" s="227">
        <f t="shared" si="215"/>
        <v>0</v>
      </c>
    </row>
    <row r="336" spans="1:35" x14ac:dyDescent="0.35">
      <c r="A336" s="45">
        <v>1757</v>
      </c>
      <c r="B336" s="58">
        <f>SUMIF([2]!Table2_23[ETA],'FIS Optimal Model'!A336,[2]!Table2_23[FIS PAX])</f>
        <v>0</v>
      </c>
      <c r="C336" s="44">
        <f t="shared" si="216"/>
        <v>0</v>
      </c>
      <c r="D336" s="52">
        <f t="shared" si="224"/>
        <v>0</v>
      </c>
      <c r="E336" s="26">
        <f t="shared" si="204"/>
        <v>0</v>
      </c>
      <c r="F336" s="26">
        <f t="shared" si="205"/>
        <v>0</v>
      </c>
      <c r="G336" s="26">
        <f t="shared" si="206"/>
        <v>0</v>
      </c>
      <c r="H336" s="26">
        <f t="shared" si="217"/>
        <v>0</v>
      </c>
      <c r="I336" s="27">
        <f t="shared" si="227"/>
        <v>0</v>
      </c>
      <c r="J336" s="27">
        <f t="shared" si="227"/>
        <v>0</v>
      </c>
      <c r="K336" s="27">
        <f t="shared" si="227"/>
        <v>0</v>
      </c>
      <c r="L336" s="27">
        <f t="shared" si="225"/>
        <v>0</v>
      </c>
      <c r="M336" s="28">
        <f t="shared" si="234"/>
        <v>0</v>
      </c>
      <c r="N336" s="29">
        <f t="shared" si="235"/>
        <v>11</v>
      </c>
      <c r="O336" s="28">
        <f t="shared" si="236"/>
        <v>0</v>
      </c>
      <c r="P336" s="28">
        <f t="shared" si="237"/>
        <v>0</v>
      </c>
      <c r="Q336" s="28">
        <f t="shared" si="207"/>
        <v>11</v>
      </c>
      <c r="R336" s="22">
        <f t="shared" si="208"/>
        <v>0</v>
      </c>
      <c r="S336" s="22">
        <f t="shared" si="209"/>
        <v>0</v>
      </c>
      <c r="T336" s="22">
        <f t="shared" si="210"/>
        <v>0</v>
      </c>
      <c r="U336" s="22">
        <f t="shared" si="211"/>
        <v>0</v>
      </c>
      <c r="V336" s="21">
        <f t="shared" si="228"/>
        <v>0</v>
      </c>
      <c r="W336" s="21">
        <f t="shared" si="229"/>
        <v>0</v>
      </c>
      <c r="X336" s="21">
        <f t="shared" si="222"/>
        <v>0</v>
      </c>
      <c r="Y336" s="21">
        <f t="shared" si="223"/>
        <v>0</v>
      </c>
      <c r="Z336" s="221">
        <f t="shared" si="212"/>
        <v>0</v>
      </c>
      <c r="AA336" s="30">
        <f t="shared" si="200"/>
        <v>0</v>
      </c>
      <c r="AB336" s="30">
        <f t="shared" si="201"/>
        <v>0</v>
      </c>
      <c r="AC336" s="30">
        <f t="shared" si="202"/>
        <v>0</v>
      </c>
      <c r="AD336" s="30">
        <f t="shared" si="203"/>
        <v>0</v>
      </c>
      <c r="AE336" s="32">
        <f t="shared" si="213"/>
        <v>0</v>
      </c>
      <c r="AF336" s="33">
        <f t="shared" si="226"/>
        <v>0</v>
      </c>
      <c r="AG336" s="40">
        <f t="shared" si="214"/>
        <v>0</v>
      </c>
      <c r="AH336" s="224">
        <f>AG336*$P$33</f>
        <v>0</v>
      </c>
      <c r="AI336" s="227">
        <f t="shared" si="215"/>
        <v>0</v>
      </c>
    </row>
    <row r="337" spans="1:35" x14ac:dyDescent="0.35">
      <c r="A337" s="45">
        <v>1758</v>
      </c>
      <c r="B337" s="58">
        <f>SUMIF([2]!Table2_23[ETA],'FIS Optimal Model'!A337,[2]!Table2_23[FIS PAX])</f>
        <v>0</v>
      </c>
      <c r="C337" s="44">
        <f t="shared" si="216"/>
        <v>0</v>
      </c>
      <c r="D337" s="52">
        <f t="shared" si="224"/>
        <v>0</v>
      </c>
      <c r="E337" s="26">
        <f t="shared" si="204"/>
        <v>0</v>
      </c>
      <c r="F337" s="26">
        <f t="shared" si="205"/>
        <v>0</v>
      </c>
      <c r="G337" s="26">
        <f t="shared" si="206"/>
        <v>0</v>
      </c>
      <c r="H337" s="26">
        <f t="shared" si="217"/>
        <v>0</v>
      </c>
      <c r="I337" s="27">
        <f t="shared" si="227"/>
        <v>0</v>
      </c>
      <c r="J337" s="27">
        <f t="shared" si="227"/>
        <v>0</v>
      </c>
      <c r="K337" s="27">
        <f t="shared" si="227"/>
        <v>0</v>
      </c>
      <c r="L337" s="27">
        <f t="shared" si="225"/>
        <v>0</v>
      </c>
      <c r="M337" s="28">
        <f t="shared" si="234"/>
        <v>0</v>
      </c>
      <c r="N337" s="29">
        <f t="shared" si="235"/>
        <v>11</v>
      </c>
      <c r="O337" s="28">
        <f t="shared" si="236"/>
        <v>0</v>
      </c>
      <c r="P337" s="28">
        <f t="shared" si="237"/>
        <v>0</v>
      </c>
      <c r="Q337" s="28">
        <f t="shared" si="207"/>
        <v>11</v>
      </c>
      <c r="R337" s="22">
        <f t="shared" si="208"/>
        <v>0</v>
      </c>
      <c r="S337" s="22">
        <f t="shared" si="209"/>
        <v>0</v>
      </c>
      <c r="T337" s="22">
        <f t="shared" si="210"/>
        <v>0</v>
      </c>
      <c r="U337" s="22">
        <f t="shared" si="211"/>
        <v>0</v>
      </c>
      <c r="V337" s="21">
        <f t="shared" si="228"/>
        <v>0</v>
      </c>
      <c r="W337" s="21">
        <f t="shared" si="229"/>
        <v>0</v>
      </c>
      <c r="X337" s="21">
        <f t="shared" si="222"/>
        <v>0</v>
      </c>
      <c r="Y337" s="21">
        <f t="shared" si="223"/>
        <v>0</v>
      </c>
      <c r="Z337" s="221">
        <f t="shared" si="212"/>
        <v>0</v>
      </c>
      <c r="AA337" s="30">
        <f t="shared" si="200"/>
        <v>0</v>
      </c>
      <c r="AB337" s="30">
        <f t="shared" si="201"/>
        <v>0</v>
      </c>
      <c r="AC337" s="30">
        <f t="shared" si="202"/>
        <v>0</v>
      </c>
      <c r="AD337" s="30">
        <f t="shared" si="203"/>
        <v>0</v>
      </c>
      <c r="AE337" s="32">
        <f t="shared" si="213"/>
        <v>0</v>
      </c>
      <c r="AF337" s="33">
        <f t="shared" si="226"/>
        <v>0</v>
      </c>
      <c r="AG337" s="40">
        <f t="shared" si="214"/>
        <v>0</v>
      </c>
      <c r="AH337" s="224">
        <f>AG337*$P$33</f>
        <v>0</v>
      </c>
      <c r="AI337" s="227">
        <f t="shared" si="215"/>
        <v>0</v>
      </c>
    </row>
    <row r="338" spans="1:35" x14ac:dyDescent="0.35">
      <c r="A338" s="45">
        <v>1759</v>
      </c>
      <c r="B338" s="58">
        <f>SUMIF([2]!Table2_23[ETA],'FIS Optimal Model'!A338,[2]!Table2_23[FIS PAX])</f>
        <v>0</v>
      </c>
      <c r="C338" s="44">
        <f t="shared" si="216"/>
        <v>0</v>
      </c>
      <c r="D338" s="52">
        <f t="shared" si="224"/>
        <v>0</v>
      </c>
      <c r="E338" s="26">
        <f t="shared" si="204"/>
        <v>0</v>
      </c>
      <c r="F338" s="26">
        <f t="shared" si="205"/>
        <v>0</v>
      </c>
      <c r="G338" s="26">
        <f t="shared" si="206"/>
        <v>0</v>
      </c>
      <c r="H338" s="26">
        <f t="shared" si="217"/>
        <v>0</v>
      </c>
      <c r="I338" s="27">
        <f t="shared" si="227"/>
        <v>0</v>
      </c>
      <c r="J338" s="27">
        <f t="shared" si="227"/>
        <v>0</v>
      </c>
      <c r="K338" s="27">
        <f t="shared" si="227"/>
        <v>0</v>
      </c>
      <c r="L338" s="27">
        <f t="shared" si="225"/>
        <v>0</v>
      </c>
      <c r="M338" s="28">
        <f t="shared" si="234"/>
        <v>0</v>
      </c>
      <c r="N338" s="29">
        <f t="shared" si="235"/>
        <v>11</v>
      </c>
      <c r="O338" s="28">
        <f t="shared" si="236"/>
        <v>0</v>
      </c>
      <c r="P338" s="28">
        <f t="shared" si="237"/>
        <v>0</v>
      </c>
      <c r="Q338" s="28">
        <f t="shared" si="207"/>
        <v>11</v>
      </c>
      <c r="R338" s="22">
        <f t="shared" si="208"/>
        <v>0</v>
      </c>
      <c r="S338" s="22">
        <f t="shared" si="209"/>
        <v>0</v>
      </c>
      <c r="T338" s="22">
        <f t="shared" si="210"/>
        <v>0</v>
      </c>
      <c r="U338" s="22">
        <f t="shared" si="211"/>
        <v>0</v>
      </c>
      <c r="V338" s="21">
        <f t="shared" si="228"/>
        <v>0</v>
      </c>
      <c r="W338" s="21">
        <f t="shared" si="229"/>
        <v>0</v>
      </c>
      <c r="X338" s="21">
        <f t="shared" si="222"/>
        <v>0</v>
      </c>
      <c r="Y338" s="21">
        <f t="shared" si="223"/>
        <v>0</v>
      </c>
      <c r="Z338" s="221">
        <f t="shared" si="212"/>
        <v>0</v>
      </c>
      <c r="AA338" s="30">
        <f t="shared" si="200"/>
        <v>0</v>
      </c>
      <c r="AB338" s="30">
        <f t="shared" si="201"/>
        <v>0</v>
      </c>
      <c r="AC338" s="30">
        <f t="shared" si="202"/>
        <v>0</v>
      </c>
      <c r="AD338" s="30">
        <f t="shared" si="203"/>
        <v>0</v>
      </c>
      <c r="AE338" s="32">
        <f t="shared" si="213"/>
        <v>0</v>
      </c>
      <c r="AF338" s="33">
        <f t="shared" si="226"/>
        <v>0</v>
      </c>
      <c r="AG338" s="40">
        <f t="shared" si="214"/>
        <v>0</v>
      </c>
      <c r="AH338" s="224">
        <f>AG338*$P$33</f>
        <v>0</v>
      </c>
      <c r="AI338" s="227">
        <f t="shared" si="215"/>
        <v>0</v>
      </c>
    </row>
    <row r="339" spans="1:35" ht="15" thickBot="1" x14ac:dyDescent="0.4">
      <c r="A339" s="45">
        <v>1800</v>
      </c>
      <c r="B339" s="59">
        <f>SUMIF([2]!Table2_23[ETA],'FIS Optimal Model'!A339,[2]!Table2_23[FIS PAX])</f>
        <v>0</v>
      </c>
      <c r="C339" s="60">
        <f t="shared" si="216"/>
        <v>0</v>
      </c>
      <c r="D339" s="61">
        <f t="shared" si="224"/>
        <v>0</v>
      </c>
      <c r="E339" s="62">
        <f t="shared" si="204"/>
        <v>0</v>
      </c>
      <c r="F339" s="62">
        <f t="shared" si="205"/>
        <v>0</v>
      </c>
      <c r="G339" s="62">
        <f t="shared" si="206"/>
        <v>0</v>
      </c>
      <c r="H339" s="62">
        <f t="shared" si="217"/>
        <v>0</v>
      </c>
      <c r="I339" s="63">
        <f t="shared" si="227"/>
        <v>0</v>
      </c>
      <c r="J339" s="63">
        <f t="shared" si="227"/>
        <v>0</v>
      </c>
      <c r="K339" s="63">
        <f t="shared" si="227"/>
        <v>0</v>
      </c>
      <c r="L339" s="63">
        <f t="shared" si="225"/>
        <v>0</v>
      </c>
      <c r="M339" s="60">
        <f t="shared" si="234"/>
        <v>0</v>
      </c>
      <c r="N339" s="64">
        <f t="shared" si="235"/>
        <v>11</v>
      </c>
      <c r="O339" s="60">
        <f t="shared" si="236"/>
        <v>0</v>
      </c>
      <c r="P339" s="60">
        <f t="shared" si="237"/>
        <v>0</v>
      </c>
      <c r="Q339" s="60">
        <f t="shared" si="207"/>
        <v>11</v>
      </c>
      <c r="R339" s="65">
        <f t="shared" si="208"/>
        <v>0</v>
      </c>
      <c r="S339" s="65">
        <f t="shared" si="209"/>
        <v>0</v>
      </c>
      <c r="T339" s="65">
        <f t="shared" si="210"/>
        <v>0</v>
      </c>
      <c r="U339" s="65">
        <f t="shared" si="211"/>
        <v>0</v>
      </c>
      <c r="V339" s="66">
        <f t="shared" si="228"/>
        <v>0</v>
      </c>
      <c r="W339" s="66">
        <f t="shared" si="229"/>
        <v>0</v>
      </c>
      <c r="X339" s="66">
        <f t="shared" si="222"/>
        <v>0</v>
      </c>
      <c r="Y339" s="66">
        <f t="shared" si="223"/>
        <v>0</v>
      </c>
      <c r="Z339" s="228">
        <f t="shared" si="212"/>
        <v>0</v>
      </c>
      <c r="AA339" s="67">
        <f t="shared" si="200"/>
        <v>0</v>
      </c>
      <c r="AB339" s="67">
        <f t="shared" si="201"/>
        <v>0</v>
      </c>
      <c r="AC339" s="67">
        <f t="shared" si="202"/>
        <v>0</v>
      </c>
      <c r="AD339" s="67">
        <f t="shared" si="203"/>
        <v>0</v>
      </c>
      <c r="AE339" s="68">
        <f t="shared" si="213"/>
        <v>0</v>
      </c>
      <c r="AF339" s="69">
        <f t="shared" si="226"/>
        <v>0</v>
      </c>
      <c r="AG339" s="70">
        <f t="shared" si="214"/>
        <v>0</v>
      </c>
      <c r="AH339" s="225">
        <f>AG339*$P$33</f>
        <v>0</v>
      </c>
      <c r="AI339" s="227">
        <f t="shared" si="215"/>
        <v>0</v>
      </c>
    </row>
  </sheetData>
  <mergeCells count="37">
    <mergeCell ref="P3:V3"/>
    <mergeCell ref="B4:B5"/>
    <mergeCell ref="Q4:V4"/>
    <mergeCell ref="W5:Z7"/>
    <mergeCell ref="L6:L7"/>
    <mergeCell ref="M6:M7"/>
    <mergeCell ref="I4:J4"/>
    <mergeCell ref="P29:P32"/>
    <mergeCell ref="Q29:Q32"/>
    <mergeCell ref="L8:L10"/>
    <mergeCell ref="M8:M10"/>
    <mergeCell ref="L11:L12"/>
    <mergeCell ref="M11:M12"/>
    <mergeCell ref="L13:L14"/>
    <mergeCell ref="M13:M14"/>
    <mergeCell ref="L15:L18"/>
    <mergeCell ref="M15:M18"/>
    <mergeCell ref="B29:C29"/>
    <mergeCell ref="E29:E30"/>
    <mergeCell ref="F29:F30"/>
    <mergeCell ref="L29:L32"/>
    <mergeCell ref="N29:N32"/>
    <mergeCell ref="AA37:AE37"/>
    <mergeCell ref="B1:T2"/>
    <mergeCell ref="E31:E33"/>
    <mergeCell ref="F31:F33"/>
    <mergeCell ref="B35:AI35"/>
    <mergeCell ref="B36:AI36"/>
    <mergeCell ref="C37:D37"/>
    <mergeCell ref="E37:H37"/>
    <mergeCell ref="I37:L37"/>
    <mergeCell ref="M37:Q37"/>
    <mergeCell ref="R37:U37"/>
    <mergeCell ref="V37:Y37"/>
    <mergeCell ref="B27:T27"/>
    <mergeCell ref="H28:J28"/>
    <mergeCell ref="S28:T28"/>
  </mergeCells>
  <conditionalFormatting sqref="V39:Z339">
    <cfRule type="top10" dxfId="21" priority="2" rank="10"/>
    <cfRule type="top10" dxfId="20" priority="3" rank="3"/>
  </conditionalFormatting>
  <conditionalFormatting sqref="AH39:AH339">
    <cfRule type="top10" dxfId="19" priority="1" rank="5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F0D8-4313-4158-8927-49DCE0DFAA04}">
  <dimension ref="A1:AI339"/>
  <sheetViews>
    <sheetView zoomScale="70" zoomScaleNormal="70" workbookViewId="0">
      <pane xSplit="1" topLeftCell="G1" activePane="topRight" state="frozen"/>
      <selection activeCell="A19" sqref="A19"/>
      <selection pane="topRight" activeCell="L20" sqref="L20"/>
    </sheetView>
  </sheetViews>
  <sheetFormatPr defaultColWidth="8.81640625" defaultRowHeight="14.5" x14ac:dyDescent="0.35"/>
  <cols>
    <col min="1" max="1" width="4.90625" bestFit="1" customWidth="1"/>
    <col min="2" max="2" width="14.6328125" bestFit="1" customWidth="1"/>
    <col min="3" max="3" width="21.1796875" bestFit="1" customWidth="1"/>
    <col min="4" max="4" width="12.1796875" bestFit="1" customWidth="1"/>
    <col min="5" max="5" width="13.54296875" customWidth="1"/>
    <col min="6" max="6" width="12.1796875" customWidth="1"/>
    <col min="7" max="7" width="11" bestFit="1" customWidth="1"/>
    <col min="8" max="8" width="13.1796875" bestFit="1" customWidth="1"/>
    <col min="9" max="9" width="21.1796875" bestFit="1" customWidth="1"/>
    <col min="10" max="10" width="22.54296875" bestFit="1" customWidth="1"/>
    <col min="11" max="11" width="11" bestFit="1" customWidth="1"/>
    <col min="12" max="12" width="17.08984375" customWidth="1"/>
    <col min="13" max="13" width="11.81640625" bestFit="1" customWidth="1"/>
    <col min="14" max="14" width="10.453125" bestFit="1" customWidth="1"/>
    <col min="15" max="15" width="10.6328125" customWidth="1"/>
    <col min="16" max="17" width="13.7265625" bestFit="1" customWidth="1"/>
    <col min="18" max="18" width="11.81640625" bestFit="1" customWidth="1"/>
    <col min="19" max="19" width="13.36328125" bestFit="1" customWidth="1"/>
    <col min="20" max="20" width="11.81640625" bestFit="1" customWidth="1"/>
    <col min="21" max="21" width="7.26953125" bestFit="1" customWidth="1"/>
    <col min="22" max="24" width="11.81640625" bestFit="1" customWidth="1"/>
    <col min="25" max="25" width="4.6328125" bestFit="1" customWidth="1"/>
    <col min="26" max="26" width="17.6328125" bestFit="1" customWidth="1"/>
    <col min="27" max="29" width="11.81640625" bestFit="1" customWidth="1"/>
    <col min="30" max="30" width="4.6328125" bestFit="1" customWidth="1"/>
    <col min="31" max="31" width="11.81640625" bestFit="1" customWidth="1"/>
    <col min="32" max="32" width="20.36328125" bestFit="1" customWidth="1"/>
    <col min="33" max="33" width="18.1796875" bestFit="1" customWidth="1"/>
    <col min="34" max="34" width="20" bestFit="1" customWidth="1"/>
    <col min="35" max="35" width="49.7265625" bestFit="1" customWidth="1"/>
    <col min="36" max="36" width="22.7265625" bestFit="1" customWidth="1"/>
  </cols>
  <sheetData>
    <row r="1" spans="1:29" x14ac:dyDescent="0.35">
      <c r="B1" s="162" t="s">
        <v>190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17"/>
      <c r="V1" s="117"/>
      <c r="W1" s="117"/>
      <c r="X1" s="117"/>
      <c r="Y1" s="117"/>
      <c r="Z1" s="117"/>
      <c r="AA1" s="117"/>
    </row>
    <row r="2" spans="1:29" ht="15" thickBot="1" x14ac:dyDescent="0.4">
      <c r="A2" s="117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17"/>
      <c r="V2" s="117"/>
      <c r="W2" s="117"/>
      <c r="X2" s="117"/>
      <c r="Y2" s="117"/>
      <c r="Z2" s="117"/>
      <c r="AA2" s="117"/>
    </row>
    <row r="3" spans="1:29" ht="18.5" x14ac:dyDescent="0.45">
      <c r="A3" s="117"/>
      <c r="B3" s="159" t="s">
        <v>140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1"/>
      <c r="O3" s="118"/>
      <c r="P3" s="191" t="s">
        <v>184</v>
      </c>
      <c r="Q3" s="192"/>
      <c r="R3" s="192"/>
      <c r="S3" s="192"/>
      <c r="T3" s="192"/>
      <c r="U3" s="192"/>
      <c r="V3" s="193"/>
      <c r="W3" s="117"/>
      <c r="X3" s="117"/>
      <c r="Y3" s="117"/>
      <c r="Z3" s="117"/>
      <c r="AA3" s="117"/>
      <c r="AB3" s="117"/>
      <c r="AC3" s="117"/>
    </row>
    <row r="4" spans="1:29" x14ac:dyDescent="0.35">
      <c r="A4" s="73"/>
      <c r="B4" s="194" t="s">
        <v>180</v>
      </c>
      <c r="C4" s="125" t="s">
        <v>177</v>
      </c>
      <c r="D4" s="195" t="s">
        <v>179</v>
      </c>
      <c r="E4" s="195"/>
      <c r="F4" s="195"/>
      <c r="G4" s="195"/>
      <c r="H4" s="195"/>
      <c r="I4" s="195" t="s">
        <v>209</v>
      </c>
      <c r="J4" s="195"/>
      <c r="K4" s="120"/>
      <c r="L4" s="120"/>
      <c r="M4" s="120"/>
      <c r="N4" s="121"/>
      <c r="O4" s="120"/>
      <c r="P4" s="138"/>
      <c r="Q4" s="196" t="s">
        <v>178</v>
      </c>
      <c r="R4" s="196"/>
      <c r="S4" s="196"/>
      <c r="T4" s="196"/>
      <c r="U4" s="196"/>
      <c r="V4" s="197"/>
      <c r="W4" s="117"/>
      <c r="X4" s="117"/>
      <c r="Y4" s="117"/>
      <c r="Z4" s="117"/>
      <c r="AA4" s="117"/>
      <c r="AB4" s="117"/>
      <c r="AC4" s="117"/>
    </row>
    <row r="5" spans="1:29" x14ac:dyDescent="0.35">
      <c r="A5" s="73"/>
      <c r="B5" s="194"/>
      <c r="C5" s="79" t="s">
        <v>143</v>
      </c>
      <c r="D5" s="127" t="s">
        <v>127</v>
      </c>
      <c r="E5" s="126" t="s">
        <v>128</v>
      </c>
      <c r="F5" s="126" t="s">
        <v>129</v>
      </c>
      <c r="G5" s="126" t="s">
        <v>4</v>
      </c>
      <c r="H5" s="126" t="s">
        <v>94</v>
      </c>
      <c r="I5" s="126" t="s">
        <v>206</v>
      </c>
      <c r="J5" s="126" t="s">
        <v>204</v>
      </c>
      <c r="K5" s="72"/>
      <c r="L5" s="96"/>
      <c r="M5" s="96"/>
      <c r="N5" s="128"/>
      <c r="O5" s="96"/>
      <c r="P5" s="71"/>
      <c r="Q5" s="75" t="s">
        <v>127</v>
      </c>
      <c r="R5" s="72" t="s">
        <v>128</v>
      </c>
      <c r="S5" s="72" t="s">
        <v>129</v>
      </c>
      <c r="T5" s="72" t="s">
        <v>4</v>
      </c>
      <c r="U5" s="72" t="s">
        <v>94</v>
      </c>
      <c r="V5" s="76" t="s">
        <v>130</v>
      </c>
      <c r="W5" s="198" t="s">
        <v>181</v>
      </c>
      <c r="X5" s="199"/>
      <c r="Y5" s="199"/>
      <c r="Z5" s="199"/>
      <c r="AA5" s="117"/>
      <c r="AB5" s="117"/>
      <c r="AC5" s="117"/>
    </row>
    <row r="6" spans="1:29" x14ac:dyDescent="0.35">
      <c r="A6" s="73"/>
      <c r="B6" s="77" t="s">
        <v>0</v>
      </c>
      <c r="C6" s="47">
        <f>SUMIFS([2]!Table2_23[FIS PAX],[2]!Table2_23[ETA],"&gt;1300",[2]!Table2_23[ETA],"&lt;1316")</f>
        <v>0</v>
      </c>
      <c r="D6" s="119">
        <f>M40</f>
        <v>0</v>
      </c>
      <c r="E6" s="119">
        <f t="shared" ref="E6:G6" si="0">N40</f>
        <v>6</v>
      </c>
      <c r="F6" s="119">
        <f t="shared" si="0"/>
        <v>0</v>
      </c>
      <c r="G6" s="119">
        <f t="shared" si="0"/>
        <v>0</v>
      </c>
      <c r="H6" s="46">
        <f t="shared" ref="H6:H25" si="1">U6</f>
        <v>6</v>
      </c>
      <c r="I6" s="51">
        <f>IF(SUM(Z39:Z54)&gt;0,AVERAGEIF(Z39:Z54,"&lt;&gt;0"),0)</f>
        <v>0</v>
      </c>
      <c r="J6" s="51">
        <f>IF(SUM(AI39:AI54)&gt;0,AVERAGEIF(AI39:AI54,"&lt;&gt;0"),0)</f>
        <v>0</v>
      </c>
      <c r="K6" s="72"/>
      <c r="L6" s="188" t="s">
        <v>138</v>
      </c>
      <c r="M6" s="219">
        <f>ROUNDUP(MAX(V39:Y339),0)</f>
        <v>25</v>
      </c>
      <c r="N6" s="130"/>
      <c r="O6" s="74"/>
      <c r="P6" s="133" t="s">
        <v>0</v>
      </c>
      <c r="Q6" s="74">
        <v>2</v>
      </c>
      <c r="R6" s="74">
        <v>2</v>
      </c>
      <c r="S6" s="73">
        <v>1</v>
      </c>
      <c r="T6" s="73">
        <v>1</v>
      </c>
      <c r="U6" s="123">
        <f>SUM(Q6:T6)</f>
        <v>6</v>
      </c>
      <c r="V6" s="141">
        <v>6</v>
      </c>
      <c r="W6" s="198"/>
      <c r="X6" s="199"/>
      <c r="Y6" s="199"/>
      <c r="Z6" s="199"/>
      <c r="AA6" s="117"/>
      <c r="AB6" s="117"/>
      <c r="AC6" s="117"/>
    </row>
    <row r="7" spans="1:29" ht="14.5" customHeight="1" x14ac:dyDescent="0.35">
      <c r="A7" s="73"/>
      <c r="B7" s="81" t="s">
        <v>96</v>
      </c>
      <c r="C7" s="47">
        <f>SUMIFS([2]!Table2_23[FIS PAX],[2]!Table2_23[ETA],"&gt;1315",[2]!Table2_23[ETA],"&lt;1331")</f>
        <v>0</v>
      </c>
      <c r="D7" s="119">
        <f>M40</f>
        <v>0</v>
      </c>
      <c r="E7" s="119">
        <f t="shared" ref="E7:G7" si="2">N40</f>
        <v>6</v>
      </c>
      <c r="F7" s="119">
        <f t="shared" si="2"/>
        <v>0</v>
      </c>
      <c r="G7" s="119">
        <f t="shared" si="2"/>
        <v>0</v>
      </c>
      <c r="H7" s="46">
        <f t="shared" si="1"/>
        <v>6</v>
      </c>
      <c r="I7" s="51">
        <f>IF(SUM($Z$55:$Z$69)&gt;0,AVERAGEIF($Z$55:$Z$69,"&lt;&gt;0"),0)</f>
        <v>0</v>
      </c>
      <c r="J7" s="51">
        <f>IF(SUM($AI$55:$AI$69)&gt;0,AVERAGEIF($AI$55:$AI$69,"&lt;&gt;0"),0)</f>
        <v>0</v>
      </c>
      <c r="K7" s="73"/>
      <c r="L7" s="188"/>
      <c r="M7" s="219"/>
      <c r="N7" s="130"/>
      <c r="O7" s="74"/>
      <c r="P7" s="134" t="s">
        <v>96</v>
      </c>
      <c r="Q7" s="74">
        <v>2</v>
      </c>
      <c r="R7" s="74">
        <v>2</v>
      </c>
      <c r="S7" s="73">
        <v>1</v>
      </c>
      <c r="T7" s="73">
        <v>1</v>
      </c>
      <c r="U7" s="123">
        <f t="shared" ref="U7:U25" si="3">SUM(Q7:T7)</f>
        <v>6</v>
      </c>
      <c r="V7" s="141">
        <v>6</v>
      </c>
      <c r="W7" s="198"/>
      <c r="X7" s="199"/>
      <c r="Y7" s="199"/>
      <c r="Z7" s="199"/>
      <c r="AA7" s="117"/>
      <c r="AB7" s="117"/>
      <c r="AC7" s="117"/>
    </row>
    <row r="8" spans="1:29" ht="14.5" customHeight="1" x14ac:dyDescent="0.35">
      <c r="A8" s="117"/>
      <c r="B8" s="77" t="s">
        <v>97</v>
      </c>
      <c r="C8" s="47">
        <f>SUMIFS([2]!Table2_23[FIS PAX],[2]!Table2_23[ETA],"&gt;1330",[2]!Table2_23[ETA],"&lt;1346")</f>
        <v>152</v>
      </c>
      <c r="D8" s="119">
        <f>M70</f>
        <v>0</v>
      </c>
      <c r="E8" s="119">
        <f t="shared" ref="E8:G8" si="4">N70</f>
        <v>6</v>
      </c>
      <c r="F8" s="119">
        <f t="shared" si="4"/>
        <v>0</v>
      </c>
      <c r="G8" s="119">
        <f t="shared" si="4"/>
        <v>0</v>
      </c>
      <c r="H8" s="46">
        <f t="shared" si="1"/>
        <v>6</v>
      </c>
      <c r="I8" s="51">
        <f>IF(SUM($Z$70:$Z$84)&gt;0,AVERAGEIF($Z$70:$Z$84,"&lt;&gt;0"),0)</f>
        <v>1</v>
      </c>
      <c r="J8" s="51">
        <f>IF(SUM($AI$70:$AI$84)&gt;0,AVERAGEIF($AI$70:AIZ$84,"&lt;&gt;0"),0)</f>
        <v>22</v>
      </c>
      <c r="K8" s="73"/>
      <c r="L8" s="188" t="s">
        <v>182</v>
      </c>
      <c r="M8" s="219">
        <f>ROUNDUP(SUM(F31,M6,N33,MAX(AH39:AH339),MAX(T29:T32)),0)</f>
        <v>54</v>
      </c>
      <c r="N8" s="140"/>
      <c r="O8" s="122"/>
      <c r="P8" s="133" t="s">
        <v>97</v>
      </c>
      <c r="Q8" s="74">
        <v>2</v>
      </c>
      <c r="R8" s="74">
        <v>2</v>
      </c>
      <c r="S8" s="73">
        <v>1</v>
      </c>
      <c r="T8" s="73">
        <v>1</v>
      </c>
      <c r="U8" s="123">
        <f t="shared" si="3"/>
        <v>6</v>
      </c>
      <c r="V8" s="141">
        <v>6</v>
      </c>
      <c r="W8" s="117"/>
      <c r="X8" s="117"/>
      <c r="Y8" s="117"/>
      <c r="Z8" s="117"/>
      <c r="AA8" s="117"/>
      <c r="AB8" s="117"/>
      <c r="AC8" s="117"/>
    </row>
    <row r="9" spans="1:29" x14ac:dyDescent="0.35">
      <c r="A9" s="117"/>
      <c r="B9" s="81" t="s">
        <v>98</v>
      </c>
      <c r="C9" s="47">
        <f>SUMIFS([2]!Table2_23[FIS PAX],[2]!Table2_23[ETA],"&gt;1345",[2]!Table2_23[ETA],"&lt;1401")</f>
        <v>0</v>
      </c>
      <c r="D9" s="119">
        <f>M85</f>
        <v>2</v>
      </c>
      <c r="E9" s="119">
        <f t="shared" ref="E9:G9" si="5">N85</f>
        <v>2</v>
      </c>
      <c r="F9" s="119">
        <f t="shared" si="5"/>
        <v>1</v>
      </c>
      <c r="G9" s="119">
        <f t="shared" si="5"/>
        <v>1</v>
      </c>
      <c r="H9" s="46">
        <f t="shared" si="1"/>
        <v>6</v>
      </c>
      <c r="I9" s="51">
        <f>IF(SUM($Z$85:$Z$99)&gt;0,AVERAGEIF($Z$85:$Z$99,"&lt;&gt;0"),0)</f>
        <v>7.9333333333333336</v>
      </c>
      <c r="J9" s="51">
        <f>IF(SUM($AI$85:$AI$99)&gt;0,AVERAGEIF($AI$85:$AI$99,"&lt;&gt;0"),0)</f>
        <v>28.933333333333334</v>
      </c>
      <c r="K9" s="73"/>
      <c r="L9" s="188"/>
      <c r="M9" s="219"/>
      <c r="N9" s="140"/>
      <c r="O9" s="122"/>
      <c r="P9" s="134" t="s">
        <v>98</v>
      </c>
      <c r="Q9" s="74">
        <v>2</v>
      </c>
      <c r="R9" s="74">
        <v>2</v>
      </c>
      <c r="S9" s="73">
        <v>1</v>
      </c>
      <c r="T9" s="73">
        <v>1</v>
      </c>
      <c r="U9" s="123">
        <f t="shared" si="3"/>
        <v>6</v>
      </c>
      <c r="V9" s="141">
        <v>6</v>
      </c>
      <c r="W9" s="117"/>
      <c r="X9" s="117"/>
      <c r="Y9" s="117"/>
      <c r="Z9" s="117"/>
      <c r="AA9" s="117"/>
      <c r="AB9" s="117"/>
      <c r="AC9" s="117"/>
    </row>
    <row r="10" spans="1:29" x14ac:dyDescent="0.35">
      <c r="A10" s="117"/>
      <c r="B10" s="77" t="s">
        <v>99</v>
      </c>
      <c r="C10" s="47">
        <f>SUMIFS([2]!Table2_23[FIS PAX],[2]!Table2_23[ETA],"&gt;1400",[2]!Table2_23[ETA],"&lt;1416")</f>
        <v>0</v>
      </c>
      <c r="D10" s="119">
        <f>M100</f>
        <v>2</v>
      </c>
      <c r="E10" s="119">
        <f t="shared" ref="E10:G10" si="6">N100</f>
        <v>4</v>
      </c>
      <c r="F10" s="119">
        <f t="shared" si="6"/>
        <v>0</v>
      </c>
      <c r="G10" s="119">
        <f t="shared" si="6"/>
        <v>0</v>
      </c>
      <c r="H10" s="46">
        <f t="shared" si="1"/>
        <v>6</v>
      </c>
      <c r="I10" s="51">
        <f>IF(SUM($Z$100:$Z$114)&gt;0,AVERAGEIF($Z$100:$Z$114,"&lt;&gt;0"),0)</f>
        <v>1.5</v>
      </c>
      <c r="J10" s="51">
        <f>IF(SUM($AI$100:$AI$114)&gt;0,AVERAGEIF($AI$100:$AI$114,"&lt;&gt;0"),0)</f>
        <v>22.5</v>
      </c>
      <c r="K10" s="73"/>
      <c r="L10" s="188"/>
      <c r="M10" s="219"/>
      <c r="N10" s="140"/>
      <c r="O10" s="82"/>
      <c r="P10" s="133" t="s">
        <v>99</v>
      </c>
      <c r="Q10" s="74">
        <v>2</v>
      </c>
      <c r="R10" s="74">
        <v>2</v>
      </c>
      <c r="S10" s="73">
        <v>1</v>
      </c>
      <c r="T10" s="73">
        <v>1</v>
      </c>
      <c r="U10" s="123">
        <f t="shared" si="3"/>
        <v>6</v>
      </c>
      <c r="V10" s="141">
        <v>6</v>
      </c>
      <c r="W10" s="117"/>
      <c r="X10" s="117"/>
      <c r="Y10" s="117"/>
      <c r="Z10" s="117"/>
      <c r="AA10" s="117"/>
      <c r="AB10" s="117"/>
      <c r="AC10" s="117"/>
    </row>
    <row r="11" spans="1:29" x14ac:dyDescent="0.35">
      <c r="A11" s="117"/>
      <c r="B11" s="81" t="s">
        <v>100</v>
      </c>
      <c r="C11" s="47">
        <f>SUMIFS([2]!Table2_23[FIS PAX],[2]!Table2_23[ETA],"&gt;1415",[2]!Table2_23[ETA],"&lt;1431")</f>
        <v>11</v>
      </c>
      <c r="D11" s="119">
        <f>M115</f>
        <v>0</v>
      </c>
      <c r="E11" s="119">
        <f t="shared" ref="E11:G11" si="7">N115</f>
        <v>11</v>
      </c>
      <c r="F11" s="119">
        <f t="shared" si="7"/>
        <v>0</v>
      </c>
      <c r="G11" s="119">
        <f t="shared" si="7"/>
        <v>0</v>
      </c>
      <c r="H11" s="46">
        <f t="shared" si="1"/>
        <v>11</v>
      </c>
      <c r="I11" s="51">
        <f>IF(SUM($Z$115:$Z$129)&gt;0,AVERAGEIF($Z$115:$Z$129,"&lt;&gt;0"),0)</f>
        <v>0</v>
      </c>
      <c r="J11" s="51">
        <f>IF(SUM($AI$115:$AI$129)&gt;0,AVERAGEIF($AI$115:$AI$129,"&lt;&gt;0"),0)</f>
        <v>0</v>
      </c>
      <c r="K11" s="73"/>
      <c r="L11" s="188" t="s">
        <v>207</v>
      </c>
      <c r="M11" s="219">
        <f>ROUNDUP(AVERAGEIF(Z39:Z339,"&lt;&gt;0"),0)</f>
        <v>9</v>
      </c>
      <c r="N11" s="130"/>
      <c r="O11" s="73"/>
      <c r="P11" s="134" t="s">
        <v>100</v>
      </c>
      <c r="Q11" s="74">
        <v>3</v>
      </c>
      <c r="R11" s="74">
        <v>6</v>
      </c>
      <c r="S11" s="73">
        <v>1</v>
      </c>
      <c r="T11" s="73">
        <v>1</v>
      </c>
      <c r="U11" s="123">
        <f t="shared" si="3"/>
        <v>11</v>
      </c>
      <c r="V11" s="141">
        <v>11</v>
      </c>
      <c r="W11" s="117"/>
      <c r="X11" s="117"/>
      <c r="Y11" s="117"/>
      <c r="Z11" s="117"/>
      <c r="AA11" s="117"/>
      <c r="AB11" s="117"/>
      <c r="AC11" s="117"/>
    </row>
    <row r="12" spans="1:29" x14ac:dyDescent="0.35">
      <c r="A12" s="117"/>
      <c r="B12" s="83" t="s">
        <v>101</v>
      </c>
      <c r="C12" s="47">
        <f>SUMIFS([2]!Table2_23[FIS PAX],[2]!Table2_23[ETA],"&gt;1430",[2]!Table2_23[ETA],"&lt;1446")</f>
        <v>453</v>
      </c>
      <c r="D12" s="119">
        <v>3</v>
      </c>
      <c r="E12" s="119">
        <v>6</v>
      </c>
      <c r="F12" s="119">
        <v>1</v>
      </c>
      <c r="G12" s="119">
        <v>1</v>
      </c>
      <c r="H12" s="46">
        <f t="shared" si="1"/>
        <v>11</v>
      </c>
      <c r="I12" s="51">
        <f>IF(SUM($Z$130:$Z$144)&gt;0,AVERAGEIF($Z$130:$Z$144,"&lt;&gt;0"),0)</f>
        <v>0</v>
      </c>
      <c r="J12" s="51">
        <f>IF(SUM($AI$130:$AI$144)&gt;0,AVERAGEIF($AI$130:$AI$144,"&lt;&gt;0"),0)</f>
        <v>0.14100778709090978</v>
      </c>
      <c r="K12" s="73"/>
      <c r="L12" s="188"/>
      <c r="M12" s="219"/>
      <c r="N12" s="130"/>
      <c r="O12" s="75"/>
      <c r="P12" s="135" t="s">
        <v>101</v>
      </c>
      <c r="Q12" s="74">
        <v>3</v>
      </c>
      <c r="R12" s="74">
        <v>6</v>
      </c>
      <c r="S12" s="73">
        <v>1</v>
      </c>
      <c r="T12" s="73">
        <v>1</v>
      </c>
      <c r="U12" s="123">
        <f t="shared" si="3"/>
        <v>11</v>
      </c>
      <c r="V12" s="141">
        <v>11</v>
      </c>
      <c r="W12" s="117"/>
      <c r="X12" s="117"/>
      <c r="Y12" s="117"/>
      <c r="Z12" s="117"/>
      <c r="AA12" s="117"/>
      <c r="AB12" s="117"/>
      <c r="AC12" s="117"/>
    </row>
    <row r="13" spans="1:29" x14ac:dyDescent="0.35">
      <c r="A13" s="117"/>
      <c r="B13" s="77" t="s">
        <v>102</v>
      </c>
      <c r="C13" s="47">
        <f>SUMIFS([2]!Table2_23[FIS PAX],[2]!Table2_23[ETA],"&gt;1445",[2]!Table2_23[ETA],"&lt;1501")</f>
        <v>186</v>
      </c>
      <c r="D13" s="119">
        <f>M145</f>
        <v>3</v>
      </c>
      <c r="E13" s="119">
        <f t="shared" ref="E13:G13" si="8">N145</f>
        <v>6</v>
      </c>
      <c r="F13" s="119">
        <f t="shared" si="8"/>
        <v>1</v>
      </c>
      <c r="G13" s="119">
        <f t="shared" si="8"/>
        <v>1</v>
      </c>
      <c r="H13" s="46">
        <f t="shared" si="1"/>
        <v>11</v>
      </c>
      <c r="I13" s="51">
        <f>IF(SUM($Z$145:$Z$159)&gt;0,AVERAGEIF($Z$145:$Z$159,"&lt;&gt;0"),0)</f>
        <v>6.0666666666666664</v>
      </c>
      <c r="J13" s="51">
        <f>IF(SUM($AI$145:$AI$159)&gt;0,AVERAGEIF($AI$145:$AI$159,"&lt;&gt;0"),0)</f>
        <v>27.284065434691563</v>
      </c>
      <c r="K13" s="73"/>
      <c r="L13" s="188" t="s">
        <v>208</v>
      </c>
      <c r="M13" s="219">
        <f>ROUNDUP(AVERAGEIF(AI39:AI339,"&lt;&gt;0"),0)</f>
        <v>31</v>
      </c>
      <c r="N13" s="130"/>
      <c r="O13" s="73"/>
      <c r="P13" s="133" t="s">
        <v>102</v>
      </c>
      <c r="Q13" s="74">
        <v>3</v>
      </c>
      <c r="R13" s="74">
        <v>6</v>
      </c>
      <c r="S13" s="73">
        <v>1</v>
      </c>
      <c r="T13" s="73">
        <v>1</v>
      </c>
      <c r="U13" s="123">
        <f t="shared" si="3"/>
        <v>11</v>
      </c>
      <c r="V13" s="141">
        <v>11</v>
      </c>
      <c r="W13" s="117"/>
      <c r="X13" s="117"/>
      <c r="Y13" s="117"/>
      <c r="Z13" s="117"/>
      <c r="AA13" s="117"/>
      <c r="AB13" s="117"/>
      <c r="AC13" s="117"/>
    </row>
    <row r="14" spans="1:29" x14ac:dyDescent="0.35">
      <c r="A14" s="117"/>
      <c r="B14" s="81" t="s">
        <v>103</v>
      </c>
      <c r="C14" s="47">
        <f>SUMIFS([2]!Table2_23[FIS PAX],[2]!Table2_23[ETA],"&gt;1500",[2]!Table2_23[ETA],"&lt;1516")</f>
        <v>86</v>
      </c>
      <c r="D14" s="119">
        <f>M160</f>
        <v>3</v>
      </c>
      <c r="E14" s="119">
        <f t="shared" ref="E14:G14" si="9">N160</f>
        <v>7</v>
      </c>
      <c r="F14" s="119">
        <f t="shared" si="9"/>
        <v>1</v>
      </c>
      <c r="G14" s="119">
        <f t="shared" si="9"/>
        <v>0</v>
      </c>
      <c r="H14" s="46">
        <f t="shared" si="1"/>
        <v>11</v>
      </c>
      <c r="I14" s="51">
        <f>IF(SUM($Z$160:$Z$174)&gt;0,AVERAGEIF($Z$160:$Z$174,"&lt;&gt;0"),0)</f>
        <v>11.2</v>
      </c>
      <c r="J14" s="51">
        <f>IF(SUM($AI$160:$AI$174)&gt;0,AVERAGEIF($AI$160:$AI$174,"&lt;&gt;0"),0)</f>
        <v>33.429121817278109</v>
      </c>
      <c r="K14" s="73"/>
      <c r="L14" s="188"/>
      <c r="M14" s="219"/>
      <c r="N14" s="130"/>
      <c r="O14" s="73"/>
      <c r="P14" s="134" t="s">
        <v>103</v>
      </c>
      <c r="Q14" s="74">
        <v>3</v>
      </c>
      <c r="R14" s="74">
        <v>6</v>
      </c>
      <c r="S14" s="73">
        <v>1</v>
      </c>
      <c r="T14" s="73">
        <v>1</v>
      </c>
      <c r="U14" s="123">
        <f t="shared" si="3"/>
        <v>11</v>
      </c>
      <c r="V14" s="141">
        <v>11</v>
      </c>
      <c r="W14" s="117"/>
      <c r="X14" s="117"/>
      <c r="Y14" s="117"/>
      <c r="Z14" s="117"/>
      <c r="AA14" s="117"/>
      <c r="AB14" s="117"/>
      <c r="AC14" s="117"/>
    </row>
    <row r="15" spans="1:29" x14ac:dyDescent="0.35">
      <c r="A15" s="117"/>
      <c r="B15" s="77" t="s">
        <v>104</v>
      </c>
      <c r="C15" s="47">
        <f>SUMIFS([2]!Table2_23[FIS PAX],[2]!Table2_23[ETA],"&gt;1515",[2]!Table2_23[ETA],"&lt;1531")</f>
        <v>0</v>
      </c>
      <c r="D15" s="119">
        <f>M175</f>
        <v>3</v>
      </c>
      <c r="E15" s="119">
        <f t="shared" ref="E15:G15" si="10">N175</f>
        <v>6</v>
      </c>
      <c r="F15" s="119">
        <f t="shared" si="10"/>
        <v>1</v>
      </c>
      <c r="G15" s="119">
        <f t="shared" si="10"/>
        <v>1</v>
      </c>
      <c r="H15" s="46">
        <f t="shared" si="1"/>
        <v>11</v>
      </c>
      <c r="I15" s="51">
        <f>IF(SUM($Z$175:$Z$189)&gt;0,AVERAGEIF($Z$175:$Z$189,"&lt;&gt;0"),0)</f>
        <v>14.266666666666667</v>
      </c>
      <c r="J15" s="51">
        <f>IF(SUM($AI$175:$AI$189)&gt;0,AVERAGEIF($AI$175:$AI$189,"&lt;&gt;0"),0)</f>
        <v>35.563495974371648</v>
      </c>
      <c r="K15" s="73"/>
      <c r="L15" s="188" t="s">
        <v>210</v>
      </c>
      <c r="M15" s="189">
        <f>(COUNTIFS(Z39:Z339,"&gt;0",Z39:Z339,"&lt;=18"))/(COUNTIF(Z39:Z339,"&gt;0"))*100</f>
        <v>100</v>
      </c>
      <c r="N15" s="129"/>
      <c r="O15" s="82"/>
      <c r="P15" s="133" t="s">
        <v>104</v>
      </c>
      <c r="Q15" s="74">
        <v>3</v>
      </c>
      <c r="R15" s="74">
        <v>6</v>
      </c>
      <c r="S15" s="73">
        <v>1</v>
      </c>
      <c r="T15" s="73">
        <v>1</v>
      </c>
      <c r="U15" s="123">
        <f t="shared" si="3"/>
        <v>11</v>
      </c>
      <c r="V15" s="141">
        <v>11</v>
      </c>
      <c r="W15" s="117"/>
      <c r="X15" s="117"/>
      <c r="Y15" s="117"/>
      <c r="Z15" s="117"/>
      <c r="AA15" s="117"/>
      <c r="AB15" s="117"/>
      <c r="AC15" s="117"/>
    </row>
    <row r="16" spans="1:29" x14ac:dyDescent="0.35">
      <c r="A16" s="117"/>
      <c r="B16" s="81" t="s">
        <v>105</v>
      </c>
      <c r="C16" s="47">
        <f>SUMIFS([2]!Table2_23[FIS PAX],[2]!Table2_23[ETA],"&gt;1530",[2]!Table2_23[ETA],"&lt;1546")</f>
        <v>185</v>
      </c>
      <c r="D16" s="119">
        <f>M190</f>
        <v>3</v>
      </c>
      <c r="E16" s="119">
        <f t="shared" ref="E16:G16" si="11">N190</f>
        <v>7</v>
      </c>
      <c r="F16" s="119">
        <f t="shared" si="11"/>
        <v>1</v>
      </c>
      <c r="G16" s="119">
        <f t="shared" si="11"/>
        <v>0</v>
      </c>
      <c r="H16" s="46">
        <f t="shared" si="1"/>
        <v>11</v>
      </c>
      <c r="I16" s="51">
        <f>IF(SUM($Z$190:$Z$204)&gt;0,AVERAGEIF($Z$190:$Z$204,"&lt;&gt;0"),0)</f>
        <v>5.4666666666666668</v>
      </c>
      <c r="J16" s="51">
        <f>IF(SUM($AI$190:$AI$204)&gt;0,AVERAGEIF($AI$190:$AI$204,"&lt;&gt;0"),0)</f>
        <v>26.471851808597979</v>
      </c>
      <c r="K16" s="73"/>
      <c r="L16" s="188"/>
      <c r="M16" s="189"/>
      <c r="N16" s="89"/>
      <c r="O16" s="73"/>
      <c r="P16" s="134" t="s">
        <v>105</v>
      </c>
      <c r="Q16" s="74">
        <v>3</v>
      </c>
      <c r="R16" s="74">
        <v>6</v>
      </c>
      <c r="S16" s="73">
        <v>1</v>
      </c>
      <c r="T16" s="73">
        <v>1</v>
      </c>
      <c r="U16" s="123">
        <f t="shared" si="3"/>
        <v>11</v>
      </c>
      <c r="V16" s="141">
        <v>11</v>
      </c>
      <c r="W16" s="117"/>
      <c r="X16" s="117"/>
      <c r="Y16" s="117"/>
      <c r="Z16" s="117"/>
      <c r="AA16" s="117"/>
      <c r="AB16" s="117"/>
      <c r="AC16" s="117"/>
    </row>
    <row r="17" spans="1:29" x14ac:dyDescent="0.35">
      <c r="A17" s="117"/>
      <c r="B17" s="81" t="s">
        <v>106</v>
      </c>
      <c r="C17" s="47">
        <f>SUMIFS([2]!Table2_23[FIS PAX],[2]!Table2_23[ETA],"&gt;1545",[2]!Table2_23[ETA],"&lt;1601")</f>
        <v>615</v>
      </c>
      <c r="D17" s="119">
        <f>M205</f>
        <v>3</v>
      </c>
      <c r="E17" s="119">
        <f t="shared" ref="E17:G17" si="12">N205</f>
        <v>6</v>
      </c>
      <c r="F17" s="119">
        <f t="shared" si="12"/>
        <v>1</v>
      </c>
      <c r="G17" s="119">
        <f t="shared" si="12"/>
        <v>1</v>
      </c>
      <c r="H17" s="46">
        <f t="shared" si="1"/>
        <v>11</v>
      </c>
      <c r="I17" s="51">
        <f>IF(SUM($Z$205:$Z$219)&gt;0,AVERAGEIF($Z$205:$Z$219,"&lt;&gt;0"),0)</f>
        <v>5.333333333333333</v>
      </c>
      <c r="J17" s="51">
        <f>IF(SUM($AI$205:$AI$219)&gt;0,AVERAGEIF($AI$205:$AI$219,"&lt;&gt;0"),0)</f>
        <v>26.390450156129948</v>
      </c>
      <c r="K17" s="73"/>
      <c r="L17" s="188"/>
      <c r="M17" s="189"/>
      <c r="N17" s="89"/>
      <c r="O17" s="73"/>
      <c r="P17" s="134" t="s">
        <v>106</v>
      </c>
      <c r="Q17" s="74">
        <v>3</v>
      </c>
      <c r="R17" s="74">
        <v>6</v>
      </c>
      <c r="S17" s="73">
        <v>1</v>
      </c>
      <c r="T17" s="73">
        <v>1</v>
      </c>
      <c r="U17" s="123">
        <f t="shared" si="3"/>
        <v>11</v>
      </c>
      <c r="V17" s="141">
        <v>11</v>
      </c>
      <c r="W17" s="117"/>
      <c r="X17" s="117"/>
      <c r="Y17" s="117"/>
      <c r="Z17" s="117"/>
      <c r="AA17" s="117"/>
      <c r="AB17" s="117"/>
      <c r="AC17" s="117"/>
    </row>
    <row r="18" spans="1:29" x14ac:dyDescent="0.35">
      <c r="A18" s="117"/>
      <c r="B18" s="81" t="s">
        <v>107</v>
      </c>
      <c r="C18" s="47">
        <f>SUMIFS([2]!Table2_23[FIS PAX],[2]!Table2_23[ETA],"&gt;1600",[2]!Table2_23[ETA],"&lt;1616")</f>
        <v>0</v>
      </c>
      <c r="D18" s="119">
        <f>M220</f>
        <v>3</v>
      </c>
      <c r="E18" s="119">
        <f t="shared" ref="E18:G18" si="13">N220</f>
        <v>7</v>
      </c>
      <c r="F18" s="119">
        <f t="shared" si="13"/>
        <v>1</v>
      </c>
      <c r="G18" s="119">
        <f t="shared" si="13"/>
        <v>0</v>
      </c>
      <c r="H18" s="46">
        <f t="shared" si="1"/>
        <v>11</v>
      </c>
      <c r="I18" s="51">
        <f>IF(SUM($Z$220:$Z$234)&gt;0,AVERAGEIF($Z$220:$Z$234,"&lt;&gt;0"),0)</f>
        <v>9.6666666666666661</v>
      </c>
      <c r="J18" s="51">
        <f>IF(SUM($AI$220:$AI$234)&gt;0,AVERAGEIF($AI$220:$AI$234,"&lt;&gt;0"),0)</f>
        <v>31.714253381154165</v>
      </c>
      <c r="K18" s="73"/>
      <c r="L18" s="188"/>
      <c r="M18" s="189"/>
      <c r="N18" s="89"/>
      <c r="O18" s="73"/>
      <c r="P18" s="134" t="s">
        <v>107</v>
      </c>
      <c r="Q18" s="74">
        <v>3</v>
      </c>
      <c r="R18" s="74">
        <v>6</v>
      </c>
      <c r="S18" s="73">
        <v>1</v>
      </c>
      <c r="T18" s="73">
        <v>1</v>
      </c>
      <c r="U18" s="123">
        <f t="shared" si="3"/>
        <v>11</v>
      </c>
      <c r="V18" s="141">
        <v>11</v>
      </c>
      <c r="W18" s="117"/>
      <c r="X18" s="117"/>
      <c r="Y18" s="117"/>
      <c r="Z18" s="117"/>
      <c r="AA18" s="117"/>
      <c r="AB18" s="117"/>
      <c r="AC18" s="117"/>
    </row>
    <row r="19" spans="1:29" x14ac:dyDescent="0.35">
      <c r="A19" s="117"/>
      <c r="B19" s="81" t="s">
        <v>108</v>
      </c>
      <c r="C19" s="47">
        <f>SUMIFS([2]!Table2_23[FIS PAX],[2]!Table2_23[ETA],"&gt;1615",[2]!Table2_23[ETA],"&lt;1631")</f>
        <v>139</v>
      </c>
      <c r="D19" s="119">
        <f>M235</f>
        <v>3</v>
      </c>
      <c r="E19" s="119">
        <f t="shared" ref="E19:G19" si="14">N235</f>
        <v>6</v>
      </c>
      <c r="F19" s="119">
        <f t="shared" si="14"/>
        <v>1</v>
      </c>
      <c r="G19" s="119">
        <f t="shared" si="14"/>
        <v>1</v>
      </c>
      <c r="H19" s="46">
        <f t="shared" si="1"/>
        <v>11</v>
      </c>
      <c r="I19" s="51">
        <f>IF(SUM($Z$235:$Z$249)&gt;0,AVERAGEIF($Z$235:$Z$249,"&lt;&gt;0"),0)</f>
        <v>15.333333333333334</v>
      </c>
      <c r="J19" s="51">
        <f>IF(SUM($AI$235:$AI$249)&gt;0,AVERAGEIF($AI$235:$AI$249,"&lt;&gt;0"),0)</f>
        <v>38.607830387729599</v>
      </c>
      <c r="K19" s="73"/>
      <c r="L19" s="74"/>
      <c r="M19" s="73"/>
      <c r="N19" s="89"/>
      <c r="O19" s="73"/>
      <c r="P19" s="134" t="s">
        <v>108</v>
      </c>
      <c r="Q19" s="74">
        <v>3</v>
      </c>
      <c r="R19" s="74">
        <v>6</v>
      </c>
      <c r="S19" s="73">
        <v>1</v>
      </c>
      <c r="T19" s="73">
        <v>1</v>
      </c>
      <c r="U19" s="123">
        <f t="shared" si="3"/>
        <v>11</v>
      </c>
      <c r="V19" s="141">
        <v>11</v>
      </c>
      <c r="W19" s="117"/>
      <c r="X19" s="117"/>
      <c r="Y19" s="117"/>
      <c r="Z19" s="117"/>
      <c r="AA19" s="117"/>
      <c r="AB19" s="117"/>
      <c r="AC19" s="117"/>
    </row>
    <row r="20" spans="1:29" x14ac:dyDescent="0.35">
      <c r="A20" s="117"/>
      <c r="B20" s="81" t="s">
        <v>109</v>
      </c>
      <c r="C20" s="47">
        <f>SUMIFS([2]!Table2_23[FIS PAX],[2]!Table2_23[ETA],"&gt;1630",[2]!Table2_23[ETA],"&lt;1646")</f>
        <v>0</v>
      </c>
      <c r="D20" s="119">
        <f>M250</f>
        <v>3</v>
      </c>
      <c r="E20" s="119">
        <f t="shared" ref="E20:G20" si="15">N250</f>
        <v>7</v>
      </c>
      <c r="F20" s="119">
        <f t="shared" si="15"/>
        <v>1</v>
      </c>
      <c r="G20" s="119">
        <f t="shared" si="15"/>
        <v>0</v>
      </c>
      <c r="H20" s="46">
        <f t="shared" si="1"/>
        <v>11</v>
      </c>
      <c r="I20" s="51">
        <f>IF(SUM($Z$250:$Z$264)&gt;0,AVERAGEIF($Z$250:$Z$264,"&lt;&gt;0"),0)</f>
        <v>14.4</v>
      </c>
      <c r="J20" s="51">
        <f>IF(SUM($AI$250:$AI$264)&gt;0,AVERAGEIF($AI$250:$AI$264,"&lt;&gt;0"),0)</f>
        <v>36.10701826271999</v>
      </c>
      <c r="K20" s="73"/>
      <c r="L20" s="73"/>
      <c r="M20" s="73"/>
      <c r="N20" s="89"/>
      <c r="O20" s="73"/>
      <c r="P20" s="134" t="s">
        <v>109</v>
      </c>
      <c r="Q20" s="74">
        <v>3</v>
      </c>
      <c r="R20" s="74">
        <v>6</v>
      </c>
      <c r="S20" s="73">
        <v>1</v>
      </c>
      <c r="T20" s="73">
        <v>1</v>
      </c>
      <c r="U20" s="123">
        <f t="shared" si="3"/>
        <v>11</v>
      </c>
      <c r="V20" s="141">
        <v>11</v>
      </c>
      <c r="W20" s="117"/>
      <c r="X20" s="117"/>
      <c r="Y20" s="117"/>
      <c r="Z20" s="117"/>
      <c r="AA20" s="117"/>
      <c r="AB20" s="117"/>
      <c r="AC20" s="117"/>
    </row>
    <row r="21" spans="1:29" x14ac:dyDescent="0.35">
      <c r="A21" s="117"/>
      <c r="B21" s="81" t="s">
        <v>110</v>
      </c>
      <c r="C21" s="47">
        <f>SUMIFS([2]!Table2_23[FIS PAX],[2]!Table2_23[ETA],"&gt;1645",[2]!Table2_23[ETA],"&lt;1701")</f>
        <v>272</v>
      </c>
      <c r="D21" s="119">
        <f>M265</f>
        <v>3</v>
      </c>
      <c r="E21" s="119">
        <f t="shared" ref="E21:G21" si="16">N265</f>
        <v>7</v>
      </c>
      <c r="F21" s="119">
        <f t="shared" si="16"/>
        <v>0</v>
      </c>
      <c r="G21" s="119">
        <f t="shared" si="16"/>
        <v>1</v>
      </c>
      <c r="H21" s="46">
        <f t="shared" si="1"/>
        <v>11</v>
      </c>
      <c r="I21" s="51">
        <f>IF(SUM($Z$265:$Z$279)&gt;0,AVERAGEIF($Z$265:$Z$279,"&lt;&gt;0"),0)</f>
        <v>8.6</v>
      </c>
      <c r="J21" s="51">
        <f>IF(SUM($AI$265:$AI$279)&gt;0,AVERAGEIF($AI$265:$AI$279,"&lt;&gt;0"),0)</f>
        <v>29.67805965782204</v>
      </c>
      <c r="K21" s="73"/>
      <c r="L21" s="73"/>
      <c r="M21" s="73"/>
      <c r="N21" s="89"/>
      <c r="O21" s="73"/>
      <c r="P21" s="134" t="s">
        <v>110</v>
      </c>
      <c r="Q21" s="74">
        <v>3</v>
      </c>
      <c r="R21" s="74">
        <v>6</v>
      </c>
      <c r="S21" s="73">
        <v>1</v>
      </c>
      <c r="T21" s="73">
        <v>1</v>
      </c>
      <c r="U21" s="123">
        <f t="shared" si="3"/>
        <v>11</v>
      </c>
      <c r="V21" s="141">
        <v>11</v>
      </c>
      <c r="W21" s="117"/>
      <c r="X21" s="117"/>
      <c r="Y21" s="117"/>
      <c r="Z21" s="117"/>
      <c r="AA21" s="117"/>
      <c r="AB21" s="117"/>
      <c r="AC21" s="117"/>
    </row>
    <row r="22" spans="1:29" x14ac:dyDescent="0.35">
      <c r="A22" s="117"/>
      <c r="B22" s="81" t="s">
        <v>111</v>
      </c>
      <c r="C22" s="47">
        <f>SUMIFS([2]!Table2_23[FIS PAX],[2]!Table2_23[ETA],"&gt;1700",[2]!Table2_23[ETA],"&lt;1716")</f>
        <v>104</v>
      </c>
      <c r="D22" s="119">
        <f>M280</f>
        <v>3</v>
      </c>
      <c r="E22" s="119">
        <f t="shared" ref="E22:G22" si="17">N280</f>
        <v>7</v>
      </c>
      <c r="F22" s="119">
        <f t="shared" si="17"/>
        <v>1</v>
      </c>
      <c r="G22" s="119">
        <f t="shared" si="17"/>
        <v>0</v>
      </c>
      <c r="H22" s="46">
        <f t="shared" si="1"/>
        <v>11</v>
      </c>
      <c r="I22" s="51">
        <f>IF(SUM($Z$280:$Z$294)&gt;0,AVERAGEIF($Z$280:$Z$294,"&lt;&gt;0"),0)</f>
        <v>9.8666666666666671</v>
      </c>
      <c r="J22" s="51">
        <f>IF(SUM($AI$280:$AI$294)&gt;0,AVERAGEIF($AI$280:$AI$294,"&lt;&gt;0"),0)</f>
        <v>31.559862567566089</v>
      </c>
      <c r="K22" s="73"/>
      <c r="L22" s="73"/>
      <c r="M22" s="73"/>
      <c r="N22" s="89"/>
      <c r="O22" s="73"/>
      <c r="P22" s="134" t="s">
        <v>111</v>
      </c>
      <c r="Q22" s="74">
        <v>3</v>
      </c>
      <c r="R22" s="74">
        <v>6</v>
      </c>
      <c r="S22" s="73">
        <v>1</v>
      </c>
      <c r="T22" s="73">
        <v>1</v>
      </c>
      <c r="U22" s="123">
        <f t="shared" si="3"/>
        <v>11</v>
      </c>
      <c r="V22" s="141">
        <v>11</v>
      </c>
      <c r="W22" s="117"/>
      <c r="X22" s="117"/>
      <c r="Y22" s="117"/>
      <c r="Z22" s="117"/>
      <c r="AA22" s="117"/>
      <c r="AB22" s="117"/>
      <c r="AC22" s="117"/>
    </row>
    <row r="23" spans="1:29" x14ac:dyDescent="0.35">
      <c r="A23" s="117"/>
      <c r="B23" s="81" t="s">
        <v>112</v>
      </c>
      <c r="C23" s="47">
        <f>SUMIFS([2]!Table2_23[FIS PAX],[2]!Table2_23[ETA],"&gt;1715",[2]!Table2_23[ETA],"&lt;1731")</f>
        <v>0</v>
      </c>
      <c r="D23" s="119">
        <f>M295</f>
        <v>3</v>
      </c>
      <c r="E23" s="119">
        <f t="shared" ref="E23:G23" si="18">N295</f>
        <v>6</v>
      </c>
      <c r="F23" s="119">
        <f t="shared" si="18"/>
        <v>1</v>
      </c>
      <c r="G23" s="119">
        <f t="shared" si="18"/>
        <v>1</v>
      </c>
      <c r="H23" s="46">
        <f t="shared" si="1"/>
        <v>11</v>
      </c>
      <c r="I23" s="51">
        <f>IF(SUM($Z$295:$Z$309)&gt;0,AVERAGEIF($Z$295:$Z$309,"&lt;&gt;0"),0)</f>
        <v>8.9333333333333336</v>
      </c>
      <c r="J23" s="51">
        <f>IF(SUM($AI$295:$AI$309)&gt;0,AVERAGEIF($AI$295:$AI$309,"&lt;&gt;0"),0)</f>
        <v>29.956878134958551</v>
      </c>
      <c r="K23" s="73"/>
      <c r="L23" s="73"/>
      <c r="M23" s="73"/>
      <c r="N23" s="89"/>
      <c r="O23" s="73"/>
      <c r="P23" s="134" t="s">
        <v>112</v>
      </c>
      <c r="Q23" s="74">
        <v>3</v>
      </c>
      <c r="R23" s="74">
        <v>6</v>
      </c>
      <c r="S23" s="73">
        <v>1</v>
      </c>
      <c r="T23" s="73">
        <v>1</v>
      </c>
      <c r="U23" s="123">
        <f t="shared" si="3"/>
        <v>11</v>
      </c>
      <c r="V23" s="141">
        <v>11</v>
      </c>
      <c r="W23" s="117"/>
      <c r="X23" s="117"/>
      <c r="Y23" s="117"/>
      <c r="Z23" s="117"/>
      <c r="AA23" s="117"/>
      <c r="AB23" s="117"/>
      <c r="AC23" s="117"/>
    </row>
    <row r="24" spans="1:29" x14ac:dyDescent="0.35">
      <c r="A24" s="117"/>
      <c r="B24" s="77" t="s">
        <v>113</v>
      </c>
      <c r="C24" s="47">
        <f>SUMIFS([2]!Table2_23[FIS PAX],[2]!Table2_23[ETA],"&gt;1730",[2]!Table2_23[ETA],"&lt;1746")</f>
        <v>0</v>
      </c>
      <c r="D24" s="119">
        <f>M310</f>
        <v>3</v>
      </c>
      <c r="E24" s="119">
        <f t="shared" ref="E24:G24" si="19">N310</f>
        <v>8</v>
      </c>
      <c r="F24" s="119">
        <f t="shared" si="19"/>
        <v>0</v>
      </c>
      <c r="G24" s="119">
        <f t="shared" si="19"/>
        <v>0</v>
      </c>
      <c r="H24" s="46">
        <f t="shared" si="1"/>
        <v>11</v>
      </c>
      <c r="I24" s="51">
        <f>IF(SUM($Z$310:$Z$324)&gt;0,AVERAGEIF($Z$310:$Z$324,"&lt;&gt;0"),0)</f>
        <v>3.0833333333333335</v>
      </c>
      <c r="J24" s="51">
        <f>IF(SUM($AI$310:$AI$324)&gt;0,AVERAGEIF($AI$310:$AI$324,"&lt;&gt;0"),0)</f>
        <v>24.083333333333332</v>
      </c>
      <c r="K24" s="74"/>
      <c r="L24" s="74"/>
      <c r="M24" s="74"/>
      <c r="N24" s="130"/>
      <c r="O24" s="74"/>
      <c r="P24" s="133" t="s">
        <v>113</v>
      </c>
      <c r="Q24" s="74">
        <v>3</v>
      </c>
      <c r="R24" s="74">
        <v>6</v>
      </c>
      <c r="S24" s="73">
        <v>1</v>
      </c>
      <c r="T24" s="73">
        <v>1</v>
      </c>
      <c r="U24" s="123">
        <f t="shared" si="3"/>
        <v>11</v>
      </c>
      <c r="V24" s="141">
        <v>11</v>
      </c>
      <c r="W24" s="117"/>
      <c r="X24" s="117"/>
      <c r="Y24" s="117"/>
      <c r="Z24" s="117"/>
      <c r="AA24" s="117"/>
      <c r="AB24" s="117"/>
      <c r="AC24" s="117"/>
    </row>
    <row r="25" spans="1:29" ht="15" thickBot="1" x14ac:dyDescent="0.4">
      <c r="A25" s="117"/>
      <c r="B25" s="84" t="s">
        <v>114</v>
      </c>
      <c r="C25" s="53">
        <f>SUMIFS([2]!Table2_23[FIS PAX],[2]!Table2_23[ETA],"&gt;1745",[2]!Table2_23[ETA],"&lt;1801")</f>
        <v>0</v>
      </c>
      <c r="D25" s="131">
        <f>M325</f>
        <v>0</v>
      </c>
      <c r="E25" s="131">
        <f t="shared" ref="E25:G25" si="20">N325</f>
        <v>11</v>
      </c>
      <c r="F25" s="131">
        <f t="shared" si="20"/>
        <v>0</v>
      </c>
      <c r="G25" s="131">
        <f t="shared" si="20"/>
        <v>0</v>
      </c>
      <c r="H25" s="54">
        <f t="shared" si="1"/>
        <v>11</v>
      </c>
      <c r="I25" s="51">
        <f>IF(SUM($Z$325:$Z$339)&gt;0,AVERAGEIF($Z$325:$Z$339,"&lt;&gt;0"),0)</f>
        <v>0</v>
      </c>
      <c r="J25" s="51">
        <f>IF(SUM($AI$325:$AI$339)&gt;0,AVERAGEIF($AI$325:$AI$339,"&lt;&gt;0"),0)</f>
        <v>0</v>
      </c>
      <c r="K25" s="86"/>
      <c r="L25" s="86"/>
      <c r="M25" s="86"/>
      <c r="N25" s="132"/>
      <c r="O25" s="74"/>
      <c r="P25" s="136" t="s">
        <v>114</v>
      </c>
      <c r="Q25" s="74">
        <v>3</v>
      </c>
      <c r="R25" s="74">
        <v>6</v>
      </c>
      <c r="S25" s="73">
        <v>1</v>
      </c>
      <c r="T25" s="73">
        <v>1</v>
      </c>
      <c r="U25" s="137">
        <f t="shared" si="3"/>
        <v>11</v>
      </c>
      <c r="V25" s="142">
        <v>11</v>
      </c>
      <c r="W25" s="117"/>
      <c r="X25" s="117"/>
      <c r="Y25" s="117"/>
      <c r="Z25" s="117"/>
      <c r="AA25" s="117"/>
      <c r="AB25" s="117"/>
      <c r="AC25" s="117"/>
    </row>
    <row r="26" spans="1:29" ht="15" thickBot="1" x14ac:dyDescent="0.4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</row>
    <row r="27" spans="1:29" ht="21" x14ac:dyDescent="0.5">
      <c r="A27" s="117"/>
      <c r="B27" s="167" t="s">
        <v>141</v>
      </c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7"/>
      <c r="U27" s="220"/>
      <c r="V27" s="220"/>
      <c r="W27" s="220"/>
      <c r="X27" s="220"/>
      <c r="Y27" s="117"/>
      <c r="Z27" s="117"/>
      <c r="AA27" s="117"/>
    </row>
    <row r="28" spans="1:29" x14ac:dyDescent="0.35">
      <c r="A28" s="117"/>
      <c r="B28" s="88"/>
      <c r="C28" s="73"/>
      <c r="D28" s="73"/>
      <c r="E28" s="73"/>
      <c r="F28" s="73"/>
      <c r="G28" s="148"/>
      <c r="H28" s="178" t="s">
        <v>144</v>
      </c>
      <c r="I28" s="178"/>
      <c r="J28" s="178"/>
      <c r="K28" s="73"/>
      <c r="L28" s="73"/>
      <c r="M28" s="73"/>
      <c r="N28" s="73"/>
      <c r="O28" s="73"/>
      <c r="P28" s="73"/>
      <c r="Q28" s="73"/>
      <c r="R28" s="73"/>
      <c r="S28" s="179" t="s">
        <v>174</v>
      </c>
      <c r="T28" s="180"/>
      <c r="U28" s="73"/>
      <c r="V28" s="73"/>
      <c r="W28" s="73"/>
      <c r="X28" s="73"/>
      <c r="Y28" s="117"/>
      <c r="Z28" s="117"/>
      <c r="AA28" s="117"/>
    </row>
    <row r="29" spans="1:29" ht="29" customHeight="1" x14ac:dyDescent="0.35">
      <c r="A29" s="117"/>
      <c r="B29" s="181" t="s">
        <v>1</v>
      </c>
      <c r="C29" s="182"/>
      <c r="D29" s="73"/>
      <c r="E29" s="183" t="s">
        <v>133</v>
      </c>
      <c r="F29" s="183" t="s">
        <v>175</v>
      </c>
      <c r="G29" s="145"/>
      <c r="H29" s="25"/>
      <c r="I29" s="97" t="s">
        <v>146</v>
      </c>
      <c r="J29" s="97" t="s">
        <v>145</v>
      </c>
      <c r="K29" s="73"/>
      <c r="L29" s="183" t="s">
        <v>137</v>
      </c>
      <c r="M29" s="73"/>
      <c r="N29" s="183" t="s">
        <v>84</v>
      </c>
      <c r="O29" s="73"/>
      <c r="P29" s="186" t="s">
        <v>88</v>
      </c>
      <c r="Q29" s="183" t="s">
        <v>115</v>
      </c>
      <c r="R29" s="73"/>
      <c r="S29" s="80" t="s">
        <v>85</v>
      </c>
      <c r="T29" s="116">
        <v>16</v>
      </c>
      <c r="U29" s="117"/>
      <c r="V29" s="117"/>
      <c r="W29" s="117"/>
      <c r="X29" s="117"/>
      <c r="Y29" s="117"/>
      <c r="Z29" s="117"/>
      <c r="AA29" s="117"/>
    </row>
    <row r="30" spans="1:29" x14ac:dyDescent="0.35">
      <c r="A30" s="117"/>
      <c r="B30" s="98" t="s">
        <v>2</v>
      </c>
      <c r="C30" s="94">
        <v>0.55279999999999996</v>
      </c>
      <c r="D30" s="73"/>
      <c r="E30" s="184"/>
      <c r="F30" s="184"/>
      <c r="G30" s="146"/>
      <c r="H30" s="80" t="s">
        <v>2</v>
      </c>
      <c r="I30" s="95">
        <v>0.40386</v>
      </c>
      <c r="J30" s="80">
        <f>1/I30</f>
        <v>2.4761055811419799</v>
      </c>
      <c r="K30" s="73"/>
      <c r="L30" s="184"/>
      <c r="M30" s="73"/>
      <c r="N30" s="184"/>
      <c r="O30" s="73"/>
      <c r="P30" s="187"/>
      <c r="Q30" s="184"/>
      <c r="R30" s="73"/>
      <c r="S30" s="80" t="s">
        <v>39</v>
      </c>
      <c r="T30" s="116">
        <v>3</v>
      </c>
      <c r="U30" s="117"/>
      <c r="V30" s="117"/>
      <c r="W30" s="117"/>
      <c r="X30" s="117"/>
      <c r="Y30" s="117"/>
      <c r="Z30" s="117"/>
      <c r="AA30" s="117"/>
    </row>
    <row r="31" spans="1:29" x14ac:dyDescent="0.35">
      <c r="A31" s="117"/>
      <c r="B31" s="98" t="s">
        <v>3</v>
      </c>
      <c r="C31" s="94">
        <v>0.23730000000000001</v>
      </c>
      <c r="D31" s="73"/>
      <c r="E31" s="163">
        <v>18</v>
      </c>
      <c r="F31" s="165">
        <f>ROUNDUP(4.93,0)</f>
        <v>5</v>
      </c>
      <c r="G31" s="145"/>
      <c r="H31" s="80" t="s">
        <v>3</v>
      </c>
      <c r="I31" s="95">
        <v>1.7152540000000001</v>
      </c>
      <c r="J31" s="80">
        <f>1/I31</f>
        <v>0.58300403322190186</v>
      </c>
      <c r="K31" s="73"/>
      <c r="L31" s="184"/>
      <c r="M31" s="73"/>
      <c r="N31" s="184"/>
      <c r="O31" s="73"/>
      <c r="P31" s="187"/>
      <c r="Q31" s="184"/>
      <c r="R31" s="73"/>
      <c r="S31" s="80" t="s">
        <v>87</v>
      </c>
      <c r="T31" s="116">
        <v>10</v>
      </c>
      <c r="U31" s="117"/>
      <c r="V31" s="117"/>
      <c r="W31" s="117"/>
      <c r="X31" s="117"/>
      <c r="Y31" s="117"/>
      <c r="Z31" s="117"/>
      <c r="AA31" s="117"/>
    </row>
    <row r="32" spans="1:29" x14ac:dyDescent="0.35">
      <c r="A32" s="117"/>
      <c r="B32" s="98" t="s">
        <v>5</v>
      </c>
      <c r="C32" s="94">
        <v>0.1636</v>
      </c>
      <c r="D32" s="73"/>
      <c r="E32" s="163"/>
      <c r="F32" s="165"/>
      <c r="G32" s="146"/>
      <c r="H32" s="80" t="s">
        <v>5</v>
      </c>
      <c r="I32" s="95">
        <v>0.34260699999999999</v>
      </c>
      <c r="J32" s="80">
        <f>1/I32</f>
        <v>2.9187961717069411</v>
      </c>
      <c r="K32" s="73"/>
      <c r="L32" s="185"/>
      <c r="M32" s="73"/>
      <c r="N32" s="184"/>
      <c r="O32" s="73"/>
      <c r="P32" s="187"/>
      <c r="Q32" s="184"/>
      <c r="R32" s="73"/>
      <c r="S32" s="80" t="s">
        <v>86</v>
      </c>
      <c r="T32" s="116">
        <v>15</v>
      </c>
      <c r="U32" s="117"/>
      <c r="V32" s="117"/>
      <c r="W32" s="117"/>
      <c r="X32" s="117"/>
      <c r="Y32" s="117"/>
      <c r="Z32" s="117"/>
      <c r="AA32" s="117"/>
    </row>
    <row r="33" spans="1:35" ht="15" thickBot="1" x14ac:dyDescent="0.4">
      <c r="A33" s="117"/>
      <c r="B33" s="99" t="s">
        <v>4</v>
      </c>
      <c r="C33" s="100">
        <v>4.6300000000000001E-2</v>
      </c>
      <c r="D33" s="92"/>
      <c r="E33" s="164"/>
      <c r="F33" s="166"/>
      <c r="G33" s="147"/>
      <c r="H33" s="87" t="s">
        <v>4</v>
      </c>
      <c r="I33" s="101">
        <v>0.46287899999999998</v>
      </c>
      <c r="J33" s="87">
        <f>1/I33</f>
        <v>2.1603918086584182</v>
      </c>
      <c r="K33" s="92"/>
      <c r="L33" s="85">
        <v>0.85</v>
      </c>
      <c r="M33" s="92"/>
      <c r="N33" s="102">
        <f>ROUNDUP(4.05,0)</f>
        <v>5</v>
      </c>
      <c r="O33" s="92"/>
      <c r="P33" s="87">
        <v>8.3868649946370943E-2</v>
      </c>
      <c r="Q33" s="87">
        <f>1/P33</f>
        <v>11.923406429451781</v>
      </c>
      <c r="R33" s="92"/>
      <c r="S33" s="87" t="s">
        <v>126</v>
      </c>
      <c r="T33" s="55">
        <f>AVERAGE(T29:T32)</f>
        <v>11</v>
      </c>
      <c r="U33" s="117"/>
      <c r="V33" s="117"/>
      <c r="W33" s="117"/>
      <c r="X33" s="117"/>
      <c r="Y33" s="117"/>
      <c r="Z33" s="117"/>
      <c r="AA33" s="117"/>
    </row>
    <row r="34" spans="1:35" ht="15" thickBot="1" x14ac:dyDescent="0.4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</row>
    <row r="35" spans="1:35" ht="21" x14ac:dyDescent="0.5">
      <c r="A35" s="117"/>
      <c r="B35" s="167" t="s">
        <v>142</v>
      </c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9"/>
    </row>
    <row r="36" spans="1:35" x14ac:dyDescent="0.35">
      <c r="A36" s="117"/>
      <c r="B36" s="170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2"/>
    </row>
    <row r="37" spans="1:35" ht="14.5" customHeight="1" x14ac:dyDescent="0.35">
      <c r="A37" s="117"/>
      <c r="B37" s="56" t="s">
        <v>147</v>
      </c>
      <c r="C37" s="173" t="s">
        <v>135</v>
      </c>
      <c r="D37" s="174"/>
      <c r="E37" s="173" t="s">
        <v>136</v>
      </c>
      <c r="F37" s="175"/>
      <c r="G37" s="175"/>
      <c r="H37" s="174"/>
      <c r="I37" s="173" t="s">
        <v>91</v>
      </c>
      <c r="J37" s="175"/>
      <c r="K37" s="175"/>
      <c r="L37" s="174"/>
      <c r="M37" s="173" t="s">
        <v>92</v>
      </c>
      <c r="N37" s="175"/>
      <c r="O37" s="175"/>
      <c r="P37" s="175"/>
      <c r="Q37" s="174"/>
      <c r="R37" s="173" t="s">
        <v>93</v>
      </c>
      <c r="S37" s="175"/>
      <c r="T37" s="175"/>
      <c r="U37" s="174"/>
      <c r="V37" s="173" t="s">
        <v>95</v>
      </c>
      <c r="W37" s="175"/>
      <c r="X37" s="175"/>
      <c r="Y37" s="174"/>
      <c r="Z37" s="49" t="s">
        <v>202</v>
      </c>
      <c r="AA37" s="158" t="s">
        <v>116</v>
      </c>
      <c r="AB37" s="158"/>
      <c r="AC37" s="158"/>
      <c r="AD37" s="158"/>
      <c r="AE37" s="158"/>
      <c r="AF37" s="23" t="s">
        <v>117</v>
      </c>
      <c r="AG37" s="23" t="s">
        <v>118</v>
      </c>
      <c r="AH37" s="222" t="s">
        <v>125</v>
      </c>
      <c r="AI37" s="229" t="s">
        <v>205</v>
      </c>
    </row>
    <row r="38" spans="1:35" ht="43.5" x14ac:dyDescent="0.35">
      <c r="A38" s="1" t="s">
        <v>89</v>
      </c>
      <c r="B38" s="56" t="s">
        <v>90</v>
      </c>
      <c r="C38" s="50" t="s">
        <v>139</v>
      </c>
      <c r="D38" s="43" t="s">
        <v>134</v>
      </c>
      <c r="E38" s="24" t="s">
        <v>2</v>
      </c>
      <c r="F38" s="25" t="s">
        <v>6</v>
      </c>
      <c r="G38" s="25" t="s">
        <v>5</v>
      </c>
      <c r="H38" s="24" t="s">
        <v>4</v>
      </c>
      <c r="I38" s="24" t="s">
        <v>2</v>
      </c>
      <c r="J38" s="25" t="s">
        <v>6</v>
      </c>
      <c r="K38" s="25" t="s">
        <v>5</v>
      </c>
      <c r="L38" s="24" t="s">
        <v>4</v>
      </c>
      <c r="M38" s="24" t="s">
        <v>2</v>
      </c>
      <c r="N38" s="25" t="s">
        <v>6</v>
      </c>
      <c r="O38" s="25" t="s">
        <v>5</v>
      </c>
      <c r="P38" s="24" t="s">
        <v>4</v>
      </c>
      <c r="Q38" s="24" t="s">
        <v>94</v>
      </c>
      <c r="R38" s="24" t="s">
        <v>2</v>
      </c>
      <c r="S38" s="25" t="s">
        <v>6</v>
      </c>
      <c r="T38" s="25" t="s">
        <v>5</v>
      </c>
      <c r="U38" s="24" t="s">
        <v>4</v>
      </c>
      <c r="V38" s="24" t="s">
        <v>2</v>
      </c>
      <c r="W38" s="25" t="s">
        <v>6</v>
      </c>
      <c r="X38" s="25" t="s">
        <v>5</v>
      </c>
      <c r="Y38" s="24" t="s">
        <v>4</v>
      </c>
      <c r="Z38" s="24" t="s">
        <v>203</v>
      </c>
      <c r="AA38" s="24" t="s">
        <v>2</v>
      </c>
      <c r="AB38" s="25" t="s">
        <v>6</v>
      </c>
      <c r="AC38" s="25" t="s">
        <v>5</v>
      </c>
      <c r="AD38" s="24" t="s">
        <v>4</v>
      </c>
      <c r="AE38" s="31" t="s">
        <v>94</v>
      </c>
      <c r="AF38" s="31" t="s">
        <v>94</v>
      </c>
      <c r="AG38" s="31" t="s">
        <v>94</v>
      </c>
      <c r="AH38" s="223" t="s">
        <v>94</v>
      </c>
      <c r="AI38" s="57" t="s">
        <v>94</v>
      </c>
    </row>
    <row r="39" spans="1:35" x14ac:dyDescent="0.35">
      <c r="A39" s="48">
        <v>1300</v>
      </c>
      <c r="B39" s="58">
        <f>SUMIF([2]!Table2_23[ETA],'FIS Current Model'!A39,[2]!Table2_23[FIS PAX])</f>
        <v>0</v>
      </c>
      <c r="C39" s="44">
        <f>MIN($E$31,D39)</f>
        <v>0</v>
      </c>
      <c r="D39" s="52">
        <f>IF(B39=0,0,18)</f>
        <v>0</v>
      </c>
      <c r="E39" s="26">
        <f>$C$30*C39</f>
        <v>0</v>
      </c>
      <c r="F39" s="26">
        <f>$C$31*C39</f>
        <v>0</v>
      </c>
      <c r="G39" s="26">
        <f>$C$32*C39</f>
        <v>0</v>
      </c>
      <c r="H39" s="26">
        <f>$C$33*C39</f>
        <v>0</v>
      </c>
      <c r="I39" s="27">
        <v>0</v>
      </c>
      <c r="J39" s="27">
        <v>0</v>
      </c>
      <c r="K39" s="27">
        <v>0</v>
      </c>
      <c r="L39" s="27">
        <v>0</v>
      </c>
      <c r="M39" s="28">
        <f>Q6</f>
        <v>2</v>
      </c>
      <c r="N39" s="28">
        <f>R6</f>
        <v>2</v>
      </c>
      <c r="O39" s="28">
        <f>S6</f>
        <v>1</v>
      </c>
      <c r="P39" s="28">
        <f>T6</f>
        <v>1</v>
      </c>
      <c r="Q39" s="28">
        <f>SUM(M39:P39)</f>
        <v>6</v>
      </c>
      <c r="R39" s="22">
        <f>E39</f>
        <v>0</v>
      </c>
      <c r="S39" s="22">
        <f>F39</f>
        <v>0</v>
      </c>
      <c r="T39" s="22">
        <f>G39</f>
        <v>0</v>
      </c>
      <c r="U39" s="22">
        <f>H39</f>
        <v>0</v>
      </c>
      <c r="V39" s="21">
        <f>R39*$I$30</f>
        <v>0</v>
      </c>
      <c r="W39" s="21">
        <f>S39*$I$31</f>
        <v>0</v>
      </c>
      <c r="X39" s="21">
        <f>T39*$I$32</f>
        <v>0</v>
      </c>
      <c r="Y39" s="21">
        <f>U39*$I$33</f>
        <v>0</v>
      </c>
      <c r="Z39" s="221">
        <f>ROUNDUP(SUM(V39*$C$30,W39*$C$31,X39*$C$32,Y39*$C$33),0)</f>
        <v>0</v>
      </c>
      <c r="AA39" s="30">
        <f t="shared" ref="AA39:AA102" si="21">IF(R39&lt;&gt;0,($J$30*M39*$L$33),0)</f>
        <v>0</v>
      </c>
      <c r="AB39" s="30">
        <f t="shared" ref="AB39:AB102" si="22">IF(W39&lt;&gt;0,($J$31*N39*$L$33),0)</f>
        <v>0</v>
      </c>
      <c r="AC39" s="30">
        <f t="shared" ref="AC39:AC102" si="23">IF(X39&lt;&gt;0,($J$32*O39*$L$33),0)</f>
        <v>0</v>
      </c>
      <c r="AD39" s="30">
        <f t="shared" ref="AD39:AD102" si="24">IF(Y39&lt;&gt;0,($J$33*P39*$L$33),0)</f>
        <v>0</v>
      </c>
      <c r="AE39" s="32">
        <f>SUM(AA39:AD39)</f>
        <v>0</v>
      </c>
      <c r="AF39" s="33">
        <v>0</v>
      </c>
      <c r="AG39" s="40">
        <v>0</v>
      </c>
      <c r="AH39" s="224">
        <f>AG39*$P$33</f>
        <v>0</v>
      </c>
      <c r="AI39" s="227">
        <f>SUM(Z39,IF(Z39&lt;&gt;0,$F$31,0),IF(Z39&lt;&gt;0,$N$33,0),IF(Z39&lt;&gt;0,$T$33,0),IF(Z39=0,AH44,IF(Z39=1,AH45,IF(Z39=2,AH46,IF(Z39=3,AH47,IF(Z39=4,AH48,IF(Z39=5,AH49,IF(Z39=6,AH50,IF(Z39=7,AH51,IF(Z39=8,AH52,IF(Z39=9,AH53,IF(Z39=10,AH54,IF(Z39=11,AH55,IF(Z39=12,AH56,IF(Z39=13,AH57,IF(Z39=14,AH58,IF(Z39=15,AH59,IF(Z39=16,AH60,IF(Z39=17,AH61,IF(Z39=18,AH62,IF(Z39=19,AH63,IF(Z39=20,AH64,IF(Z39=21,AH65,IF(Z39=22,AH66,IF(Z39=23,AH67,IF(Z39=24,AH68,IF(Z39=25,AH69,IF(Z39=26,AH70,IF(Z39=27,AH71,IF(Z39=28,AH72,IF(Z39=29,AH73,IF(Z39=30,AH74))))))))))))))))))))))))))))))))</f>
        <v>0</v>
      </c>
    </row>
    <row r="40" spans="1:35" x14ac:dyDescent="0.35">
      <c r="A40" s="48">
        <v>1301</v>
      </c>
      <c r="B40" s="58">
        <f>SUMIF([2]!Table2_23[ETA],'FIS Current Model'!A40,[2]!Table2_23[FIS PAX])</f>
        <v>0</v>
      </c>
      <c r="C40" s="44">
        <f>IF((D39-D40)&gt;-1,(D39-D40),18)</f>
        <v>0</v>
      </c>
      <c r="D40" s="52">
        <v>0</v>
      </c>
      <c r="E40" s="26">
        <f t="shared" ref="E40:E103" si="25">$C$30*C40</f>
        <v>0</v>
      </c>
      <c r="F40" s="26">
        <f t="shared" ref="F40:F103" si="26">$C$31*C40</f>
        <v>0</v>
      </c>
      <c r="G40" s="26">
        <f t="shared" ref="G40:G103" si="27">$C$32*C40</f>
        <v>0</v>
      </c>
      <c r="H40" s="26">
        <f>$C$33*C40</f>
        <v>0</v>
      </c>
      <c r="I40" s="27">
        <v>0</v>
      </c>
      <c r="J40" s="27">
        <v>0</v>
      </c>
      <c r="K40" s="27">
        <v>0</v>
      </c>
      <c r="L40" s="27">
        <v>0</v>
      </c>
      <c r="M40" s="28">
        <f>IF(R39=0,0,$Q$6)</f>
        <v>0</v>
      </c>
      <c r="N40" s="29">
        <f>$U$6-M40-O40-P40</f>
        <v>6</v>
      </c>
      <c r="O40" s="28">
        <f>IF(T39=0,0,$S$6)</f>
        <v>0</v>
      </c>
      <c r="P40" s="28">
        <f>IF(U39=0,0,$T$6)</f>
        <v>0</v>
      </c>
      <c r="Q40" s="28">
        <f t="shared" ref="Q40:Q103" si="28">SUM(M40:P40)</f>
        <v>6</v>
      </c>
      <c r="R40" s="22">
        <f t="shared" ref="R40:R103" si="29">MAX(R39-($J$30*M40*$L$33)+I40,0)</f>
        <v>0</v>
      </c>
      <c r="S40" s="22">
        <f t="shared" ref="S40:S103" si="30">IF(U40&lt;&gt;0,(MAX(S39-($J$31*N40*$L$33)+J40,0)),(MAX(S39-($J$31*(N40+P40)*$L$33)+J40,0)))</f>
        <v>0</v>
      </c>
      <c r="T40" s="22">
        <f t="shared" ref="T40:T103" si="31">MAX(T39-($J$32*O40*$L$33)+K40,0)</f>
        <v>0</v>
      </c>
      <c r="U40" s="22">
        <f t="shared" ref="U40:U103" si="32">MAX(U39-($J$33*P40*$L$33)+L40,0)</f>
        <v>0</v>
      </c>
      <c r="V40" s="21">
        <f>IFERROR(R40*($I$30/M40),0)</f>
        <v>0</v>
      </c>
      <c r="W40" s="21">
        <f>S40*($I$31/N40)</f>
        <v>0</v>
      </c>
      <c r="X40" s="21">
        <f>IFERROR(T40*($I$32/O40),0)</f>
        <v>0</v>
      </c>
      <c r="Y40" s="21">
        <f>IFERROR(U40*($I$33/P40),0)</f>
        <v>0</v>
      </c>
      <c r="Z40" s="221">
        <f t="shared" ref="Z40:Z103" si="33">ROUNDUP(SUM(V40*$C$30,W40*$C$31,X40*$C$32,Y40*$C$33),0)</f>
        <v>0</v>
      </c>
      <c r="AA40" s="30">
        <f t="shared" si="21"/>
        <v>0</v>
      </c>
      <c r="AB40" s="30">
        <f t="shared" si="22"/>
        <v>0</v>
      </c>
      <c r="AC40" s="30">
        <f t="shared" si="23"/>
        <v>0</v>
      </c>
      <c r="AD40" s="30">
        <f t="shared" si="24"/>
        <v>0</v>
      </c>
      <c r="AE40" s="32">
        <f t="shared" ref="AE40:AE103" si="34">SUM(AA40:AD40)</f>
        <v>0</v>
      </c>
      <c r="AF40" s="33">
        <v>0</v>
      </c>
      <c r="AG40" s="40">
        <f t="shared" ref="AG40:AG103" si="35">MAX(AG39-$Q$33+AF40,0)</f>
        <v>0</v>
      </c>
      <c r="AH40" s="224">
        <f>AG40*$P$33</f>
        <v>0</v>
      </c>
      <c r="AI40" s="227">
        <f t="shared" ref="AI40:AI103" si="36">SUM(Z40,IF(Z40&lt;&gt;0,$F$31,0),IF(Z40&lt;&gt;0,$N$33,0),IF(Z40&lt;&gt;0,$T$33,0),IF(Z40=0,AH45,IF(Z40=1,AH46,IF(Z40=2,AH47,IF(Z40=3,AH48,IF(Z40=4,AH49,IF(Z40=5,AH50,IF(Z40=6,AH51,IF(Z40=7,AH52,IF(Z40=8,AH53,IF(Z40=9,AH54,IF(Z40=10,AH55,IF(Z40=11,AH56,IF(Z40=12,AH57,IF(Z40=13,AH58,IF(Z40=14,AH59,IF(Z40=15,AH60,IF(Z40=16,AH61,IF(Z40=17,AH62,IF(Z40=18,AH63,IF(Z40=19,AH64,IF(Z40=20,AH65,IF(Z40=21,AH66,IF(Z40=22,AH67,IF(Z40=23,AH68,IF(Z40=24,AH69,IF(Z40=25,AH70,IF(Z40=26,AH71,IF(Z40=27,AH72,IF(Z40=28,AH73,IF(Z40=29,AH74,IF(Z40=30,AH75))))))))))))))))))))))))))))))))</f>
        <v>0</v>
      </c>
    </row>
    <row r="41" spans="1:35" x14ac:dyDescent="0.35">
      <c r="A41" s="48">
        <v>1302</v>
      </c>
      <c r="B41" s="58">
        <f>SUMIF([2]!Table2_23[ETA],'FIS Current Model'!A41,[2]!Table2_23[FIS PAX])</f>
        <v>0</v>
      </c>
      <c r="C41" s="44">
        <f t="shared" ref="C41:C104" si="37">IF((D40-D41)&gt;-1,(D40-D41),18)</f>
        <v>0</v>
      </c>
      <c r="D41" s="52">
        <f>MAX(D40-$E$31+B40,0)</f>
        <v>0</v>
      </c>
      <c r="E41" s="26">
        <f t="shared" si="25"/>
        <v>0</v>
      </c>
      <c r="F41" s="26">
        <f t="shared" si="26"/>
        <v>0</v>
      </c>
      <c r="G41" s="26">
        <f t="shared" si="27"/>
        <v>0</v>
      </c>
      <c r="H41" s="26">
        <f t="shared" ref="H41:H104" si="38">$C$33*C41</f>
        <v>0</v>
      </c>
      <c r="I41" s="27">
        <v>0</v>
      </c>
      <c r="J41" s="27">
        <v>0</v>
      </c>
      <c r="K41" s="27">
        <v>0</v>
      </c>
      <c r="L41" s="27">
        <v>0</v>
      </c>
      <c r="M41" s="28">
        <f>$M$40</f>
        <v>0</v>
      </c>
      <c r="N41" s="29">
        <f>$N$40</f>
        <v>6</v>
      </c>
      <c r="O41" s="28">
        <f>$O$40</f>
        <v>0</v>
      </c>
      <c r="P41" s="28">
        <f>$P$40</f>
        <v>0</v>
      </c>
      <c r="Q41" s="28">
        <f t="shared" si="28"/>
        <v>6</v>
      </c>
      <c r="R41" s="22">
        <f t="shared" si="29"/>
        <v>0</v>
      </c>
      <c r="S41" s="22">
        <f t="shared" si="30"/>
        <v>0</v>
      </c>
      <c r="T41" s="22">
        <f t="shared" si="31"/>
        <v>0</v>
      </c>
      <c r="U41" s="22">
        <f t="shared" si="32"/>
        <v>0</v>
      </c>
      <c r="V41" s="21">
        <f t="shared" ref="V41:V104" si="39">IFERROR(R41*($I$30/M41),0)</f>
        <v>0</v>
      </c>
      <c r="W41" s="21">
        <f t="shared" ref="W41:W104" si="40">S41*($I$31/N41)</f>
        <v>0</v>
      </c>
      <c r="X41" s="21">
        <f t="shared" ref="X41:X104" si="41">IFERROR(T41*($I$32/O41),0)</f>
        <v>0</v>
      </c>
      <c r="Y41" s="21">
        <f t="shared" ref="Y41:Y104" si="42">IFERROR(U41*($I$33/P41),0)</f>
        <v>0</v>
      </c>
      <c r="Z41" s="221">
        <f t="shared" si="33"/>
        <v>0</v>
      </c>
      <c r="AA41" s="30">
        <f t="shared" si="21"/>
        <v>0</v>
      </c>
      <c r="AB41" s="30">
        <f t="shared" si="22"/>
        <v>0</v>
      </c>
      <c r="AC41" s="30">
        <f t="shared" si="23"/>
        <v>0</v>
      </c>
      <c r="AD41" s="30">
        <f t="shared" si="24"/>
        <v>0</v>
      </c>
      <c r="AE41" s="32">
        <f t="shared" si="34"/>
        <v>0</v>
      </c>
      <c r="AF41" s="33">
        <v>0</v>
      </c>
      <c r="AG41" s="40">
        <f t="shared" si="35"/>
        <v>0</v>
      </c>
      <c r="AH41" s="224">
        <f>AG41*$P$33</f>
        <v>0</v>
      </c>
      <c r="AI41" s="227">
        <f t="shared" si="36"/>
        <v>0</v>
      </c>
    </row>
    <row r="42" spans="1:35" x14ac:dyDescent="0.35">
      <c r="A42" s="48">
        <v>1303</v>
      </c>
      <c r="B42" s="58">
        <f>SUMIF([2]!Table2_23[ETA],'FIS Current Model'!A42,[2]!Table2_23[FIS PAX])</f>
        <v>0</v>
      </c>
      <c r="C42" s="44">
        <f t="shared" si="37"/>
        <v>0</v>
      </c>
      <c r="D42" s="52">
        <f t="shared" ref="D42:D105" si="43">MAX(D41-$E$31+B41,0)</f>
        <v>0</v>
      </c>
      <c r="E42" s="26">
        <f t="shared" si="25"/>
        <v>0</v>
      </c>
      <c r="F42" s="26">
        <f t="shared" si="26"/>
        <v>0</v>
      </c>
      <c r="G42" s="26">
        <f t="shared" si="27"/>
        <v>0</v>
      </c>
      <c r="H42" s="26">
        <f t="shared" si="38"/>
        <v>0</v>
      </c>
      <c r="I42" s="27">
        <v>0</v>
      </c>
      <c r="J42" s="27">
        <v>0</v>
      </c>
      <c r="K42" s="27">
        <v>0</v>
      </c>
      <c r="L42" s="27">
        <v>0</v>
      </c>
      <c r="M42" s="28">
        <f t="shared" ref="M42:M54" si="44">$M$40</f>
        <v>0</v>
      </c>
      <c r="N42" s="29">
        <f t="shared" ref="N42:N54" si="45">$N$40</f>
        <v>6</v>
      </c>
      <c r="O42" s="28">
        <f t="shared" ref="O42:O54" si="46">$O$40</f>
        <v>0</v>
      </c>
      <c r="P42" s="28">
        <f t="shared" ref="P42:P54" si="47">$P$40</f>
        <v>0</v>
      </c>
      <c r="Q42" s="28">
        <f t="shared" si="28"/>
        <v>6</v>
      </c>
      <c r="R42" s="22">
        <f t="shared" si="29"/>
        <v>0</v>
      </c>
      <c r="S42" s="22">
        <f t="shared" si="30"/>
        <v>0</v>
      </c>
      <c r="T42" s="22">
        <f t="shared" si="31"/>
        <v>0</v>
      </c>
      <c r="U42" s="22">
        <f t="shared" si="32"/>
        <v>0</v>
      </c>
      <c r="V42" s="21">
        <f t="shared" si="39"/>
        <v>0</v>
      </c>
      <c r="W42" s="21">
        <f t="shared" si="40"/>
        <v>0</v>
      </c>
      <c r="X42" s="21">
        <f t="shared" si="41"/>
        <v>0</v>
      </c>
      <c r="Y42" s="21">
        <f t="shared" si="42"/>
        <v>0</v>
      </c>
      <c r="Z42" s="221">
        <f t="shared" si="33"/>
        <v>0</v>
      </c>
      <c r="AA42" s="30">
        <f t="shared" si="21"/>
        <v>0</v>
      </c>
      <c r="AB42" s="30">
        <f t="shared" si="22"/>
        <v>0</v>
      </c>
      <c r="AC42" s="30">
        <f t="shared" si="23"/>
        <v>0</v>
      </c>
      <c r="AD42" s="30">
        <f t="shared" si="24"/>
        <v>0</v>
      </c>
      <c r="AE42" s="32">
        <f t="shared" si="34"/>
        <v>0</v>
      </c>
      <c r="AF42" s="33">
        <v>0</v>
      </c>
      <c r="AG42" s="40">
        <f t="shared" si="35"/>
        <v>0</v>
      </c>
      <c r="AH42" s="224">
        <f>AG42*$P$33</f>
        <v>0</v>
      </c>
      <c r="AI42" s="227">
        <f t="shared" si="36"/>
        <v>0</v>
      </c>
    </row>
    <row r="43" spans="1:35" x14ac:dyDescent="0.35">
      <c r="A43" s="48">
        <v>1304</v>
      </c>
      <c r="B43" s="58">
        <f>SUMIF([2]!Table2_23[ETA],'FIS Current Model'!A43,[2]!Table2_23[FIS PAX])</f>
        <v>0</v>
      </c>
      <c r="C43" s="44">
        <f>IF((D42-D43)&gt;-1,(D42-D43),18)</f>
        <v>0</v>
      </c>
      <c r="D43" s="52">
        <f t="shared" si="43"/>
        <v>0</v>
      </c>
      <c r="E43" s="26">
        <f t="shared" si="25"/>
        <v>0</v>
      </c>
      <c r="F43" s="26">
        <f t="shared" si="26"/>
        <v>0</v>
      </c>
      <c r="G43" s="26">
        <f t="shared" si="27"/>
        <v>0</v>
      </c>
      <c r="H43" s="26">
        <f t="shared" si="38"/>
        <v>0</v>
      </c>
      <c r="I43" s="27">
        <v>0</v>
      </c>
      <c r="J43" s="27">
        <v>0</v>
      </c>
      <c r="K43" s="27">
        <v>0</v>
      </c>
      <c r="L43" s="27">
        <v>0</v>
      </c>
      <c r="M43" s="28">
        <f t="shared" si="44"/>
        <v>0</v>
      </c>
      <c r="N43" s="29">
        <f t="shared" si="45"/>
        <v>6</v>
      </c>
      <c r="O43" s="28">
        <f t="shared" si="46"/>
        <v>0</v>
      </c>
      <c r="P43" s="28">
        <f t="shared" si="47"/>
        <v>0</v>
      </c>
      <c r="Q43" s="28">
        <f t="shared" si="28"/>
        <v>6</v>
      </c>
      <c r="R43" s="22">
        <f t="shared" si="29"/>
        <v>0</v>
      </c>
      <c r="S43" s="22">
        <f t="shared" si="30"/>
        <v>0</v>
      </c>
      <c r="T43" s="22">
        <f t="shared" si="31"/>
        <v>0</v>
      </c>
      <c r="U43" s="22">
        <f t="shared" si="32"/>
        <v>0</v>
      </c>
      <c r="V43" s="21">
        <f t="shared" si="39"/>
        <v>0</v>
      </c>
      <c r="W43" s="21">
        <f t="shared" si="40"/>
        <v>0</v>
      </c>
      <c r="X43" s="21">
        <f t="shared" si="41"/>
        <v>0</v>
      </c>
      <c r="Y43" s="21">
        <f t="shared" si="42"/>
        <v>0</v>
      </c>
      <c r="Z43" s="221">
        <f t="shared" si="33"/>
        <v>0</v>
      </c>
      <c r="AA43" s="30">
        <f t="shared" si="21"/>
        <v>0</v>
      </c>
      <c r="AB43" s="30">
        <f t="shared" si="22"/>
        <v>0</v>
      </c>
      <c r="AC43" s="30">
        <f t="shared" si="23"/>
        <v>0</v>
      </c>
      <c r="AD43" s="30">
        <f t="shared" si="24"/>
        <v>0</v>
      </c>
      <c r="AE43" s="32">
        <f t="shared" si="34"/>
        <v>0</v>
      </c>
      <c r="AF43" s="33">
        <f>AE39</f>
        <v>0</v>
      </c>
      <c r="AG43" s="40">
        <f t="shared" si="35"/>
        <v>0</v>
      </c>
      <c r="AH43" s="224">
        <f>AG43*$P$33</f>
        <v>0</v>
      </c>
      <c r="AI43" s="227">
        <f t="shared" si="36"/>
        <v>0</v>
      </c>
    </row>
    <row r="44" spans="1:35" x14ac:dyDescent="0.35">
      <c r="A44" s="48">
        <v>1305</v>
      </c>
      <c r="B44" s="58">
        <f>SUMIF([2]!Table2_23[ETA],'FIS Current Model'!A44,[2]!Table2_23[FIS PAX])</f>
        <v>0</v>
      </c>
      <c r="C44" s="44">
        <f t="shared" si="37"/>
        <v>0</v>
      </c>
      <c r="D44" s="52">
        <f t="shared" si="43"/>
        <v>0</v>
      </c>
      <c r="E44" s="26">
        <f t="shared" si="25"/>
        <v>0</v>
      </c>
      <c r="F44" s="26">
        <f t="shared" si="26"/>
        <v>0</v>
      </c>
      <c r="G44" s="26">
        <f t="shared" si="27"/>
        <v>0</v>
      </c>
      <c r="H44" s="26">
        <f t="shared" si="38"/>
        <v>0</v>
      </c>
      <c r="I44" s="27">
        <f>E39</f>
        <v>0</v>
      </c>
      <c r="J44" s="27">
        <f t="shared" ref="J44:L59" si="48">F39</f>
        <v>0</v>
      </c>
      <c r="K44" s="27">
        <f t="shared" si="48"/>
        <v>0</v>
      </c>
      <c r="L44" s="27">
        <f t="shared" si="48"/>
        <v>0</v>
      </c>
      <c r="M44" s="28">
        <f t="shared" si="44"/>
        <v>0</v>
      </c>
      <c r="N44" s="29">
        <f t="shared" si="45"/>
        <v>6</v>
      </c>
      <c r="O44" s="28">
        <f t="shared" si="46"/>
        <v>0</v>
      </c>
      <c r="P44" s="28">
        <f t="shared" si="47"/>
        <v>0</v>
      </c>
      <c r="Q44" s="28">
        <f t="shared" si="28"/>
        <v>6</v>
      </c>
      <c r="R44" s="22">
        <f t="shared" si="29"/>
        <v>0</v>
      </c>
      <c r="S44" s="22">
        <f t="shared" si="30"/>
        <v>0</v>
      </c>
      <c r="T44" s="22">
        <f t="shared" si="31"/>
        <v>0</v>
      </c>
      <c r="U44" s="22">
        <f t="shared" si="32"/>
        <v>0</v>
      </c>
      <c r="V44" s="21">
        <f t="shared" si="39"/>
        <v>0</v>
      </c>
      <c r="W44" s="21">
        <f t="shared" si="40"/>
        <v>0</v>
      </c>
      <c r="X44" s="21">
        <f t="shared" si="41"/>
        <v>0</v>
      </c>
      <c r="Y44" s="21">
        <f t="shared" si="42"/>
        <v>0</v>
      </c>
      <c r="Z44" s="221">
        <f t="shared" si="33"/>
        <v>0</v>
      </c>
      <c r="AA44" s="30">
        <f t="shared" si="21"/>
        <v>0</v>
      </c>
      <c r="AB44" s="30">
        <f t="shared" si="22"/>
        <v>0</v>
      </c>
      <c r="AC44" s="30">
        <f t="shared" si="23"/>
        <v>0</v>
      </c>
      <c r="AD44" s="30">
        <f t="shared" si="24"/>
        <v>0</v>
      </c>
      <c r="AE44" s="32">
        <f t="shared" si="34"/>
        <v>0</v>
      </c>
      <c r="AF44" s="33">
        <f t="shared" ref="AF44:AF107" si="49">AE40</f>
        <v>0</v>
      </c>
      <c r="AG44" s="40">
        <f t="shared" si="35"/>
        <v>0</v>
      </c>
      <c r="AH44" s="224">
        <f>AG44*$P$33</f>
        <v>0</v>
      </c>
      <c r="AI44" s="227">
        <f t="shared" si="36"/>
        <v>0</v>
      </c>
    </row>
    <row r="45" spans="1:35" x14ac:dyDescent="0.35">
      <c r="A45" s="48">
        <v>1306</v>
      </c>
      <c r="B45" s="58">
        <f>SUMIF([2]!Table2_23[ETA],'FIS Current Model'!A45,[2]!Table2_23[FIS PAX])</f>
        <v>0</v>
      </c>
      <c r="C45" s="44">
        <f t="shared" si="37"/>
        <v>0</v>
      </c>
      <c r="D45" s="52">
        <f>MAX(D44-$E$31+B44,0)</f>
        <v>0</v>
      </c>
      <c r="E45" s="26">
        <f t="shared" si="25"/>
        <v>0</v>
      </c>
      <c r="F45" s="26">
        <f>$C$31*C45</f>
        <v>0</v>
      </c>
      <c r="G45" s="26">
        <f t="shared" si="27"/>
        <v>0</v>
      </c>
      <c r="H45" s="26">
        <f t="shared" si="38"/>
        <v>0</v>
      </c>
      <c r="I45" s="27">
        <f t="shared" ref="I45:L108" si="50">E40</f>
        <v>0</v>
      </c>
      <c r="J45" s="27">
        <f t="shared" si="48"/>
        <v>0</v>
      </c>
      <c r="K45" s="27">
        <f t="shared" si="48"/>
        <v>0</v>
      </c>
      <c r="L45" s="27">
        <f>H40</f>
        <v>0</v>
      </c>
      <c r="M45" s="28">
        <f t="shared" si="44"/>
        <v>0</v>
      </c>
      <c r="N45" s="29">
        <f t="shared" si="45"/>
        <v>6</v>
      </c>
      <c r="O45" s="28">
        <f t="shared" si="46"/>
        <v>0</v>
      </c>
      <c r="P45" s="28">
        <f t="shared" si="47"/>
        <v>0</v>
      </c>
      <c r="Q45" s="28">
        <f t="shared" si="28"/>
        <v>6</v>
      </c>
      <c r="R45" s="22">
        <f t="shared" si="29"/>
        <v>0</v>
      </c>
      <c r="S45" s="22">
        <f t="shared" si="30"/>
        <v>0</v>
      </c>
      <c r="T45" s="22">
        <f t="shared" si="31"/>
        <v>0</v>
      </c>
      <c r="U45" s="22">
        <f t="shared" si="32"/>
        <v>0</v>
      </c>
      <c r="V45" s="21">
        <f t="shared" si="39"/>
        <v>0</v>
      </c>
      <c r="W45" s="21">
        <f t="shared" si="40"/>
        <v>0</v>
      </c>
      <c r="X45" s="21">
        <f t="shared" si="41"/>
        <v>0</v>
      </c>
      <c r="Y45" s="21">
        <f t="shared" si="42"/>
        <v>0</v>
      </c>
      <c r="Z45" s="221">
        <f t="shared" si="33"/>
        <v>0</v>
      </c>
      <c r="AA45" s="30">
        <f t="shared" si="21"/>
        <v>0</v>
      </c>
      <c r="AB45" s="30">
        <f t="shared" si="22"/>
        <v>0</v>
      </c>
      <c r="AC45" s="30">
        <f t="shared" si="23"/>
        <v>0</v>
      </c>
      <c r="AD45" s="30">
        <f t="shared" si="24"/>
        <v>0</v>
      </c>
      <c r="AE45" s="32">
        <f t="shared" si="34"/>
        <v>0</v>
      </c>
      <c r="AF45" s="33">
        <f t="shared" si="49"/>
        <v>0</v>
      </c>
      <c r="AG45" s="40">
        <f t="shared" si="35"/>
        <v>0</v>
      </c>
      <c r="AH45" s="224">
        <f>AG45*$P$33</f>
        <v>0</v>
      </c>
      <c r="AI45" s="227">
        <f t="shared" si="36"/>
        <v>0</v>
      </c>
    </row>
    <row r="46" spans="1:35" x14ac:dyDescent="0.35">
      <c r="A46" s="48">
        <v>1307</v>
      </c>
      <c r="B46" s="58">
        <f>SUMIF([2]!Table2_23[ETA],'FIS Current Model'!A46,[2]!Table2_23[FIS PAX])</f>
        <v>0</v>
      </c>
      <c r="C46" s="44">
        <f t="shared" si="37"/>
        <v>0</v>
      </c>
      <c r="D46" s="52">
        <f t="shared" si="43"/>
        <v>0</v>
      </c>
      <c r="E46" s="26">
        <f t="shared" si="25"/>
        <v>0</v>
      </c>
      <c r="F46" s="26">
        <f t="shared" si="26"/>
        <v>0</v>
      </c>
      <c r="G46" s="26">
        <f t="shared" si="27"/>
        <v>0</v>
      </c>
      <c r="H46" s="26">
        <f t="shared" si="38"/>
        <v>0</v>
      </c>
      <c r="I46" s="27">
        <f t="shared" si="50"/>
        <v>0</v>
      </c>
      <c r="J46" s="27">
        <f t="shared" si="48"/>
        <v>0</v>
      </c>
      <c r="K46" s="27">
        <f t="shared" si="48"/>
        <v>0</v>
      </c>
      <c r="L46" s="27">
        <f>H41</f>
        <v>0</v>
      </c>
      <c r="M46" s="28">
        <f t="shared" si="44"/>
        <v>0</v>
      </c>
      <c r="N46" s="29">
        <f t="shared" si="45"/>
        <v>6</v>
      </c>
      <c r="O46" s="28">
        <f t="shared" si="46"/>
        <v>0</v>
      </c>
      <c r="P46" s="28">
        <f t="shared" si="47"/>
        <v>0</v>
      </c>
      <c r="Q46" s="28">
        <f t="shared" si="28"/>
        <v>6</v>
      </c>
      <c r="R46" s="22">
        <f t="shared" si="29"/>
        <v>0</v>
      </c>
      <c r="S46" s="22">
        <f t="shared" si="30"/>
        <v>0</v>
      </c>
      <c r="T46" s="22">
        <f t="shared" si="31"/>
        <v>0</v>
      </c>
      <c r="U46" s="22">
        <f t="shared" si="32"/>
        <v>0</v>
      </c>
      <c r="V46" s="21">
        <f t="shared" si="39"/>
        <v>0</v>
      </c>
      <c r="W46" s="21">
        <f t="shared" si="40"/>
        <v>0</v>
      </c>
      <c r="X46" s="21">
        <f t="shared" si="41"/>
        <v>0</v>
      </c>
      <c r="Y46" s="21">
        <f t="shared" si="42"/>
        <v>0</v>
      </c>
      <c r="Z46" s="221">
        <f t="shared" si="33"/>
        <v>0</v>
      </c>
      <c r="AA46" s="30">
        <f t="shared" si="21"/>
        <v>0</v>
      </c>
      <c r="AB46" s="30">
        <f t="shared" si="22"/>
        <v>0</v>
      </c>
      <c r="AC46" s="30">
        <f t="shared" si="23"/>
        <v>0</v>
      </c>
      <c r="AD46" s="30">
        <f t="shared" si="24"/>
        <v>0</v>
      </c>
      <c r="AE46" s="32">
        <f t="shared" si="34"/>
        <v>0</v>
      </c>
      <c r="AF46" s="33">
        <f t="shared" si="49"/>
        <v>0</v>
      </c>
      <c r="AG46" s="40">
        <f t="shared" si="35"/>
        <v>0</v>
      </c>
      <c r="AH46" s="224">
        <f>AG46*$P$33</f>
        <v>0</v>
      </c>
      <c r="AI46" s="227">
        <f t="shared" si="36"/>
        <v>0</v>
      </c>
    </row>
    <row r="47" spans="1:35" x14ac:dyDescent="0.35">
      <c r="A47" s="48">
        <v>1308</v>
      </c>
      <c r="B47" s="58">
        <f>SUMIF([2]!Table2_23[ETA],'FIS Current Model'!A47,[2]!Table2_23[FIS PAX])</f>
        <v>0</v>
      </c>
      <c r="C47" s="44">
        <f t="shared" si="37"/>
        <v>0</v>
      </c>
      <c r="D47" s="52">
        <f t="shared" si="43"/>
        <v>0</v>
      </c>
      <c r="E47" s="26">
        <f t="shared" si="25"/>
        <v>0</v>
      </c>
      <c r="F47" s="26">
        <f t="shared" si="26"/>
        <v>0</v>
      </c>
      <c r="G47" s="26">
        <f t="shared" si="27"/>
        <v>0</v>
      </c>
      <c r="H47" s="26">
        <f t="shared" si="38"/>
        <v>0</v>
      </c>
      <c r="I47" s="27">
        <f t="shared" si="50"/>
        <v>0</v>
      </c>
      <c r="J47" s="27">
        <f t="shared" si="48"/>
        <v>0</v>
      </c>
      <c r="K47" s="27">
        <f t="shared" si="48"/>
        <v>0</v>
      </c>
      <c r="L47" s="27">
        <f>H42</f>
        <v>0</v>
      </c>
      <c r="M47" s="28">
        <f t="shared" si="44"/>
        <v>0</v>
      </c>
      <c r="N47" s="29">
        <f t="shared" si="45"/>
        <v>6</v>
      </c>
      <c r="O47" s="28">
        <f t="shared" si="46"/>
        <v>0</v>
      </c>
      <c r="P47" s="28">
        <f t="shared" si="47"/>
        <v>0</v>
      </c>
      <c r="Q47" s="28">
        <f t="shared" si="28"/>
        <v>6</v>
      </c>
      <c r="R47" s="22">
        <f t="shared" si="29"/>
        <v>0</v>
      </c>
      <c r="S47" s="22">
        <f t="shared" si="30"/>
        <v>0</v>
      </c>
      <c r="T47" s="22">
        <f t="shared" si="31"/>
        <v>0</v>
      </c>
      <c r="U47" s="22">
        <f t="shared" si="32"/>
        <v>0</v>
      </c>
      <c r="V47" s="21">
        <f t="shared" si="39"/>
        <v>0</v>
      </c>
      <c r="W47" s="21">
        <f t="shared" si="40"/>
        <v>0</v>
      </c>
      <c r="X47" s="21">
        <f t="shared" si="41"/>
        <v>0</v>
      </c>
      <c r="Y47" s="21">
        <f t="shared" si="42"/>
        <v>0</v>
      </c>
      <c r="Z47" s="221">
        <f t="shared" si="33"/>
        <v>0</v>
      </c>
      <c r="AA47" s="30">
        <f t="shared" si="21"/>
        <v>0</v>
      </c>
      <c r="AB47" s="30">
        <f t="shared" si="22"/>
        <v>0</v>
      </c>
      <c r="AC47" s="30">
        <f t="shared" si="23"/>
        <v>0</v>
      </c>
      <c r="AD47" s="30">
        <f t="shared" si="24"/>
        <v>0</v>
      </c>
      <c r="AE47" s="32">
        <f t="shared" si="34"/>
        <v>0</v>
      </c>
      <c r="AF47" s="33">
        <f t="shared" si="49"/>
        <v>0</v>
      </c>
      <c r="AG47" s="40">
        <f t="shared" si="35"/>
        <v>0</v>
      </c>
      <c r="AH47" s="224">
        <f>AG47*$P$33</f>
        <v>0</v>
      </c>
      <c r="AI47" s="227">
        <f t="shared" si="36"/>
        <v>0</v>
      </c>
    </row>
    <row r="48" spans="1:35" x14ac:dyDescent="0.35">
      <c r="A48" s="48">
        <v>1309</v>
      </c>
      <c r="B48" s="58">
        <f>SUMIF([2]!Table2_23[ETA],'FIS Current Model'!A48,[2]!Table2_23[FIS PAX])</f>
        <v>0</v>
      </c>
      <c r="C48" s="44">
        <f t="shared" si="37"/>
        <v>0</v>
      </c>
      <c r="D48" s="52">
        <f t="shared" si="43"/>
        <v>0</v>
      </c>
      <c r="E48" s="26">
        <f t="shared" si="25"/>
        <v>0</v>
      </c>
      <c r="F48" s="26">
        <f t="shared" si="26"/>
        <v>0</v>
      </c>
      <c r="G48" s="26">
        <f t="shared" si="27"/>
        <v>0</v>
      </c>
      <c r="H48" s="26">
        <f t="shared" si="38"/>
        <v>0</v>
      </c>
      <c r="I48" s="27">
        <f t="shared" si="50"/>
        <v>0</v>
      </c>
      <c r="J48" s="27">
        <f t="shared" si="48"/>
        <v>0</v>
      </c>
      <c r="K48" s="27">
        <f t="shared" si="48"/>
        <v>0</v>
      </c>
      <c r="L48" s="27">
        <f t="shared" si="48"/>
        <v>0</v>
      </c>
      <c r="M48" s="28">
        <f t="shared" si="44"/>
        <v>0</v>
      </c>
      <c r="N48" s="29">
        <f t="shared" si="45"/>
        <v>6</v>
      </c>
      <c r="O48" s="28">
        <f t="shared" si="46"/>
        <v>0</v>
      </c>
      <c r="P48" s="28">
        <f t="shared" si="47"/>
        <v>0</v>
      </c>
      <c r="Q48" s="28">
        <f t="shared" si="28"/>
        <v>6</v>
      </c>
      <c r="R48" s="22">
        <f t="shared" si="29"/>
        <v>0</v>
      </c>
      <c r="S48" s="22">
        <f t="shared" si="30"/>
        <v>0</v>
      </c>
      <c r="T48" s="22">
        <f t="shared" si="31"/>
        <v>0</v>
      </c>
      <c r="U48" s="22">
        <f t="shared" si="32"/>
        <v>0</v>
      </c>
      <c r="V48" s="21">
        <f t="shared" si="39"/>
        <v>0</v>
      </c>
      <c r="W48" s="21">
        <f t="shared" si="40"/>
        <v>0</v>
      </c>
      <c r="X48" s="21">
        <f t="shared" si="41"/>
        <v>0</v>
      </c>
      <c r="Y48" s="21">
        <f t="shared" si="42"/>
        <v>0</v>
      </c>
      <c r="Z48" s="221">
        <f t="shared" si="33"/>
        <v>0</v>
      </c>
      <c r="AA48" s="30">
        <f t="shared" si="21"/>
        <v>0</v>
      </c>
      <c r="AB48" s="30">
        <f t="shared" si="22"/>
        <v>0</v>
      </c>
      <c r="AC48" s="30">
        <f t="shared" si="23"/>
        <v>0</v>
      </c>
      <c r="AD48" s="30">
        <f t="shared" si="24"/>
        <v>0</v>
      </c>
      <c r="AE48" s="32">
        <f t="shared" si="34"/>
        <v>0</v>
      </c>
      <c r="AF48" s="33">
        <f t="shared" si="49"/>
        <v>0</v>
      </c>
      <c r="AG48" s="40">
        <f t="shared" si="35"/>
        <v>0</v>
      </c>
      <c r="AH48" s="224">
        <f>AG48*$P$33</f>
        <v>0</v>
      </c>
      <c r="AI48" s="227">
        <f t="shared" si="36"/>
        <v>0</v>
      </c>
    </row>
    <row r="49" spans="1:35" x14ac:dyDescent="0.35">
      <c r="A49" s="48">
        <v>1310</v>
      </c>
      <c r="B49" s="58">
        <f>SUMIF([2]!Table2_23[ETA],'FIS Current Model'!A49,[2]!Table2_23[FIS PAX])</f>
        <v>0</v>
      </c>
      <c r="C49" s="44">
        <f t="shared" si="37"/>
        <v>0</v>
      </c>
      <c r="D49" s="52">
        <f t="shared" si="43"/>
        <v>0</v>
      </c>
      <c r="E49" s="26">
        <f t="shared" si="25"/>
        <v>0</v>
      </c>
      <c r="F49" s="26">
        <f t="shared" si="26"/>
        <v>0</v>
      </c>
      <c r="G49" s="26">
        <f t="shared" si="27"/>
        <v>0</v>
      </c>
      <c r="H49" s="26">
        <f t="shared" si="38"/>
        <v>0</v>
      </c>
      <c r="I49" s="27">
        <f t="shared" si="50"/>
        <v>0</v>
      </c>
      <c r="J49" s="27">
        <f t="shared" si="48"/>
        <v>0</v>
      </c>
      <c r="K49" s="27">
        <f t="shared" si="48"/>
        <v>0</v>
      </c>
      <c r="L49" s="27">
        <f t="shared" si="48"/>
        <v>0</v>
      </c>
      <c r="M49" s="28">
        <f t="shared" si="44"/>
        <v>0</v>
      </c>
      <c r="N49" s="29">
        <f t="shared" si="45"/>
        <v>6</v>
      </c>
      <c r="O49" s="28">
        <f t="shared" si="46"/>
        <v>0</v>
      </c>
      <c r="P49" s="28">
        <f t="shared" si="47"/>
        <v>0</v>
      </c>
      <c r="Q49" s="28">
        <f t="shared" si="28"/>
        <v>6</v>
      </c>
      <c r="R49" s="22">
        <f t="shared" si="29"/>
        <v>0</v>
      </c>
      <c r="S49" s="22">
        <f t="shared" si="30"/>
        <v>0</v>
      </c>
      <c r="T49" s="22">
        <f t="shared" si="31"/>
        <v>0</v>
      </c>
      <c r="U49" s="22">
        <f t="shared" si="32"/>
        <v>0</v>
      </c>
      <c r="V49" s="21">
        <f t="shared" si="39"/>
        <v>0</v>
      </c>
      <c r="W49" s="21">
        <f t="shared" si="40"/>
        <v>0</v>
      </c>
      <c r="X49" s="21">
        <f t="shared" si="41"/>
        <v>0</v>
      </c>
      <c r="Y49" s="21">
        <f t="shared" si="42"/>
        <v>0</v>
      </c>
      <c r="Z49" s="221">
        <f t="shared" si="33"/>
        <v>0</v>
      </c>
      <c r="AA49" s="30">
        <f t="shared" si="21"/>
        <v>0</v>
      </c>
      <c r="AB49" s="30">
        <f t="shared" si="22"/>
        <v>0</v>
      </c>
      <c r="AC49" s="30">
        <f t="shared" si="23"/>
        <v>0</v>
      </c>
      <c r="AD49" s="30">
        <f t="shared" si="24"/>
        <v>0</v>
      </c>
      <c r="AE49" s="32">
        <f t="shared" si="34"/>
        <v>0</v>
      </c>
      <c r="AF49" s="33">
        <f t="shared" si="49"/>
        <v>0</v>
      </c>
      <c r="AG49" s="40">
        <f t="shared" si="35"/>
        <v>0</v>
      </c>
      <c r="AH49" s="224">
        <f>AG49*$P$33</f>
        <v>0</v>
      </c>
      <c r="AI49" s="227">
        <f t="shared" si="36"/>
        <v>0</v>
      </c>
    </row>
    <row r="50" spans="1:35" x14ac:dyDescent="0.35">
      <c r="A50" s="48">
        <v>1311</v>
      </c>
      <c r="B50" s="58">
        <f>SUMIF([2]!Table2_23[ETA],'FIS Current Model'!A50,[2]!Table2_23[FIS PAX])</f>
        <v>0</v>
      </c>
      <c r="C50" s="44">
        <f t="shared" si="37"/>
        <v>0</v>
      </c>
      <c r="D50" s="52">
        <f t="shared" si="43"/>
        <v>0</v>
      </c>
      <c r="E50" s="26">
        <f t="shared" si="25"/>
        <v>0</v>
      </c>
      <c r="F50" s="26">
        <f t="shared" si="26"/>
        <v>0</v>
      </c>
      <c r="G50" s="26">
        <f t="shared" si="27"/>
        <v>0</v>
      </c>
      <c r="H50" s="26">
        <f t="shared" si="38"/>
        <v>0</v>
      </c>
      <c r="I50" s="27">
        <f t="shared" si="50"/>
        <v>0</v>
      </c>
      <c r="J50" s="27">
        <f t="shared" si="48"/>
        <v>0</v>
      </c>
      <c r="K50" s="27">
        <f t="shared" si="48"/>
        <v>0</v>
      </c>
      <c r="L50" s="27">
        <f t="shared" si="48"/>
        <v>0</v>
      </c>
      <c r="M50" s="28">
        <f t="shared" si="44"/>
        <v>0</v>
      </c>
      <c r="N50" s="29">
        <f t="shared" si="45"/>
        <v>6</v>
      </c>
      <c r="O50" s="28">
        <f t="shared" si="46"/>
        <v>0</v>
      </c>
      <c r="P50" s="28">
        <f t="shared" si="47"/>
        <v>0</v>
      </c>
      <c r="Q50" s="28">
        <f t="shared" si="28"/>
        <v>6</v>
      </c>
      <c r="R50" s="22">
        <f t="shared" si="29"/>
        <v>0</v>
      </c>
      <c r="S50" s="22">
        <f t="shared" si="30"/>
        <v>0</v>
      </c>
      <c r="T50" s="22">
        <f t="shared" si="31"/>
        <v>0</v>
      </c>
      <c r="U50" s="22">
        <f t="shared" si="32"/>
        <v>0</v>
      </c>
      <c r="V50" s="21">
        <f t="shared" si="39"/>
        <v>0</v>
      </c>
      <c r="W50" s="21">
        <f t="shared" si="40"/>
        <v>0</v>
      </c>
      <c r="X50" s="21">
        <f t="shared" si="41"/>
        <v>0</v>
      </c>
      <c r="Y50" s="21">
        <f t="shared" si="42"/>
        <v>0</v>
      </c>
      <c r="Z50" s="221">
        <f t="shared" si="33"/>
        <v>0</v>
      </c>
      <c r="AA50" s="30">
        <f t="shared" si="21"/>
        <v>0</v>
      </c>
      <c r="AB50" s="30">
        <f t="shared" si="22"/>
        <v>0</v>
      </c>
      <c r="AC50" s="30">
        <f t="shared" si="23"/>
        <v>0</v>
      </c>
      <c r="AD50" s="30">
        <f t="shared" si="24"/>
        <v>0</v>
      </c>
      <c r="AE50" s="32">
        <f t="shared" si="34"/>
        <v>0</v>
      </c>
      <c r="AF50" s="33">
        <f t="shared" si="49"/>
        <v>0</v>
      </c>
      <c r="AG50" s="40">
        <f t="shared" si="35"/>
        <v>0</v>
      </c>
      <c r="AH50" s="224">
        <f>AG50*$P$33</f>
        <v>0</v>
      </c>
      <c r="AI50" s="227">
        <f t="shared" si="36"/>
        <v>0</v>
      </c>
    </row>
    <row r="51" spans="1:35" x14ac:dyDescent="0.35">
      <c r="A51" s="48">
        <v>1312</v>
      </c>
      <c r="B51" s="58">
        <f>SUMIF([2]!Table2_23[ETA],'FIS Current Model'!A51,[2]!Table2_23[FIS PAX])</f>
        <v>0</v>
      </c>
      <c r="C51" s="44">
        <f t="shared" si="37"/>
        <v>0</v>
      </c>
      <c r="D51" s="52">
        <f t="shared" si="43"/>
        <v>0</v>
      </c>
      <c r="E51" s="26">
        <f t="shared" si="25"/>
        <v>0</v>
      </c>
      <c r="F51" s="26">
        <f t="shared" si="26"/>
        <v>0</v>
      </c>
      <c r="G51" s="26">
        <f t="shared" si="27"/>
        <v>0</v>
      </c>
      <c r="H51" s="26">
        <f t="shared" si="38"/>
        <v>0</v>
      </c>
      <c r="I51" s="27">
        <f t="shared" si="50"/>
        <v>0</v>
      </c>
      <c r="J51" s="27">
        <f t="shared" si="48"/>
        <v>0</v>
      </c>
      <c r="K51" s="27">
        <f t="shared" si="48"/>
        <v>0</v>
      </c>
      <c r="L51" s="27">
        <f t="shared" si="48"/>
        <v>0</v>
      </c>
      <c r="M51" s="28">
        <f t="shared" si="44"/>
        <v>0</v>
      </c>
      <c r="N51" s="29">
        <f t="shared" si="45"/>
        <v>6</v>
      </c>
      <c r="O51" s="28">
        <f t="shared" si="46"/>
        <v>0</v>
      </c>
      <c r="P51" s="28">
        <f t="shared" si="47"/>
        <v>0</v>
      </c>
      <c r="Q51" s="28">
        <f t="shared" si="28"/>
        <v>6</v>
      </c>
      <c r="R51" s="22">
        <f t="shared" si="29"/>
        <v>0</v>
      </c>
      <c r="S51" s="22">
        <f t="shared" si="30"/>
        <v>0</v>
      </c>
      <c r="T51" s="22">
        <f t="shared" si="31"/>
        <v>0</v>
      </c>
      <c r="U51" s="22">
        <f t="shared" si="32"/>
        <v>0</v>
      </c>
      <c r="V51" s="21">
        <f t="shared" si="39"/>
        <v>0</v>
      </c>
      <c r="W51" s="21">
        <f t="shared" si="40"/>
        <v>0</v>
      </c>
      <c r="X51" s="21">
        <f t="shared" si="41"/>
        <v>0</v>
      </c>
      <c r="Y51" s="21">
        <f t="shared" si="42"/>
        <v>0</v>
      </c>
      <c r="Z51" s="221">
        <f t="shared" si="33"/>
        <v>0</v>
      </c>
      <c r="AA51" s="30">
        <f t="shared" si="21"/>
        <v>0</v>
      </c>
      <c r="AB51" s="30">
        <f t="shared" si="22"/>
        <v>0</v>
      </c>
      <c r="AC51" s="30">
        <f t="shared" si="23"/>
        <v>0</v>
      </c>
      <c r="AD51" s="30">
        <f t="shared" si="24"/>
        <v>0</v>
      </c>
      <c r="AE51" s="32">
        <f t="shared" si="34"/>
        <v>0</v>
      </c>
      <c r="AF51" s="33">
        <f t="shared" si="49"/>
        <v>0</v>
      </c>
      <c r="AG51" s="40">
        <f t="shared" si="35"/>
        <v>0</v>
      </c>
      <c r="AH51" s="224">
        <f>AG51*$P$33</f>
        <v>0</v>
      </c>
      <c r="AI51" s="227">
        <f t="shared" si="36"/>
        <v>0</v>
      </c>
    </row>
    <row r="52" spans="1:35" x14ac:dyDescent="0.35">
      <c r="A52" s="48">
        <v>1313</v>
      </c>
      <c r="B52" s="58">
        <f>SUMIF([2]!Table2_23[ETA],'FIS Current Model'!A52,[2]!Table2_23[FIS PAX])</f>
        <v>0</v>
      </c>
      <c r="C52" s="44">
        <f t="shared" si="37"/>
        <v>0</v>
      </c>
      <c r="D52" s="52">
        <f t="shared" si="43"/>
        <v>0</v>
      </c>
      <c r="E52" s="26">
        <f t="shared" si="25"/>
        <v>0</v>
      </c>
      <c r="F52" s="26">
        <f t="shared" si="26"/>
        <v>0</v>
      </c>
      <c r="G52" s="26">
        <f t="shared" si="27"/>
        <v>0</v>
      </c>
      <c r="H52" s="26">
        <f t="shared" si="38"/>
        <v>0</v>
      </c>
      <c r="I52" s="27">
        <f t="shared" si="50"/>
        <v>0</v>
      </c>
      <c r="J52" s="27">
        <f t="shared" si="48"/>
        <v>0</v>
      </c>
      <c r="K52" s="27">
        <f t="shared" si="48"/>
        <v>0</v>
      </c>
      <c r="L52" s="27">
        <f t="shared" si="48"/>
        <v>0</v>
      </c>
      <c r="M52" s="28">
        <f t="shared" si="44"/>
        <v>0</v>
      </c>
      <c r="N52" s="29">
        <f t="shared" si="45"/>
        <v>6</v>
      </c>
      <c r="O52" s="28">
        <f t="shared" si="46"/>
        <v>0</v>
      </c>
      <c r="P52" s="28">
        <f t="shared" si="47"/>
        <v>0</v>
      </c>
      <c r="Q52" s="28">
        <f t="shared" si="28"/>
        <v>6</v>
      </c>
      <c r="R52" s="22">
        <f t="shared" si="29"/>
        <v>0</v>
      </c>
      <c r="S52" s="22">
        <f t="shared" si="30"/>
        <v>0</v>
      </c>
      <c r="T52" s="22">
        <f t="shared" si="31"/>
        <v>0</v>
      </c>
      <c r="U52" s="22">
        <f t="shared" si="32"/>
        <v>0</v>
      </c>
      <c r="V52" s="21">
        <f t="shared" si="39"/>
        <v>0</v>
      </c>
      <c r="W52" s="21">
        <f t="shared" si="40"/>
        <v>0</v>
      </c>
      <c r="X52" s="21">
        <f t="shared" si="41"/>
        <v>0</v>
      </c>
      <c r="Y52" s="21">
        <f t="shared" si="42"/>
        <v>0</v>
      </c>
      <c r="Z52" s="221">
        <f t="shared" si="33"/>
        <v>0</v>
      </c>
      <c r="AA52" s="30">
        <f t="shared" si="21"/>
        <v>0</v>
      </c>
      <c r="AB52" s="30">
        <f t="shared" si="22"/>
        <v>0</v>
      </c>
      <c r="AC52" s="30">
        <f t="shared" si="23"/>
        <v>0</v>
      </c>
      <c r="AD52" s="30">
        <f t="shared" si="24"/>
        <v>0</v>
      </c>
      <c r="AE52" s="32">
        <f t="shared" si="34"/>
        <v>0</v>
      </c>
      <c r="AF52" s="33">
        <f t="shared" si="49"/>
        <v>0</v>
      </c>
      <c r="AG52" s="40">
        <f t="shared" si="35"/>
        <v>0</v>
      </c>
      <c r="AH52" s="224">
        <f>AG52*$P$33</f>
        <v>0</v>
      </c>
      <c r="AI52" s="227">
        <f t="shared" si="36"/>
        <v>0</v>
      </c>
    </row>
    <row r="53" spans="1:35" x14ac:dyDescent="0.35">
      <c r="A53" s="48">
        <v>1314</v>
      </c>
      <c r="B53" s="58">
        <f>SUMIF([2]!Table2_23[ETA],'FIS Current Model'!A53,[2]!Table2_23[FIS PAX])</f>
        <v>0</v>
      </c>
      <c r="C53" s="44">
        <f t="shared" si="37"/>
        <v>0</v>
      </c>
      <c r="D53" s="52">
        <f t="shared" si="43"/>
        <v>0</v>
      </c>
      <c r="E53" s="26">
        <f t="shared" si="25"/>
        <v>0</v>
      </c>
      <c r="F53" s="26">
        <f t="shared" si="26"/>
        <v>0</v>
      </c>
      <c r="G53" s="26">
        <f t="shared" si="27"/>
        <v>0</v>
      </c>
      <c r="H53" s="26">
        <f t="shared" si="38"/>
        <v>0</v>
      </c>
      <c r="I53" s="27">
        <f t="shared" si="50"/>
        <v>0</v>
      </c>
      <c r="J53" s="27">
        <f t="shared" si="48"/>
        <v>0</v>
      </c>
      <c r="K53" s="27">
        <f t="shared" si="48"/>
        <v>0</v>
      </c>
      <c r="L53" s="27">
        <f t="shared" si="48"/>
        <v>0</v>
      </c>
      <c r="M53" s="28">
        <f t="shared" si="44"/>
        <v>0</v>
      </c>
      <c r="N53" s="29">
        <f t="shared" si="45"/>
        <v>6</v>
      </c>
      <c r="O53" s="28">
        <f t="shared" si="46"/>
        <v>0</v>
      </c>
      <c r="P53" s="28">
        <f t="shared" si="47"/>
        <v>0</v>
      </c>
      <c r="Q53" s="28">
        <f t="shared" si="28"/>
        <v>6</v>
      </c>
      <c r="R53" s="22">
        <f t="shared" si="29"/>
        <v>0</v>
      </c>
      <c r="S53" s="22">
        <f t="shared" si="30"/>
        <v>0</v>
      </c>
      <c r="T53" s="22">
        <f t="shared" si="31"/>
        <v>0</v>
      </c>
      <c r="U53" s="22">
        <f t="shared" si="32"/>
        <v>0</v>
      </c>
      <c r="V53" s="21">
        <f t="shared" si="39"/>
        <v>0</v>
      </c>
      <c r="W53" s="21">
        <f t="shared" si="40"/>
        <v>0</v>
      </c>
      <c r="X53" s="21">
        <f t="shared" si="41"/>
        <v>0</v>
      </c>
      <c r="Y53" s="21">
        <f t="shared" si="42"/>
        <v>0</v>
      </c>
      <c r="Z53" s="221">
        <f t="shared" si="33"/>
        <v>0</v>
      </c>
      <c r="AA53" s="30">
        <f t="shared" si="21"/>
        <v>0</v>
      </c>
      <c r="AB53" s="30">
        <f t="shared" si="22"/>
        <v>0</v>
      </c>
      <c r="AC53" s="30">
        <f t="shared" si="23"/>
        <v>0</v>
      </c>
      <c r="AD53" s="30">
        <f t="shared" si="24"/>
        <v>0</v>
      </c>
      <c r="AE53" s="32">
        <f t="shared" si="34"/>
        <v>0</v>
      </c>
      <c r="AF53" s="33">
        <f t="shared" si="49"/>
        <v>0</v>
      </c>
      <c r="AG53" s="40">
        <f t="shared" si="35"/>
        <v>0</v>
      </c>
      <c r="AH53" s="224">
        <f>AG53*$P$33</f>
        <v>0</v>
      </c>
      <c r="AI53" s="227">
        <f t="shared" si="36"/>
        <v>0</v>
      </c>
    </row>
    <row r="54" spans="1:35" x14ac:dyDescent="0.35">
      <c r="A54" s="48">
        <v>1315</v>
      </c>
      <c r="B54" s="58">
        <f>SUMIF([2]!Table2_23[ETA],'FIS Current Model'!A54,[2]!Table2_23[FIS PAX])</f>
        <v>0</v>
      </c>
      <c r="C54" s="44">
        <f t="shared" si="37"/>
        <v>0</v>
      </c>
      <c r="D54" s="52">
        <f t="shared" si="43"/>
        <v>0</v>
      </c>
      <c r="E54" s="26">
        <f t="shared" si="25"/>
        <v>0</v>
      </c>
      <c r="F54" s="26">
        <f t="shared" si="26"/>
        <v>0</v>
      </c>
      <c r="G54" s="26">
        <f t="shared" si="27"/>
        <v>0</v>
      </c>
      <c r="H54" s="26">
        <f t="shared" si="38"/>
        <v>0</v>
      </c>
      <c r="I54" s="27">
        <f t="shared" si="50"/>
        <v>0</v>
      </c>
      <c r="J54" s="27">
        <f t="shared" si="48"/>
        <v>0</v>
      </c>
      <c r="K54" s="27">
        <f t="shared" si="48"/>
        <v>0</v>
      </c>
      <c r="L54" s="27">
        <f t="shared" si="48"/>
        <v>0</v>
      </c>
      <c r="M54" s="28">
        <f t="shared" si="44"/>
        <v>0</v>
      </c>
      <c r="N54" s="29">
        <f t="shared" si="45"/>
        <v>6</v>
      </c>
      <c r="O54" s="28">
        <f t="shared" si="46"/>
        <v>0</v>
      </c>
      <c r="P54" s="28">
        <f t="shared" si="47"/>
        <v>0</v>
      </c>
      <c r="Q54" s="28">
        <f t="shared" si="28"/>
        <v>6</v>
      </c>
      <c r="R54" s="22">
        <f t="shared" si="29"/>
        <v>0</v>
      </c>
      <c r="S54" s="22">
        <f t="shared" si="30"/>
        <v>0</v>
      </c>
      <c r="T54" s="22">
        <f t="shared" si="31"/>
        <v>0</v>
      </c>
      <c r="U54" s="22">
        <f t="shared" si="32"/>
        <v>0</v>
      </c>
      <c r="V54" s="21">
        <f t="shared" si="39"/>
        <v>0</v>
      </c>
      <c r="W54" s="21">
        <f t="shared" si="40"/>
        <v>0</v>
      </c>
      <c r="X54" s="21">
        <f t="shared" si="41"/>
        <v>0</v>
      </c>
      <c r="Y54" s="21">
        <f t="shared" si="42"/>
        <v>0</v>
      </c>
      <c r="Z54" s="221">
        <f t="shared" si="33"/>
        <v>0</v>
      </c>
      <c r="AA54" s="30">
        <f t="shared" si="21"/>
        <v>0</v>
      </c>
      <c r="AB54" s="30">
        <f t="shared" si="22"/>
        <v>0</v>
      </c>
      <c r="AC54" s="30">
        <f t="shared" si="23"/>
        <v>0</v>
      </c>
      <c r="AD54" s="30">
        <f t="shared" si="24"/>
        <v>0</v>
      </c>
      <c r="AE54" s="32">
        <f t="shared" si="34"/>
        <v>0</v>
      </c>
      <c r="AF54" s="33">
        <f t="shared" si="49"/>
        <v>0</v>
      </c>
      <c r="AG54" s="40">
        <f t="shared" si="35"/>
        <v>0</v>
      </c>
      <c r="AH54" s="224">
        <f>AG54*$P$33</f>
        <v>0</v>
      </c>
      <c r="AI54" s="227">
        <f t="shared" si="36"/>
        <v>0</v>
      </c>
    </row>
    <row r="55" spans="1:35" x14ac:dyDescent="0.35">
      <c r="A55" s="48">
        <v>1316</v>
      </c>
      <c r="B55" s="58">
        <f>SUMIF([2]!Table2_23[ETA],'FIS Current Model'!A55,[2]!Table2_23[FIS PAX])</f>
        <v>0</v>
      </c>
      <c r="C55" s="44">
        <f t="shared" si="37"/>
        <v>0</v>
      </c>
      <c r="D55" s="52">
        <f t="shared" si="43"/>
        <v>0</v>
      </c>
      <c r="E55" s="26">
        <f t="shared" si="25"/>
        <v>0</v>
      </c>
      <c r="F55" s="26">
        <f t="shared" si="26"/>
        <v>0</v>
      </c>
      <c r="G55" s="26">
        <f t="shared" si="27"/>
        <v>0</v>
      </c>
      <c r="H55" s="26">
        <f t="shared" si="38"/>
        <v>0</v>
      </c>
      <c r="I55" s="27">
        <f t="shared" si="50"/>
        <v>0</v>
      </c>
      <c r="J55" s="27">
        <f t="shared" si="48"/>
        <v>0</v>
      </c>
      <c r="K55" s="27">
        <f t="shared" si="48"/>
        <v>0</v>
      </c>
      <c r="L55" s="27">
        <f t="shared" si="48"/>
        <v>0</v>
      </c>
      <c r="M55" s="28">
        <f>IF(R54=0,0,$Q$7)</f>
        <v>0</v>
      </c>
      <c r="N55" s="29">
        <f>$U$7-M55-O55-P55</f>
        <v>6</v>
      </c>
      <c r="O55" s="28">
        <f>IF(T54=0,0,$S$7)</f>
        <v>0</v>
      </c>
      <c r="P55" s="28">
        <f>IF(U54=0,0,$T$7)</f>
        <v>0</v>
      </c>
      <c r="Q55" s="28">
        <f t="shared" si="28"/>
        <v>6</v>
      </c>
      <c r="R55" s="22">
        <f t="shared" si="29"/>
        <v>0</v>
      </c>
      <c r="S55" s="22">
        <f t="shared" si="30"/>
        <v>0</v>
      </c>
      <c r="T55" s="22">
        <f t="shared" si="31"/>
        <v>0</v>
      </c>
      <c r="U55" s="22">
        <f t="shared" si="32"/>
        <v>0</v>
      </c>
      <c r="V55" s="21">
        <f t="shared" si="39"/>
        <v>0</v>
      </c>
      <c r="W55" s="21">
        <f t="shared" si="40"/>
        <v>0</v>
      </c>
      <c r="X55" s="21">
        <f t="shared" si="41"/>
        <v>0</v>
      </c>
      <c r="Y55" s="21">
        <f t="shared" si="42"/>
        <v>0</v>
      </c>
      <c r="Z55" s="221">
        <f t="shared" si="33"/>
        <v>0</v>
      </c>
      <c r="AA55" s="30">
        <f t="shared" si="21"/>
        <v>0</v>
      </c>
      <c r="AB55" s="30">
        <f t="shared" si="22"/>
        <v>0</v>
      </c>
      <c r="AC55" s="30">
        <f t="shared" si="23"/>
        <v>0</v>
      </c>
      <c r="AD55" s="30">
        <f t="shared" si="24"/>
        <v>0</v>
      </c>
      <c r="AE55" s="32">
        <f t="shared" si="34"/>
        <v>0</v>
      </c>
      <c r="AF55" s="33">
        <f t="shared" si="49"/>
        <v>0</v>
      </c>
      <c r="AG55" s="40">
        <f t="shared" si="35"/>
        <v>0</v>
      </c>
      <c r="AH55" s="224">
        <f>AG55*$P$33</f>
        <v>0</v>
      </c>
      <c r="AI55" s="227">
        <f t="shared" si="36"/>
        <v>0</v>
      </c>
    </row>
    <row r="56" spans="1:35" x14ac:dyDescent="0.35">
      <c r="A56" s="48">
        <v>1317</v>
      </c>
      <c r="B56" s="58">
        <f>SUMIF([2]!Table2_23[ETA],'FIS Current Model'!A56,[2]!Table2_23[FIS PAX])</f>
        <v>0</v>
      </c>
      <c r="C56" s="44">
        <f t="shared" si="37"/>
        <v>0</v>
      </c>
      <c r="D56" s="52">
        <f t="shared" si="43"/>
        <v>0</v>
      </c>
      <c r="E56" s="26">
        <f t="shared" si="25"/>
        <v>0</v>
      </c>
      <c r="F56" s="26">
        <f t="shared" si="26"/>
        <v>0</v>
      </c>
      <c r="G56" s="26">
        <f t="shared" si="27"/>
        <v>0</v>
      </c>
      <c r="H56" s="26">
        <f t="shared" si="38"/>
        <v>0</v>
      </c>
      <c r="I56" s="27">
        <f t="shared" si="50"/>
        <v>0</v>
      </c>
      <c r="J56" s="27">
        <f t="shared" si="48"/>
        <v>0</v>
      </c>
      <c r="K56" s="27">
        <f t="shared" si="48"/>
        <v>0</v>
      </c>
      <c r="L56" s="27">
        <f t="shared" si="48"/>
        <v>0</v>
      </c>
      <c r="M56" s="28">
        <f>$M$55</f>
        <v>0</v>
      </c>
      <c r="N56" s="29">
        <f>$N$55</f>
        <v>6</v>
      </c>
      <c r="O56" s="28">
        <f>$O$55</f>
        <v>0</v>
      </c>
      <c r="P56" s="28">
        <f>$P$55</f>
        <v>0</v>
      </c>
      <c r="Q56" s="28">
        <f t="shared" si="28"/>
        <v>6</v>
      </c>
      <c r="R56" s="22">
        <f t="shared" si="29"/>
        <v>0</v>
      </c>
      <c r="S56" s="22">
        <f t="shared" si="30"/>
        <v>0</v>
      </c>
      <c r="T56" s="22">
        <f t="shared" si="31"/>
        <v>0</v>
      </c>
      <c r="U56" s="22">
        <f t="shared" si="32"/>
        <v>0</v>
      </c>
      <c r="V56" s="21">
        <f t="shared" si="39"/>
        <v>0</v>
      </c>
      <c r="W56" s="21">
        <f t="shared" si="40"/>
        <v>0</v>
      </c>
      <c r="X56" s="21">
        <f t="shared" si="41"/>
        <v>0</v>
      </c>
      <c r="Y56" s="21">
        <f t="shared" si="42"/>
        <v>0</v>
      </c>
      <c r="Z56" s="221">
        <f t="shared" si="33"/>
        <v>0</v>
      </c>
      <c r="AA56" s="30">
        <f t="shared" si="21"/>
        <v>0</v>
      </c>
      <c r="AB56" s="30">
        <f t="shared" si="22"/>
        <v>0</v>
      </c>
      <c r="AC56" s="30">
        <f t="shared" si="23"/>
        <v>0</v>
      </c>
      <c r="AD56" s="30">
        <f t="shared" si="24"/>
        <v>0</v>
      </c>
      <c r="AE56" s="32">
        <f t="shared" si="34"/>
        <v>0</v>
      </c>
      <c r="AF56" s="33">
        <f t="shared" si="49"/>
        <v>0</v>
      </c>
      <c r="AG56" s="40">
        <f t="shared" si="35"/>
        <v>0</v>
      </c>
      <c r="AH56" s="224">
        <f>AG56*$P$33</f>
        <v>0</v>
      </c>
      <c r="AI56" s="227">
        <f t="shared" si="36"/>
        <v>0</v>
      </c>
    </row>
    <row r="57" spans="1:35" x14ac:dyDescent="0.35">
      <c r="A57" s="48">
        <v>1318</v>
      </c>
      <c r="B57" s="58">
        <f>SUMIF([2]!Table2_23[ETA],'FIS Current Model'!A57,[2]!Table2_23[FIS PAX])</f>
        <v>0</v>
      </c>
      <c r="C57" s="44">
        <f t="shared" si="37"/>
        <v>0</v>
      </c>
      <c r="D57" s="52">
        <f t="shared" si="43"/>
        <v>0</v>
      </c>
      <c r="E57" s="26">
        <f t="shared" si="25"/>
        <v>0</v>
      </c>
      <c r="F57" s="26">
        <f t="shared" si="26"/>
        <v>0</v>
      </c>
      <c r="G57" s="26">
        <f t="shared" si="27"/>
        <v>0</v>
      </c>
      <c r="H57" s="26">
        <f t="shared" si="38"/>
        <v>0</v>
      </c>
      <c r="I57" s="27">
        <f t="shared" si="50"/>
        <v>0</v>
      </c>
      <c r="J57" s="27">
        <f t="shared" si="48"/>
        <v>0</v>
      </c>
      <c r="K57" s="27">
        <f t="shared" si="48"/>
        <v>0</v>
      </c>
      <c r="L57" s="27">
        <f t="shared" si="48"/>
        <v>0</v>
      </c>
      <c r="M57" s="28">
        <f t="shared" ref="M57:M69" si="51">$M$55</f>
        <v>0</v>
      </c>
      <c r="N57" s="29">
        <f t="shared" ref="N57:N69" si="52">$N$55</f>
        <v>6</v>
      </c>
      <c r="O57" s="28">
        <f t="shared" ref="O57:O69" si="53">$O$55</f>
        <v>0</v>
      </c>
      <c r="P57" s="28">
        <f t="shared" ref="P57:P69" si="54">$P$55</f>
        <v>0</v>
      </c>
      <c r="Q57" s="28">
        <f t="shared" si="28"/>
        <v>6</v>
      </c>
      <c r="R57" s="22">
        <f t="shared" si="29"/>
        <v>0</v>
      </c>
      <c r="S57" s="22">
        <f t="shared" si="30"/>
        <v>0</v>
      </c>
      <c r="T57" s="22">
        <f t="shared" si="31"/>
        <v>0</v>
      </c>
      <c r="U57" s="22">
        <f t="shared" si="32"/>
        <v>0</v>
      </c>
      <c r="V57" s="21">
        <f t="shared" si="39"/>
        <v>0</v>
      </c>
      <c r="W57" s="21">
        <f t="shared" si="40"/>
        <v>0</v>
      </c>
      <c r="X57" s="21">
        <f t="shared" si="41"/>
        <v>0</v>
      </c>
      <c r="Y57" s="21">
        <f t="shared" si="42"/>
        <v>0</v>
      </c>
      <c r="Z57" s="221">
        <f t="shared" si="33"/>
        <v>0</v>
      </c>
      <c r="AA57" s="30">
        <f t="shared" si="21"/>
        <v>0</v>
      </c>
      <c r="AB57" s="30">
        <f t="shared" si="22"/>
        <v>0</v>
      </c>
      <c r="AC57" s="30">
        <f t="shared" si="23"/>
        <v>0</v>
      </c>
      <c r="AD57" s="30">
        <f t="shared" si="24"/>
        <v>0</v>
      </c>
      <c r="AE57" s="32">
        <f t="shared" si="34"/>
        <v>0</v>
      </c>
      <c r="AF57" s="33">
        <f t="shared" si="49"/>
        <v>0</v>
      </c>
      <c r="AG57" s="40">
        <f t="shared" si="35"/>
        <v>0</v>
      </c>
      <c r="AH57" s="224">
        <f>AG57*$P$33</f>
        <v>0</v>
      </c>
      <c r="AI57" s="227">
        <f t="shared" si="36"/>
        <v>0</v>
      </c>
    </row>
    <row r="58" spans="1:35" x14ac:dyDescent="0.35">
      <c r="A58" s="48">
        <v>1319</v>
      </c>
      <c r="B58" s="58">
        <f>SUMIF([2]!Table2_23[ETA],'FIS Current Model'!A58,[2]!Table2_23[FIS PAX])</f>
        <v>0</v>
      </c>
      <c r="C58" s="44">
        <f t="shared" si="37"/>
        <v>0</v>
      </c>
      <c r="D58" s="52">
        <f t="shared" si="43"/>
        <v>0</v>
      </c>
      <c r="E58" s="26">
        <f t="shared" si="25"/>
        <v>0</v>
      </c>
      <c r="F58" s="26">
        <f t="shared" si="26"/>
        <v>0</v>
      </c>
      <c r="G58" s="26">
        <f t="shared" si="27"/>
        <v>0</v>
      </c>
      <c r="H58" s="26">
        <f t="shared" si="38"/>
        <v>0</v>
      </c>
      <c r="I58" s="27">
        <f t="shared" si="50"/>
        <v>0</v>
      </c>
      <c r="J58" s="27">
        <f t="shared" si="48"/>
        <v>0</v>
      </c>
      <c r="K58" s="27">
        <f t="shared" si="48"/>
        <v>0</v>
      </c>
      <c r="L58" s="27">
        <f t="shared" si="48"/>
        <v>0</v>
      </c>
      <c r="M58" s="28">
        <f t="shared" si="51"/>
        <v>0</v>
      </c>
      <c r="N58" s="29">
        <f t="shared" si="52"/>
        <v>6</v>
      </c>
      <c r="O58" s="28">
        <f t="shared" si="53"/>
        <v>0</v>
      </c>
      <c r="P58" s="28">
        <f t="shared" si="54"/>
        <v>0</v>
      </c>
      <c r="Q58" s="28">
        <f t="shared" si="28"/>
        <v>6</v>
      </c>
      <c r="R58" s="22">
        <f t="shared" si="29"/>
        <v>0</v>
      </c>
      <c r="S58" s="22">
        <f t="shared" si="30"/>
        <v>0</v>
      </c>
      <c r="T58" s="22">
        <f t="shared" si="31"/>
        <v>0</v>
      </c>
      <c r="U58" s="22">
        <f t="shared" si="32"/>
        <v>0</v>
      </c>
      <c r="V58" s="21">
        <f t="shared" si="39"/>
        <v>0</v>
      </c>
      <c r="W58" s="21">
        <f t="shared" si="40"/>
        <v>0</v>
      </c>
      <c r="X58" s="21">
        <f t="shared" si="41"/>
        <v>0</v>
      </c>
      <c r="Y58" s="21">
        <f t="shared" si="42"/>
        <v>0</v>
      </c>
      <c r="Z58" s="221">
        <f t="shared" si="33"/>
        <v>0</v>
      </c>
      <c r="AA58" s="30">
        <f t="shared" si="21"/>
        <v>0</v>
      </c>
      <c r="AB58" s="30">
        <f t="shared" si="22"/>
        <v>0</v>
      </c>
      <c r="AC58" s="30">
        <f t="shared" si="23"/>
        <v>0</v>
      </c>
      <c r="AD58" s="30">
        <f t="shared" si="24"/>
        <v>0</v>
      </c>
      <c r="AE58" s="32">
        <f t="shared" si="34"/>
        <v>0</v>
      </c>
      <c r="AF58" s="33">
        <f t="shared" si="49"/>
        <v>0</v>
      </c>
      <c r="AG58" s="40">
        <f t="shared" si="35"/>
        <v>0</v>
      </c>
      <c r="AH58" s="224">
        <f>AG58*$P$33</f>
        <v>0</v>
      </c>
      <c r="AI58" s="227">
        <f t="shared" si="36"/>
        <v>0</v>
      </c>
    </row>
    <row r="59" spans="1:35" x14ac:dyDescent="0.35">
      <c r="A59" s="48">
        <v>1320</v>
      </c>
      <c r="B59" s="58">
        <f>SUMIF([2]!Table2_23[ETA],'FIS Current Model'!A59,[2]!Table2_23[FIS PAX])</f>
        <v>0</v>
      </c>
      <c r="C59" s="44">
        <f t="shared" si="37"/>
        <v>0</v>
      </c>
      <c r="D59" s="52">
        <f t="shared" si="43"/>
        <v>0</v>
      </c>
      <c r="E59" s="26">
        <f t="shared" si="25"/>
        <v>0</v>
      </c>
      <c r="F59" s="26">
        <f t="shared" si="26"/>
        <v>0</v>
      </c>
      <c r="G59" s="26">
        <f t="shared" si="27"/>
        <v>0</v>
      </c>
      <c r="H59" s="26">
        <f t="shared" si="38"/>
        <v>0</v>
      </c>
      <c r="I59" s="27">
        <f t="shared" si="50"/>
        <v>0</v>
      </c>
      <c r="J59" s="27">
        <f t="shared" si="48"/>
        <v>0</v>
      </c>
      <c r="K59" s="27">
        <f t="shared" si="48"/>
        <v>0</v>
      </c>
      <c r="L59" s="27">
        <f t="shared" si="48"/>
        <v>0</v>
      </c>
      <c r="M59" s="28">
        <f t="shared" si="51"/>
        <v>0</v>
      </c>
      <c r="N59" s="29">
        <f t="shared" si="52"/>
        <v>6</v>
      </c>
      <c r="O59" s="28">
        <f t="shared" si="53"/>
        <v>0</v>
      </c>
      <c r="P59" s="28">
        <f t="shared" si="54"/>
        <v>0</v>
      </c>
      <c r="Q59" s="28">
        <f t="shared" si="28"/>
        <v>6</v>
      </c>
      <c r="R59" s="22">
        <f t="shared" si="29"/>
        <v>0</v>
      </c>
      <c r="S59" s="22">
        <f t="shared" si="30"/>
        <v>0</v>
      </c>
      <c r="T59" s="22">
        <f t="shared" si="31"/>
        <v>0</v>
      </c>
      <c r="U59" s="22">
        <f t="shared" si="32"/>
        <v>0</v>
      </c>
      <c r="V59" s="21">
        <f t="shared" si="39"/>
        <v>0</v>
      </c>
      <c r="W59" s="21">
        <f t="shared" si="40"/>
        <v>0</v>
      </c>
      <c r="X59" s="21">
        <f t="shared" si="41"/>
        <v>0</v>
      </c>
      <c r="Y59" s="21">
        <f t="shared" si="42"/>
        <v>0</v>
      </c>
      <c r="Z59" s="221">
        <f t="shared" si="33"/>
        <v>0</v>
      </c>
      <c r="AA59" s="30">
        <f t="shared" si="21"/>
        <v>0</v>
      </c>
      <c r="AB59" s="30">
        <f t="shared" si="22"/>
        <v>0</v>
      </c>
      <c r="AC59" s="30">
        <f t="shared" si="23"/>
        <v>0</v>
      </c>
      <c r="AD59" s="30">
        <f t="shared" si="24"/>
        <v>0</v>
      </c>
      <c r="AE59" s="32">
        <f t="shared" si="34"/>
        <v>0</v>
      </c>
      <c r="AF59" s="33">
        <f t="shared" si="49"/>
        <v>0</v>
      </c>
      <c r="AG59" s="40">
        <f t="shared" si="35"/>
        <v>0</v>
      </c>
      <c r="AH59" s="224">
        <f>AG59*$P$33</f>
        <v>0</v>
      </c>
      <c r="AI59" s="227">
        <f t="shared" si="36"/>
        <v>0</v>
      </c>
    </row>
    <row r="60" spans="1:35" x14ac:dyDescent="0.35">
      <c r="A60" s="48">
        <v>1321</v>
      </c>
      <c r="B60" s="58">
        <f>SUMIF([2]!Table2_23[ETA],'FIS Current Model'!A60,[2]!Table2_23[FIS PAX])</f>
        <v>0</v>
      </c>
      <c r="C60" s="44">
        <f t="shared" si="37"/>
        <v>0</v>
      </c>
      <c r="D60" s="52">
        <f t="shared" si="43"/>
        <v>0</v>
      </c>
      <c r="E60" s="26">
        <f t="shared" si="25"/>
        <v>0</v>
      </c>
      <c r="F60" s="26">
        <f t="shared" si="26"/>
        <v>0</v>
      </c>
      <c r="G60" s="26">
        <f t="shared" si="27"/>
        <v>0</v>
      </c>
      <c r="H60" s="26">
        <f t="shared" si="38"/>
        <v>0</v>
      </c>
      <c r="I60" s="27">
        <f t="shared" si="50"/>
        <v>0</v>
      </c>
      <c r="J60" s="27">
        <f t="shared" si="50"/>
        <v>0</v>
      </c>
      <c r="K60" s="27">
        <f t="shared" si="50"/>
        <v>0</v>
      </c>
      <c r="L60" s="27">
        <f t="shared" si="50"/>
        <v>0</v>
      </c>
      <c r="M60" s="28">
        <f t="shared" si="51"/>
        <v>0</v>
      </c>
      <c r="N60" s="29">
        <f t="shared" si="52"/>
        <v>6</v>
      </c>
      <c r="O60" s="28">
        <f t="shared" si="53"/>
        <v>0</v>
      </c>
      <c r="P60" s="28">
        <f t="shared" si="54"/>
        <v>0</v>
      </c>
      <c r="Q60" s="28">
        <f t="shared" si="28"/>
        <v>6</v>
      </c>
      <c r="R60" s="22">
        <f t="shared" si="29"/>
        <v>0</v>
      </c>
      <c r="S60" s="22">
        <f t="shared" si="30"/>
        <v>0</v>
      </c>
      <c r="T60" s="22">
        <f t="shared" si="31"/>
        <v>0</v>
      </c>
      <c r="U60" s="22">
        <f t="shared" si="32"/>
        <v>0</v>
      </c>
      <c r="V60" s="21">
        <f t="shared" si="39"/>
        <v>0</v>
      </c>
      <c r="W60" s="21">
        <f t="shared" si="40"/>
        <v>0</v>
      </c>
      <c r="X60" s="21">
        <f t="shared" si="41"/>
        <v>0</v>
      </c>
      <c r="Y60" s="21">
        <f t="shared" si="42"/>
        <v>0</v>
      </c>
      <c r="Z60" s="221">
        <f t="shared" si="33"/>
        <v>0</v>
      </c>
      <c r="AA60" s="30">
        <f t="shared" si="21"/>
        <v>0</v>
      </c>
      <c r="AB60" s="30">
        <f t="shared" si="22"/>
        <v>0</v>
      </c>
      <c r="AC60" s="30">
        <f t="shared" si="23"/>
        <v>0</v>
      </c>
      <c r="AD60" s="30">
        <f t="shared" si="24"/>
        <v>0</v>
      </c>
      <c r="AE60" s="32">
        <f t="shared" si="34"/>
        <v>0</v>
      </c>
      <c r="AF60" s="33">
        <f t="shared" si="49"/>
        <v>0</v>
      </c>
      <c r="AG60" s="40">
        <f t="shared" si="35"/>
        <v>0</v>
      </c>
      <c r="AH60" s="224">
        <f>AG60*$P$33</f>
        <v>0</v>
      </c>
      <c r="AI60" s="227">
        <f t="shared" si="36"/>
        <v>0</v>
      </c>
    </row>
    <row r="61" spans="1:35" x14ac:dyDescent="0.35">
      <c r="A61" s="48">
        <v>1322</v>
      </c>
      <c r="B61" s="58">
        <f>SUMIF([2]!Table2_23[ETA],'FIS Current Model'!A61,[2]!Table2_23[FIS PAX])</f>
        <v>0</v>
      </c>
      <c r="C61" s="44">
        <f t="shared" si="37"/>
        <v>0</v>
      </c>
      <c r="D61" s="52">
        <f t="shared" si="43"/>
        <v>0</v>
      </c>
      <c r="E61" s="26">
        <f t="shared" si="25"/>
        <v>0</v>
      </c>
      <c r="F61" s="26">
        <f t="shared" si="26"/>
        <v>0</v>
      </c>
      <c r="G61" s="26">
        <f t="shared" si="27"/>
        <v>0</v>
      </c>
      <c r="H61" s="26">
        <f t="shared" si="38"/>
        <v>0</v>
      </c>
      <c r="I61" s="27">
        <f t="shared" si="50"/>
        <v>0</v>
      </c>
      <c r="J61" s="27">
        <f t="shared" si="50"/>
        <v>0</v>
      </c>
      <c r="K61" s="27">
        <f t="shared" si="50"/>
        <v>0</v>
      </c>
      <c r="L61" s="27">
        <f t="shared" si="50"/>
        <v>0</v>
      </c>
      <c r="M61" s="28">
        <f t="shared" si="51"/>
        <v>0</v>
      </c>
      <c r="N61" s="29">
        <f t="shared" si="52"/>
        <v>6</v>
      </c>
      <c r="O61" s="28">
        <f t="shared" si="53"/>
        <v>0</v>
      </c>
      <c r="P61" s="28">
        <f t="shared" si="54"/>
        <v>0</v>
      </c>
      <c r="Q61" s="28">
        <f t="shared" si="28"/>
        <v>6</v>
      </c>
      <c r="R61" s="22">
        <f t="shared" si="29"/>
        <v>0</v>
      </c>
      <c r="S61" s="22">
        <f t="shared" si="30"/>
        <v>0</v>
      </c>
      <c r="T61" s="22">
        <f t="shared" si="31"/>
        <v>0</v>
      </c>
      <c r="U61" s="22">
        <f t="shared" si="32"/>
        <v>0</v>
      </c>
      <c r="V61" s="21">
        <f t="shared" si="39"/>
        <v>0</v>
      </c>
      <c r="W61" s="21">
        <f t="shared" si="40"/>
        <v>0</v>
      </c>
      <c r="X61" s="21">
        <f t="shared" si="41"/>
        <v>0</v>
      </c>
      <c r="Y61" s="21">
        <f t="shared" si="42"/>
        <v>0</v>
      </c>
      <c r="Z61" s="221">
        <f t="shared" si="33"/>
        <v>0</v>
      </c>
      <c r="AA61" s="30">
        <f t="shared" si="21"/>
        <v>0</v>
      </c>
      <c r="AB61" s="30">
        <f t="shared" si="22"/>
        <v>0</v>
      </c>
      <c r="AC61" s="30">
        <f t="shared" si="23"/>
        <v>0</v>
      </c>
      <c r="AD61" s="30">
        <f t="shared" si="24"/>
        <v>0</v>
      </c>
      <c r="AE61" s="32">
        <f t="shared" si="34"/>
        <v>0</v>
      </c>
      <c r="AF61" s="33">
        <f t="shared" si="49"/>
        <v>0</v>
      </c>
      <c r="AG61" s="40">
        <f t="shared" si="35"/>
        <v>0</v>
      </c>
      <c r="AH61" s="224">
        <f>AG61*$P$33</f>
        <v>0</v>
      </c>
      <c r="AI61" s="227">
        <f t="shared" si="36"/>
        <v>0</v>
      </c>
    </row>
    <row r="62" spans="1:35" x14ac:dyDescent="0.35">
      <c r="A62" s="48">
        <v>1323</v>
      </c>
      <c r="B62" s="58">
        <f>SUMIF([2]!Table2_23[ETA],'FIS Current Model'!A62,[2]!Table2_23[FIS PAX])</f>
        <v>0</v>
      </c>
      <c r="C62" s="44">
        <f t="shared" si="37"/>
        <v>0</v>
      </c>
      <c r="D62" s="52">
        <f t="shared" si="43"/>
        <v>0</v>
      </c>
      <c r="E62" s="26">
        <f t="shared" si="25"/>
        <v>0</v>
      </c>
      <c r="F62" s="26">
        <f t="shared" si="26"/>
        <v>0</v>
      </c>
      <c r="G62" s="26">
        <f t="shared" si="27"/>
        <v>0</v>
      </c>
      <c r="H62" s="26">
        <f t="shared" si="38"/>
        <v>0</v>
      </c>
      <c r="I62" s="27">
        <f t="shared" si="50"/>
        <v>0</v>
      </c>
      <c r="J62" s="27">
        <f t="shared" si="50"/>
        <v>0</v>
      </c>
      <c r="K62" s="27">
        <f t="shared" si="50"/>
        <v>0</v>
      </c>
      <c r="L62" s="27">
        <f t="shared" si="50"/>
        <v>0</v>
      </c>
      <c r="M62" s="28">
        <f t="shared" si="51"/>
        <v>0</v>
      </c>
      <c r="N62" s="29">
        <f t="shared" si="52"/>
        <v>6</v>
      </c>
      <c r="O62" s="28">
        <f t="shared" si="53"/>
        <v>0</v>
      </c>
      <c r="P62" s="28">
        <f t="shared" si="54"/>
        <v>0</v>
      </c>
      <c r="Q62" s="28">
        <f t="shared" si="28"/>
        <v>6</v>
      </c>
      <c r="R62" s="22">
        <f t="shared" si="29"/>
        <v>0</v>
      </c>
      <c r="S62" s="22">
        <f t="shared" si="30"/>
        <v>0</v>
      </c>
      <c r="T62" s="22">
        <f t="shared" si="31"/>
        <v>0</v>
      </c>
      <c r="U62" s="22">
        <f t="shared" si="32"/>
        <v>0</v>
      </c>
      <c r="V62" s="21">
        <f t="shared" si="39"/>
        <v>0</v>
      </c>
      <c r="W62" s="21">
        <f t="shared" si="40"/>
        <v>0</v>
      </c>
      <c r="X62" s="21">
        <f t="shared" si="41"/>
        <v>0</v>
      </c>
      <c r="Y62" s="21">
        <f t="shared" si="42"/>
        <v>0</v>
      </c>
      <c r="Z62" s="221">
        <f t="shared" si="33"/>
        <v>0</v>
      </c>
      <c r="AA62" s="30">
        <f t="shared" si="21"/>
        <v>0</v>
      </c>
      <c r="AB62" s="30">
        <f t="shared" si="22"/>
        <v>0</v>
      </c>
      <c r="AC62" s="30">
        <f t="shared" si="23"/>
        <v>0</v>
      </c>
      <c r="AD62" s="30">
        <f t="shared" si="24"/>
        <v>0</v>
      </c>
      <c r="AE62" s="32">
        <f t="shared" si="34"/>
        <v>0</v>
      </c>
      <c r="AF62" s="33">
        <f t="shared" si="49"/>
        <v>0</v>
      </c>
      <c r="AG62" s="40">
        <f t="shared" si="35"/>
        <v>0</v>
      </c>
      <c r="AH62" s="224">
        <f>AG62*$P$33</f>
        <v>0</v>
      </c>
      <c r="AI62" s="227">
        <f t="shared" si="36"/>
        <v>0</v>
      </c>
    </row>
    <row r="63" spans="1:35" x14ac:dyDescent="0.35">
      <c r="A63" s="48">
        <v>1324</v>
      </c>
      <c r="B63" s="58">
        <f>SUMIF([2]!Table2_23[ETA],'FIS Current Model'!A63,[2]!Table2_23[FIS PAX])</f>
        <v>0</v>
      </c>
      <c r="C63" s="44">
        <f t="shared" si="37"/>
        <v>0</v>
      </c>
      <c r="D63" s="52">
        <f t="shared" si="43"/>
        <v>0</v>
      </c>
      <c r="E63" s="26">
        <f t="shared" si="25"/>
        <v>0</v>
      </c>
      <c r="F63" s="26">
        <f t="shared" si="26"/>
        <v>0</v>
      </c>
      <c r="G63" s="26">
        <f t="shared" si="27"/>
        <v>0</v>
      </c>
      <c r="H63" s="26">
        <f t="shared" si="38"/>
        <v>0</v>
      </c>
      <c r="I63" s="27">
        <f t="shared" si="50"/>
        <v>0</v>
      </c>
      <c r="J63" s="27">
        <f t="shared" si="50"/>
        <v>0</v>
      </c>
      <c r="K63" s="27">
        <f t="shared" si="50"/>
        <v>0</v>
      </c>
      <c r="L63" s="27">
        <f t="shared" si="50"/>
        <v>0</v>
      </c>
      <c r="M63" s="28">
        <f t="shared" si="51"/>
        <v>0</v>
      </c>
      <c r="N63" s="29">
        <f t="shared" si="52"/>
        <v>6</v>
      </c>
      <c r="O63" s="28">
        <f t="shared" si="53"/>
        <v>0</v>
      </c>
      <c r="P63" s="28">
        <f t="shared" si="54"/>
        <v>0</v>
      </c>
      <c r="Q63" s="28">
        <f t="shared" si="28"/>
        <v>6</v>
      </c>
      <c r="R63" s="22">
        <f t="shared" si="29"/>
        <v>0</v>
      </c>
      <c r="S63" s="22">
        <f t="shared" si="30"/>
        <v>0</v>
      </c>
      <c r="T63" s="22">
        <f t="shared" si="31"/>
        <v>0</v>
      </c>
      <c r="U63" s="22">
        <f t="shared" si="32"/>
        <v>0</v>
      </c>
      <c r="V63" s="21">
        <f t="shared" si="39"/>
        <v>0</v>
      </c>
      <c r="W63" s="21">
        <f t="shared" si="40"/>
        <v>0</v>
      </c>
      <c r="X63" s="21">
        <f t="shared" si="41"/>
        <v>0</v>
      </c>
      <c r="Y63" s="21">
        <f t="shared" si="42"/>
        <v>0</v>
      </c>
      <c r="Z63" s="221">
        <f t="shared" si="33"/>
        <v>0</v>
      </c>
      <c r="AA63" s="30">
        <f t="shared" si="21"/>
        <v>0</v>
      </c>
      <c r="AB63" s="30">
        <f t="shared" si="22"/>
        <v>0</v>
      </c>
      <c r="AC63" s="30">
        <f t="shared" si="23"/>
        <v>0</v>
      </c>
      <c r="AD63" s="30">
        <f t="shared" si="24"/>
        <v>0</v>
      </c>
      <c r="AE63" s="32">
        <f t="shared" si="34"/>
        <v>0</v>
      </c>
      <c r="AF63" s="33">
        <f t="shared" si="49"/>
        <v>0</v>
      </c>
      <c r="AG63" s="40">
        <f t="shared" si="35"/>
        <v>0</v>
      </c>
      <c r="AH63" s="224">
        <f>AG63*$P$33</f>
        <v>0</v>
      </c>
      <c r="AI63" s="227">
        <f t="shared" si="36"/>
        <v>0</v>
      </c>
    </row>
    <row r="64" spans="1:35" x14ac:dyDescent="0.35">
      <c r="A64" s="48">
        <v>1325</v>
      </c>
      <c r="B64" s="58">
        <f>SUMIF([2]!Table2_23[ETA],'FIS Current Model'!A64,[2]!Table2_23[FIS PAX])</f>
        <v>0</v>
      </c>
      <c r="C64" s="44">
        <f t="shared" si="37"/>
        <v>0</v>
      </c>
      <c r="D64" s="52">
        <f t="shared" si="43"/>
        <v>0</v>
      </c>
      <c r="E64" s="26">
        <f t="shared" si="25"/>
        <v>0</v>
      </c>
      <c r="F64" s="26">
        <f t="shared" si="26"/>
        <v>0</v>
      </c>
      <c r="G64" s="26">
        <f t="shared" si="27"/>
        <v>0</v>
      </c>
      <c r="H64" s="26">
        <f t="shared" si="38"/>
        <v>0</v>
      </c>
      <c r="I64" s="27">
        <f t="shared" si="50"/>
        <v>0</v>
      </c>
      <c r="J64" s="27">
        <f t="shared" si="50"/>
        <v>0</v>
      </c>
      <c r="K64" s="27">
        <f t="shared" si="50"/>
        <v>0</v>
      </c>
      <c r="L64" s="27">
        <f t="shared" si="50"/>
        <v>0</v>
      </c>
      <c r="M64" s="28">
        <f t="shared" si="51"/>
        <v>0</v>
      </c>
      <c r="N64" s="29">
        <f t="shared" si="52"/>
        <v>6</v>
      </c>
      <c r="O64" s="28">
        <f t="shared" si="53"/>
        <v>0</v>
      </c>
      <c r="P64" s="28">
        <f t="shared" si="54"/>
        <v>0</v>
      </c>
      <c r="Q64" s="28">
        <f t="shared" si="28"/>
        <v>6</v>
      </c>
      <c r="R64" s="22">
        <f t="shared" si="29"/>
        <v>0</v>
      </c>
      <c r="S64" s="22">
        <f t="shared" si="30"/>
        <v>0</v>
      </c>
      <c r="T64" s="22">
        <f t="shared" si="31"/>
        <v>0</v>
      </c>
      <c r="U64" s="22">
        <f t="shared" si="32"/>
        <v>0</v>
      </c>
      <c r="V64" s="21">
        <f t="shared" si="39"/>
        <v>0</v>
      </c>
      <c r="W64" s="21">
        <f t="shared" si="40"/>
        <v>0</v>
      </c>
      <c r="X64" s="21">
        <f t="shared" si="41"/>
        <v>0</v>
      </c>
      <c r="Y64" s="21">
        <f t="shared" si="42"/>
        <v>0</v>
      </c>
      <c r="Z64" s="221">
        <f t="shared" si="33"/>
        <v>0</v>
      </c>
      <c r="AA64" s="30">
        <f t="shared" si="21"/>
        <v>0</v>
      </c>
      <c r="AB64" s="30">
        <f t="shared" si="22"/>
        <v>0</v>
      </c>
      <c r="AC64" s="30">
        <f t="shared" si="23"/>
        <v>0</v>
      </c>
      <c r="AD64" s="30">
        <f t="shared" si="24"/>
        <v>0</v>
      </c>
      <c r="AE64" s="32">
        <f t="shared" si="34"/>
        <v>0</v>
      </c>
      <c r="AF64" s="33">
        <f t="shared" si="49"/>
        <v>0</v>
      </c>
      <c r="AG64" s="40">
        <f t="shared" si="35"/>
        <v>0</v>
      </c>
      <c r="AH64" s="224">
        <f>AG64*$P$33</f>
        <v>0</v>
      </c>
      <c r="AI64" s="227">
        <f t="shared" si="36"/>
        <v>0</v>
      </c>
    </row>
    <row r="65" spans="1:35" x14ac:dyDescent="0.35">
      <c r="A65" s="48">
        <v>1326</v>
      </c>
      <c r="B65" s="58">
        <f>SUMIF([2]!Table2_23[ETA],'FIS Current Model'!A65,[2]!Table2_23[FIS PAX])</f>
        <v>0</v>
      </c>
      <c r="C65" s="44">
        <f t="shared" si="37"/>
        <v>0</v>
      </c>
      <c r="D65" s="52">
        <f t="shared" si="43"/>
        <v>0</v>
      </c>
      <c r="E65" s="26">
        <f t="shared" si="25"/>
        <v>0</v>
      </c>
      <c r="F65" s="26">
        <f t="shared" si="26"/>
        <v>0</v>
      </c>
      <c r="G65" s="26">
        <f t="shared" si="27"/>
        <v>0</v>
      </c>
      <c r="H65" s="26">
        <f t="shared" si="38"/>
        <v>0</v>
      </c>
      <c r="I65" s="27">
        <f t="shared" si="50"/>
        <v>0</v>
      </c>
      <c r="J65" s="27">
        <f t="shared" si="50"/>
        <v>0</v>
      </c>
      <c r="K65" s="27">
        <f t="shared" si="50"/>
        <v>0</v>
      </c>
      <c r="L65" s="27">
        <f t="shared" si="50"/>
        <v>0</v>
      </c>
      <c r="M65" s="28">
        <f t="shared" si="51"/>
        <v>0</v>
      </c>
      <c r="N65" s="29">
        <f t="shared" si="52"/>
        <v>6</v>
      </c>
      <c r="O65" s="28">
        <f t="shared" si="53"/>
        <v>0</v>
      </c>
      <c r="P65" s="28">
        <f t="shared" si="54"/>
        <v>0</v>
      </c>
      <c r="Q65" s="28">
        <f t="shared" si="28"/>
        <v>6</v>
      </c>
      <c r="R65" s="22">
        <f t="shared" si="29"/>
        <v>0</v>
      </c>
      <c r="S65" s="22">
        <f t="shared" si="30"/>
        <v>0</v>
      </c>
      <c r="T65" s="22">
        <f t="shared" si="31"/>
        <v>0</v>
      </c>
      <c r="U65" s="22">
        <f t="shared" si="32"/>
        <v>0</v>
      </c>
      <c r="V65" s="21">
        <f t="shared" si="39"/>
        <v>0</v>
      </c>
      <c r="W65" s="21">
        <f t="shared" si="40"/>
        <v>0</v>
      </c>
      <c r="X65" s="21">
        <f t="shared" si="41"/>
        <v>0</v>
      </c>
      <c r="Y65" s="21">
        <f t="shared" si="42"/>
        <v>0</v>
      </c>
      <c r="Z65" s="221">
        <f t="shared" si="33"/>
        <v>0</v>
      </c>
      <c r="AA65" s="30">
        <f t="shared" si="21"/>
        <v>0</v>
      </c>
      <c r="AB65" s="30">
        <f t="shared" si="22"/>
        <v>0</v>
      </c>
      <c r="AC65" s="30">
        <f t="shared" si="23"/>
        <v>0</v>
      </c>
      <c r="AD65" s="30">
        <f t="shared" si="24"/>
        <v>0</v>
      </c>
      <c r="AE65" s="32">
        <f t="shared" si="34"/>
        <v>0</v>
      </c>
      <c r="AF65" s="33">
        <f t="shared" si="49"/>
        <v>0</v>
      </c>
      <c r="AG65" s="40">
        <f t="shared" si="35"/>
        <v>0</v>
      </c>
      <c r="AH65" s="224">
        <f>AG65*$P$33</f>
        <v>0</v>
      </c>
      <c r="AI65" s="227">
        <f t="shared" si="36"/>
        <v>0</v>
      </c>
    </row>
    <row r="66" spans="1:35" x14ac:dyDescent="0.35">
      <c r="A66" s="48">
        <v>1327</v>
      </c>
      <c r="B66" s="58">
        <f>SUMIF([2]!Table2_23[ETA],'FIS Current Model'!A66,[2]!Table2_23[FIS PAX])</f>
        <v>0</v>
      </c>
      <c r="C66" s="44">
        <f t="shared" si="37"/>
        <v>0</v>
      </c>
      <c r="D66" s="52">
        <f t="shared" si="43"/>
        <v>0</v>
      </c>
      <c r="E66" s="26">
        <f t="shared" si="25"/>
        <v>0</v>
      </c>
      <c r="F66" s="26">
        <f t="shared" si="26"/>
        <v>0</v>
      </c>
      <c r="G66" s="26">
        <f t="shared" si="27"/>
        <v>0</v>
      </c>
      <c r="H66" s="26">
        <f t="shared" si="38"/>
        <v>0</v>
      </c>
      <c r="I66" s="27">
        <f t="shared" si="50"/>
        <v>0</v>
      </c>
      <c r="J66" s="27">
        <f t="shared" si="50"/>
        <v>0</v>
      </c>
      <c r="K66" s="27">
        <f t="shared" si="50"/>
        <v>0</v>
      </c>
      <c r="L66" s="27">
        <f t="shared" si="50"/>
        <v>0</v>
      </c>
      <c r="M66" s="28">
        <f t="shared" si="51"/>
        <v>0</v>
      </c>
      <c r="N66" s="29">
        <f t="shared" si="52"/>
        <v>6</v>
      </c>
      <c r="O66" s="28">
        <f t="shared" si="53"/>
        <v>0</v>
      </c>
      <c r="P66" s="28">
        <f t="shared" si="54"/>
        <v>0</v>
      </c>
      <c r="Q66" s="28">
        <f t="shared" si="28"/>
        <v>6</v>
      </c>
      <c r="R66" s="22">
        <f t="shared" si="29"/>
        <v>0</v>
      </c>
      <c r="S66" s="22">
        <f t="shared" si="30"/>
        <v>0</v>
      </c>
      <c r="T66" s="22">
        <f t="shared" si="31"/>
        <v>0</v>
      </c>
      <c r="U66" s="22">
        <f t="shared" si="32"/>
        <v>0</v>
      </c>
      <c r="V66" s="21">
        <f t="shared" si="39"/>
        <v>0</v>
      </c>
      <c r="W66" s="21">
        <f t="shared" si="40"/>
        <v>0</v>
      </c>
      <c r="X66" s="21">
        <f t="shared" si="41"/>
        <v>0</v>
      </c>
      <c r="Y66" s="21">
        <f t="shared" si="42"/>
        <v>0</v>
      </c>
      <c r="Z66" s="221">
        <f t="shared" si="33"/>
        <v>0</v>
      </c>
      <c r="AA66" s="30">
        <f t="shared" si="21"/>
        <v>0</v>
      </c>
      <c r="AB66" s="30">
        <f t="shared" si="22"/>
        <v>0</v>
      </c>
      <c r="AC66" s="30">
        <f t="shared" si="23"/>
        <v>0</v>
      </c>
      <c r="AD66" s="30">
        <f t="shared" si="24"/>
        <v>0</v>
      </c>
      <c r="AE66" s="32">
        <f t="shared" si="34"/>
        <v>0</v>
      </c>
      <c r="AF66" s="33">
        <f t="shared" si="49"/>
        <v>0</v>
      </c>
      <c r="AG66" s="40">
        <f t="shared" si="35"/>
        <v>0</v>
      </c>
      <c r="AH66" s="224">
        <f>AG66*$P$33</f>
        <v>0</v>
      </c>
      <c r="AI66" s="227">
        <f t="shared" si="36"/>
        <v>0</v>
      </c>
    </row>
    <row r="67" spans="1:35" x14ac:dyDescent="0.35">
      <c r="A67" s="48">
        <v>1328</v>
      </c>
      <c r="B67" s="58">
        <f>SUMIF([2]!Table2_23[ETA],'FIS Current Model'!A67,[2]!Table2_23[FIS PAX])</f>
        <v>0</v>
      </c>
      <c r="C67" s="44">
        <f t="shared" si="37"/>
        <v>0</v>
      </c>
      <c r="D67" s="52">
        <f t="shared" si="43"/>
        <v>0</v>
      </c>
      <c r="E67" s="26">
        <f t="shared" si="25"/>
        <v>0</v>
      </c>
      <c r="F67" s="26">
        <f t="shared" si="26"/>
        <v>0</v>
      </c>
      <c r="G67" s="26">
        <f t="shared" si="27"/>
        <v>0</v>
      </c>
      <c r="H67" s="26">
        <f t="shared" si="38"/>
        <v>0</v>
      </c>
      <c r="I67" s="27">
        <f t="shared" si="50"/>
        <v>0</v>
      </c>
      <c r="J67" s="27">
        <f t="shared" si="50"/>
        <v>0</v>
      </c>
      <c r="K67" s="27">
        <f t="shared" si="50"/>
        <v>0</v>
      </c>
      <c r="L67" s="27">
        <f t="shared" si="50"/>
        <v>0</v>
      </c>
      <c r="M67" s="28">
        <f t="shared" si="51"/>
        <v>0</v>
      </c>
      <c r="N67" s="29">
        <f t="shared" si="52"/>
        <v>6</v>
      </c>
      <c r="O67" s="28">
        <f t="shared" si="53"/>
        <v>0</v>
      </c>
      <c r="P67" s="28">
        <f t="shared" si="54"/>
        <v>0</v>
      </c>
      <c r="Q67" s="28">
        <f t="shared" si="28"/>
        <v>6</v>
      </c>
      <c r="R67" s="22">
        <f t="shared" si="29"/>
        <v>0</v>
      </c>
      <c r="S67" s="22">
        <f t="shared" si="30"/>
        <v>0</v>
      </c>
      <c r="T67" s="22">
        <f t="shared" si="31"/>
        <v>0</v>
      </c>
      <c r="U67" s="22">
        <f t="shared" si="32"/>
        <v>0</v>
      </c>
      <c r="V67" s="21">
        <f t="shared" si="39"/>
        <v>0</v>
      </c>
      <c r="W67" s="21">
        <f t="shared" si="40"/>
        <v>0</v>
      </c>
      <c r="X67" s="21">
        <f t="shared" si="41"/>
        <v>0</v>
      </c>
      <c r="Y67" s="21">
        <f t="shared" si="42"/>
        <v>0</v>
      </c>
      <c r="Z67" s="221">
        <f t="shared" si="33"/>
        <v>0</v>
      </c>
      <c r="AA67" s="30">
        <f t="shared" si="21"/>
        <v>0</v>
      </c>
      <c r="AB67" s="30">
        <f t="shared" si="22"/>
        <v>0</v>
      </c>
      <c r="AC67" s="30">
        <f t="shared" si="23"/>
        <v>0</v>
      </c>
      <c r="AD67" s="30">
        <f t="shared" si="24"/>
        <v>0</v>
      </c>
      <c r="AE67" s="32">
        <f t="shared" si="34"/>
        <v>0</v>
      </c>
      <c r="AF67" s="33">
        <f t="shared" si="49"/>
        <v>0</v>
      </c>
      <c r="AG67" s="40">
        <f t="shared" si="35"/>
        <v>0</v>
      </c>
      <c r="AH67" s="224">
        <f>AG67*$P$33</f>
        <v>0</v>
      </c>
      <c r="AI67" s="227">
        <f t="shared" si="36"/>
        <v>0</v>
      </c>
    </row>
    <row r="68" spans="1:35" x14ac:dyDescent="0.35">
      <c r="A68" s="48">
        <v>1329</v>
      </c>
      <c r="B68" s="58">
        <f>SUMIF([2]!Table2_23[ETA],'FIS Current Model'!A68,[2]!Table2_23[FIS PAX])</f>
        <v>0</v>
      </c>
      <c r="C68" s="44">
        <f t="shared" si="37"/>
        <v>0</v>
      </c>
      <c r="D68" s="52">
        <f t="shared" si="43"/>
        <v>0</v>
      </c>
      <c r="E68" s="26">
        <f t="shared" si="25"/>
        <v>0</v>
      </c>
      <c r="F68" s="26">
        <f t="shared" si="26"/>
        <v>0</v>
      </c>
      <c r="G68" s="26">
        <f t="shared" si="27"/>
        <v>0</v>
      </c>
      <c r="H68" s="26">
        <f t="shared" si="38"/>
        <v>0</v>
      </c>
      <c r="I68" s="27">
        <f t="shared" si="50"/>
        <v>0</v>
      </c>
      <c r="J68" s="27">
        <f t="shared" si="50"/>
        <v>0</v>
      </c>
      <c r="K68" s="27">
        <f t="shared" si="50"/>
        <v>0</v>
      </c>
      <c r="L68" s="27">
        <f t="shared" si="50"/>
        <v>0</v>
      </c>
      <c r="M68" s="28">
        <f t="shared" si="51"/>
        <v>0</v>
      </c>
      <c r="N68" s="29">
        <f t="shared" si="52"/>
        <v>6</v>
      </c>
      <c r="O68" s="28">
        <f t="shared" si="53"/>
        <v>0</v>
      </c>
      <c r="P68" s="28">
        <f t="shared" si="54"/>
        <v>0</v>
      </c>
      <c r="Q68" s="28">
        <f t="shared" si="28"/>
        <v>6</v>
      </c>
      <c r="R68" s="22">
        <f t="shared" si="29"/>
        <v>0</v>
      </c>
      <c r="S68" s="22">
        <f t="shared" si="30"/>
        <v>0</v>
      </c>
      <c r="T68" s="22">
        <f t="shared" si="31"/>
        <v>0</v>
      </c>
      <c r="U68" s="22">
        <f t="shared" si="32"/>
        <v>0</v>
      </c>
      <c r="V68" s="21">
        <f t="shared" si="39"/>
        <v>0</v>
      </c>
      <c r="W68" s="21">
        <f t="shared" si="40"/>
        <v>0</v>
      </c>
      <c r="X68" s="21">
        <f t="shared" si="41"/>
        <v>0</v>
      </c>
      <c r="Y68" s="21">
        <f t="shared" si="42"/>
        <v>0</v>
      </c>
      <c r="Z68" s="221">
        <f t="shared" si="33"/>
        <v>0</v>
      </c>
      <c r="AA68" s="30">
        <f t="shared" si="21"/>
        <v>0</v>
      </c>
      <c r="AB68" s="30">
        <f t="shared" si="22"/>
        <v>0</v>
      </c>
      <c r="AC68" s="30">
        <f t="shared" si="23"/>
        <v>0</v>
      </c>
      <c r="AD68" s="30">
        <f t="shared" si="24"/>
        <v>0</v>
      </c>
      <c r="AE68" s="32">
        <f t="shared" si="34"/>
        <v>0</v>
      </c>
      <c r="AF68" s="33">
        <f t="shared" si="49"/>
        <v>0</v>
      </c>
      <c r="AG68" s="40">
        <f t="shared" si="35"/>
        <v>0</v>
      </c>
      <c r="AH68" s="224">
        <f>AG68*$P$33</f>
        <v>0</v>
      </c>
      <c r="AI68" s="227">
        <f t="shared" si="36"/>
        <v>0</v>
      </c>
    </row>
    <row r="69" spans="1:35" x14ac:dyDescent="0.35">
      <c r="A69" s="48">
        <v>1330</v>
      </c>
      <c r="B69" s="58">
        <f>SUMIF([2]!Table2_23[ETA],'FIS Current Model'!A69,[2]!Table2_23[FIS PAX])</f>
        <v>0</v>
      </c>
      <c r="C69" s="44">
        <f t="shared" si="37"/>
        <v>0</v>
      </c>
      <c r="D69" s="52">
        <f t="shared" si="43"/>
        <v>0</v>
      </c>
      <c r="E69" s="26">
        <f t="shared" si="25"/>
        <v>0</v>
      </c>
      <c r="F69" s="26">
        <f t="shared" si="26"/>
        <v>0</v>
      </c>
      <c r="G69" s="26">
        <f t="shared" si="27"/>
        <v>0</v>
      </c>
      <c r="H69" s="26">
        <f t="shared" si="38"/>
        <v>0</v>
      </c>
      <c r="I69" s="27">
        <f t="shared" si="50"/>
        <v>0</v>
      </c>
      <c r="J69" s="27">
        <f t="shared" si="50"/>
        <v>0</v>
      </c>
      <c r="K69" s="27">
        <f t="shared" si="50"/>
        <v>0</v>
      </c>
      <c r="L69" s="27">
        <f t="shared" si="50"/>
        <v>0</v>
      </c>
      <c r="M69" s="28">
        <f t="shared" si="51"/>
        <v>0</v>
      </c>
      <c r="N69" s="29">
        <f t="shared" si="52"/>
        <v>6</v>
      </c>
      <c r="O69" s="28">
        <f t="shared" si="53"/>
        <v>0</v>
      </c>
      <c r="P69" s="28">
        <f t="shared" si="54"/>
        <v>0</v>
      </c>
      <c r="Q69" s="28">
        <f t="shared" si="28"/>
        <v>6</v>
      </c>
      <c r="R69" s="22">
        <f t="shared" si="29"/>
        <v>0</v>
      </c>
      <c r="S69" s="22">
        <f t="shared" si="30"/>
        <v>0</v>
      </c>
      <c r="T69" s="22">
        <f t="shared" si="31"/>
        <v>0</v>
      </c>
      <c r="U69" s="22">
        <f t="shared" si="32"/>
        <v>0</v>
      </c>
      <c r="V69" s="21">
        <f t="shared" si="39"/>
        <v>0</v>
      </c>
      <c r="W69" s="21">
        <f t="shared" si="40"/>
        <v>0</v>
      </c>
      <c r="X69" s="21">
        <f t="shared" si="41"/>
        <v>0</v>
      </c>
      <c r="Y69" s="21">
        <f t="shared" si="42"/>
        <v>0</v>
      </c>
      <c r="Z69" s="221">
        <f t="shared" si="33"/>
        <v>0</v>
      </c>
      <c r="AA69" s="30">
        <f t="shared" si="21"/>
        <v>0</v>
      </c>
      <c r="AB69" s="30">
        <f t="shared" si="22"/>
        <v>0</v>
      </c>
      <c r="AC69" s="30">
        <f t="shared" si="23"/>
        <v>0</v>
      </c>
      <c r="AD69" s="30">
        <f t="shared" si="24"/>
        <v>0</v>
      </c>
      <c r="AE69" s="32">
        <f t="shared" si="34"/>
        <v>0</v>
      </c>
      <c r="AF69" s="33">
        <f t="shared" si="49"/>
        <v>0</v>
      </c>
      <c r="AG69" s="40">
        <f t="shared" si="35"/>
        <v>0</v>
      </c>
      <c r="AH69" s="224">
        <f>AG69*$P$33</f>
        <v>0</v>
      </c>
      <c r="AI69" s="227">
        <f t="shared" si="36"/>
        <v>0</v>
      </c>
    </row>
    <row r="70" spans="1:35" x14ac:dyDescent="0.35">
      <c r="A70" s="48">
        <v>1331</v>
      </c>
      <c r="B70" s="58">
        <f>SUMIF([2]!Table2_23[ETA],'FIS Current Model'!A70,[2]!Table2_23[FIS PAX])</f>
        <v>0</v>
      </c>
      <c r="C70" s="44">
        <f t="shared" si="37"/>
        <v>0</v>
      </c>
      <c r="D70" s="52">
        <f t="shared" si="43"/>
        <v>0</v>
      </c>
      <c r="E70" s="26">
        <f t="shared" si="25"/>
        <v>0</v>
      </c>
      <c r="F70" s="26">
        <f t="shared" si="26"/>
        <v>0</v>
      </c>
      <c r="G70" s="26">
        <f t="shared" si="27"/>
        <v>0</v>
      </c>
      <c r="H70" s="26">
        <f t="shared" si="38"/>
        <v>0</v>
      </c>
      <c r="I70" s="27">
        <f t="shared" si="50"/>
        <v>0</v>
      </c>
      <c r="J70" s="27">
        <f t="shared" si="50"/>
        <v>0</v>
      </c>
      <c r="K70" s="27">
        <f t="shared" si="50"/>
        <v>0</v>
      </c>
      <c r="L70" s="27">
        <f t="shared" si="50"/>
        <v>0</v>
      </c>
      <c r="M70" s="28">
        <f>IF(R69=0,0,$Q$8)</f>
        <v>0</v>
      </c>
      <c r="N70" s="29">
        <f>$U$8-M70-O70-P70</f>
        <v>6</v>
      </c>
      <c r="O70" s="28">
        <f>IF(T69=0,0,$S$8)</f>
        <v>0</v>
      </c>
      <c r="P70" s="28">
        <f>IF(U69=0,0,$T$8)</f>
        <v>0</v>
      </c>
      <c r="Q70" s="28">
        <f t="shared" si="28"/>
        <v>6</v>
      </c>
      <c r="R70" s="22">
        <f t="shared" si="29"/>
        <v>0</v>
      </c>
      <c r="S70" s="22">
        <f t="shared" si="30"/>
        <v>0</v>
      </c>
      <c r="T70" s="22">
        <f t="shared" si="31"/>
        <v>0</v>
      </c>
      <c r="U70" s="22">
        <f t="shared" si="32"/>
        <v>0</v>
      </c>
      <c r="V70" s="21">
        <f t="shared" si="39"/>
        <v>0</v>
      </c>
      <c r="W70" s="21">
        <f t="shared" si="40"/>
        <v>0</v>
      </c>
      <c r="X70" s="21">
        <f t="shared" si="41"/>
        <v>0</v>
      </c>
      <c r="Y70" s="21">
        <f t="shared" si="42"/>
        <v>0</v>
      </c>
      <c r="Z70" s="221">
        <f t="shared" si="33"/>
        <v>0</v>
      </c>
      <c r="AA70" s="30">
        <f t="shared" si="21"/>
        <v>0</v>
      </c>
      <c r="AB70" s="30">
        <f t="shared" si="22"/>
        <v>0</v>
      </c>
      <c r="AC70" s="30">
        <f t="shared" si="23"/>
        <v>0</v>
      </c>
      <c r="AD70" s="30">
        <f t="shared" si="24"/>
        <v>0</v>
      </c>
      <c r="AE70" s="32">
        <f t="shared" si="34"/>
        <v>0</v>
      </c>
      <c r="AF70" s="33">
        <f t="shared" si="49"/>
        <v>0</v>
      </c>
      <c r="AG70" s="40">
        <f t="shared" si="35"/>
        <v>0</v>
      </c>
      <c r="AH70" s="224">
        <f>AG70*$P$33</f>
        <v>0</v>
      </c>
      <c r="AI70" s="227">
        <f t="shared" si="36"/>
        <v>0</v>
      </c>
    </row>
    <row r="71" spans="1:35" x14ac:dyDescent="0.35">
      <c r="A71" s="48">
        <v>1332</v>
      </c>
      <c r="B71" s="58">
        <f>SUMIF([2]!Table2_23[ETA],'FIS Current Model'!A71,[2]!Table2_23[FIS PAX])</f>
        <v>0</v>
      </c>
      <c r="C71" s="44">
        <f t="shared" si="37"/>
        <v>0</v>
      </c>
      <c r="D71" s="52">
        <f t="shared" si="43"/>
        <v>0</v>
      </c>
      <c r="E71" s="26">
        <f t="shared" si="25"/>
        <v>0</v>
      </c>
      <c r="F71" s="26">
        <f t="shared" si="26"/>
        <v>0</v>
      </c>
      <c r="G71" s="26">
        <f t="shared" si="27"/>
        <v>0</v>
      </c>
      <c r="H71" s="26">
        <f t="shared" si="38"/>
        <v>0</v>
      </c>
      <c r="I71" s="27">
        <f t="shared" si="50"/>
        <v>0</v>
      </c>
      <c r="J71" s="27">
        <f t="shared" si="50"/>
        <v>0</v>
      </c>
      <c r="K71" s="27">
        <f t="shared" si="50"/>
        <v>0</v>
      </c>
      <c r="L71" s="27">
        <f t="shared" si="50"/>
        <v>0</v>
      </c>
      <c r="M71" s="28">
        <f>M70</f>
        <v>0</v>
      </c>
      <c r="N71" s="29">
        <f>N70</f>
        <v>6</v>
      </c>
      <c r="O71" s="28">
        <f>O70</f>
        <v>0</v>
      </c>
      <c r="P71" s="28">
        <f>P70</f>
        <v>0</v>
      </c>
      <c r="Q71" s="28">
        <f t="shared" si="28"/>
        <v>6</v>
      </c>
      <c r="R71" s="22">
        <f t="shared" si="29"/>
        <v>0</v>
      </c>
      <c r="S71" s="22">
        <f t="shared" si="30"/>
        <v>0</v>
      </c>
      <c r="T71" s="22">
        <f t="shared" si="31"/>
        <v>0</v>
      </c>
      <c r="U71" s="22">
        <f t="shared" si="32"/>
        <v>0</v>
      </c>
      <c r="V71" s="21">
        <f t="shared" si="39"/>
        <v>0</v>
      </c>
      <c r="W71" s="21">
        <f t="shared" si="40"/>
        <v>0</v>
      </c>
      <c r="X71" s="21">
        <f t="shared" si="41"/>
        <v>0</v>
      </c>
      <c r="Y71" s="21">
        <f t="shared" si="42"/>
        <v>0</v>
      </c>
      <c r="Z71" s="221">
        <f t="shared" si="33"/>
        <v>0</v>
      </c>
      <c r="AA71" s="30">
        <f t="shared" si="21"/>
        <v>0</v>
      </c>
      <c r="AB71" s="30">
        <f t="shared" si="22"/>
        <v>0</v>
      </c>
      <c r="AC71" s="30">
        <f t="shared" si="23"/>
        <v>0</v>
      </c>
      <c r="AD71" s="30">
        <f t="shared" si="24"/>
        <v>0</v>
      </c>
      <c r="AE71" s="32">
        <f t="shared" si="34"/>
        <v>0</v>
      </c>
      <c r="AF71" s="33">
        <f t="shared" si="49"/>
        <v>0</v>
      </c>
      <c r="AG71" s="40">
        <f t="shared" si="35"/>
        <v>0</v>
      </c>
      <c r="AH71" s="224">
        <f>AG71*$P$33</f>
        <v>0</v>
      </c>
      <c r="AI71" s="227">
        <f t="shared" si="36"/>
        <v>0</v>
      </c>
    </row>
    <row r="72" spans="1:35" x14ac:dyDescent="0.35">
      <c r="A72" s="48">
        <v>1333</v>
      </c>
      <c r="B72" s="58">
        <f>SUMIF([2]!Table2_23[ETA],'FIS Current Model'!A72,[2]!Table2_23[FIS PAX])</f>
        <v>0</v>
      </c>
      <c r="C72" s="44">
        <f t="shared" si="37"/>
        <v>0</v>
      </c>
      <c r="D72" s="52">
        <f t="shared" si="43"/>
        <v>0</v>
      </c>
      <c r="E72" s="26">
        <f t="shared" si="25"/>
        <v>0</v>
      </c>
      <c r="F72" s="26">
        <f t="shared" si="26"/>
        <v>0</v>
      </c>
      <c r="G72" s="26">
        <f t="shared" si="27"/>
        <v>0</v>
      </c>
      <c r="H72" s="26">
        <f t="shared" si="38"/>
        <v>0</v>
      </c>
      <c r="I72" s="27">
        <f t="shared" si="50"/>
        <v>0</v>
      </c>
      <c r="J72" s="27">
        <f t="shared" si="50"/>
        <v>0</v>
      </c>
      <c r="K72" s="27">
        <f t="shared" si="50"/>
        <v>0</v>
      </c>
      <c r="L72" s="27">
        <f t="shared" si="50"/>
        <v>0</v>
      </c>
      <c r="M72" s="28">
        <f t="shared" ref="M72:P84" si="55">M71</f>
        <v>0</v>
      </c>
      <c r="N72" s="29">
        <f t="shared" si="55"/>
        <v>6</v>
      </c>
      <c r="O72" s="28">
        <f t="shared" si="55"/>
        <v>0</v>
      </c>
      <c r="P72" s="28">
        <f t="shared" si="55"/>
        <v>0</v>
      </c>
      <c r="Q72" s="28">
        <f t="shared" si="28"/>
        <v>6</v>
      </c>
      <c r="R72" s="22">
        <f t="shared" si="29"/>
        <v>0</v>
      </c>
      <c r="S72" s="22">
        <f t="shared" si="30"/>
        <v>0</v>
      </c>
      <c r="T72" s="22">
        <f t="shared" si="31"/>
        <v>0</v>
      </c>
      <c r="U72" s="22">
        <f t="shared" si="32"/>
        <v>0</v>
      </c>
      <c r="V72" s="21">
        <f t="shared" si="39"/>
        <v>0</v>
      </c>
      <c r="W72" s="21">
        <f t="shared" si="40"/>
        <v>0</v>
      </c>
      <c r="X72" s="21">
        <f t="shared" si="41"/>
        <v>0</v>
      </c>
      <c r="Y72" s="21">
        <f t="shared" si="42"/>
        <v>0</v>
      </c>
      <c r="Z72" s="221">
        <f t="shared" si="33"/>
        <v>0</v>
      </c>
      <c r="AA72" s="30">
        <f t="shared" si="21"/>
        <v>0</v>
      </c>
      <c r="AB72" s="30">
        <f t="shared" si="22"/>
        <v>0</v>
      </c>
      <c r="AC72" s="30">
        <f t="shared" si="23"/>
        <v>0</v>
      </c>
      <c r="AD72" s="30">
        <f t="shared" si="24"/>
        <v>0</v>
      </c>
      <c r="AE72" s="32">
        <f t="shared" si="34"/>
        <v>0</v>
      </c>
      <c r="AF72" s="33">
        <f t="shared" si="49"/>
        <v>0</v>
      </c>
      <c r="AG72" s="40">
        <f t="shared" si="35"/>
        <v>0</v>
      </c>
      <c r="AH72" s="224">
        <f>AG72*$P$33</f>
        <v>0</v>
      </c>
      <c r="AI72" s="227">
        <f t="shared" si="36"/>
        <v>0</v>
      </c>
    </row>
    <row r="73" spans="1:35" x14ac:dyDescent="0.35">
      <c r="A73" s="48">
        <v>1334</v>
      </c>
      <c r="B73" s="58">
        <f>SUMIF([2]!Table2_23[ETA],'FIS Current Model'!A73,[2]!Table2_23[FIS PAX])</f>
        <v>152</v>
      </c>
      <c r="C73" s="44">
        <f>IF((D72-D73)&gt;-1,(D72-D73),18)</f>
        <v>0</v>
      </c>
      <c r="D73" s="52">
        <f t="shared" si="43"/>
        <v>0</v>
      </c>
      <c r="E73" s="26">
        <f t="shared" si="25"/>
        <v>0</v>
      </c>
      <c r="F73" s="26">
        <f t="shared" si="26"/>
        <v>0</v>
      </c>
      <c r="G73" s="26">
        <f t="shared" si="27"/>
        <v>0</v>
      </c>
      <c r="H73" s="26">
        <f t="shared" si="38"/>
        <v>0</v>
      </c>
      <c r="I73" s="27">
        <f t="shared" si="50"/>
        <v>0</v>
      </c>
      <c r="J73" s="27">
        <f t="shared" si="50"/>
        <v>0</v>
      </c>
      <c r="K73" s="27">
        <f t="shared" si="50"/>
        <v>0</v>
      </c>
      <c r="L73" s="27">
        <f t="shared" si="50"/>
        <v>0</v>
      </c>
      <c r="M73" s="28">
        <f t="shared" si="55"/>
        <v>0</v>
      </c>
      <c r="N73" s="29">
        <f t="shared" si="55"/>
        <v>6</v>
      </c>
      <c r="O73" s="28">
        <f t="shared" si="55"/>
        <v>0</v>
      </c>
      <c r="P73" s="28">
        <f t="shared" si="55"/>
        <v>0</v>
      </c>
      <c r="Q73" s="28">
        <f t="shared" si="28"/>
        <v>6</v>
      </c>
      <c r="R73" s="22">
        <f t="shared" si="29"/>
        <v>0</v>
      </c>
      <c r="S73" s="22">
        <f t="shared" si="30"/>
        <v>0</v>
      </c>
      <c r="T73" s="22">
        <f t="shared" si="31"/>
        <v>0</v>
      </c>
      <c r="U73" s="22">
        <f t="shared" si="32"/>
        <v>0</v>
      </c>
      <c r="V73" s="21">
        <f t="shared" si="39"/>
        <v>0</v>
      </c>
      <c r="W73" s="21">
        <f t="shared" si="40"/>
        <v>0</v>
      </c>
      <c r="X73" s="21">
        <f t="shared" si="41"/>
        <v>0</v>
      </c>
      <c r="Y73" s="21">
        <f t="shared" si="42"/>
        <v>0</v>
      </c>
      <c r="Z73" s="221">
        <f t="shared" si="33"/>
        <v>0</v>
      </c>
      <c r="AA73" s="30">
        <f t="shared" si="21"/>
        <v>0</v>
      </c>
      <c r="AB73" s="30">
        <f t="shared" si="22"/>
        <v>0</v>
      </c>
      <c r="AC73" s="30">
        <f t="shared" si="23"/>
        <v>0</v>
      </c>
      <c r="AD73" s="30">
        <f t="shared" si="24"/>
        <v>0</v>
      </c>
      <c r="AE73" s="32">
        <f t="shared" si="34"/>
        <v>0</v>
      </c>
      <c r="AF73" s="33">
        <f t="shared" si="49"/>
        <v>0</v>
      </c>
      <c r="AG73" s="40">
        <f t="shared" si="35"/>
        <v>0</v>
      </c>
      <c r="AH73" s="224">
        <f>AG73*$P$33</f>
        <v>0</v>
      </c>
      <c r="AI73" s="227">
        <f t="shared" si="36"/>
        <v>0</v>
      </c>
    </row>
    <row r="74" spans="1:35" x14ac:dyDescent="0.35">
      <c r="A74" s="48">
        <v>1335</v>
      </c>
      <c r="B74" s="58">
        <f>SUMIF([2]!Table2_23[ETA],'FIS Current Model'!A74,[2]!Table2_23[FIS PAX])</f>
        <v>0</v>
      </c>
      <c r="C74" s="44">
        <f t="shared" si="37"/>
        <v>18</v>
      </c>
      <c r="D74" s="52">
        <f t="shared" si="43"/>
        <v>134</v>
      </c>
      <c r="E74" s="26">
        <f t="shared" si="25"/>
        <v>9.9503999999999984</v>
      </c>
      <c r="F74" s="26">
        <f t="shared" si="26"/>
        <v>4.2713999999999999</v>
      </c>
      <c r="G74" s="26">
        <f t="shared" si="27"/>
        <v>2.9447999999999999</v>
      </c>
      <c r="H74" s="26">
        <f t="shared" si="38"/>
        <v>0.83340000000000003</v>
      </c>
      <c r="I74" s="27">
        <f t="shared" si="50"/>
        <v>0</v>
      </c>
      <c r="J74" s="27">
        <f t="shared" si="50"/>
        <v>0</v>
      </c>
      <c r="K74" s="27">
        <f t="shared" si="50"/>
        <v>0</v>
      </c>
      <c r="L74" s="27">
        <f t="shared" si="50"/>
        <v>0</v>
      </c>
      <c r="M74" s="28">
        <f t="shared" si="55"/>
        <v>0</v>
      </c>
      <c r="N74" s="29">
        <f t="shared" si="55"/>
        <v>6</v>
      </c>
      <c r="O74" s="28">
        <f t="shared" si="55"/>
        <v>0</v>
      </c>
      <c r="P74" s="28">
        <f t="shared" si="55"/>
        <v>0</v>
      </c>
      <c r="Q74" s="28">
        <f t="shared" si="28"/>
        <v>6</v>
      </c>
      <c r="R74" s="22">
        <f t="shared" si="29"/>
        <v>0</v>
      </c>
      <c r="S74" s="22">
        <f t="shared" si="30"/>
        <v>0</v>
      </c>
      <c r="T74" s="22">
        <f t="shared" si="31"/>
        <v>0</v>
      </c>
      <c r="U74" s="22">
        <f t="shared" si="32"/>
        <v>0</v>
      </c>
      <c r="V74" s="21">
        <f t="shared" si="39"/>
        <v>0</v>
      </c>
      <c r="W74" s="21">
        <f t="shared" si="40"/>
        <v>0</v>
      </c>
      <c r="X74" s="21">
        <f t="shared" si="41"/>
        <v>0</v>
      </c>
      <c r="Y74" s="21">
        <f t="shared" si="42"/>
        <v>0</v>
      </c>
      <c r="Z74" s="221">
        <f t="shared" si="33"/>
        <v>0</v>
      </c>
      <c r="AA74" s="30">
        <f t="shared" si="21"/>
        <v>0</v>
      </c>
      <c r="AB74" s="30">
        <f t="shared" si="22"/>
        <v>0</v>
      </c>
      <c r="AC74" s="30">
        <f t="shared" si="23"/>
        <v>0</v>
      </c>
      <c r="AD74" s="30">
        <f t="shared" si="24"/>
        <v>0</v>
      </c>
      <c r="AE74" s="32">
        <f t="shared" si="34"/>
        <v>0</v>
      </c>
      <c r="AF74" s="33">
        <f t="shared" si="49"/>
        <v>0</v>
      </c>
      <c r="AG74" s="40">
        <f t="shared" si="35"/>
        <v>0</v>
      </c>
      <c r="AH74" s="224">
        <f>AG74*$P$33</f>
        <v>0</v>
      </c>
      <c r="AI74" s="227">
        <f t="shared" si="36"/>
        <v>0</v>
      </c>
    </row>
    <row r="75" spans="1:35" x14ac:dyDescent="0.35">
      <c r="A75" s="48">
        <v>1336</v>
      </c>
      <c r="B75" s="58">
        <f>SUMIF([2]!Table2_23[ETA],'FIS Current Model'!A75,[2]!Table2_23[FIS PAX])</f>
        <v>0</v>
      </c>
      <c r="C75" s="44">
        <f t="shared" si="37"/>
        <v>18</v>
      </c>
      <c r="D75" s="52">
        <f t="shared" si="43"/>
        <v>116</v>
      </c>
      <c r="E75" s="26">
        <f t="shared" si="25"/>
        <v>9.9503999999999984</v>
      </c>
      <c r="F75" s="26">
        <f t="shared" si="26"/>
        <v>4.2713999999999999</v>
      </c>
      <c r="G75" s="26">
        <f t="shared" si="27"/>
        <v>2.9447999999999999</v>
      </c>
      <c r="H75" s="26">
        <f t="shared" si="38"/>
        <v>0.83340000000000003</v>
      </c>
      <c r="I75" s="27">
        <f t="shared" si="50"/>
        <v>0</v>
      </c>
      <c r="J75" s="27">
        <f t="shared" si="50"/>
        <v>0</v>
      </c>
      <c r="K75" s="27">
        <f t="shared" si="50"/>
        <v>0</v>
      </c>
      <c r="L75" s="27">
        <f t="shared" si="50"/>
        <v>0</v>
      </c>
      <c r="M75" s="28">
        <f t="shared" si="55"/>
        <v>0</v>
      </c>
      <c r="N75" s="29">
        <f t="shared" si="55"/>
        <v>6</v>
      </c>
      <c r="O75" s="28">
        <f t="shared" si="55"/>
        <v>0</v>
      </c>
      <c r="P75" s="28">
        <f t="shared" si="55"/>
        <v>0</v>
      </c>
      <c r="Q75" s="28">
        <f t="shared" si="28"/>
        <v>6</v>
      </c>
      <c r="R75" s="22">
        <f t="shared" si="29"/>
        <v>0</v>
      </c>
      <c r="S75" s="22">
        <f t="shared" si="30"/>
        <v>0</v>
      </c>
      <c r="T75" s="22">
        <f t="shared" si="31"/>
        <v>0</v>
      </c>
      <c r="U75" s="22">
        <f t="shared" si="32"/>
        <v>0</v>
      </c>
      <c r="V75" s="21">
        <f t="shared" si="39"/>
        <v>0</v>
      </c>
      <c r="W75" s="21">
        <f t="shared" si="40"/>
        <v>0</v>
      </c>
      <c r="X75" s="21">
        <f t="shared" si="41"/>
        <v>0</v>
      </c>
      <c r="Y75" s="21">
        <f t="shared" si="42"/>
        <v>0</v>
      </c>
      <c r="Z75" s="221">
        <f t="shared" si="33"/>
        <v>0</v>
      </c>
      <c r="AA75" s="30">
        <f t="shared" si="21"/>
        <v>0</v>
      </c>
      <c r="AB75" s="30">
        <f t="shared" si="22"/>
        <v>0</v>
      </c>
      <c r="AC75" s="30">
        <f t="shared" si="23"/>
        <v>0</v>
      </c>
      <c r="AD75" s="30">
        <f t="shared" si="24"/>
        <v>0</v>
      </c>
      <c r="AE75" s="32">
        <f t="shared" si="34"/>
        <v>0</v>
      </c>
      <c r="AF75" s="33">
        <f t="shared" si="49"/>
        <v>0</v>
      </c>
      <c r="AG75" s="40">
        <f t="shared" si="35"/>
        <v>0</v>
      </c>
      <c r="AH75" s="224">
        <f>AG75*$P$33</f>
        <v>0</v>
      </c>
      <c r="AI75" s="227">
        <f t="shared" si="36"/>
        <v>0</v>
      </c>
    </row>
    <row r="76" spans="1:35" x14ac:dyDescent="0.35">
      <c r="A76" s="48">
        <v>1337</v>
      </c>
      <c r="B76" s="58">
        <f>SUMIF([2]!Table2_23[ETA],'FIS Current Model'!A76,[2]!Table2_23[FIS PAX])</f>
        <v>0</v>
      </c>
      <c r="C76" s="44">
        <f t="shared" si="37"/>
        <v>18</v>
      </c>
      <c r="D76" s="52">
        <f t="shared" si="43"/>
        <v>98</v>
      </c>
      <c r="E76" s="26">
        <f t="shared" si="25"/>
        <v>9.9503999999999984</v>
      </c>
      <c r="F76" s="26">
        <f t="shared" si="26"/>
        <v>4.2713999999999999</v>
      </c>
      <c r="G76" s="26">
        <f t="shared" si="27"/>
        <v>2.9447999999999999</v>
      </c>
      <c r="H76" s="26">
        <f t="shared" si="38"/>
        <v>0.83340000000000003</v>
      </c>
      <c r="I76" s="27">
        <f t="shared" si="50"/>
        <v>0</v>
      </c>
      <c r="J76" s="27">
        <f t="shared" si="50"/>
        <v>0</v>
      </c>
      <c r="K76" s="27">
        <f t="shared" si="50"/>
        <v>0</v>
      </c>
      <c r="L76" s="27">
        <f t="shared" si="50"/>
        <v>0</v>
      </c>
      <c r="M76" s="28">
        <f t="shared" si="55"/>
        <v>0</v>
      </c>
      <c r="N76" s="29">
        <f t="shared" si="55"/>
        <v>6</v>
      </c>
      <c r="O76" s="28">
        <f t="shared" si="55"/>
        <v>0</v>
      </c>
      <c r="P76" s="28">
        <f t="shared" si="55"/>
        <v>0</v>
      </c>
      <c r="Q76" s="28">
        <f t="shared" si="28"/>
        <v>6</v>
      </c>
      <c r="R76" s="22">
        <f t="shared" si="29"/>
        <v>0</v>
      </c>
      <c r="S76" s="22">
        <f t="shared" si="30"/>
        <v>0</v>
      </c>
      <c r="T76" s="22">
        <f t="shared" si="31"/>
        <v>0</v>
      </c>
      <c r="U76" s="22">
        <f t="shared" si="32"/>
        <v>0</v>
      </c>
      <c r="V76" s="21">
        <f t="shared" si="39"/>
        <v>0</v>
      </c>
      <c r="W76" s="21">
        <f t="shared" si="40"/>
        <v>0</v>
      </c>
      <c r="X76" s="21">
        <f t="shared" si="41"/>
        <v>0</v>
      </c>
      <c r="Y76" s="21">
        <f t="shared" si="42"/>
        <v>0</v>
      </c>
      <c r="Z76" s="221">
        <f t="shared" si="33"/>
        <v>0</v>
      </c>
      <c r="AA76" s="30">
        <f t="shared" si="21"/>
        <v>0</v>
      </c>
      <c r="AB76" s="30">
        <f t="shared" si="22"/>
        <v>0</v>
      </c>
      <c r="AC76" s="30">
        <f t="shared" si="23"/>
        <v>0</v>
      </c>
      <c r="AD76" s="30">
        <f t="shared" si="24"/>
        <v>0</v>
      </c>
      <c r="AE76" s="32">
        <f t="shared" si="34"/>
        <v>0</v>
      </c>
      <c r="AF76" s="33">
        <f t="shared" si="49"/>
        <v>0</v>
      </c>
      <c r="AG76" s="40">
        <f t="shared" si="35"/>
        <v>0</v>
      </c>
      <c r="AH76" s="224">
        <f>AG76*$P$33</f>
        <v>0</v>
      </c>
      <c r="AI76" s="227">
        <f t="shared" si="36"/>
        <v>0</v>
      </c>
    </row>
    <row r="77" spans="1:35" x14ac:dyDescent="0.35">
      <c r="A77" s="48">
        <v>1338</v>
      </c>
      <c r="B77" s="58">
        <f>SUMIF([2]!Table2_23[ETA],'FIS Current Model'!A77,[2]!Table2_23[FIS PAX])</f>
        <v>0</v>
      </c>
      <c r="C77" s="44">
        <f t="shared" si="37"/>
        <v>18</v>
      </c>
      <c r="D77" s="52">
        <f t="shared" si="43"/>
        <v>80</v>
      </c>
      <c r="E77" s="26">
        <f t="shared" si="25"/>
        <v>9.9503999999999984</v>
      </c>
      <c r="F77" s="26">
        <f t="shared" si="26"/>
        <v>4.2713999999999999</v>
      </c>
      <c r="G77" s="26">
        <f t="shared" si="27"/>
        <v>2.9447999999999999</v>
      </c>
      <c r="H77" s="26">
        <f t="shared" si="38"/>
        <v>0.83340000000000003</v>
      </c>
      <c r="I77" s="27">
        <f t="shared" si="50"/>
        <v>0</v>
      </c>
      <c r="J77" s="27">
        <f t="shared" si="50"/>
        <v>0</v>
      </c>
      <c r="K77" s="27">
        <f t="shared" si="50"/>
        <v>0</v>
      </c>
      <c r="L77" s="27">
        <f t="shared" si="50"/>
        <v>0</v>
      </c>
      <c r="M77" s="28">
        <f t="shared" si="55"/>
        <v>0</v>
      </c>
      <c r="N77" s="29">
        <f t="shared" si="55"/>
        <v>6</v>
      </c>
      <c r="O77" s="28">
        <f t="shared" si="55"/>
        <v>0</v>
      </c>
      <c r="P77" s="28">
        <f t="shared" si="55"/>
        <v>0</v>
      </c>
      <c r="Q77" s="28">
        <f t="shared" si="28"/>
        <v>6</v>
      </c>
      <c r="R77" s="22">
        <f t="shared" si="29"/>
        <v>0</v>
      </c>
      <c r="S77" s="22">
        <f t="shared" si="30"/>
        <v>0</v>
      </c>
      <c r="T77" s="22">
        <f t="shared" si="31"/>
        <v>0</v>
      </c>
      <c r="U77" s="22">
        <f t="shared" si="32"/>
        <v>0</v>
      </c>
      <c r="V77" s="21">
        <f t="shared" si="39"/>
        <v>0</v>
      </c>
      <c r="W77" s="21">
        <f t="shared" si="40"/>
        <v>0</v>
      </c>
      <c r="X77" s="21">
        <f t="shared" si="41"/>
        <v>0</v>
      </c>
      <c r="Y77" s="21">
        <f t="shared" si="42"/>
        <v>0</v>
      </c>
      <c r="Z77" s="221">
        <f t="shared" si="33"/>
        <v>0</v>
      </c>
      <c r="AA77" s="30">
        <f t="shared" si="21"/>
        <v>0</v>
      </c>
      <c r="AB77" s="30">
        <f t="shared" si="22"/>
        <v>0</v>
      </c>
      <c r="AC77" s="30">
        <f t="shared" si="23"/>
        <v>0</v>
      </c>
      <c r="AD77" s="30">
        <f t="shared" si="24"/>
        <v>0</v>
      </c>
      <c r="AE77" s="32">
        <f t="shared" si="34"/>
        <v>0</v>
      </c>
      <c r="AF77" s="33">
        <f t="shared" si="49"/>
        <v>0</v>
      </c>
      <c r="AG77" s="40">
        <f t="shared" si="35"/>
        <v>0</v>
      </c>
      <c r="AH77" s="224">
        <f>AG77*$P$33</f>
        <v>0</v>
      </c>
      <c r="AI77" s="227">
        <f t="shared" si="36"/>
        <v>0</v>
      </c>
    </row>
    <row r="78" spans="1:35" x14ac:dyDescent="0.35">
      <c r="A78" s="48">
        <v>1339</v>
      </c>
      <c r="B78" s="58">
        <f>SUMIF([2]!Table2_23[ETA],'FIS Current Model'!A78,[2]!Table2_23[FIS PAX])</f>
        <v>0</v>
      </c>
      <c r="C78" s="44">
        <f t="shared" si="37"/>
        <v>18</v>
      </c>
      <c r="D78" s="52">
        <f t="shared" si="43"/>
        <v>62</v>
      </c>
      <c r="E78" s="26">
        <f t="shared" si="25"/>
        <v>9.9503999999999984</v>
      </c>
      <c r="F78" s="26">
        <f t="shared" si="26"/>
        <v>4.2713999999999999</v>
      </c>
      <c r="G78" s="26">
        <f t="shared" si="27"/>
        <v>2.9447999999999999</v>
      </c>
      <c r="H78" s="26">
        <f t="shared" si="38"/>
        <v>0.83340000000000003</v>
      </c>
      <c r="I78" s="27">
        <f t="shared" si="50"/>
        <v>0</v>
      </c>
      <c r="J78" s="27">
        <f t="shared" si="50"/>
        <v>0</v>
      </c>
      <c r="K78" s="27">
        <f t="shared" si="50"/>
        <v>0</v>
      </c>
      <c r="L78" s="27">
        <f t="shared" si="50"/>
        <v>0</v>
      </c>
      <c r="M78" s="28">
        <f t="shared" si="55"/>
        <v>0</v>
      </c>
      <c r="N78" s="29">
        <f t="shared" si="55"/>
        <v>6</v>
      </c>
      <c r="O78" s="28">
        <f t="shared" si="55"/>
        <v>0</v>
      </c>
      <c r="P78" s="28">
        <f t="shared" si="55"/>
        <v>0</v>
      </c>
      <c r="Q78" s="28">
        <f t="shared" si="28"/>
        <v>6</v>
      </c>
      <c r="R78" s="22">
        <f t="shared" si="29"/>
        <v>0</v>
      </c>
      <c r="S78" s="22">
        <f t="shared" si="30"/>
        <v>0</v>
      </c>
      <c r="T78" s="22">
        <f t="shared" si="31"/>
        <v>0</v>
      </c>
      <c r="U78" s="22">
        <f t="shared" si="32"/>
        <v>0</v>
      </c>
      <c r="V78" s="21">
        <f t="shared" si="39"/>
        <v>0</v>
      </c>
      <c r="W78" s="21">
        <f t="shared" si="40"/>
        <v>0</v>
      </c>
      <c r="X78" s="21">
        <f t="shared" si="41"/>
        <v>0</v>
      </c>
      <c r="Y78" s="21">
        <f t="shared" si="42"/>
        <v>0</v>
      </c>
      <c r="Z78" s="221">
        <f t="shared" si="33"/>
        <v>0</v>
      </c>
      <c r="AA78" s="30">
        <f t="shared" si="21"/>
        <v>0</v>
      </c>
      <c r="AB78" s="30">
        <f t="shared" si="22"/>
        <v>0</v>
      </c>
      <c r="AC78" s="30">
        <f t="shared" si="23"/>
        <v>0</v>
      </c>
      <c r="AD78" s="30">
        <f t="shared" si="24"/>
        <v>0</v>
      </c>
      <c r="AE78" s="32">
        <f t="shared" si="34"/>
        <v>0</v>
      </c>
      <c r="AF78" s="33">
        <f t="shared" si="49"/>
        <v>0</v>
      </c>
      <c r="AG78" s="40">
        <f t="shared" si="35"/>
        <v>0</v>
      </c>
      <c r="AH78" s="224">
        <f>AG78*$P$33</f>
        <v>0</v>
      </c>
      <c r="AI78" s="227">
        <f t="shared" si="36"/>
        <v>0</v>
      </c>
    </row>
    <row r="79" spans="1:35" x14ac:dyDescent="0.35">
      <c r="A79" s="48">
        <v>1340</v>
      </c>
      <c r="B79" s="58">
        <f>SUMIF([2]!Table2_23[ETA],'FIS Current Model'!A79,[2]!Table2_23[FIS PAX])</f>
        <v>0</v>
      </c>
      <c r="C79" s="44">
        <f t="shared" si="37"/>
        <v>18</v>
      </c>
      <c r="D79" s="52">
        <f t="shared" si="43"/>
        <v>44</v>
      </c>
      <c r="E79" s="26">
        <f t="shared" si="25"/>
        <v>9.9503999999999984</v>
      </c>
      <c r="F79" s="26">
        <f t="shared" si="26"/>
        <v>4.2713999999999999</v>
      </c>
      <c r="G79" s="26">
        <f t="shared" si="27"/>
        <v>2.9447999999999999</v>
      </c>
      <c r="H79" s="26">
        <f t="shared" si="38"/>
        <v>0.83340000000000003</v>
      </c>
      <c r="I79" s="27">
        <f t="shared" si="50"/>
        <v>9.9503999999999984</v>
      </c>
      <c r="J79" s="27">
        <f t="shared" si="50"/>
        <v>4.2713999999999999</v>
      </c>
      <c r="K79" s="27">
        <f t="shared" si="50"/>
        <v>2.9447999999999999</v>
      </c>
      <c r="L79" s="27">
        <f t="shared" si="50"/>
        <v>0.83340000000000003</v>
      </c>
      <c r="M79" s="28">
        <f t="shared" si="55"/>
        <v>0</v>
      </c>
      <c r="N79" s="29">
        <f t="shared" si="55"/>
        <v>6</v>
      </c>
      <c r="O79" s="28">
        <f t="shared" si="55"/>
        <v>0</v>
      </c>
      <c r="P79" s="28">
        <f t="shared" si="55"/>
        <v>0</v>
      </c>
      <c r="Q79" s="28">
        <f t="shared" si="28"/>
        <v>6</v>
      </c>
      <c r="R79" s="22">
        <f t="shared" si="29"/>
        <v>9.9503999999999984</v>
      </c>
      <c r="S79" s="22">
        <f t="shared" si="30"/>
        <v>1.2980794305683006</v>
      </c>
      <c r="T79" s="22">
        <f t="shared" si="31"/>
        <v>2.9447999999999999</v>
      </c>
      <c r="U79" s="22">
        <f t="shared" si="32"/>
        <v>0.83340000000000003</v>
      </c>
      <c r="V79" s="21">
        <f t="shared" si="39"/>
        <v>0</v>
      </c>
      <c r="W79" s="21">
        <f t="shared" si="40"/>
        <v>0.37108932259999999</v>
      </c>
      <c r="X79" s="21">
        <f t="shared" si="41"/>
        <v>0</v>
      </c>
      <c r="Y79" s="21">
        <f t="shared" si="42"/>
        <v>0</v>
      </c>
      <c r="Z79" s="221">
        <f t="shared" si="33"/>
        <v>1</v>
      </c>
      <c r="AA79" s="30">
        <f t="shared" si="21"/>
        <v>0</v>
      </c>
      <c r="AB79" s="30">
        <f t="shared" si="22"/>
        <v>2.9733205694316993</v>
      </c>
      <c r="AC79" s="30">
        <f t="shared" si="23"/>
        <v>0</v>
      </c>
      <c r="AD79" s="30">
        <f t="shared" si="24"/>
        <v>0</v>
      </c>
      <c r="AE79" s="32">
        <f t="shared" si="34"/>
        <v>2.9733205694316993</v>
      </c>
      <c r="AF79" s="33">
        <f t="shared" si="49"/>
        <v>0</v>
      </c>
      <c r="AG79" s="40">
        <f t="shared" si="35"/>
        <v>0</v>
      </c>
      <c r="AH79" s="224">
        <f>AG79*$P$33</f>
        <v>0</v>
      </c>
      <c r="AI79" s="227">
        <f t="shared" si="36"/>
        <v>22</v>
      </c>
    </row>
    <row r="80" spans="1:35" x14ac:dyDescent="0.35">
      <c r="A80" s="48">
        <v>1341</v>
      </c>
      <c r="B80" s="58">
        <f>SUMIF([2]!Table2_23[ETA],'FIS Current Model'!A80,[2]!Table2_23[FIS PAX])</f>
        <v>0</v>
      </c>
      <c r="C80" s="44">
        <f t="shared" si="37"/>
        <v>18</v>
      </c>
      <c r="D80" s="52">
        <f t="shared" si="43"/>
        <v>26</v>
      </c>
      <c r="E80" s="26">
        <f t="shared" si="25"/>
        <v>9.9503999999999984</v>
      </c>
      <c r="F80" s="26">
        <f t="shared" si="26"/>
        <v>4.2713999999999999</v>
      </c>
      <c r="G80" s="26">
        <f t="shared" si="27"/>
        <v>2.9447999999999999</v>
      </c>
      <c r="H80" s="26">
        <f t="shared" si="38"/>
        <v>0.83340000000000003</v>
      </c>
      <c r="I80" s="27">
        <f t="shared" si="50"/>
        <v>9.9503999999999984</v>
      </c>
      <c r="J80" s="27">
        <f t="shared" si="50"/>
        <v>4.2713999999999999</v>
      </c>
      <c r="K80" s="27">
        <f t="shared" si="50"/>
        <v>2.9447999999999999</v>
      </c>
      <c r="L80" s="27">
        <f t="shared" si="50"/>
        <v>0.83340000000000003</v>
      </c>
      <c r="M80" s="28">
        <f t="shared" si="55"/>
        <v>0</v>
      </c>
      <c r="N80" s="29">
        <f t="shared" si="55"/>
        <v>6</v>
      </c>
      <c r="O80" s="28">
        <f t="shared" si="55"/>
        <v>0</v>
      </c>
      <c r="P80" s="28">
        <f t="shared" si="55"/>
        <v>0</v>
      </c>
      <c r="Q80" s="28">
        <f t="shared" si="28"/>
        <v>6</v>
      </c>
      <c r="R80" s="22">
        <f t="shared" si="29"/>
        <v>19.900799999999997</v>
      </c>
      <c r="S80" s="22">
        <f t="shared" si="30"/>
        <v>2.5961588611366011</v>
      </c>
      <c r="T80" s="22">
        <f t="shared" si="31"/>
        <v>5.8895999999999997</v>
      </c>
      <c r="U80" s="22">
        <f t="shared" si="32"/>
        <v>1.6668000000000001</v>
      </c>
      <c r="V80" s="21">
        <f t="shared" si="39"/>
        <v>0</v>
      </c>
      <c r="W80" s="21">
        <f t="shared" si="40"/>
        <v>0.74217864519999999</v>
      </c>
      <c r="X80" s="21">
        <f t="shared" si="41"/>
        <v>0</v>
      </c>
      <c r="Y80" s="21">
        <f t="shared" si="42"/>
        <v>0</v>
      </c>
      <c r="Z80" s="221">
        <f t="shared" si="33"/>
        <v>1</v>
      </c>
      <c r="AA80" s="30">
        <f t="shared" si="21"/>
        <v>0</v>
      </c>
      <c r="AB80" s="30">
        <f t="shared" si="22"/>
        <v>2.9733205694316993</v>
      </c>
      <c r="AC80" s="30">
        <f t="shared" si="23"/>
        <v>0</v>
      </c>
      <c r="AD80" s="30">
        <f t="shared" si="24"/>
        <v>0</v>
      </c>
      <c r="AE80" s="32">
        <f t="shared" si="34"/>
        <v>2.9733205694316993</v>
      </c>
      <c r="AF80" s="33">
        <f t="shared" si="49"/>
        <v>0</v>
      </c>
      <c r="AG80" s="40">
        <f t="shared" si="35"/>
        <v>0</v>
      </c>
      <c r="AH80" s="224">
        <f>AG80*$P$33</f>
        <v>0</v>
      </c>
      <c r="AI80" s="227">
        <f t="shared" si="36"/>
        <v>22</v>
      </c>
    </row>
    <row r="81" spans="1:35" x14ac:dyDescent="0.35">
      <c r="A81" s="48">
        <v>1342</v>
      </c>
      <c r="B81" s="58">
        <f>SUMIF([2]!Table2_23[ETA],'FIS Current Model'!A81,[2]!Table2_23[FIS PAX])</f>
        <v>0</v>
      </c>
      <c r="C81" s="44">
        <f t="shared" si="37"/>
        <v>18</v>
      </c>
      <c r="D81" s="52">
        <f t="shared" si="43"/>
        <v>8</v>
      </c>
      <c r="E81" s="26">
        <f t="shared" si="25"/>
        <v>9.9503999999999984</v>
      </c>
      <c r="F81" s="26">
        <f t="shared" si="26"/>
        <v>4.2713999999999999</v>
      </c>
      <c r="G81" s="26">
        <f t="shared" si="27"/>
        <v>2.9447999999999999</v>
      </c>
      <c r="H81" s="26">
        <f t="shared" si="38"/>
        <v>0.83340000000000003</v>
      </c>
      <c r="I81" s="27">
        <f t="shared" si="50"/>
        <v>9.9503999999999984</v>
      </c>
      <c r="J81" s="27">
        <f t="shared" si="50"/>
        <v>4.2713999999999999</v>
      </c>
      <c r="K81" s="27">
        <f t="shared" si="50"/>
        <v>2.9447999999999999</v>
      </c>
      <c r="L81" s="27">
        <f t="shared" si="50"/>
        <v>0.83340000000000003</v>
      </c>
      <c r="M81" s="28">
        <f t="shared" si="55"/>
        <v>0</v>
      </c>
      <c r="N81" s="29">
        <f t="shared" si="55"/>
        <v>6</v>
      </c>
      <c r="O81" s="28">
        <f t="shared" si="55"/>
        <v>0</v>
      </c>
      <c r="P81" s="28">
        <f t="shared" si="55"/>
        <v>0</v>
      </c>
      <c r="Q81" s="28">
        <f t="shared" si="28"/>
        <v>6</v>
      </c>
      <c r="R81" s="22">
        <f t="shared" si="29"/>
        <v>29.851199999999995</v>
      </c>
      <c r="S81" s="22">
        <f t="shared" si="30"/>
        <v>3.8942382917049017</v>
      </c>
      <c r="T81" s="22">
        <f t="shared" si="31"/>
        <v>8.8343999999999987</v>
      </c>
      <c r="U81" s="22">
        <f t="shared" si="32"/>
        <v>2.5002</v>
      </c>
      <c r="V81" s="21">
        <f t="shared" si="39"/>
        <v>0</v>
      </c>
      <c r="W81" s="21">
        <f t="shared" si="40"/>
        <v>1.1132679677999999</v>
      </c>
      <c r="X81" s="21">
        <f t="shared" si="41"/>
        <v>0</v>
      </c>
      <c r="Y81" s="21">
        <f t="shared" si="42"/>
        <v>0</v>
      </c>
      <c r="Z81" s="221">
        <f t="shared" si="33"/>
        <v>1</v>
      </c>
      <c r="AA81" s="30">
        <f t="shared" si="21"/>
        <v>0</v>
      </c>
      <c r="AB81" s="30">
        <f t="shared" si="22"/>
        <v>2.9733205694316993</v>
      </c>
      <c r="AC81" s="30">
        <f t="shared" si="23"/>
        <v>0</v>
      </c>
      <c r="AD81" s="30">
        <f t="shared" si="24"/>
        <v>0</v>
      </c>
      <c r="AE81" s="32">
        <f t="shared" si="34"/>
        <v>2.9733205694316993</v>
      </c>
      <c r="AF81" s="33">
        <f t="shared" si="49"/>
        <v>0</v>
      </c>
      <c r="AG81" s="40">
        <f t="shared" si="35"/>
        <v>0</v>
      </c>
      <c r="AH81" s="224">
        <f>AG81*$P$33</f>
        <v>0</v>
      </c>
      <c r="AI81" s="227">
        <f t="shared" si="36"/>
        <v>22</v>
      </c>
    </row>
    <row r="82" spans="1:35" x14ac:dyDescent="0.35">
      <c r="A82" s="48">
        <v>1343</v>
      </c>
      <c r="B82" s="58">
        <f>SUMIF([2]!Table2_23[ETA],'FIS Current Model'!A82,[2]!Table2_23[FIS PAX])</f>
        <v>0</v>
      </c>
      <c r="C82" s="44">
        <f t="shared" si="37"/>
        <v>8</v>
      </c>
      <c r="D82" s="52">
        <f t="shared" si="43"/>
        <v>0</v>
      </c>
      <c r="E82" s="26">
        <f t="shared" si="25"/>
        <v>4.4223999999999997</v>
      </c>
      <c r="F82" s="26">
        <f t="shared" si="26"/>
        <v>1.8984000000000001</v>
      </c>
      <c r="G82" s="26">
        <f t="shared" si="27"/>
        <v>1.3088</v>
      </c>
      <c r="H82" s="26">
        <f t="shared" si="38"/>
        <v>0.37040000000000001</v>
      </c>
      <c r="I82" s="27">
        <f t="shared" si="50"/>
        <v>9.9503999999999984</v>
      </c>
      <c r="J82" s="27">
        <f t="shared" si="50"/>
        <v>4.2713999999999999</v>
      </c>
      <c r="K82" s="27">
        <f t="shared" si="50"/>
        <v>2.9447999999999999</v>
      </c>
      <c r="L82" s="27">
        <f t="shared" si="50"/>
        <v>0.83340000000000003</v>
      </c>
      <c r="M82" s="28">
        <f t="shared" si="55"/>
        <v>0</v>
      </c>
      <c r="N82" s="29">
        <f t="shared" si="55"/>
        <v>6</v>
      </c>
      <c r="O82" s="28">
        <f t="shared" si="55"/>
        <v>0</v>
      </c>
      <c r="P82" s="28">
        <f t="shared" si="55"/>
        <v>0</v>
      </c>
      <c r="Q82" s="28">
        <f t="shared" si="28"/>
        <v>6</v>
      </c>
      <c r="R82" s="22">
        <f t="shared" si="29"/>
        <v>39.801599999999993</v>
      </c>
      <c r="S82" s="22">
        <f t="shared" si="30"/>
        <v>5.1923177222732022</v>
      </c>
      <c r="T82" s="22">
        <f t="shared" si="31"/>
        <v>11.779199999999999</v>
      </c>
      <c r="U82" s="22">
        <f t="shared" si="32"/>
        <v>3.3336000000000001</v>
      </c>
      <c r="V82" s="21">
        <f t="shared" si="39"/>
        <v>0</v>
      </c>
      <c r="W82" s="21">
        <f t="shared" si="40"/>
        <v>1.4843572904</v>
      </c>
      <c r="X82" s="21">
        <f t="shared" si="41"/>
        <v>0</v>
      </c>
      <c r="Y82" s="21">
        <f t="shared" si="42"/>
        <v>0</v>
      </c>
      <c r="Z82" s="221">
        <f t="shared" si="33"/>
        <v>1</v>
      </c>
      <c r="AA82" s="30">
        <f t="shared" si="21"/>
        <v>0</v>
      </c>
      <c r="AB82" s="30">
        <f t="shared" si="22"/>
        <v>2.9733205694316993</v>
      </c>
      <c r="AC82" s="30">
        <f t="shared" si="23"/>
        <v>0</v>
      </c>
      <c r="AD82" s="30">
        <f t="shared" si="24"/>
        <v>0</v>
      </c>
      <c r="AE82" s="32">
        <f t="shared" si="34"/>
        <v>2.9733205694316993</v>
      </c>
      <c r="AF82" s="33">
        <f t="shared" si="49"/>
        <v>0</v>
      </c>
      <c r="AG82" s="40">
        <f t="shared" si="35"/>
        <v>0</v>
      </c>
      <c r="AH82" s="224">
        <f>AG82*$P$33</f>
        <v>0</v>
      </c>
      <c r="AI82" s="227">
        <f t="shared" si="36"/>
        <v>22</v>
      </c>
    </row>
    <row r="83" spans="1:35" x14ac:dyDescent="0.35">
      <c r="A83" s="48">
        <v>1344</v>
      </c>
      <c r="B83" s="58">
        <f>SUMIF([2]!Table2_23[ETA],'FIS Current Model'!A83,[2]!Table2_23[FIS PAX])</f>
        <v>0</v>
      </c>
      <c r="C83" s="44">
        <f t="shared" si="37"/>
        <v>0</v>
      </c>
      <c r="D83" s="52">
        <f t="shared" si="43"/>
        <v>0</v>
      </c>
      <c r="E83" s="26">
        <f t="shared" si="25"/>
        <v>0</v>
      </c>
      <c r="F83" s="26">
        <f t="shared" si="26"/>
        <v>0</v>
      </c>
      <c r="G83" s="26">
        <f t="shared" si="27"/>
        <v>0</v>
      </c>
      <c r="H83" s="26">
        <f t="shared" si="38"/>
        <v>0</v>
      </c>
      <c r="I83" s="27">
        <f t="shared" si="50"/>
        <v>9.9503999999999984</v>
      </c>
      <c r="J83" s="27">
        <f t="shared" si="50"/>
        <v>4.2713999999999999</v>
      </c>
      <c r="K83" s="27">
        <f t="shared" si="50"/>
        <v>2.9447999999999999</v>
      </c>
      <c r="L83" s="27">
        <f t="shared" si="50"/>
        <v>0.83340000000000003</v>
      </c>
      <c r="M83" s="28">
        <f t="shared" si="55"/>
        <v>0</v>
      </c>
      <c r="N83" s="29">
        <f t="shared" si="55"/>
        <v>6</v>
      </c>
      <c r="O83" s="28">
        <f t="shared" si="55"/>
        <v>0</v>
      </c>
      <c r="P83" s="28">
        <f t="shared" si="55"/>
        <v>0</v>
      </c>
      <c r="Q83" s="28">
        <f t="shared" si="28"/>
        <v>6</v>
      </c>
      <c r="R83" s="22">
        <f t="shared" si="29"/>
        <v>49.751999999999995</v>
      </c>
      <c r="S83" s="22">
        <f t="shared" si="30"/>
        <v>6.4903971528415028</v>
      </c>
      <c r="T83" s="22">
        <f t="shared" si="31"/>
        <v>14.724</v>
      </c>
      <c r="U83" s="22">
        <f t="shared" si="32"/>
        <v>4.1669999999999998</v>
      </c>
      <c r="V83" s="21">
        <f t="shared" si="39"/>
        <v>0</v>
      </c>
      <c r="W83" s="21">
        <f t="shared" si="40"/>
        <v>1.855446613</v>
      </c>
      <c r="X83" s="21">
        <f t="shared" si="41"/>
        <v>0</v>
      </c>
      <c r="Y83" s="21">
        <f t="shared" si="42"/>
        <v>0</v>
      </c>
      <c r="Z83" s="221">
        <f t="shared" si="33"/>
        <v>1</v>
      </c>
      <c r="AA83" s="30">
        <f t="shared" si="21"/>
        <v>0</v>
      </c>
      <c r="AB83" s="30">
        <f t="shared" si="22"/>
        <v>2.9733205694316993</v>
      </c>
      <c r="AC83" s="30">
        <f t="shared" si="23"/>
        <v>0</v>
      </c>
      <c r="AD83" s="30">
        <f t="shared" si="24"/>
        <v>0</v>
      </c>
      <c r="AE83" s="32">
        <f t="shared" si="34"/>
        <v>2.9733205694316993</v>
      </c>
      <c r="AF83" s="33">
        <f t="shared" si="49"/>
        <v>2.9733205694316993</v>
      </c>
      <c r="AG83" s="40">
        <f t="shared" si="35"/>
        <v>0</v>
      </c>
      <c r="AH83" s="224">
        <f>AG83*$P$33</f>
        <v>0</v>
      </c>
      <c r="AI83" s="227">
        <f t="shared" si="36"/>
        <v>22</v>
      </c>
    </row>
    <row r="84" spans="1:35" x14ac:dyDescent="0.35">
      <c r="A84" s="48">
        <v>1345</v>
      </c>
      <c r="B84" s="58">
        <f>SUMIF([2]!Table2_23[ETA],'FIS Current Model'!A84,[2]!Table2_23[FIS PAX])</f>
        <v>0</v>
      </c>
      <c r="C84" s="44">
        <f t="shared" si="37"/>
        <v>0</v>
      </c>
      <c r="D84" s="52">
        <f t="shared" si="43"/>
        <v>0</v>
      </c>
      <c r="E84" s="26">
        <f t="shared" si="25"/>
        <v>0</v>
      </c>
      <c r="F84" s="26">
        <f t="shared" si="26"/>
        <v>0</v>
      </c>
      <c r="G84" s="26">
        <f t="shared" si="27"/>
        <v>0</v>
      </c>
      <c r="H84" s="26">
        <f t="shared" si="38"/>
        <v>0</v>
      </c>
      <c r="I84" s="27">
        <f t="shared" si="50"/>
        <v>9.9503999999999984</v>
      </c>
      <c r="J84" s="27">
        <f t="shared" si="50"/>
        <v>4.2713999999999999</v>
      </c>
      <c r="K84" s="27">
        <f t="shared" si="50"/>
        <v>2.9447999999999999</v>
      </c>
      <c r="L84" s="27">
        <f t="shared" si="50"/>
        <v>0.83340000000000003</v>
      </c>
      <c r="M84" s="28">
        <f t="shared" si="55"/>
        <v>0</v>
      </c>
      <c r="N84" s="29">
        <f t="shared" si="55"/>
        <v>6</v>
      </c>
      <c r="O84" s="28">
        <f t="shared" si="55"/>
        <v>0</v>
      </c>
      <c r="P84" s="28">
        <f t="shared" si="55"/>
        <v>0</v>
      </c>
      <c r="Q84" s="28">
        <f t="shared" si="28"/>
        <v>6</v>
      </c>
      <c r="R84" s="22">
        <f t="shared" si="29"/>
        <v>59.702399999999997</v>
      </c>
      <c r="S84" s="22">
        <f t="shared" si="30"/>
        <v>7.7884765834098033</v>
      </c>
      <c r="T84" s="22">
        <f t="shared" si="31"/>
        <v>17.668800000000001</v>
      </c>
      <c r="U84" s="22">
        <f t="shared" si="32"/>
        <v>5.0004</v>
      </c>
      <c r="V84" s="21">
        <f t="shared" si="39"/>
        <v>0</v>
      </c>
      <c r="W84" s="21">
        <f t="shared" si="40"/>
        <v>2.2265359355999998</v>
      </c>
      <c r="X84" s="21">
        <f t="shared" si="41"/>
        <v>0</v>
      </c>
      <c r="Y84" s="21">
        <f t="shared" si="42"/>
        <v>0</v>
      </c>
      <c r="Z84" s="221">
        <f t="shared" si="33"/>
        <v>1</v>
      </c>
      <c r="AA84" s="30">
        <f t="shared" si="21"/>
        <v>0</v>
      </c>
      <c r="AB84" s="30">
        <f t="shared" si="22"/>
        <v>2.9733205694316993</v>
      </c>
      <c r="AC84" s="30">
        <f t="shared" si="23"/>
        <v>0</v>
      </c>
      <c r="AD84" s="30">
        <f t="shared" si="24"/>
        <v>0</v>
      </c>
      <c r="AE84" s="32">
        <f t="shared" si="34"/>
        <v>2.9733205694316993</v>
      </c>
      <c r="AF84" s="33">
        <f t="shared" si="49"/>
        <v>2.9733205694316993</v>
      </c>
      <c r="AG84" s="40">
        <f t="shared" si="35"/>
        <v>0</v>
      </c>
      <c r="AH84" s="224">
        <f>AG84*$P$33</f>
        <v>0</v>
      </c>
      <c r="AI84" s="227">
        <f t="shared" si="36"/>
        <v>22</v>
      </c>
    </row>
    <row r="85" spans="1:35" x14ac:dyDescent="0.35">
      <c r="A85" s="48">
        <v>1346</v>
      </c>
      <c r="B85" s="58">
        <f>SUMIF([2]!Table2_23[ETA],'FIS Current Model'!A85,[2]!Table2_23[FIS PAX])</f>
        <v>0</v>
      </c>
      <c r="C85" s="44">
        <f t="shared" si="37"/>
        <v>0</v>
      </c>
      <c r="D85" s="52">
        <f t="shared" si="43"/>
        <v>0</v>
      </c>
      <c r="E85" s="26">
        <f t="shared" si="25"/>
        <v>0</v>
      </c>
      <c r="F85" s="26">
        <f t="shared" si="26"/>
        <v>0</v>
      </c>
      <c r="G85" s="26">
        <f t="shared" si="27"/>
        <v>0</v>
      </c>
      <c r="H85" s="26">
        <f t="shared" si="38"/>
        <v>0</v>
      </c>
      <c r="I85" s="27">
        <f t="shared" si="50"/>
        <v>9.9503999999999984</v>
      </c>
      <c r="J85" s="27">
        <f t="shared" si="50"/>
        <v>4.2713999999999999</v>
      </c>
      <c r="K85" s="27">
        <f t="shared" si="50"/>
        <v>2.9447999999999999</v>
      </c>
      <c r="L85" s="27">
        <f t="shared" si="50"/>
        <v>0.83340000000000003</v>
      </c>
      <c r="M85" s="28">
        <f>IF(R84=0,0,$Q$9)</f>
        <v>2</v>
      </c>
      <c r="N85" s="29">
        <f>$U$9-M85-O85-P85</f>
        <v>2</v>
      </c>
      <c r="O85" s="28">
        <f>IF(T84=0,0,$S$9)</f>
        <v>1</v>
      </c>
      <c r="P85" s="28">
        <f>IF(U84=0,0,$T$9)</f>
        <v>1</v>
      </c>
      <c r="Q85" s="28">
        <f t="shared" si="28"/>
        <v>6</v>
      </c>
      <c r="R85" s="22">
        <f t="shared" si="29"/>
        <v>65.443420512058637</v>
      </c>
      <c r="S85" s="22">
        <f t="shared" si="30"/>
        <v>11.068769726932569</v>
      </c>
      <c r="T85" s="22">
        <f t="shared" si="31"/>
        <v>18.132623254049101</v>
      </c>
      <c r="U85" s="22">
        <f t="shared" si="32"/>
        <v>3.9974669626403445</v>
      </c>
      <c r="V85" s="21">
        <f t="shared" si="39"/>
        <v>13.214989904000001</v>
      </c>
      <c r="W85" s="21">
        <f t="shared" si="40"/>
        <v>9.4928757745999981</v>
      </c>
      <c r="X85" s="21">
        <f t="shared" si="41"/>
        <v>6.2123636551999999</v>
      </c>
      <c r="Y85" s="21">
        <f t="shared" si="42"/>
        <v>1.8503435101999999</v>
      </c>
      <c r="Z85" s="221">
        <f t="shared" si="33"/>
        <v>11</v>
      </c>
      <c r="AA85" s="30">
        <f t="shared" si="21"/>
        <v>4.2093794879413657</v>
      </c>
      <c r="AB85" s="30">
        <f t="shared" si="22"/>
        <v>0.99110685647723318</v>
      </c>
      <c r="AC85" s="30">
        <f t="shared" si="23"/>
        <v>2.4809767459508998</v>
      </c>
      <c r="AD85" s="30">
        <f t="shared" si="24"/>
        <v>1.8363330373596554</v>
      </c>
      <c r="AE85" s="32">
        <f t="shared" si="34"/>
        <v>9.5177961277291541</v>
      </c>
      <c r="AF85" s="33">
        <f t="shared" si="49"/>
        <v>2.9733205694316993</v>
      </c>
      <c r="AG85" s="40">
        <f t="shared" si="35"/>
        <v>0</v>
      </c>
      <c r="AH85" s="224">
        <f>AG85*$P$33</f>
        <v>0</v>
      </c>
      <c r="AI85" s="227">
        <f t="shared" si="36"/>
        <v>32</v>
      </c>
    </row>
    <row r="86" spans="1:35" x14ac:dyDescent="0.35">
      <c r="A86" s="48">
        <v>1347</v>
      </c>
      <c r="B86" s="58">
        <f>SUMIF([2]!Table2_23[ETA],'FIS Current Model'!A86,[2]!Table2_23[FIS PAX])</f>
        <v>0</v>
      </c>
      <c r="C86" s="44">
        <f t="shared" si="37"/>
        <v>0</v>
      </c>
      <c r="D86" s="52">
        <f t="shared" si="43"/>
        <v>0</v>
      </c>
      <c r="E86" s="26">
        <f t="shared" si="25"/>
        <v>0</v>
      </c>
      <c r="F86" s="26">
        <f t="shared" si="26"/>
        <v>0</v>
      </c>
      <c r="G86" s="26">
        <f t="shared" si="27"/>
        <v>0</v>
      </c>
      <c r="H86" s="26">
        <f t="shared" si="38"/>
        <v>0</v>
      </c>
      <c r="I86" s="27">
        <f t="shared" si="50"/>
        <v>9.9503999999999984</v>
      </c>
      <c r="J86" s="27">
        <f t="shared" si="50"/>
        <v>4.2713999999999999</v>
      </c>
      <c r="K86" s="27">
        <f t="shared" si="50"/>
        <v>2.9447999999999999</v>
      </c>
      <c r="L86" s="27">
        <f t="shared" si="50"/>
        <v>0.83340000000000003</v>
      </c>
      <c r="M86" s="28">
        <f>$M$85</f>
        <v>2</v>
      </c>
      <c r="N86" s="29">
        <f>$N$85</f>
        <v>2</v>
      </c>
      <c r="O86" s="28">
        <f>$O$85</f>
        <v>1</v>
      </c>
      <c r="P86" s="28">
        <f>$P$85</f>
        <v>1</v>
      </c>
      <c r="Q86" s="28">
        <f t="shared" si="28"/>
        <v>6</v>
      </c>
      <c r="R86" s="22">
        <f t="shared" si="29"/>
        <v>71.184441024117277</v>
      </c>
      <c r="S86" s="22">
        <f t="shared" si="30"/>
        <v>14.349062870455336</v>
      </c>
      <c r="T86" s="22">
        <f t="shared" si="31"/>
        <v>18.5964465080982</v>
      </c>
      <c r="U86" s="22">
        <f t="shared" si="32"/>
        <v>2.9945339252806891</v>
      </c>
      <c r="V86" s="21">
        <f t="shared" si="39"/>
        <v>14.374274176000002</v>
      </c>
      <c r="W86" s="21">
        <f t="shared" si="40"/>
        <v>12.3061437424</v>
      </c>
      <c r="X86" s="21">
        <f t="shared" si="41"/>
        <v>6.3712727488000001</v>
      </c>
      <c r="Y86" s="21">
        <f t="shared" si="42"/>
        <v>1.3861068688</v>
      </c>
      <c r="Z86" s="221">
        <f t="shared" si="33"/>
        <v>12</v>
      </c>
      <c r="AA86" s="30">
        <f t="shared" si="21"/>
        <v>4.2093794879413657</v>
      </c>
      <c r="AB86" s="30">
        <f t="shared" si="22"/>
        <v>0.99110685647723318</v>
      </c>
      <c r="AC86" s="30">
        <f t="shared" si="23"/>
        <v>2.4809767459508998</v>
      </c>
      <c r="AD86" s="30">
        <f t="shared" si="24"/>
        <v>1.8363330373596554</v>
      </c>
      <c r="AE86" s="32">
        <f t="shared" si="34"/>
        <v>9.5177961277291541</v>
      </c>
      <c r="AF86" s="33">
        <f t="shared" si="49"/>
        <v>2.9733205694316993</v>
      </c>
      <c r="AG86" s="40">
        <f t="shared" si="35"/>
        <v>0</v>
      </c>
      <c r="AH86" s="224">
        <f>AG86*$P$33</f>
        <v>0</v>
      </c>
      <c r="AI86" s="227">
        <f t="shared" si="36"/>
        <v>33</v>
      </c>
    </row>
    <row r="87" spans="1:35" x14ac:dyDescent="0.35">
      <c r="A87" s="48">
        <v>1348</v>
      </c>
      <c r="B87" s="58">
        <f>SUMIF([2]!Table2_23[ETA],'FIS Current Model'!A87,[2]!Table2_23[FIS PAX])</f>
        <v>0</v>
      </c>
      <c r="C87" s="44">
        <f t="shared" si="37"/>
        <v>0</v>
      </c>
      <c r="D87" s="52">
        <f t="shared" si="43"/>
        <v>0</v>
      </c>
      <c r="E87" s="26">
        <f t="shared" si="25"/>
        <v>0</v>
      </c>
      <c r="F87" s="26">
        <f t="shared" si="26"/>
        <v>0</v>
      </c>
      <c r="G87" s="26">
        <f t="shared" si="27"/>
        <v>0</v>
      </c>
      <c r="H87" s="26">
        <f t="shared" si="38"/>
        <v>0</v>
      </c>
      <c r="I87" s="27">
        <f t="shared" si="50"/>
        <v>4.4223999999999997</v>
      </c>
      <c r="J87" s="27">
        <f t="shared" si="50"/>
        <v>1.8984000000000001</v>
      </c>
      <c r="K87" s="27">
        <f t="shared" si="50"/>
        <v>1.3088</v>
      </c>
      <c r="L87" s="27">
        <f t="shared" si="50"/>
        <v>0.37040000000000001</v>
      </c>
      <c r="M87" s="28">
        <f t="shared" ref="M87:M99" si="56">$M$85</f>
        <v>2</v>
      </c>
      <c r="N87" s="29">
        <f t="shared" ref="N87:N99" si="57">$N$85</f>
        <v>2</v>
      </c>
      <c r="O87" s="28">
        <f t="shared" ref="O87:O99" si="58">$O$85</f>
        <v>1</v>
      </c>
      <c r="P87" s="28">
        <f t="shared" ref="P87:P99" si="59">$P$85</f>
        <v>1</v>
      </c>
      <c r="Q87" s="28">
        <f t="shared" si="28"/>
        <v>6</v>
      </c>
      <c r="R87" s="22">
        <f t="shared" si="29"/>
        <v>71.397461536175911</v>
      </c>
      <c r="S87" s="22">
        <f t="shared" si="30"/>
        <v>15.256356013978104</v>
      </c>
      <c r="T87" s="22">
        <f t="shared" si="31"/>
        <v>17.424269762147301</v>
      </c>
      <c r="U87" s="22">
        <f t="shared" si="32"/>
        <v>1.5286008879210338</v>
      </c>
      <c r="V87" s="21">
        <f t="shared" si="39"/>
        <v>14.417289408000002</v>
      </c>
      <c r="W87" s="21">
        <f t="shared" si="40"/>
        <v>13.084262839200001</v>
      </c>
      <c r="X87" s="21">
        <f t="shared" si="41"/>
        <v>5.9696767904000003</v>
      </c>
      <c r="Y87" s="21">
        <f t="shared" si="42"/>
        <v>0.70755725040000017</v>
      </c>
      <c r="Z87" s="221">
        <f t="shared" si="33"/>
        <v>13</v>
      </c>
      <c r="AA87" s="30">
        <f t="shared" si="21"/>
        <v>4.2093794879413657</v>
      </c>
      <c r="AB87" s="30">
        <f t="shared" si="22"/>
        <v>0.99110685647723318</v>
      </c>
      <c r="AC87" s="30">
        <f t="shared" si="23"/>
        <v>2.4809767459508998</v>
      </c>
      <c r="AD87" s="30">
        <f t="shared" si="24"/>
        <v>1.8363330373596554</v>
      </c>
      <c r="AE87" s="32">
        <f t="shared" si="34"/>
        <v>9.5177961277291541</v>
      </c>
      <c r="AF87" s="33">
        <f t="shared" si="49"/>
        <v>2.9733205694316993</v>
      </c>
      <c r="AG87" s="40">
        <f t="shared" si="35"/>
        <v>0</v>
      </c>
      <c r="AH87" s="224">
        <f>AG87*$P$33</f>
        <v>0</v>
      </c>
      <c r="AI87" s="227">
        <f t="shared" si="36"/>
        <v>34</v>
      </c>
    </row>
    <row r="88" spans="1:35" x14ac:dyDescent="0.35">
      <c r="A88" s="48">
        <v>1349</v>
      </c>
      <c r="B88" s="58">
        <f>SUMIF([2]!Table2_23[ETA],'FIS Current Model'!A88,[2]!Table2_23[FIS PAX])</f>
        <v>0</v>
      </c>
      <c r="C88" s="44">
        <f t="shared" si="37"/>
        <v>0</v>
      </c>
      <c r="D88" s="52">
        <f t="shared" si="43"/>
        <v>0</v>
      </c>
      <c r="E88" s="26">
        <f t="shared" si="25"/>
        <v>0</v>
      </c>
      <c r="F88" s="26">
        <f t="shared" si="26"/>
        <v>0</v>
      </c>
      <c r="G88" s="26">
        <f t="shared" si="27"/>
        <v>0</v>
      </c>
      <c r="H88" s="26">
        <f t="shared" si="38"/>
        <v>0</v>
      </c>
      <c r="I88" s="27">
        <f t="shared" si="50"/>
        <v>0</v>
      </c>
      <c r="J88" s="27">
        <f t="shared" si="50"/>
        <v>0</v>
      </c>
      <c r="K88" s="27">
        <f t="shared" si="50"/>
        <v>0</v>
      </c>
      <c r="L88" s="27">
        <f t="shared" si="50"/>
        <v>0</v>
      </c>
      <c r="M88" s="28">
        <f t="shared" si="56"/>
        <v>2</v>
      </c>
      <c r="N88" s="29">
        <f t="shared" si="57"/>
        <v>2</v>
      </c>
      <c r="O88" s="28">
        <f t="shared" si="58"/>
        <v>1</v>
      </c>
      <c r="P88" s="28">
        <f t="shared" si="59"/>
        <v>1</v>
      </c>
      <c r="Q88" s="28">
        <f t="shared" si="28"/>
        <v>6</v>
      </c>
      <c r="R88" s="22">
        <f t="shared" si="29"/>
        <v>67.188082048234548</v>
      </c>
      <c r="S88" s="22">
        <f t="shared" si="30"/>
        <v>13.769695729262255</v>
      </c>
      <c r="T88" s="22">
        <f t="shared" si="31"/>
        <v>14.943293016196401</v>
      </c>
      <c r="U88" s="22">
        <f t="shared" si="32"/>
        <v>0</v>
      </c>
      <c r="V88" s="21">
        <f t="shared" si="39"/>
        <v>13.567289408000002</v>
      </c>
      <c r="W88" s="21">
        <f t="shared" si="40"/>
        <v>11.809262839200001</v>
      </c>
      <c r="X88" s="21">
        <f t="shared" si="41"/>
        <v>5.1196767904000007</v>
      </c>
      <c r="Y88" s="21">
        <f t="shared" si="42"/>
        <v>0</v>
      </c>
      <c r="Z88" s="221">
        <f t="shared" si="33"/>
        <v>12</v>
      </c>
      <c r="AA88" s="30">
        <f t="shared" si="21"/>
        <v>4.2093794879413657</v>
      </c>
      <c r="AB88" s="30">
        <f t="shared" si="22"/>
        <v>0.99110685647723318</v>
      </c>
      <c r="AC88" s="30">
        <f t="shared" si="23"/>
        <v>2.4809767459508998</v>
      </c>
      <c r="AD88" s="30">
        <f t="shared" si="24"/>
        <v>0</v>
      </c>
      <c r="AE88" s="32">
        <f t="shared" si="34"/>
        <v>7.6814630903694994</v>
      </c>
      <c r="AF88" s="33">
        <f t="shared" si="49"/>
        <v>2.9733205694316993</v>
      </c>
      <c r="AG88" s="40">
        <f t="shared" si="35"/>
        <v>0</v>
      </c>
      <c r="AH88" s="224">
        <f>AG88*$P$33</f>
        <v>0</v>
      </c>
      <c r="AI88" s="227">
        <f t="shared" si="36"/>
        <v>33</v>
      </c>
    </row>
    <row r="89" spans="1:35" x14ac:dyDescent="0.35">
      <c r="A89" s="48">
        <v>1350</v>
      </c>
      <c r="B89" s="58">
        <f>SUMIF([2]!Table2_23[ETA],'FIS Current Model'!A89,[2]!Table2_23[FIS PAX])</f>
        <v>0</v>
      </c>
      <c r="C89" s="44">
        <f t="shared" si="37"/>
        <v>0</v>
      </c>
      <c r="D89" s="52">
        <f t="shared" si="43"/>
        <v>0</v>
      </c>
      <c r="E89" s="26">
        <f t="shared" si="25"/>
        <v>0</v>
      </c>
      <c r="F89" s="26">
        <f t="shared" si="26"/>
        <v>0</v>
      </c>
      <c r="G89" s="26">
        <f t="shared" si="27"/>
        <v>0</v>
      </c>
      <c r="H89" s="26">
        <f t="shared" si="38"/>
        <v>0</v>
      </c>
      <c r="I89" s="27">
        <f t="shared" si="50"/>
        <v>0</v>
      </c>
      <c r="J89" s="27">
        <f t="shared" si="50"/>
        <v>0</v>
      </c>
      <c r="K89" s="27">
        <f t="shared" si="50"/>
        <v>0</v>
      </c>
      <c r="L89" s="27">
        <f t="shared" si="50"/>
        <v>0</v>
      </c>
      <c r="M89" s="28">
        <f t="shared" si="56"/>
        <v>2</v>
      </c>
      <c r="N89" s="29">
        <f t="shared" si="57"/>
        <v>2</v>
      </c>
      <c r="O89" s="28">
        <f t="shared" si="58"/>
        <v>1</v>
      </c>
      <c r="P89" s="28">
        <f t="shared" si="59"/>
        <v>1</v>
      </c>
      <c r="Q89" s="28">
        <f t="shared" si="28"/>
        <v>6</v>
      </c>
      <c r="R89" s="22">
        <f t="shared" si="29"/>
        <v>62.978702560293186</v>
      </c>
      <c r="S89" s="22">
        <f t="shared" si="30"/>
        <v>12.283035444546405</v>
      </c>
      <c r="T89" s="22">
        <f t="shared" si="31"/>
        <v>12.462316270245502</v>
      </c>
      <c r="U89" s="22">
        <f t="shared" si="32"/>
        <v>0</v>
      </c>
      <c r="V89" s="21">
        <f t="shared" si="39"/>
        <v>12.717289408000003</v>
      </c>
      <c r="W89" s="21">
        <f t="shared" si="40"/>
        <v>10.5342628392</v>
      </c>
      <c r="X89" s="21">
        <f t="shared" si="41"/>
        <v>4.269676790400001</v>
      </c>
      <c r="Y89" s="21">
        <f t="shared" si="42"/>
        <v>0</v>
      </c>
      <c r="Z89" s="221">
        <f t="shared" si="33"/>
        <v>11</v>
      </c>
      <c r="AA89" s="30">
        <f t="shared" si="21"/>
        <v>4.2093794879413657</v>
      </c>
      <c r="AB89" s="30">
        <f t="shared" si="22"/>
        <v>0.99110685647723318</v>
      </c>
      <c r="AC89" s="30">
        <f t="shared" si="23"/>
        <v>2.4809767459508998</v>
      </c>
      <c r="AD89" s="30">
        <f t="shared" si="24"/>
        <v>0</v>
      </c>
      <c r="AE89" s="32">
        <f t="shared" si="34"/>
        <v>7.6814630903694994</v>
      </c>
      <c r="AF89" s="33">
        <f t="shared" si="49"/>
        <v>9.5177961277291541</v>
      </c>
      <c r="AG89" s="40">
        <f t="shared" si="35"/>
        <v>0</v>
      </c>
      <c r="AH89" s="224">
        <f>AG89*$P$33</f>
        <v>0</v>
      </c>
      <c r="AI89" s="227">
        <f t="shared" si="36"/>
        <v>32</v>
      </c>
    </row>
    <row r="90" spans="1:35" x14ac:dyDescent="0.35">
      <c r="A90" s="48">
        <v>1351</v>
      </c>
      <c r="B90" s="58">
        <f>SUMIF([2]!Table2_23[ETA],'FIS Current Model'!A90,[2]!Table2_23[FIS PAX])</f>
        <v>0</v>
      </c>
      <c r="C90" s="44">
        <f t="shared" si="37"/>
        <v>0</v>
      </c>
      <c r="D90" s="52">
        <f t="shared" si="43"/>
        <v>0</v>
      </c>
      <c r="E90" s="26">
        <f t="shared" si="25"/>
        <v>0</v>
      </c>
      <c r="F90" s="26">
        <f t="shared" si="26"/>
        <v>0</v>
      </c>
      <c r="G90" s="26">
        <f t="shared" si="27"/>
        <v>0</v>
      </c>
      <c r="H90" s="26">
        <f t="shared" si="38"/>
        <v>0</v>
      </c>
      <c r="I90" s="27">
        <f t="shared" si="50"/>
        <v>0</v>
      </c>
      <c r="J90" s="27">
        <f t="shared" si="50"/>
        <v>0</v>
      </c>
      <c r="K90" s="27">
        <f t="shared" si="50"/>
        <v>0</v>
      </c>
      <c r="L90" s="27">
        <f t="shared" si="50"/>
        <v>0</v>
      </c>
      <c r="M90" s="28">
        <f t="shared" si="56"/>
        <v>2</v>
      </c>
      <c r="N90" s="29">
        <f t="shared" si="57"/>
        <v>2</v>
      </c>
      <c r="O90" s="28">
        <f t="shared" si="58"/>
        <v>1</v>
      </c>
      <c r="P90" s="28">
        <f t="shared" si="59"/>
        <v>1</v>
      </c>
      <c r="Q90" s="28">
        <f t="shared" si="28"/>
        <v>6</v>
      </c>
      <c r="R90" s="22">
        <f t="shared" si="29"/>
        <v>58.769323072351824</v>
      </c>
      <c r="S90" s="22">
        <f t="shared" si="30"/>
        <v>10.796375159830555</v>
      </c>
      <c r="T90" s="22">
        <f t="shared" si="31"/>
        <v>9.9813395242946026</v>
      </c>
      <c r="U90" s="22">
        <f t="shared" si="32"/>
        <v>0</v>
      </c>
      <c r="V90" s="21">
        <f t="shared" si="39"/>
        <v>11.867289408000003</v>
      </c>
      <c r="W90" s="21">
        <f t="shared" si="40"/>
        <v>9.2592628391999998</v>
      </c>
      <c r="X90" s="21">
        <f t="shared" si="41"/>
        <v>3.4196767904000009</v>
      </c>
      <c r="Y90" s="21">
        <f t="shared" si="42"/>
        <v>0</v>
      </c>
      <c r="Z90" s="221">
        <f t="shared" si="33"/>
        <v>10</v>
      </c>
      <c r="AA90" s="30">
        <f t="shared" si="21"/>
        <v>4.2093794879413657</v>
      </c>
      <c r="AB90" s="30">
        <f t="shared" si="22"/>
        <v>0.99110685647723318</v>
      </c>
      <c r="AC90" s="30">
        <f t="shared" si="23"/>
        <v>2.4809767459508998</v>
      </c>
      <c r="AD90" s="30">
        <f t="shared" si="24"/>
        <v>0</v>
      </c>
      <c r="AE90" s="32">
        <f t="shared" si="34"/>
        <v>7.6814630903694994</v>
      </c>
      <c r="AF90" s="33">
        <f t="shared" si="49"/>
        <v>9.5177961277291541</v>
      </c>
      <c r="AG90" s="40">
        <f t="shared" si="35"/>
        <v>0</v>
      </c>
      <c r="AH90" s="224">
        <f>AG90*$P$33</f>
        <v>0</v>
      </c>
      <c r="AI90" s="227">
        <f t="shared" si="36"/>
        <v>31</v>
      </c>
    </row>
    <row r="91" spans="1:35" x14ac:dyDescent="0.35">
      <c r="A91" s="48">
        <v>1352</v>
      </c>
      <c r="B91" s="58">
        <f>SUMIF([2]!Table2_23[ETA],'FIS Current Model'!A91,[2]!Table2_23[FIS PAX])</f>
        <v>0</v>
      </c>
      <c r="C91" s="44">
        <f t="shared" si="37"/>
        <v>0</v>
      </c>
      <c r="D91" s="52">
        <f t="shared" si="43"/>
        <v>0</v>
      </c>
      <c r="E91" s="26">
        <f t="shared" si="25"/>
        <v>0</v>
      </c>
      <c r="F91" s="26">
        <f t="shared" si="26"/>
        <v>0</v>
      </c>
      <c r="G91" s="26">
        <f t="shared" si="27"/>
        <v>0</v>
      </c>
      <c r="H91" s="26">
        <f t="shared" si="38"/>
        <v>0</v>
      </c>
      <c r="I91" s="27">
        <f t="shared" si="50"/>
        <v>0</v>
      </c>
      <c r="J91" s="27">
        <f t="shared" si="50"/>
        <v>0</v>
      </c>
      <c r="K91" s="27">
        <f t="shared" si="50"/>
        <v>0</v>
      </c>
      <c r="L91" s="27">
        <f t="shared" si="50"/>
        <v>0</v>
      </c>
      <c r="M91" s="28">
        <f t="shared" si="56"/>
        <v>2</v>
      </c>
      <c r="N91" s="29">
        <f t="shared" si="57"/>
        <v>2</v>
      </c>
      <c r="O91" s="28">
        <f t="shared" si="58"/>
        <v>1</v>
      </c>
      <c r="P91" s="28">
        <f t="shared" si="59"/>
        <v>1</v>
      </c>
      <c r="Q91" s="28">
        <f t="shared" si="28"/>
        <v>6</v>
      </c>
      <c r="R91" s="22">
        <f t="shared" si="29"/>
        <v>54.559943584410462</v>
      </c>
      <c r="S91" s="22">
        <f t="shared" si="30"/>
        <v>9.3097148751147056</v>
      </c>
      <c r="T91" s="22">
        <f t="shared" si="31"/>
        <v>7.5003627783437032</v>
      </c>
      <c r="U91" s="22">
        <f t="shared" si="32"/>
        <v>0</v>
      </c>
      <c r="V91" s="21">
        <f t="shared" si="39"/>
        <v>11.017289408000005</v>
      </c>
      <c r="W91" s="21">
        <f t="shared" si="40"/>
        <v>7.9842628392000004</v>
      </c>
      <c r="X91" s="21">
        <f t="shared" si="41"/>
        <v>2.5696767904000013</v>
      </c>
      <c r="Y91" s="21">
        <f t="shared" si="42"/>
        <v>0</v>
      </c>
      <c r="Z91" s="221">
        <f t="shared" si="33"/>
        <v>9</v>
      </c>
      <c r="AA91" s="30">
        <f t="shared" si="21"/>
        <v>4.2093794879413657</v>
      </c>
      <c r="AB91" s="30">
        <f t="shared" si="22"/>
        <v>0.99110685647723318</v>
      </c>
      <c r="AC91" s="30">
        <f t="shared" si="23"/>
        <v>2.4809767459508998</v>
      </c>
      <c r="AD91" s="30">
        <f t="shared" si="24"/>
        <v>0</v>
      </c>
      <c r="AE91" s="32">
        <f t="shared" si="34"/>
        <v>7.6814630903694994</v>
      </c>
      <c r="AF91" s="33">
        <f t="shared" si="49"/>
        <v>9.5177961277291541</v>
      </c>
      <c r="AG91" s="40">
        <f t="shared" si="35"/>
        <v>0</v>
      </c>
      <c r="AH91" s="224">
        <f>AG91*$P$33</f>
        <v>0</v>
      </c>
      <c r="AI91" s="227">
        <f t="shared" si="36"/>
        <v>30</v>
      </c>
    </row>
    <row r="92" spans="1:35" x14ac:dyDescent="0.35">
      <c r="A92" s="48">
        <v>1353</v>
      </c>
      <c r="B92" s="58">
        <f>SUMIF([2]!Table2_23[ETA],'FIS Current Model'!A92,[2]!Table2_23[FIS PAX])</f>
        <v>0</v>
      </c>
      <c r="C92" s="44">
        <f t="shared" si="37"/>
        <v>0</v>
      </c>
      <c r="D92" s="52">
        <f t="shared" si="43"/>
        <v>0</v>
      </c>
      <c r="E92" s="26">
        <f t="shared" si="25"/>
        <v>0</v>
      </c>
      <c r="F92" s="26">
        <f t="shared" si="26"/>
        <v>0</v>
      </c>
      <c r="G92" s="26">
        <f t="shared" si="27"/>
        <v>0</v>
      </c>
      <c r="H92" s="26">
        <f t="shared" si="38"/>
        <v>0</v>
      </c>
      <c r="I92" s="27">
        <f t="shared" si="50"/>
        <v>0</v>
      </c>
      <c r="J92" s="27">
        <f t="shared" si="50"/>
        <v>0</v>
      </c>
      <c r="K92" s="27">
        <f t="shared" si="50"/>
        <v>0</v>
      </c>
      <c r="L92" s="27">
        <f t="shared" si="50"/>
        <v>0</v>
      </c>
      <c r="M92" s="28">
        <f t="shared" si="56"/>
        <v>2</v>
      </c>
      <c r="N92" s="29">
        <f t="shared" si="57"/>
        <v>2</v>
      </c>
      <c r="O92" s="28">
        <f t="shared" si="58"/>
        <v>1</v>
      </c>
      <c r="P92" s="28">
        <f t="shared" si="59"/>
        <v>1</v>
      </c>
      <c r="Q92" s="28">
        <f t="shared" si="28"/>
        <v>6</v>
      </c>
      <c r="R92" s="22">
        <f t="shared" si="29"/>
        <v>50.3505640964691</v>
      </c>
      <c r="S92" s="22">
        <f t="shared" si="30"/>
        <v>7.823054590398856</v>
      </c>
      <c r="T92" s="22">
        <f t="shared" si="31"/>
        <v>5.0193860323928039</v>
      </c>
      <c r="U92" s="22">
        <f t="shared" si="32"/>
        <v>0</v>
      </c>
      <c r="V92" s="21">
        <f t="shared" si="39"/>
        <v>10.167289408000006</v>
      </c>
      <c r="W92" s="21">
        <f t="shared" si="40"/>
        <v>6.7092628392</v>
      </c>
      <c r="X92" s="21">
        <f t="shared" si="41"/>
        <v>1.7196767904000014</v>
      </c>
      <c r="Y92" s="21">
        <f t="shared" si="42"/>
        <v>0</v>
      </c>
      <c r="Z92" s="221">
        <f t="shared" si="33"/>
        <v>8</v>
      </c>
      <c r="AA92" s="30">
        <f t="shared" si="21"/>
        <v>4.2093794879413657</v>
      </c>
      <c r="AB92" s="30">
        <f t="shared" si="22"/>
        <v>0.99110685647723318</v>
      </c>
      <c r="AC92" s="30">
        <f t="shared" si="23"/>
        <v>2.4809767459508998</v>
      </c>
      <c r="AD92" s="30">
        <f t="shared" si="24"/>
        <v>0</v>
      </c>
      <c r="AE92" s="32">
        <f t="shared" si="34"/>
        <v>7.6814630903694994</v>
      </c>
      <c r="AF92" s="33">
        <f t="shared" si="49"/>
        <v>7.6814630903694994</v>
      </c>
      <c r="AG92" s="40">
        <f t="shared" si="35"/>
        <v>0</v>
      </c>
      <c r="AH92" s="224">
        <f>AG92*$P$33</f>
        <v>0</v>
      </c>
      <c r="AI92" s="227">
        <f t="shared" si="36"/>
        <v>29</v>
      </c>
    </row>
    <row r="93" spans="1:35" x14ac:dyDescent="0.35">
      <c r="A93" s="48">
        <v>1354</v>
      </c>
      <c r="B93" s="58">
        <f>SUMIF([2]!Table2_23[ETA],'FIS Current Model'!A93,[2]!Table2_23[FIS PAX])</f>
        <v>0</v>
      </c>
      <c r="C93" s="44">
        <f t="shared" si="37"/>
        <v>0</v>
      </c>
      <c r="D93" s="52">
        <f t="shared" si="43"/>
        <v>0</v>
      </c>
      <c r="E93" s="26">
        <f t="shared" si="25"/>
        <v>0</v>
      </c>
      <c r="F93" s="26">
        <f t="shared" si="26"/>
        <v>0</v>
      </c>
      <c r="G93" s="26">
        <f t="shared" si="27"/>
        <v>0</v>
      </c>
      <c r="H93" s="26">
        <f t="shared" si="38"/>
        <v>0</v>
      </c>
      <c r="I93" s="27">
        <f t="shared" si="50"/>
        <v>0</v>
      </c>
      <c r="J93" s="27">
        <f t="shared" si="50"/>
        <v>0</v>
      </c>
      <c r="K93" s="27">
        <f t="shared" si="50"/>
        <v>0</v>
      </c>
      <c r="L93" s="27">
        <f t="shared" si="50"/>
        <v>0</v>
      </c>
      <c r="M93" s="28">
        <f t="shared" si="56"/>
        <v>2</v>
      </c>
      <c r="N93" s="29">
        <f t="shared" si="57"/>
        <v>2</v>
      </c>
      <c r="O93" s="28">
        <f t="shared" si="58"/>
        <v>1</v>
      </c>
      <c r="P93" s="28">
        <f t="shared" si="59"/>
        <v>1</v>
      </c>
      <c r="Q93" s="28">
        <f t="shared" si="28"/>
        <v>6</v>
      </c>
      <c r="R93" s="22">
        <f t="shared" si="29"/>
        <v>46.141184608527738</v>
      </c>
      <c r="S93" s="22">
        <f t="shared" si="30"/>
        <v>6.3363943056830063</v>
      </c>
      <c r="T93" s="22">
        <f t="shared" si="31"/>
        <v>2.5384092864419041</v>
      </c>
      <c r="U93" s="22">
        <f t="shared" si="32"/>
        <v>0</v>
      </c>
      <c r="V93" s="21">
        <f t="shared" si="39"/>
        <v>9.3172894080000059</v>
      </c>
      <c r="W93" s="21">
        <f t="shared" si="40"/>
        <v>5.4342628391999996</v>
      </c>
      <c r="X93" s="21">
        <f t="shared" si="41"/>
        <v>0.86967679040000145</v>
      </c>
      <c r="Y93" s="21">
        <f t="shared" si="42"/>
        <v>0</v>
      </c>
      <c r="Z93" s="221">
        <f t="shared" si="33"/>
        <v>7</v>
      </c>
      <c r="AA93" s="30">
        <f t="shared" si="21"/>
        <v>4.2093794879413657</v>
      </c>
      <c r="AB93" s="30">
        <f t="shared" si="22"/>
        <v>0.99110685647723318</v>
      </c>
      <c r="AC93" s="30">
        <f t="shared" si="23"/>
        <v>2.4809767459508998</v>
      </c>
      <c r="AD93" s="30">
        <f t="shared" si="24"/>
        <v>0</v>
      </c>
      <c r="AE93" s="32">
        <f t="shared" si="34"/>
        <v>7.6814630903694994</v>
      </c>
      <c r="AF93" s="33">
        <f t="shared" si="49"/>
        <v>7.6814630903694994</v>
      </c>
      <c r="AG93" s="40">
        <f t="shared" si="35"/>
        <v>0</v>
      </c>
      <c r="AH93" s="224">
        <f>AG93*$P$33</f>
        <v>0</v>
      </c>
      <c r="AI93" s="227">
        <f t="shared" si="36"/>
        <v>28</v>
      </c>
    </row>
    <row r="94" spans="1:35" x14ac:dyDescent="0.35">
      <c r="A94" s="48">
        <v>1355</v>
      </c>
      <c r="B94" s="58">
        <f>SUMIF([2]!Table2_23[ETA],'FIS Current Model'!A94,[2]!Table2_23[FIS PAX])</f>
        <v>0</v>
      </c>
      <c r="C94" s="44">
        <f t="shared" si="37"/>
        <v>0</v>
      </c>
      <c r="D94" s="52">
        <f t="shared" si="43"/>
        <v>0</v>
      </c>
      <c r="E94" s="26">
        <f t="shared" si="25"/>
        <v>0</v>
      </c>
      <c r="F94" s="26">
        <f t="shared" si="26"/>
        <v>0</v>
      </c>
      <c r="G94" s="26">
        <f t="shared" si="27"/>
        <v>0</v>
      </c>
      <c r="H94" s="26">
        <f t="shared" si="38"/>
        <v>0</v>
      </c>
      <c r="I94" s="27">
        <f t="shared" si="50"/>
        <v>0</v>
      </c>
      <c r="J94" s="27">
        <f t="shared" si="50"/>
        <v>0</v>
      </c>
      <c r="K94" s="27">
        <f t="shared" si="50"/>
        <v>0</v>
      </c>
      <c r="L94" s="27">
        <f t="shared" si="50"/>
        <v>0</v>
      </c>
      <c r="M94" s="28">
        <f t="shared" si="56"/>
        <v>2</v>
      </c>
      <c r="N94" s="29">
        <f t="shared" si="57"/>
        <v>2</v>
      </c>
      <c r="O94" s="28">
        <f t="shared" si="58"/>
        <v>1</v>
      </c>
      <c r="P94" s="28">
        <f t="shared" si="59"/>
        <v>1</v>
      </c>
      <c r="Q94" s="28">
        <f t="shared" si="28"/>
        <v>6</v>
      </c>
      <c r="R94" s="22">
        <f t="shared" si="29"/>
        <v>41.931805120586375</v>
      </c>
      <c r="S94" s="22">
        <f t="shared" si="30"/>
        <v>4.8497340209671567</v>
      </c>
      <c r="T94" s="22">
        <f t="shared" si="31"/>
        <v>5.7432540491004325E-2</v>
      </c>
      <c r="U94" s="22">
        <f t="shared" si="32"/>
        <v>0</v>
      </c>
      <c r="V94" s="21">
        <f t="shared" si="39"/>
        <v>8.4672894080000063</v>
      </c>
      <c r="W94" s="21">
        <f t="shared" si="40"/>
        <v>4.1592628392000002</v>
      </c>
      <c r="X94" s="21">
        <f t="shared" si="41"/>
        <v>1.9676790400001518E-2</v>
      </c>
      <c r="Y94" s="21">
        <f t="shared" si="42"/>
        <v>0</v>
      </c>
      <c r="Z94" s="221">
        <f t="shared" si="33"/>
        <v>6</v>
      </c>
      <c r="AA94" s="30">
        <f t="shared" si="21"/>
        <v>4.2093794879413657</v>
      </c>
      <c r="AB94" s="30">
        <f t="shared" si="22"/>
        <v>0.99110685647723318</v>
      </c>
      <c r="AC94" s="30">
        <f t="shared" si="23"/>
        <v>2.4809767459508998</v>
      </c>
      <c r="AD94" s="30">
        <f t="shared" si="24"/>
        <v>0</v>
      </c>
      <c r="AE94" s="32">
        <f t="shared" si="34"/>
        <v>7.6814630903694994</v>
      </c>
      <c r="AF94" s="33">
        <f t="shared" si="49"/>
        <v>7.6814630903694994</v>
      </c>
      <c r="AG94" s="40">
        <f t="shared" si="35"/>
        <v>0</v>
      </c>
      <c r="AH94" s="224">
        <f>AG94*$P$33</f>
        <v>0</v>
      </c>
      <c r="AI94" s="227">
        <f t="shared" si="36"/>
        <v>27</v>
      </c>
    </row>
    <row r="95" spans="1:35" x14ac:dyDescent="0.35">
      <c r="A95" s="48">
        <v>1356</v>
      </c>
      <c r="B95" s="58">
        <f>SUMIF([2]!Table2_23[ETA],'FIS Current Model'!A95,[2]!Table2_23[FIS PAX])</f>
        <v>0</v>
      </c>
      <c r="C95" s="44">
        <f t="shared" si="37"/>
        <v>0</v>
      </c>
      <c r="D95" s="52">
        <f t="shared" si="43"/>
        <v>0</v>
      </c>
      <c r="E95" s="26">
        <f t="shared" si="25"/>
        <v>0</v>
      </c>
      <c r="F95" s="26">
        <f t="shared" si="26"/>
        <v>0</v>
      </c>
      <c r="G95" s="26">
        <f t="shared" si="27"/>
        <v>0</v>
      </c>
      <c r="H95" s="26">
        <f t="shared" si="38"/>
        <v>0</v>
      </c>
      <c r="I95" s="27">
        <f t="shared" si="50"/>
        <v>0</v>
      </c>
      <c r="J95" s="27">
        <f t="shared" si="50"/>
        <v>0</v>
      </c>
      <c r="K95" s="27">
        <f t="shared" si="50"/>
        <v>0</v>
      </c>
      <c r="L95" s="27">
        <f t="shared" si="50"/>
        <v>0</v>
      </c>
      <c r="M95" s="28">
        <f t="shared" si="56"/>
        <v>2</v>
      </c>
      <c r="N95" s="29">
        <f t="shared" si="57"/>
        <v>2</v>
      </c>
      <c r="O95" s="28">
        <f t="shared" si="58"/>
        <v>1</v>
      </c>
      <c r="P95" s="28">
        <f t="shared" si="59"/>
        <v>1</v>
      </c>
      <c r="Q95" s="28">
        <f t="shared" si="28"/>
        <v>6</v>
      </c>
      <c r="R95" s="22">
        <f t="shared" si="29"/>
        <v>37.722425632645013</v>
      </c>
      <c r="S95" s="22">
        <f t="shared" si="30"/>
        <v>3.363073736251307</v>
      </c>
      <c r="T95" s="22">
        <f t="shared" si="31"/>
        <v>0</v>
      </c>
      <c r="U95" s="22">
        <f t="shared" si="32"/>
        <v>0</v>
      </c>
      <c r="V95" s="21">
        <f t="shared" si="39"/>
        <v>7.6172894080000075</v>
      </c>
      <c r="W95" s="21">
        <f t="shared" si="40"/>
        <v>2.8842628391999998</v>
      </c>
      <c r="X95" s="21">
        <f t="shared" si="41"/>
        <v>0</v>
      </c>
      <c r="Y95" s="21">
        <f t="shared" si="42"/>
        <v>0</v>
      </c>
      <c r="Z95" s="221">
        <f t="shared" si="33"/>
        <v>5</v>
      </c>
      <c r="AA95" s="30">
        <f t="shared" si="21"/>
        <v>4.2093794879413657</v>
      </c>
      <c r="AB95" s="30">
        <f t="shared" si="22"/>
        <v>0.99110685647723318</v>
      </c>
      <c r="AC95" s="30">
        <f t="shared" si="23"/>
        <v>0</v>
      </c>
      <c r="AD95" s="30">
        <f t="shared" si="24"/>
        <v>0</v>
      </c>
      <c r="AE95" s="32">
        <f t="shared" si="34"/>
        <v>5.2004863444185991</v>
      </c>
      <c r="AF95" s="33">
        <f t="shared" si="49"/>
        <v>7.6814630903694994</v>
      </c>
      <c r="AG95" s="40">
        <f t="shared" si="35"/>
        <v>0</v>
      </c>
      <c r="AH95" s="224">
        <f>AG95*$P$33</f>
        <v>0</v>
      </c>
      <c r="AI95" s="227">
        <f t="shared" si="36"/>
        <v>26</v>
      </c>
    </row>
    <row r="96" spans="1:35" x14ac:dyDescent="0.35">
      <c r="A96" s="48">
        <v>1357</v>
      </c>
      <c r="B96" s="58">
        <f>SUMIF([2]!Table2_23[ETA],'FIS Current Model'!A96,[2]!Table2_23[FIS PAX])</f>
        <v>0</v>
      </c>
      <c r="C96" s="44">
        <f t="shared" si="37"/>
        <v>0</v>
      </c>
      <c r="D96" s="52">
        <f t="shared" si="43"/>
        <v>0</v>
      </c>
      <c r="E96" s="26">
        <f t="shared" si="25"/>
        <v>0</v>
      </c>
      <c r="F96" s="26">
        <f t="shared" si="26"/>
        <v>0</v>
      </c>
      <c r="G96" s="26">
        <f t="shared" si="27"/>
        <v>0</v>
      </c>
      <c r="H96" s="26">
        <f t="shared" si="38"/>
        <v>0</v>
      </c>
      <c r="I96" s="27">
        <f t="shared" si="50"/>
        <v>0</v>
      </c>
      <c r="J96" s="27">
        <f t="shared" si="50"/>
        <v>0</v>
      </c>
      <c r="K96" s="27">
        <f t="shared" si="50"/>
        <v>0</v>
      </c>
      <c r="L96" s="27">
        <f t="shared" si="50"/>
        <v>0</v>
      </c>
      <c r="M96" s="28">
        <f t="shared" si="56"/>
        <v>2</v>
      </c>
      <c r="N96" s="29">
        <f t="shared" si="57"/>
        <v>2</v>
      </c>
      <c r="O96" s="28">
        <f t="shared" si="58"/>
        <v>1</v>
      </c>
      <c r="P96" s="28">
        <f t="shared" si="59"/>
        <v>1</v>
      </c>
      <c r="Q96" s="28">
        <f t="shared" si="28"/>
        <v>6</v>
      </c>
      <c r="R96" s="22">
        <f t="shared" si="29"/>
        <v>33.513046144703651</v>
      </c>
      <c r="S96" s="22">
        <f t="shared" si="30"/>
        <v>1.8764134515354574</v>
      </c>
      <c r="T96" s="22">
        <f t="shared" si="31"/>
        <v>0</v>
      </c>
      <c r="U96" s="22">
        <f t="shared" si="32"/>
        <v>0</v>
      </c>
      <c r="V96" s="21">
        <f t="shared" si="39"/>
        <v>6.7672894080000079</v>
      </c>
      <c r="W96" s="21">
        <f t="shared" si="40"/>
        <v>1.6092628391999997</v>
      </c>
      <c r="X96" s="21">
        <f t="shared" si="41"/>
        <v>0</v>
      </c>
      <c r="Y96" s="21">
        <f t="shared" si="42"/>
        <v>0</v>
      </c>
      <c r="Z96" s="221">
        <f t="shared" si="33"/>
        <v>5</v>
      </c>
      <c r="AA96" s="30">
        <f t="shared" si="21"/>
        <v>4.2093794879413657</v>
      </c>
      <c r="AB96" s="30">
        <f t="shared" si="22"/>
        <v>0.99110685647723318</v>
      </c>
      <c r="AC96" s="30">
        <f t="shared" si="23"/>
        <v>0</v>
      </c>
      <c r="AD96" s="30">
        <f t="shared" si="24"/>
        <v>0</v>
      </c>
      <c r="AE96" s="32">
        <f t="shared" si="34"/>
        <v>5.2004863444185991</v>
      </c>
      <c r="AF96" s="33">
        <f t="shared" si="49"/>
        <v>7.6814630903694994</v>
      </c>
      <c r="AG96" s="40">
        <f t="shared" si="35"/>
        <v>0</v>
      </c>
      <c r="AH96" s="224">
        <f>AG96*$P$33</f>
        <v>0</v>
      </c>
      <c r="AI96" s="227">
        <f t="shared" si="36"/>
        <v>26</v>
      </c>
    </row>
    <row r="97" spans="1:35" x14ac:dyDescent="0.35">
      <c r="A97" s="48">
        <v>1358</v>
      </c>
      <c r="B97" s="58">
        <f>SUMIF([2]!Table2_23[ETA],'FIS Current Model'!A97,[2]!Table2_23[FIS PAX])</f>
        <v>0</v>
      </c>
      <c r="C97" s="44">
        <f t="shared" si="37"/>
        <v>0</v>
      </c>
      <c r="D97" s="52">
        <f t="shared" si="43"/>
        <v>0</v>
      </c>
      <c r="E97" s="26">
        <f t="shared" si="25"/>
        <v>0</v>
      </c>
      <c r="F97" s="26">
        <f t="shared" si="26"/>
        <v>0</v>
      </c>
      <c r="G97" s="26">
        <f t="shared" si="27"/>
        <v>0</v>
      </c>
      <c r="H97" s="26">
        <f t="shared" si="38"/>
        <v>0</v>
      </c>
      <c r="I97" s="27">
        <f t="shared" si="50"/>
        <v>0</v>
      </c>
      <c r="J97" s="27">
        <f t="shared" si="50"/>
        <v>0</v>
      </c>
      <c r="K97" s="27">
        <f t="shared" si="50"/>
        <v>0</v>
      </c>
      <c r="L97" s="27">
        <f t="shared" si="50"/>
        <v>0</v>
      </c>
      <c r="M97" s="28">
        <f t="shared" si="56"/>
        <v>2</v>
      </c>
      <c r="N97" s="29">
        <f t="shared" si="57"/>
        <v>2</v>
      </c>
      <c r="O97" s="28">
        <f t="shared" si="58"/>
        <v>1</v>
      </c>
      <c r="P97" s="28">
        <f t="shared" si="59"/>
        <v>1</v>
      </c>
      <c r="Q97" s="28">
        <f t="shared" si="28"/>
        <v>6</v>
      </c>
      <c r="R97" s="22">
        <f t="shared" si="29"/>
        <v>29.303666656762285</v>
      </c>
      <c r="S97" s="22">
        <f t="shared" si="30"/>
        <v>0.3897531668196077</v>
      </c>
      <c r="T97" s="22">
        <f t="shared" si="31"/>
        <v>0</v>
      </c>
      <c r="U97" s="22">
        <f t="shared" si="32"/>
        <v>0</v>
      </c>
      <c r="V97" s="21">
        <f t="shared" si="39"/>
        <v>5.9172894080000082</v>
      </c>
      <c r="W97" s="21">
        <f t="shared" si="40"/>
        <v>0.33426283919999972</v>
      </c>
      <c r="X97" s="21">
        <f t="shared" si="41"/>
        <v>0</v>
      </c>
      <c r="Y97" s="21">
        <f t="shared" si="42"/>
        <v>0</v>
      </c>
      <c r="Z97" s="221">
        <f t="shared" si="33"/>
        <v>4</v>
      </c>
      <c r="AA97" s="30">
        <f t="shared" si="21"/>
        <v>4.2093794879413657</v>
      </c>
      <c r="AB97" s="30">
        <f t="shared" si="22"/>
        <v>0.99110685647723318</v>
      </c>
      <c r="AC97" s="30">
        <f t="shared" si="23"/>
        <v>0</v>
      </c>
      <c r="AD97" s="30">
        <f t="shared" si="24"/>
        <v>0</v>
      </c>
      <c r="AE97" s="32">
        <f t="shared" si="34"/>
        <v>5.2004863444185991</v>
      </c>
      <c r="AF97" s="33">
        <f t="shared" si="49"/>
        <v>7.6814630903694994</v>
      </c>
      <c r="AG97" s="40">
        <f t="shared" si="35"/>
        <v>0</v>
      </c>
      <c r="AH97" s="224">
        <f>AG97*$P$33</f>
        <v>0</v>
      </c>
      <c r="AI97" s="227">
        <f t="shared" si="36"/>
        <v>25</v>
      </c>
    </row>
    <row r="98" spans="1:35" x14ac:dyDescent="0.35">
      <c r="A98" s="48">
        <v>1359</v>
      </c>
      <c r="B98" s="58">
        <f>SUMIF([2]!Table2_23[ETA],'FIS Current Model'!A98,[2]!Table2_23[FIS PAX])</f>
        <v>0</v>
      </c>
      <c r="C98" s="44">
        <f t="shared" si="37"/>
        <v>0</v>
      </c>
      <c r="D98" s="52">
        <f t="shared" si="43"/>
        <v>0</v>
      </c>
      <c r="E98" s="26">
        <f t="shared" si="25"/>
        <v>0</v>
      </c>
      <c r="F98" s="26">
        <f t="shared" si="26"/>
        <v>0</v>
      </c>
      <c r="G98" s="26">
        <f t="shared" si="27"/>
        <v>0</v>
      </c>
      <c r="H98" s="26">
        <f t="shared" si="38"/>
        <v>0</v>
      </c>
      <c r="I98" s="27">
        <f t="shared" si="50"/>
        <v>0</v>
      </c>
      <c r="J98" s="27">
        <f t="shared" si="50"/>
        <v>0</v>
      </c>
      <c r="K98" s="27">
        <f t="shared" si="50"/>
        <v>0</v>
      </c>
      <c r="L98" s="27">
        <f t="shared" si="50"/>
        <v>0</v>
      </c>
      <c r="M98" s="28">
        <f t="shared" si="56"/>
        <v>2</v>
      </c>
      <c r="N98" s="29">
        <f t="shared" si="57"/>
        <v>2</v>
      </c>
      <c r="O98" s="28">
        <f t="shared" si="58"/>
        <v>1</v>
      </c>
      <c r="P98" s="28">
        <f t="shared" si="59"/>
        <v>1</v>
      </c>
      <c r="Q98" s="28">
        <f t="shared" si="28"/>
        <v>6</v>
      </c>
      <c r="R98" s="22">
        <f t="shared" si="29"/>
        <v>25.094287168820919</v>
      </c>
      <c r="S98" s="22">
        <f t="shared" si="30"/>
        <v>0</v>
      </c>
      <c r="T98" s="22">
        <f t="shared" si="31"/>
        <v>0</v>
      </c>
      <c r="U98" s="22">
        <f t="shared" si="32"/>
        <v>0</v>
      </c>
      <c r="V98" s="21">
        <f t="shared" si="39"/>
        <v>5.0672894080000086</v>
      </c>
      <c r="W98" s="21">
        <f t="shared" si="40"/>
        <v>0</v>
      </c>
      <c r="X98" s="21">
        <f t="shared" si="41"/>
        <v>0</v>
      </c>
      <c r="Y98" s="21">
        <f t="shared" si="42"/>
        <v>0</v>
      </c>
      <c r="Z98" s="221">
        <f t="shared" si="33"/>
        <v>3</v>
      </c>
      <c r="AA98" s="30">
        <f t="shared" si="21"/>
        <v>4.2093794879413657</v>
      </c>
      <c r="AB98" s="30">
        <f t="shared" si="22"/>
        <v>0</v>
      </c>
      <c r="AC98" s="30">
        <f t="shared" si="23"/>
        <v>0</v>
      </c>
      <c r="AD98" s="30">
        <f t="shared" si="24"/>
        <v>0</v>
      </c>
      <c r="AE98" s="32">
        <f t="shared" si="34"/>
        <v>4.2093794879413657</v>
      </c>
      <c r="AF98" s="33">
        <f t="shared" si="49"/>
        <v>7.6814630903694994</v>
      </c>
      <c r="AG98" s="40">
        <f t="shared" si="35"/>
        <v>0</v>
      </c>
      <c r="AH98" s="224">
        <f>AG98*$P$33</f>
        <v>0</v>
      </c>
      <c r="AI98" s="227">
        <f t="shared" si="36"/>
        <v>24</v>
      </c>
    </row>
    <row r="99" spans="1:35" x14ac:dyDescent="0.35">
      <c r="A99" s="48">
        <v>1400</v>
      </c>
      <c r="B99" s="58">
        <f>SUMIF([2]!Table2_23[ETA],'FIS Current Model'!A99,[2]!Table2_23[FIS PAX])</f>
        <v>0</v>
      </c>
      <c r="C99" s="44">
        <f t="shared" si="37"/>
        <v>0</v>
      </c>
      <c r="D99" s="52">
        <f t="shared" si="43"/>
        <v>0</v>
      </c>
      <c r="E99" s="26">
        <f t="shared" si="25"/>
        <v>0</v>
      </c>
      <c r="F99" s="26">
        <f t="shared" si="26"/>
        <v>0</v>
      </c>
      <c r="G99" s="26">
        <f t="shared" si="27"/>
        <v>0</v>
      </c>
      <c r="H99" s="26">
        <f t="shared" si="38"/>
        <v>0</v>
      </c>
      <c r="I99" s="27">
        <f t="shared" si="50"/>
        <v>0</v>
      </c>
      <c r="J99" s="27">
        <f t="shared" si="50"/>
        <v>0</v>
      </c>
      <c r="K99" s="27">
        <f t="shared" si="50"/>
        <v>0</v>
      </c>
      <c r="L99" s="27">
        <f t="shared" si="50"/>
        <v>0</v>
      </c>
      <c r="M99" s="28">
        <f t="shared" si="56"/>
        <v>2</v>
      </c>
      <c r="N99" s="29">
        <f t="shared" si="57"/>
        <v>2</v>
      </c>
      <c r="O99" s="28">
        <f t="shared" si="58"/>
        <v>1</v>
      </c>
      <c r="P99" s="28">
        <f t="shared" si="59"/>
        <v>1</v>
      </c>
      <c r="Q99" s="28">
        <f t="shared" si="28"/>
        <v>6</v>
      </c>
      <c r="R99" s="22">
        <f t="shared" si="29"/>
        <v>20.884907680879554</v>
      </c>
      <c r="S99" s="22">
        <f t="shared" si="30"/>
        <v>0</v>
      </c>
      <c r="T99" s="22">
        <f t="shared" si="31"/>
        <v>0</v>
      </c>
      <c r="U99" s="22">
        <f t="shared" si="32"/>
        <v>0</v>
      </c>
      <c r="V99" s="21">
        <f t="shared" si="39"/>
        <v>4.2172894080000081</v>
      </c>
      <c r="W99" s="21">
        <f t="shared" si="40"/>
        <v>0</v>
      </c>
      <c r="X99" s="21">
        <f t="shared" si="41"/>
        <v>0</v>
      </c>
      <c r="Y99" s="21">
        <f t="shared" si="42"/>
        <v>0</v>
      </c>
      <c r="Z99" s="221">
        <f t="shared" si="33"/>
        <v>3</v>
      </c>
      <c r="AA99" s="30">
        <f t="shared" si="21"/>
        <v>4.2093794879413657</v>
      </c>
      <c r="AB99" s="30">
        <f t="shared" si="22"/>
        <v>0</v>
      </c>
      <c r="AC99" s="30">
        <f t="shared" si="23"/>
        <v>0</v>
      </c>
      <c r="AD99" s="30">
        <f t="shared" si="24"/>
        <v>0</v>
      </c>
      <c r="AE99" s="32">
        <f t="shared" si="34"/>
        <v>4.2093794879413657</v>
      </c>
      <c r="AF99" s="33">
        <f t="shared" si="49"/>
        <v>5.2004863444185991</v>
      </c>
      <c r="AG99" s="40">
        <f t="shared" si="35"/>
        <v>0</v>
      </c>
      <c r="AH99" s="224">
        <f>AG99*$P$33</f>
        <v>0</v>
      </c>
      <c r="AI99" s="227">
        <f t="shared" si="36"/>
        <v>24</v>
      </c>
    </row>
    <row r="100" spans="1:35" x14ac:dyDescent="0.35">
      <c r="A100" s="48">
        <v>1401</v>
      </c>
      <c r="B100" s="58">
        <f>SUMIF([2]!Table2_23[ETA],'FIS Current Model'!A100,[2]!Table2_23[FIS PAX])</f>
        <v>0</v>
      </c>
      <c r="C100" s="44">
        <f t="shared" si="37"/>
        <v>0</v>
      </c>
      <c r="D100" s="52">
        <f t="shared" si="43"/>
        <v>0</v>
      </c>
      <c r="E100" s="26">
        <f t="shared" si="25"/>
        <v>0</v>
      </c>
      <c r="F100" s="26">
        <f t="shared" si="26"/>
        <v>0</v>
      </c>
      <c r="G100" s="26">
        <f t="shared" si="27"/>
        <v>0</v>
      </c>
      <c r="H100" s="26">
        <f t="shared" si="38"/>
        <v>0</v>
      </c>
      <c r="I100" s="27">
        <f t="shared" si="50"/>
        <v>0</v>
      </c>
      <c r="J100" s="27">
        <f t="shared" si="50"/>
        <v>0</v>
      </c>
      <c r="K100" s="27">
        <f t="shared" si="50"/>
        <v>0</v>
      </c>
      <c r="L100" s="27">
        <f t="shared" si="50"/>
        <v>0</v>
      </c>
      <c r="M100" s="28">
        <f>IF(R99=0,0,$Q$10)</f>
        <v>2</v>
      </c>
      <c r="N100" s="29">
        <f>$U$10-M100-O100-P100</f>
        <v>4</v>
      </c>
      <c r="O100" s="28">
        <f>IF(T99=0,0,$S$10)</f>
        <v>0</v>
      </c>
      <c r="P100" s="28">
        <f>IF(U99=0,0,$T$10)</f>
        <v>0</v>
      </c>
      <c r="Q100" s="28">
        <f t="shared" si="28"/>
        <v>6</v>
      </c>
      <c r="R100" s="22">
        <f t="shared" si="29"/>
        <v>16.675528192938188</v>
      </c>
      <c r="S100" s="22">
        <f t="shared" si="30"/>
        <v>0</v>
      </c>
      <c r="T100" s="22">
        <f t="shared" si="31"/>
        <v>0</v>
      </c>
      <c r="U100" s="22">
        <f t="shared" si="32"/>
        <v>0</v>
      </c>
      <c r="V100" s="21">
        <f t="shared" si="39"/>
        <v>3.3672894080000084</v>
      </c>
      <c r="W100" s="21">
        <f t="shared" si="40"/>
        <v>0</v>
      </c>
      <c r="X100" s="21">
        <f t="shared" si="41"/>
        <v>0</v>
      </c>
      <c r="Y100" s="21">
        <f t="shared" si="42"/>
        <v>0</v>
      </c>
      <c r="Z100" s="221">
        <f t="shared" si="33"/>
        <v>2</v>
      </c>
      <c r="AA100" s="30">
        <f t="shared" si="21"/>
        <v>4.2093794879413657</v>
      </c>
      <c r="AB100" s="30">
        <f t="shared" si="22"/>
        <v>0</v>
      </c>
      <c r="AC100" s="30">
        <f t="shared" si="23"/>
        <v>0</v>
      </c>
      <c r="AD100" s="30">
        <f t="shared" si="24"/>
        <v>0</v>
      </c>
      <c r="AE100" s="32">
        <f t="shared" si="34"/>
        <v>4.2093794879413657</v>
      </c>
      <c r="AF100" s="33">
        <f t="shared" si="49"/>
        <v>5.2004863444185991</v>
      </c>
      <c r="AG100" s="40">
        <f t="shared" si="35"/>
        <v>0</v>
      </c>
      <c r="AH100" s="224">
        <f>AG100*$P$33</f>
        <v>0</v>
      </c>
      <c r="AI100" s="227">
        <f t="shared" si="36"/>
        <v>23</v>
      </c>
    </row>
    <row r="101" spans="1:35" x14ac:dyDescent="0.35">
      <c r="A101" s="48">
        <v>1402</v>
      </c>
      <c r="B101" s="58">
        <f>SUMIF([2]!Table2_23[ETA],'FIS Current Model'!A101,[2]!Table2_23[FIS PAX])</f>
        <v>0</v>
      </c>
      <c r="C101" s="44">
        <f t="shared" si="37"/>
        <v>0</v>
      </c>
      <c r="D101" s="52">
        <f t="shared" si="43"/>
        <v>0</v>
      </c>
      <c r="E101" s="26">
        <f t="shared" si="25"/>
        <v>0</v>
      </c>
      <c r="F101" s="26">
        <f t="shared" si="26"/>
        <v>0</v>
      </c>
      <c r="G101" s="26">
        <f t="shared" si="27"/>
        <v>0</v>
      </c>
      <c r="H101" s="26">
        <f t="shared" si="38"/>
        <v>0</v>
      </c>
      <c r="I101" s="27">
        <f t="shared" si="50"/>
        <v>0</v>
      </c>
      <c r="J101" s="27">
        <f t="shared" si="50"/>
        <v>0</v>
      </c>
      <c r="K101" s="27">
        <f t="shared" si="50"/>
        <v>0</v>
      </c>
      <c r="L101" s="27">
        <f t="shared" si="50"/>
        <v>0</v>
      </c>
      <c r="M101" s="28">
        <f>$M$100</f>
        <v>2</v>
      </c>
      <c r="N101" s="29">
        <f>$N$100</f>
        <v>4</v>
      </c>
      <c r="O101" s="28">
        <f>$O$100</f>
        <v>0</v>
      </c>
      <c r="P101" s="28">
        <f>$P$100</f>
        <v>0</v>
      </c>
      <c r="Q101" s="28">
        <f t="shared" si="28"/>
        <v>6</v>
      </c>
      <c r="R101" s="22">
        <f t="shared" si="29"/>
        <v>12.466148704996822</v>
      </c>
      <c r="S101" s="22">
        <f t="shared" si="30"/>
        <v>0</v>
      </c>
      <c r="T101" s="22">
        <f t="shared" si="31"/>
        <v>0</v>
      </c>
      <c r="U101" s="22">
        <f t="shared" si="32"/>
        <v>0</v>
      </c>
      <c r="V101" s="21">
        <f t="shared" si="39"/>
        <v>2.5172894080000083</v>
      </c>
      <c r="W101" s="21">
        <f t="shared" si="40"/>
        <v>0</v>
      </c>
      <c r="X101" s="21">
        <f t="shared" si="41"/>
        <v>0</v>
      </c>
      <c r="Y101" s="21">
        <f t="shared" si="42"/>
        <v>0</v>
      </c>
      <c r="Z101" s="221">
        <f t="shared" si="33"/>
        <v>2</v>
      </c>
      <c r="AA101" s="30">
        <f t="shared" si="21"/>
        <v>4.2093794879413657</v>
      </c>
      <c r="AB101" s="30">
        <f t="shared" si="22"/>
        <v>0</v>
      </c>
      <c r="AC101" s="30">
        <f t="shared" si="23"/>
        <v>0</v>
      </c>
      <c r="AD101" s="30">
        <f t="shared" si="24"/>
        <v>0</v>
      </c>
      <c r="AE101" s="32">
        <f t="shared" si="34"/>
        <v>4.2093794879413657</v>
      </c>
      <c r="AF101" s="33">
        <f t="shared" si="49"/>
        <v>5.2004863444185991</v>
      </c>
      <c r="AG101" s="40">
        <f t="shared" si="35"/>
        <v>0</v>
      </c>
      <c r="AH101" s="224">
        <f>AG101*$P$33</f>
        <v>0</v>
      </c>
      <c r="AI101" s="227">
        <f t="shared" si="36"/>
        <v>23</v>
      </c>
    </row>
    <row r="102" spans="1:35" x14ac:dyDescent="0.35">
      <c r="A102" s="48">
        <v>1403</v>
      </c>
      <c r="B102" s="58">
        <f>SUMIF([2]!Table2_23[ETA],'FIS Current Model'!A102,[2]!Table2_23[FIS PAX])</f>
        <v>0</v>
      </c>
      <c r="C102" s="44">
        <f t="shared" si="37"/>
        <v>0</v>
      </c>
      <c r="D102" s="52">
        <f t="shared" si="43"/>
        <v>0</v>
      </c>
      <c r="E102" s="26">
        <f t="shared" si="25"/>
        <v>0</v>
      </c>
      <c r="F102" s="26">
        <f t="shared" si="26"/>
        <v>0</v>
      </c>
      <c r="G102" s="26">
        <f t="shared" si="27"/>
        <v>0</v>
      </c>
      <c r="H102" s="26">
        <f t="shared" si="38"/>
        <v>0</v>
      </c>
      <c r="I102" s="27">
        <f t="shared" si="50"/>
        <v>0</v>
      </c>
      <c r="J102" s="27">
        <f t="shared" si="50"/>
        <v>0</v>
      </c>
      <c r="K102" s="27">
        <f t="shared" si="50"/>
        <v>0</v>
      </c>
      <c r="L102" s="27">
        <f t="shared" si="50"/>
        <v>0</v>
      </c>
      <c r="M102" s="28">
        <f t="shared" ref="M102:M114" si="60">$M$100</f>
        <v>2</v>
      </c>
      <c r="N102" s="29">
        <f t="shared" ref="N102:N114" si="61">$N$100</f>
        <v>4</v>
      </c>
      <c r="O102" s="28">
        <f t="shared" ref="O102:O114" si="62">$O$100</f>
        <v>0</v>
      </c>
      <c r="P102" s="28">
        <f t="shared" ref="P102:P114" si="63">$P$100</f>
        <v>0</v>
      </c>
      <c r="Q102" s="28">
        <f t="shared" si="28"/>
        <v>6</v>
      </c>
      <c r="R102" s="22">
        <f t="shared" si="29"/>
        <v>8.2567692170554565</v>
      </c>
      <c r="S102" s="22">
        <f t="shared" si="30"/>
        <v>0</v>
      </c>
      <c r="T102" s="22">
        <f t="shared" si="31"/>
        <v>0</v>
      </c>
      <c r="U102" s="22">
        <f t="shared" si="32"/>
        <v>0</v>
      </c>
      <c r="V102" s="21">
        <f t="shared" si="39"/>
        <v>1.6672894080000082</v>
      </c>
      <c r="W102" s="21">
        <f t="shared" si="40"/>
        <v>0</v>
      </c>
      <c r="X102" s="21">
        <f t="shared" si="41"/>
        <v>0</v>
      </c>
      <c r="Y102" s="21">
        <f t="shared" si="42"/>
        <v>0</v>
      </c>
      <c r="Z102" s="221">
        <f t="shared" si="33"/>
        <v>1</v>
      </c>
      <c r="AA102" s="30">
        <f t="shared" si="21"/>
        <v>4.2093794879413657</v>
      </c>
      <c r="AB102" s="30">
        <f t="shared" si="22"/>
        <v>0</v>
      </c>
      <c r="AC102" s="30">
        <f t="shared" si="23"/>
        <v>0</v>
      </c>
      <c r="AD102" s="30">
        <f t="shared" si="24"/>
        <v>0</v>
      </c>
      <c r="AE102" s="32">
        <f t="shared" si="34"/>
        <v>4.2093794879413657</v>
      </c>
      <c r="AF102" s="33">
        <f t="shared" si="49"/>
        <v>4.2093794879413657</v>
      </c>
      <c r="AG102" s="40">
        <f t="shared" si="35"/>
        <v>0</v>
      </c>
      <c r="AH102" s="224">
        <f>AG102*$P$33</f>
        <v>0</v>
      </c>
      <c r="AI102" s="227">
        <f t="shared" si="36"/>
        <v>22</v>
      </c>
    </row>
    <row r="103" spans="1:35" x14ac:dyDescent="0.35">
      <c r="A103" s="48">
        <v>1404</v>
      </c>
      <c r="B103" s="58">
        <f>SUMIF([2]!Table2_23[ETA],'FIS Current Model'!A103,[2]!Table2_23[FIS PAX])</f>
        <v>0</v>
      </c>
      <c r="C103" s="44">
        <f t="shared" si="37"/>
        <v>0</v>
      </c>
      <c r="D103" s="52">
        <f t="shared" si="43"/>
        <v>0</v>
      </c>
      <c r="E103" s="26">
        <f t="shared" si="25"/>
        <v>0</v>
      </c>
      <c r="F103" s="26">
        <f t="shared" si="26"/>
        <v>0</v>
      </c>
      <c r="G103" s="26">
        <f t="shared" si="27"/>
        <v>0</v>
      </c>
      <c r="H103" s="26">
        <f t="shared" si="38"/>
        <v>0</v>
      </c>
      <c r="I103" s="27">
        <f t="shared" si="50"/>
        <v>0</v>
      </c>
      <c r="J103" s="27">
        <f t="shared" si="50"/>
        <v>0</v>
      </c>
      <c r="K103" s="27">
        <f t="shared" si="50"/>
        <v>0</v>
      </c>
      <c r="L103" s="27">
        <f t="shared" si="50"/>
        <v>0</v>
      </c>
      <c r="M103" s="28">
        <f t="shared" si="60"/>
        <v>2</v>
      </c>
      <c r="N103" s="29">
        <f t="shared" si="61"/>
        <v>4</v>
      </c>
      <c r="O103" s="28">
        <f t="shared" si="62"/>
        <v>0</v>
      </c>
      <c r="P103" s="28">
        <f t="shared" si="63"/>
        <v>0</v>
      </c>
      <c r="Q103" s="28">
        <f t="shared" si="28"/>
        <v>6</v>
      </c>
      <c r="R103" s="22">
        <f t="shared" si="29"/>
        <v>4.0473897291140908</v>
      </c>
      <c r="S103" s="22">
        <f t="shared" si="30"/>
        <v>0</v>
      </c>
      <c r="T103" s="22">
        <f t="shared" si="31"/>
        <v>0</v>
      </c>
      <c r="U103" s="22">
        <f t="shared" si="32"/>
        <v>0</v>
      </c>
      <c r="V103" s="21">
        <f t="shared" si="39"/>
        <v>0.81728940800000838</v>
      </c>
      <c r="W103" s="21">
        <f t="shared" si="40"/>
        <v>0</v>
      </c>
      <c r="X103" s="21">
        <f t="shared" si="41"/>
        <v>0</v>
      </c>
      <c r="Y103" s="21">
        <f t="shared" si="42"/>
        <v>0</v>
      </c>
      <c r="Z103" s="221">
        <f t="shared" si="33"/>
        <v>1</v>
      </c>
      <c r="AA103" s="30">
        <f t="shared" ref="AA103:AA166" si="64">IF(R103&lt;&gt;0,($J$30*M103*$L$33),0)</f>
        <v>4.2093794879413657</v>
      </c>
      <c r="AB103" s="30">
        <f t="shared" ref="AB103:AB166" si="65">IF(W103&lt;&gt;0,($J$31*N103*$L$33),0)</f>
        <v>0</v>
      </c>
      <c r="AC103" s="30">
        <f t="shared" ref="AC103:AC166" si="66">IF(X103&lt;&gt;0,($J$32*O103*$L$33),0)</f>
        <v>0</v>
      </c>
      <c r="AD103" s="30">
        <f t="shared" ref="AD103:AD166" si="67">IF(Y103&lt;&gt;0,($J$33*P103*$L$33),0)</f>
        <v>0</v>
      </c>
      <c r="AE103" s="32">
        <f t="shared" si="34"/>
        <v>4.2093794879413657</v>
      </c>
      <c r="AF103" s="33">
        <f t="shared" si="49"/>
        <v>4.2093794879413657</v>
      </c>
      <c r="AG103" s="40">
        <f t="shared" si="35"/>
        <v>0</v>
      </c>
      <c r="AH103" s="224">
        <f>AG103*$P$33</f>
        <v>0</v>
      </c>
      <c r="AI103" s="227">
        <f t="shared" si="36"/>
        <v>22</v>
      </c>
    </row>
    <row r="104" spans="1:35" x14ac:dyDescent="0.35">
      <c r="A104" s="48">
        <v>1405</v>
      </c>
      <c r="B104" s="58">
        <f>SUMIF([2]!Table2_23[ETA],'FIS Current Model'!A104,[2]!Table2_23[FIS PAX])</f>
        <v>0</v>
      </c>
      <c r="C104" s="44">
        <f t="shared" si="37"/>
        <v>0</v>
      </c>
      <c r="D104" s="52">
        <f t="shared" si="43"/>
        <v>0</v>
      </c>
      <c r="E104" s="26">
        <f t="shared" ref="E104:E167" si="68">$C$30*C104</f>
        <v>0</v>
      </c>
      <c r="F104" s="26">
        <f t="shared" ref="F104:F167" si="69">$C$31*C104</f>
        <v>0</v>
      </c>
      <c r="G104" s="26">
        <f t="shared" ref="G104:G167" si="70">$C$32*C104</f>
        <v>0</v>
      </c>
      <c r="H104" s="26">
        <f t="shared" si="38"/>
        <v>0</v>
      </c>
      <c r="I104" s="27">
        <f t="shared" si="50"/>
        <v>0</v>
      </c>
      <c r="J104" s="27">
        <f t="shared" si="50"/>
        <v>0</v>
      </c>
      <c r="K104" s="27">
        <f t="shared" si="50"/>
        <v>0</v>
      </c>
      <c r="L104" s="27">
        <f t="shared" si="50"/>
        <v>0</v>
      </c>
      <c r="M104" s="28">
        <f t="shared" si="60"/>
        <v>2</v>
      </c>
      <c r="N104" s="29">
        <f t="shared" si="61"/>
        <v>4</v>
      </c>
      <c r="O104" s="28">
        <f t="shared" si="62"/>
        <v>0</v>
      </c>
      <c r="P104" s="28">
        <f t="shared" si="63"/>
        <v>0</v>
      </c>
      <c r="Q104" s="28">
        <f t="shared" ref="Q104:Q167" si="71">SUM(M104:P104)</f>
        <v>6</v>
      </c>
      <c r="R104" s="22">
        <f t="shared" ref="R104:R167" si="72">MAX(R103-($J$30*M104*$L$33)+I104,0)</f>
        <v>0</v>
      </c>
      <c r="S104" s="22">
        <f t="shared" ref="S104:S167" si="73">IF(U104&lt;&gt;0,(MAX(S103-($J$31*N104*$L$33)+J104,0)),(MAX(S103-($J$31*(N104+P104)*$L$33)+J104,0)))</f>
        <v>0</v>
      </c>
      <c r="T104" s="22">
        <f t="shared" ref="T104:T167" si="74">MAX(T103-($J$32*O104*$L$33)+K104,0)</f>
        <v>0</v>
      </c>
      <c r="U104" s="22">
        <f t="shared" ref="U104:U167" si="75">MAX(U103-($J$33*P104*$L$33)+L104,0)</f>
        <v>0</v>
      </c>
      <c r="V104" s="21">
        <f t="shared" si="39"/>
        <v>0</v>
      </c>
      <c r="W104" s="21">
        <f t="shared" si="40"/>
        <v>0</v>
      </c>
      <c r="X104" s="21">
        <f t="shared" si="41"/>
        <v>0</v>
      </c>
      <c r="Y104" s="21">
        <f t="shared" si="42"/>
        <v>0</v>
      </c>
      <c r="Z104" s="221">
        <f t="shared" ref="Z104:Z167" si="76">ROUNDUP(SUM(V104*$C$30,W104*$C$31,X104*$C$32,Y104*$C$33),0)</f>
        <v>0</v>
      </c>
      <c r="AA104" s="30">
        <f t="shared" si="64"/>
        <v>0</v>
      </c>
      <c r="AB104" s="30">
        <f t="shared" si="65"/>
        <v>0</v>
      </c>
      <c r="AC104" s="30">
        <f t="shared" si="66"/>
        <v>0</v>
      </c>
      <c r="AD104" s="30">
        <f t="shared" si="67"/>
        <v>0</v>
      </c>
      <c r="AE104" s="32">
        <f t="shared" ref="AE104:AE167" si="77">SUM(AA104:AD104)</f>
        <v>0</v>
      </c>
      <c r="AF104" s="33">
        <f t="shared" si="49"/>
        <v>4.2093794879413657</v>
      </c>
      <c r="AG104" s="40">
        <f t="shared" ref="AG104:AG167" si="78">MAX(AG103-$Q$33+AF104,0)</f>
        <v>0</v>
      </c>
      <c r="AH104" s="224">
        <f>AG104*$P$33</f>
        <v>0</v>
      </c>
      <c r="AI104" s="227">
        <f t="shared" ref="AI104:AI167" si="79">SUM(Z104,IF(Z104&lt;&gt;0,$F$31,0),IF(Z104&lt;&gt;0,$N$33,0),IF(Z104&lt;&gt;0,$T$33,0),IF(Z104=0,AH109,IF(Z104=1,AH110,IF(Z104=2,AH111,IF(Z104=3,AH112,IF(Z104=4,AH113,IF(Z104=5,AH114,IF(Z104=6,AH115,IF(Z104=7,AH116,IF(Z104=8,AH117,IF(Z104=9,AH118,IF(Z104=10,AH119,IF(Z104=11,AH120,IF(Z104=12,AH121,IF(Z104=13,AH122,IF(Z104=14,AH123,IF(Z104=15,AH124,IF(Z104=16,AH125,IF(Z104=17,AH126,IF(Z104=18,AH127,IF(Z104=19,AH128,IF(Z104=20,AH129,IF(Z104=21,AH130,IF(Z104=22,AH131,IF(Z104=23,AH132,IF(Z104=24,AH133,IF(Z104=25,AH134,IF(Z104=26,AH135,IF(Z104=27,AH136,IF(Z104=28,AH137,IF(Z104=29,AH138,IF(Z104=30,AH139))))))))))))))))))))))))))))))))</f>
        <v>0</v>
      </c>
    </row>
    <row r="105" spans="1:35" x14ac:dyDescent="0.35">
      <c r="A105" s="48">
        <v>1406</v>
      </c>
      <c r="B105" s="58">
        <f>SUMIF([2]!Table2_23[ETA],'FIS Current Model'!A105,[2]!Table2_23[FIS PAX])</f>
        <v>0</v>
      </c>
      <c r="C105" s="44">
        <f t="shared" ref="C105:C168" si="80">IF((D104-D105)&gt;-1,(D104-D105),18)</f>
        <v>0</v>
      </c>
      <c r="D105" s="52">
        <f t="shared" si="43"/>
        <v>0</v>
      </c>
      <c r="E105" s="26">
        <f t="shared" si="68"/>
        <v>0</v>
      </c>
      <c r="F105" s="26">
        <f t="shared" si="69"/>
        <v>0</v>
      </c>
      <c r="G105" s="26">
        <f t="shared" si="70"/>
        <v>0</v>
      </c>
      <c r="H105" s="26">
        <f t="shared" ref="H105:H168" si="81">$C$33*C105</f>
        <v>0</v>
      </c>
      <c r="I105" s="27">
        <f t="shared" si="50"/>
        <v>0</v>
      </c>
      <c r="J105" s="27">
        <f t="shared" si="50"/>
        <v>0</v>
      </c>
      <c r="K105" s="27">
        <f t="shared" si="50"/>
        <v>0</v>
      </c>
      <c r="L105" s="27">
        <f t="shared" si="50"/>
        <v>0</v>
      </c>
      <c r="M105" s="28">
        <f t="shared" si="60"/>
        <v>2</v>
      </c>
      <c r="N105" s="29">
        <f t="shared" si="61"/>
        <v>4</v>
      </c>
      <c r="O105" s="28">
        <f t="shared" si="62"/>
        <v>0</v>
      </c>
      <c r="P105" s="28">
        <f t="shared" si="63"/>
        <v>0</v>
      </c>
      <c r="Q105" s="28">
        <f t="shared" si="71"/>
        <v>6</v>
      </c>
      <c r="R105" s="22">
        <f t="shared" si="72"/>
        <v>0</v>
      </c>
      <c r="S105" s="22">
        <f t="shared" si="73"/>
        <v>0</v>
      </c>
      <c r="T105" s="22">
        <f t="shared" si="74"/>
        <v>0</v>
      </c>
      <c r="U105" s="22">
        <f t="shared" si="75"/>
        <v>0</v>
      </c>
      <c r="V105" s="21">
        <f t="shared" ref="V105:V114" si="82">IFERROR(R105*($I$30/M105),0)</f>
        <v>0</v>
      </c>
      <c r="W105" s="21">
        <f t="shared" ref="W105:W115" si="83">S105*($I$31/N105)</f>
        <v>0</v>
      </c>
      <c r="X105" s="21">
        <f t="shared" ref="X105:X168" si="84">IFERROR(T105*($I$32/O105),0)</f>
        <v>0</v>
      </c>
      <c r="Y105" s="21">
        <f t="shared" ref="Y105:Y168" si="85">IFERROR(U105*($I$33/P105),0)</f>
        <v>0</v>
      </c>
      <c r="Z105" s="221">
        <f t="shared" si="76"/>
        <v>0</v>
      </c>
      <c r="AA105" s="30">
        <f t="shared" si="64"/>
        <v>0</v>
      </c>
      <c r="AB105" s="30">
        <f t="shared" si="65"/>
        <v>0</v>
      </c>
      <c r="AC105" s="30">
        <f t="shared" si="66"/>
        <v>0</v>
      </c>
      <c r="AD105" s="30">
        <f t="shared" si="67"/>
        <v>0</v>
      </c>
      <c r="AE105" s="32">
        <f t="shared" si="77"/>
        <v>0</v>
      </c>
      <c r="AF105" s="33">
        <f t="shared" si="49"/>
        <v>4.2093794879413657</v>
      </c>
      <c r="AG105" s="40">
        <f t="shared" si="78"/>
        <v>0</v>
      </c>
      <c r="AH105" s="224">
        <f>AG105*$P$33</f>
        <v>0</v>
      </c>
      <c r="AI105" s="227">
        <f t="shared" si="79"/>
        <v>0</v>
      </c>
    </row>
    <row r="106" spans="1:35" x14ac:dyDescent="0.35">
      <c r="A106" s="48">
        <v>1407</v>
      </c>
      <c r="B106" s="58">
        <f>SUMIF([2]!Table2_23[ETA],'FIS Current Model'!A106,[2]!Table2_23[FIS PAX])</f>
        <v>0</v>
      </c>
      <c r="C106" s="44">
        <f t="shared" si="80"/>
        <v>0</v>
      </c>
      <c r="D106" s="52">
        <f t="shared" ref="D106:D169" si="86">MAX(D105-$E$31+B105,0)</f>
        <v>0</v>
      </c>
      <c r="E106" s="26">
        <f t="shared" si="68"/>
        <v>0</v>
      </c>
      <c r="F106" s="26">
        <f t="shared" si="69"/>
        <v>0</v>
      </c>
      <c r="G106" s="26">
        <f t="shared" si="70"/>
        <v>0</v>
      </c>
      <c r="H106" s="26">
        <f t="shared" si="81"/>
        <v>0</v>
      </c>
      <c r="I106" s="27">
        <f t="shared" si="50"/>
        <v>0</v>
      </c>
      <c r="J106" s="27">
        <f t="shared" si="50"/>
        <v>0</v>
      </c>
      <c r="K106" s="27">
        <f t="shared" si="50"/>
        <v>0</v>
      </c>
      <c r="L106" s="27">
        <f t="shared" si="50"/>
        <v>0</v>
      </c>
      <c r="M106" s="28">
        <f t="shared" si="60"/>
        <v>2</v>
      </c>
      <c r="N106" s="29">
        <f t="shared" si="61"/>
        <v>4</v>
      </c>
      <c r="O106" s="28">
        <f t="shared" si="62"/>
        <v>0</v>
      </c>
      <c r="P106" s="28">
        <f t="shared" si="63"/>
        <v>0</v>
      </c>
      <c r="Q106" s="28">
        <f t="shared" si="71"/>
        <v>6</v>
      </c>
      <c r="R106" s="22">
        <f t="shared" si="72"/>
        <v>0</v>
      </c>
      <c r="S106" s="22">
        <f t="shared" si="73"/>
        <v>0</v>
      </c>
      <c r="T106" s="22">
        <f t="shared" si="74"/>
        <v>0</v>
      </c>
      <c r="U106" s="22">
        <f t="shared" si="75"/>
        <v>0</v>
      </c>
      <c r="V106" s="21">
        <f t="shared" si="82"/>
        <v>0</v>
      </c>
      <c r="W106" s="21">
        <f t="shared" si="83"/>
        <v>0</v>
      </c>
      <c r="X106" s="21">
        <f t="shared" si="84"/>
        <v>0</v>
      </c>
      <c r="Y106" s="21">
        <f t="shared" si="85"/>
        <v>0</v>
      </c>
      <c r="Z106" s="221">
        <f t="shared" si="76"/>
        <v>0</v>
      </c>
      <c r="AA106" s="30">
        <f t="shared" si="64"/>
        <v>0</v>
      </c>
      <c r="AB106" s="30">
        <f t="shared" si="65"/>
        <v>0</v>
      </c>
      <c r="AC106" s="30">
        <f t="shared" si="66"/>
        <v>0</v>
      </c>
      <c r="AD106" s="30">
        <f t="shared" si="67"/>
        <v>0</v>
      </c>
      <c r="AE106" s="32">
        <f t="shared" si="77"/>
        <v>0</v>
      </c>
      <c r="AF106" s="33">
        <f t="shared" si="49"/>
        <v>4.2093794879413657</v>
      </c>
      <c r="AG106" s="40">
        <f t="shared" si="78"/>
        <v>0</v>
      </c>
      <c r="AH106" s="224">
        <f>AG106*$P$33</f>
        <v>0</v>
      </c>
      <c r="AI106" s="227">
        <f t="shared" si="79"/>
        <v>0</v>
      </c>
    </row>
    <row r="107" spans="1:35" x14ac:dyDescent="0.35">
      <c r="A107" s="48">
        <v>1408</v>
      </c>
      <c r="B107" s="58">
        <f>SUMIF([2]!Table2_23[ETA],'FIS Current Model'!A107,[2]!Table2_23[FIS PAX])</f>
        <v>0</v>
      </c>
      <c r="C107" s="44">
        <f t="shared" si="80"/>
        <v>0</v>
      </c>
      <c r="D107" s="52">
        <f t="shared" si="86"/>
        <v>0</v>
      </c>
      <c r="E107" s="26">
        <f t="shared" si="68"/>
        <v>0</v>
      </c>
      <c r="F107" s="26">
        <f t="shared" si="69"/>
        <v>0</v>
      </c>
      <c r="G107" s="26">
        <f t="shared" si="70"/>
        <v>0</v>
      </c>
      <c r="H107" s="26">
        <f t="shared" si="81"/>
        <v>0</v>
      </c>
      <c r="I107" s="27">
        <f t="shared" si="50"/>
        <v>0</v>
      </c>
      <c r="J107" s="27">
        <f t="shared" si="50"/>
        <v>0</v>
      </c>
      <c r="K107" s="27">
        <f t="shared" si="50"/>
        <v>0</v>
      </c>
      <c r="L107" s="27">
        <f t="shared" si="50"/>
        <v>0</v>
      </c>
      <c r="M107" s="28">
        <f t="shared" si="60"/>
        <v>2</v>
      </c>
      <c r="N107" s="29">
        <f t="shared" si="61"/>
        <v>4</v>
      </c>
      <c r="O107" s="28">
        <f t="shared" si="62"/>
        <v>0</v>
      </c>
      <c r="P107" s="28">
        <f t="shared" si="63"/>
        <v>0</v>
      </c>
      <c r="Q107" s="28">
        <f t="shared" si="71"/>
        <v>6</v>
      </c>
      <c r="R107" s="22">
        <f t="shared" si="72"/>
        <v>0</v>
      </c>
      <c r="S107" s="22">
        <f t="shared" si="73"/>
        <v>0</v>
      </c>
      <c r="T107" s="22">
        <f t="shared" si="74"/>
        <v>0</v>
      </c>
      <c r="U107" s="22">
        <f t="shared" si="75"/>
        <v>0</v>
      </c>
      <c r="V107" s="21">
        <f t="shared" si="82"/>
        <v>0</v>
      </c>
      <c r="W107" s="21">
        <f t="shared" si="83"/>
        <v>0</v>
      </c>
      <c r="X107" s="21">
        <f t="shared" si="84"/>
        <v>0</v>
      </c>
      <c r="Y107" s="21">
        <f t="shared" si="85"/>
        <v>0</v>
      </c>
      <c r="Z107" s="221">
        <f t="shared" si="76"/>
        <v>0</v>
      </c>
      <c r="AA107" s="30">
        <f t="shared" si="64"/>
        <v>0</v>
      </c>
      <c r="AB107" s="30">
        <f t="shared" si="65"/>
        <v>0</v>
      </c>
      <c r="AC107" s="30">
        <f t="shared" si="66"/>
        <v>0</v>
      </c>
      <c r="AD107" s="30">
        <f t="shared" si="67"/>
        <v>0</v>
      </c>
      <c r="AE107" s="32">
        <f t="shared" si="77"/>
        <v>0</v>
      </c>
      <c r="AF107" s="33">
        <f t="shared" si="49"/>
        <v>4.2093794879413657</v>
      </c>
      <c r="AG107" s="40">
        <f t="shared" si="78"/>
        <v>0</v>
      </c>
      <c r="AH107" s="224">
        <f>AG107*$P$33</f>
        <v>0</v>
      </c>
      <c r="AI107" s="227">
        <f t="shared" si="79"/>
        <v>0</v>
      </c>
    </row>
    <row r="108" spans="1:35" x14ac:dyDescent="0.35">
      <c r="A108" s="48">
        <v>1409</v>
      </c>
      <c r="B108" s="58">
        <f>SUMIF([2]!Table2_23[ETA],'FIS Current Model'!A108,[2]!Table2_23[FIS PAX])</f>
        <v>0</v>
      </c>
      <c r="C108" s="44">
        <f t="shared" si="80"/>
        <v>0</v>
      </c>
      <c r="D108" s="52">
        <f t="shared" si="86"/>
        <v>0</v>
      </c>
      <c r="E108" s="26">
        <f t="shared" si="68"/>
        <v>0</v>
      </c>
      <c r="F108" s="26">
        <f t="shared" si="69"/>
        <v>0</v>
      </c>
      <c r="G108" s="26">
        <f t="shared" si="70"/>
        <v>0</v>
      </c>
      <c r="H108" s="26">
        <f t="shared" si="81"/>
        <v>0</v>
      </c>
      <c r="I108" s="27">
        <f t="shared" si="50"/>
        <v>0</v>
      </c>
      <c r="J108" s="27">
        <f t="shared" si="50"/>
        <v>0</v>
      </c>
      <c r="K108" s="27">
        <f t="shared" si="50"/>
        <v>0</v>
      </c>
      <c r="L108" s="27">
        <f t="shared" si="50"/>
        <v>0</v>
      </c>
      <c r="M108" s="28">
        <f t="shared" si="60"/>
        <v>2</v>
      </c>
      <c r="N108" s="29">
        <f t="shared" si="61"/>
        <v>4</v>
      </c>
      <c r="O108" s="28">
        <f t="shared" si="62"/>
        <v>0</v>
      </c>
      <c r="P108" s="28">
        <f t="shared" si="63"/>
        <v>0</v>
      </c>
      <c r="Q108" s="28">
        <f t="shared" si="71"/>
        <v>6</v>
      </c>
      <c r="R108" s="22">
        <f t="shared" si="72"/>
        <v>0</v>
      </c>
      <c r="S108" s="22">
        <f t="shared" si="73"/>
        <v>0</v>
      </c>
      <c r="T108" s="22">
        <f t="shared" si="74"/>
        <v>0</v>
      </c>
      <c r="U108" s="22">
        <f t="shared" si="75"/>
        <v>0</v>
      </c>
      <c r="V108" s="21">
        <f t="shared" si="82"/>
        <v>0</v>
      </c>
      <c r="W108" s="21">
        <f t="shared" si="83"/>
        <v>0</v>
      </c>
      <c r="X108" s="21">
        <f t="shared" si="84"/>
        <v>0</v>
      </c>
      <c r="Y108" s="21">
        <f t="shared" si="85"/>
        <v>0</v>
      </c>
      <c r="Z108" s="221">
        <f t="shared" si="76"/>
        <v>0</v>
      </c>
      <c r="AA108" s="30">
        <f t="shared" si="64"/>
        <v>0</v>
      </c>
      <c r="AB108" s="30">
        <f t="shared" si="65"/>
        <v>0</v>
      </c>
      <c r="AC108" s="30">
        <f t="shared" si="66"/>
        <v>0</v>
      </c>
      <c r="AD108" s="30">
        <f t="shared" si="67"/>
        <v>0</v>
      </c>
      <c r="AE108" s="32">
        <f t="shared" si="77"/>
        <v>0</v>
      </c>
      <c r="AF108" s="33">
        <f t="shared" ref="AF108:AF171" si="87">AE104</f>
        <v>0</v>
      </c>
      <c r="AG108" s="40">
        <f t="shared" si="78"/>
        <v>0</v>
      </c>
      <c r="AH108" s="224">
        <f>AG108*$P$33</f>
        <v>0</v>
      </c>
      <c r="AI108" s="227">
        <f t="shared" si="79"/>
        <v>0</v>
      </c>
    </row>
    <row r="109" spans="1:35" x14ac:dyDescent="0.35">
      <c r="A109" s="48">
        <v>1410</v>
      </c>
      <c r="B109" s="58">
        <f>SUMIF([2]!Table2_23[ETA],'FIS Current Model'!A109,[2]!Table2_23[FIS PAX])</f>
        <v>0</v>
      </c>
      <c r="C109" s="44">
        <f t="shared" si="80"/>
        <v>0</v>
      </c>
      <c r="D109" s="52">
        <f t="shared" si="86"/>
        <v>0</v>
      </c>
      <c r="E109" s="26">
        <f t="shared" si="68"/>
        <v>0</v>
      </c>
      <c r="F109" s="26">
        <f t="shared" si="69"/>
        <v>0</v>
      </c>
      <c r="G109" s="26">
        <f t="shared" si="70"/>
        <v>0</v>
      </c>
      <c r="H109" s="26">
        <f t="shared" si="81"/>
        <v>0</v>
      </c>
      <c r="I109" s="27">
        <f t="shared" ref="I109:L172" si="88">E104</f>
        <v>0</v>
      </c>
      <c r="J109" s="27">
        <f t="shared" si="88"/>
        <v>0</v>
      </c>
      <c r="K109" s="27">
        <f t="shared" si="88"/>
        <v>0</v>
      </c>
      <c r="L109" s="27">
        <f t="shared" si="88"/>
        <v>0</v>
      </c>
      <c r="M109" s="28">
        <f t="shared" si="60"/>
        <v>2</v>
      </c>
      <c r="N109" s="29">
        <f t="shared" si="61"/>
        <v>4</v>
      </c>
      <c r="O109" s="28">
        <f t="shared" si="62"/>
        <v>0</v>
      </c>
      <c r="P109" s="28">
        <f t="shared" si="63"/>
        <v>0</v>
      </c>
      <c r="Q109" s="28">
        <f t="shared" si="71"/>
        <v>6</v>
      </c>
      <c r="R109" s="22">
        <f t="shared" si="72"/>
        <v>0</v>
      </c>
      <c r="S109" s="22">
        <f t="shared" si="73"/>
        <v>0</v>
      </c>
      <c r="T109" s="22">
        <f t="shared" si="74"/>
        <v>0</v>
      </c>
      <c r="U109" s="22">
        <f t="shared" si="75"/>
        <v>0</v>
      </c>
      <c r="V109" s="21">
        <f t="shared" si="82"/>
        <v>0</v>
      </c>
      <c r="W109" s="21">
        <f t="shared" si="83"/>
        <v>0</v>
      </c>
      <c r="X109" s="21">
        <f t="shared" si="84"/>
        <v>0</v>
      </c>
      <c r="Y109" s="21">
        <f t="shared" si="85"/>
        <v>0</v>
      </c>
      <c r="Z109" s="221">
        <f t="shared" si="76"/>
        <v>0</v>
      </c>
      <c r="AA109" s="30">
        <f t="shared" si="64"/>
        <v>0</v>
      </c>
      <c r="AB109" s="30">
        <f t="shared" si="65"/>
        <v>0</v>
      </c>
      <c r="AC109" s="30">
        <f t="shared" si="66"/>
        <v>0</v>
      </c>
      <c r="AD109" s="30">
        <f t="shared" si="67"/>
        <v>0</v>
      </c>
      <c r="AE109" s="32">
        <f t="shared" si="77"/>
        <v>0</v>
      </c>
      <c r="AF109" s="33">
        <f t="shared" si="87"/>
        <v>0</v>
      </c>
      <c r="AG109" s="40">
        <f t="shared" si="78"/>
        <v>0</v>
      </c>
      <c r="AH109" s="224">
        <f>AG109*$P$33</f>
        <v>0</v>
      </c>
      <c r="AI109" s="227">
        <f t="shared" si="79"/>
        <v>0</v>
      </c>
    </row>
    <row r="110" spans="1:35" x14ac:dyDescent="0.35">
      <c r="A110" s="48">
        <v>1411</v>
      </c>
      <c r="B110" s="58">
        <f>SUMIF([2]!Table2_23[ETA],'FIS Current Model'!A110,[2]!Table2_23[FIS PAX])</f>
        <v>0</v>
      </c>
      <c r="C110" s="44">
        <f t="shared" si="80"/>
        <v>0</v>
      </c>
      <c r="D110" s="52">
        <f t="shared" si="86"/>
        <v>0</v>
      </c>
      <c r="E110" s="26">
        <f t="shared" si="68"/>
        <v>0</v>
      </c>
      <c r="F110" s="26">
        <f t="shared" si="69"/>
        <v>0</v>
      </c>
      <c r="G110" s="26">
        <f t="shared" si="70"/>
        <v>0</v>
      </c>
      <c r="H110" s="26">
        <f t="shared" si="81"/>
        <v>0</v>
      </c>
      <c r="I110" s="27">
        <f t="shared" si="88"/>
        <v>0</v>
      </c>
      <c r="J110" s="27">
        <f t="shared" si="88"/>
        <v>0</v>
      </c>
      <c r="K110" s="27">
        <f t="shared" si="88"/>
        <v>0</v>
      </c>
      <c r="L110" s="27">
        <f t="shared" si="88"/>
        <v>0</v>
      </c>
      <c r="M110" s="28">
        <f t="shared" si="60"/>
        <v>2</v>
      </c>
      <c r="N110" s="29">
        <f t="shared" si="61"/>
        <v>4</v>
      </c>
      <c r="O110" s="28">
        <f t="shared" si="62"/>
        <v>0</v>
      </c>
      <c r="P110" s="28">
        <f t="shared" si="63"/>
        <v>0</v>
      </c>
      <c r="Q110" s="28">
        <f t="shared" si="71"/>
        <v>6</v>
      </c>
      <c r="R110" s="22">
        <f t="shared" si="72"/>
        <v>0</v>
      </c>
      <c r="S110" s="22">
        <f t="shared" si="73"/>
        <v>0</v>
      </c>
      <c r="T110" s="22">
        <f t="shared" si="74"/>
        <v>0</v>
      </c>
      <c r="U110" s="22">
        <f t="shared" si="75"/>
        <v>0</v>
      </c>
      <c r="V110" s="21">
        <f t="shared" si="82"/>
        <v>0</v>
      </c>
      <c r="W110" s="21">
        <f t="shared" si="83"/>
        <v>0</v>
      </c>
      <c r="X110" s="21">
        <f t="shared" si="84"/>
        <v>0</v>
      </c>
      <c r="Y110" s="21">
        <f t="shared" si="85"/>
        <v>0</v>
      </c>
      <c r="Z110" s="221">
        <f t="shared" si="76"/>
        <v>0</v>
      </c>
      <c r="AA110" s="30">
        <f t="shared" si="64"/>
        <v>0</v>
      </c>
      <c r="AB110" s="30">
        <f t="shared" si="65"/>
        <v>0</v>
      </c>
      <c r="AC110" s="30">
        <f t="shared" si="66"/>
        <v>0</v>
      </c>
      <c r="AD110" s="30">
        <f t="shared" si="67"/>
        <v>0</v>
      </c>
      <c r="AE110" s="32">
        <f t="shared" si="77"/>
        <v>0</v>
      </c>
      <c r="AF110" s="33">
        <f t="shared" si="87"/>
        <v>0</v>
      </c>
      <c r="AG110" s="40">
        <f t="shared" si="78"/>
        <v>0</v>
      </c>
      <c r="AH110" s="224">
        <f>AG110*$P$33</f>
        <v>0</v>
      </c>
      <c r="AI110" s="227">
        <f t="shared" si="79"/>
        <v>0</v>
      </c>
    </row>
    <row r="111" spans="1:35" x14ac:dyDescent="0.35">
      <c r="A111" s="48">
        <v>1412</v>
      </c>
      <c r="B111" s="58">
        <f>SUMIF([2]!Table2_23[ETA],'FIS Current Model'!A111,[2]!Table2_23[FIS PAX])</f>
        <v>0</v>
      </c>
      <c r="C111" s="44">
        <f t="shared" si="80"/>
        <v>0</v>
      </c>
      <c r="D111" s="52">
        <f t="shared" si="86"/>
        <v>0</v>
      </c>
      <c r="E111" s="26">
        <f t="shared" si="68"/>
        <v>0</v>
      </c>
      <c r="F111" s="26">
        <f t="shared" si="69"/>
        <v>0</v>
      </c>
      <c r="G111" s="26">
        <f t="shared" si="70"/>
        <v>0</v>
      </c>
      <c r="H111" s="26">
        <f t="shared" si="81"/>
        <v>0</v>
      </c>
      <c r="I111" s="27">
        <f t="shared" si="88"/>
        <v>0</v>
      </c>
      <c r="J111" s="27">
        <f t="shared" si="88"/>
        <v>0</v>
      </c>
      <c r="K111" s="27">
        <f t="shared" si="88"/>
        <v>0</v>
      </c>
      <c r="L111" s="27">
        <f t="shared" si="88"/>
        <v>0</v>
      </c>
      <c r="M111" s="28">
        <f t="shared" si="60"/>
        <v>2</v>
      </c>
      <c r="N111" s="29">
        <f t="shared" si="61"/>
        <v>4</v>
      </c>
      <c r="O111" s="28">
        <f t="shared" si="62"/>
        <v>0</v>
      </c>
      <c r="P111" s="28">
        <f t="shared" si="63"/>
        <v>0</v>
      </c>
      <c r="Q111" s="28">
        <f t="shared" si="71"/>
        <v>6</v>
      </c>
      <c r="R111" s="22">
        <f t="shared" si="72"/>
        <v>0</v>
      </c>
      <c r="S111" s="22">
        <f t="shared" si="73"/>
        <v>0</v>
      </c>
      <c r="T111" s="22">
        <f t="shared" si="74"/>
        <v>0</v>
      </c>
      <c r="U111" s="22">
        <f t="shared" si="75"/>
        <v>0</v>
      </c>
      <c r="V111" s="21">
        <f t="shared" si="82"/>
        <v>0</v>
      </c>
      <c r="W111" s="21">
        <f t="shared" si="83"/>
        <v>0</v>
      </c>
      <c r="X111" s="21">
        <f t="shared" si="84"/>
        <v>0</v>
      </c>
      <c r="Y111" s="21">
        <f t="shared" si="85"/>
        <v>0</v>
      </c>
      <c r="Z111" s="221">
        <f t="shared" si="76"/>
        <v>0</v>
      </c>
      <c r="AA111" s="30">
        <f t="shared" si="64"/>
        <v>0</v>
      </c>
      <c r="AB111" s="30">
        <f t="shared" si="65"/>
        <v>0</v>
      </c>
      <c r="AC111" s="30">
        <f t="shared" si="66"/>
        <v>0</v>
      </c>
      <c r="AD111" s="30">
        <f t="shared" si="67"/>
        <v>0</v>
      </c>
      <c r="AE111" s="32">
        <f t="shared" si="77"/>
        <v>0</v>
      </c>
      <c r="AF111" s="33">
        <f t="shared" si="87"/>
        <v>0</v>
      </c>
      <c r="AG111" s="40">
        <f t="shared" si="78"/>
        <v>0</v>
      </c>
      <c r="AH111" s="224">
        <f>AG111*$P$33</f>
        <v>0</v>
      </c>
      <c r="AI111" s="227">
        <f t="shared" si="79"/>
        <v>0</v>
      </c>
    </row>
    <row r="112" spans="1:35" x14ac:dyDescent="0.35">
      <c r="A112" s="48">
        <v>1413</v>
      </c>
      <c r="B112" s="58">
        <f>SUMIF([2]!Table2_23[ETA],'FIS Current Model'!A112,[2]!Table2_23[FIS PAX])</f>
        <v>0</v>
      </c>
      <c r="C112" s="44">
        <f t="shared" si="80"/>
        <v>0</v>
      </c>
      <c r="D112" s="52">
        <f t="shared" si="86"/>
        <v>0</v>
      </c>
      <c r="E112" s="26">
        <f t="shared" si="68"/>
        <v>0</v>
      </c>
      <c r="F112" s="26">
        <f t="shared" si="69"/>
        <v>0</v>
      </c>
      <c r="G112" s="26">
        <f t="shared" si="70"/>
        <v>0</v>
      </c>
      <c r="H112" s="26">
        <f t="shared" si="81"/>
        <v>0</v>
      </c>
      <c r="I112" s="27">
        <f t="shared" si="88"/>
        <v>0</v>
      </c>
      <c r="J112" s="27">
        <f t="shared" si="88"/>
        <v>0</v>
      </c>
      <c r="K112" s="27">
        <f t="shared" si="88"/>
        <v>0</v>
      </c>
      <c r="L112" s="27">
        <f t="shared" si="88"/>
        <v>0</v>
      </c>
      <c r="M112" s="28">
        <f t="shared" si="60"/>
        <v>2</v>
      </c>
      <c r="N112" s="29">
        <f t="shared" si="61"/>
        <v>4</v>
      </c>
      <c r="O112" s="28">
        <f t="shared" si="62"/>
        <v>0</v>
      </c>
      <c r="P112" s="28">
        <f t="shared" si="63"/>
        <v>0</v>
      </c>
      <c r="Q112" s="28">
        <f t="shared" si="71"/>
        <v>6</v>
      </c>
      <c r="R112" s="22">
        <f t="shared" si="72"/>
        <v>0</v>
      </c>
      <c r="S112" s="22">
        <f t="shared" si="73"/>
        <v>0</v>
      </c>
      <c r="T112" s="22">
        <f t="shared" si="74"/>
        <v>0</v>
      </c>
      <c r="U112" s="22">
        <f t="shared" si="75"/>
        <v>0</v>
      </c>
      <c r="V112" s="21">
        <f t="shared" si="82"/>
        <v>0</v>
      </c>
      <c r="W112" s="21">
        <f t="shared" si="83"/>
        <v>0</v>
      </c>
      <c r="X112" s="21">
        <f t="shared" si="84"/>
        <v>0</v>
      </c>
      <c r="Y112" s="21">
        <f t="shared" si="85"/>
        <v>0</v>
      </c>
      <c r="Z112" s="221">
        <f t="shared" si="76"/>
        <v>0</v>
      </c>
      <c r="AA112" s="30">
        <f t="shared" si="64"/>
        <v>0</v>
      </c>
      <c r="AB112" s="30">
        <f t="shared" si="65"/>
        <v>0</v>
      </c>
      <c r="AC112" s="30">
        <f t="shared" si="66"/>
        <v>0</v>
      </c>
      <c r="AD112" s="30">
        <f t="shared" si="67"/>
        <v>0</v>
      </c>
      <c r="AE112" s="32">
        <f t="shared" si="77"/>
        <v>0</v>
      </c>
      <c r="AF112" s="33">
        <f t="shared" si="87"/>
        <v>0</v>
      </c>
      <c r="AG112" s="40">
        <f t="shared" si="78"/>
        <v>0</v>
      </c>
      <c r="AH112" s="224">
        <f>AG112*$P$33</f>
        <v>0</v>
      </c>
      <c r="AI112" s="227">
        <f t="shared" si="79"/>
        <v>0</v>
      </c>
    </row>
    <row r="113" spans="1:35" x14ac:dyDescent="0.35">
      <c r="A113" s="48">
        <v>1414</v>
      </c>
      <c r="B113" s="58">
        <f>SUMIF([2]!Table2_23[ETA],'FIS Current Model'!A113,[2]!Table2_23[FIS PAX])</f>
        <v>0</v>
      </c>
      <c r="C113" s="44">
        <f t="shared" si="80"/>
        <v>0</v>
      </c>
      <c r="D113" s="52">
        <f t="shared" si="86"/>
        <v>0</v>
      </c>
      <c r="E113" s="26">
        <f t="shared" si="68"/>
        <v>0</v>
      </c>
      <c r="F113" s="26">
        <f t="shared" si="69"/>
        <v>0</v>
      </c>
      <c r="G113" s="26">
        <f t="shared" si="70"/>
        <v>0</v>
      </c>
      <c r="H113" s="26">
        <f t="shared" si="81"/>
        <v>0</v>
      </c>
      <c r="I113" s="27">
        <f t="shared" si="88"/>
        <v>0</v>
      </c>
      <c r="J113" s="27">
        <f t="shared" si="88"/>
        <v>0</v>
      </c>
      <c r="K113" s="27">
        <f t="shared" si="88"/>
        <v>0</v>
      </c>
      <c r="L113" s="27">
        <f t="shared" si="88"/>
        <v>0</v>
      </c>
      <c r="M113" s="28">
        <f t="shared" si="60"/>
        <v>2</v>
      </c>
      <c r="N113" s="29">
        <f t="shared" si="61"/>
        <v>4</v>
      </c>
      <c r="O113" s="28">
        <f t="shared" si="62"/>
        <v>0</v>
      </c>
      <c r="P113" s="28">
        <f t="shared" si="63"/>
        <v>0</v>
      </c>
      <c r="Q113" s="28">
        <f t="shared" si="71"/>
        <v>6</v>
      </c>
      <c r="R113" s="22">
        <f t="shared" si="72"/>
        <v>0</v>
      </c>
      <c r="S113" s="22">
        <f t="shared" si="73"/>
        <v>0</v>
      </c>
      <c r="T113" s="22">
        <f t="shared" si="74"/>
        <v>0</v>
      </c>
      <c r="U113" s="22">
        <f t="shared" si="75"/>
        <v>0</v>
      </c>
      <c r="V113" s="21">
        <f t="shared" si="82"/>
        <v>0</v>
      </c>
      <c r="W113" s="21">
        <f t="shared" si="83"/>
        <v>0</v>
      </c>
      <c r="X113" s="21">
        <f t="shared" si="84"/>
        <v>0</v>
      </c>
      <c r="Y113" s="21">
        <f t="shared" si="85"/>
        <v>0</v>
      </c>
      <c r="Z113" s="221">
        <f t="shared" si="76"/>
        <v>0</v>
      </c>
      <c r="AA113" s="30">
        <f t="shared" si="64"/>
        <v>0</v>
      </c>
      <c r="AB113" s="30">
        <f t="shared" si="65"/>
        <v>0</v>
      </c>
      <c r="AC113" s="30">
        <f t="shared" si="66"/>
        <v>0</v>
      </c>
      <c r="AD113" s="30">
        <f t="shared" si="67"/>
        <v>0</v>
      </c>
      <c r="AE113" s="32">
        <f t="shared" si="77"/>
        <v>0</v>
      </c>
      <c r="AF113" s="33">
        <f t="shared" si="87"/>
        <v>0</v>
      </c>
      <c r="AG113" s="40">
        <f t="shared" si="78"/>
        <v>0</v>
      </c>
      <c r="AH113" s="224">
        <f>AG113*$P$33</f>
        <v>0</v>
      </c>
      <c r="AI113" s="227">
        <f t="shared" si="79"/>
        <v>0</v>
      </c>
    </row>
    <row r="114" spans="1:35" x14ac:dyDescent="0.35">
      <c r="A114" s="48">
        <v>1415</v>
      </c>
      <c r="B114" s="58">
        <f>SUMIF([2]!Table2_23[ETA],'FIS Current Model'!A114,[2]!Table2_23[FIS PAX])</f>
        <v>0</v>
      </c>
      <c r="C114" s="44">
        <f t="shared" si="80"/>
        <v>0</v>
      </c>
      <c r="D114" s="52">
        <f t="shared" si="86"/>
        <v>0</v>
      </c>
      <c r="E114" s="26">
        <f t="shared" si="68"/>
        <v>0</v>
      </c>
      <c r="F114" s="26">
        <f t="shared" si="69"/>
        <v>0</v>
      </c>
      <c r="G114" s="26">
        <f t="shared" si="70"/>
        <v>0</v>
      </c>
      <c r="H114" s="26">
        <f t="shared" si="81"/>
        <v>0</v>
      </c>
      <c r="I114" s="27">
        <f t="shared" si="88"/>
        <v>0</v>
      </c>
      <c r="J114" s="27">
        <f t="shared" si="88"/>
        <v>0</v>
      </c>
      <c r="K114" s="27">
        <f t="shared" si="88"/>
        <v>0</v>
      </c>
      <c r="L114" s="27">
        <f t="shared" si="88"/>
        <v>0</v>
      </c>
      <c r="M114" s="28">
        <f t="shared" si="60"/>
        <v>2</v>
      </c>
      <c r="N114" s="29">
        <f t="shared" si="61"/>
        <v>4</v>
      </c>
      <c r="O114" s="28">
        <f t="shared" si="62"/>
        <v>0</v>
      </c>
      <c r="P114" s="28">
        <f t="shared" si="63"/>
        <v>0</v>
      </c>
      <c r="Q114" s="28">
        <f t="shared" si="71"/>
        <v>6</v>
      </c>
      <c r="R114" s="22">
        <f t="shared" si="72"/>
        <v>0</v>
      </c>
      <c r="S114" s="22">
        <f t="shared" si="73"/>
        <v>0</v>
      </c>
      <c r="T114" s="22">
        <f t="shared" si="74"/>
        <v>0</v>
      </c>
      <c r="U114" s="22">
        <f t="shared" si="75"/>
        <v>0</v>
      </c>
      <c r="V114" s="21">
        <f t="shared" si="82"/>
        <v>0</v>
      </c>
      <c r="W114" s="21">
        <f t="shared" si="83"/>
        <v>0</v>
      </c>
      <c r="X114" s="21">
        <f t="shared" si="84"/>
        <v>0</v>
      </c>
      <c r="Y114" s="21">
        <f t="shared" si="85"/>
        <v>0</v>
      </c>
      <c r="Z114" s="221">
        <f t="shared" si="76"/>
        <v>0</v>
      </c>
      <c r="AA114" s="30">
        <f t="shared" si="64"/>
        <v>0</v>
      </c>
      <c r="AB114" s="30">
        <f t="shared" si="65"/>
        <v>0</v>
      </c>
      <c r="AC114" s="30">
        <f t="shared" si="66"/>
        <v>0</v>
      </c>
      <c r="AD114" s="30">
        <f t="shared" si="67"/>
        <v>0</v>
      </c>
      <c r="AE114" s="32">
        <f t="shared" si="77"/>
        <v>0</v>
      </c>
      <c r="AF114" s="33">
        <f t="shared" si="87"/>
        <v>0</v>
      </c>
      <c r="AG114" s="40">
        <f t="shared" si="78"/>
        <v>0</v>
      </c>
      <c r="AH114" s="224">
        <f>AG114*$P$33</f>
        <v>0</v>
      </c>
      <c r="AI114" s="227">
        <f t="shared" si="79"/>
        <v>0</v>
      </c>
    </row>
    <row r="115" spans="1:35" x14ac:dyDescent="0.35">
      <c r="A115" s="48">
        <v>1416</v>
      </c>
      <c r="B115" s="58">
        <f>SUMIF([2]!Table2_23[ETA],'FIS Current Model'!A115,[2]!Table2_23[FIS PAX])</f>
        <v>0</v>
      </c>
      <c r="C115" s="44">
        <f t="shared" si="80"/>
        <v>0</v>
      </c>
      <c r="D115" s="52">
        <f t="shared" si="86"/>
        <v>0</v>
      </c>
      <c r="E115" s="26">
        <f t="shared" si="68"/>
        <v>0</v>
      </c>
      <c r="F115" s="26">
        <f t="shared" si="69"/>
        <v>0</v>
      </c>
      <c r="G115" s="26">
        <f t="shared" si="70"/>
        <v>0</v>
      </c>
      <c r="H115" s="26">
        <f t="shared" si="81"/>
        <v>0</v>
      </c>
      <c r="I115" s="27">
        <f t="shared" si="88"/>
        <v>0</v>
      </c>
      <c r="J115" s="27">
        <f t="shared" si="88"/>
        <v>0</v>
      </c>
      <c r="K115" s="27">
        <f t="shared" si="88"/>
        <v>0</v>
      </c>
      <c r="L115" s="27">
        <f t="shared" si="88"/>
        <v>0</v>
      </c>
      <c r="M115" s="28">
        <f>IF(R114=0,0,$Q$11)</f>
        <v>0</v>
      </c>
      <c r="N115" s="29">
        <f>$U$11-M115-O115-P115</f>
        <v>11</v>
      </c>
      <c r="O115" s="28">
        <f>IF(T114=0,0,$S$11)</f>
        <v>0</v>
      </c>
      <c r="P115" s="28">
        <f>IF(U114=0,0,$T$11)</f>
        <v>0</v>
      </c>
      <c r="Q115" s="28">
        <f t="shared" si="71"/>
        <v>11</v>
      </c>
      <c r="R115" s="22">
        <f t="shared" si="72"/>
        <v>0</v>
      </c>
      <c r="S115" s="22">
        <f t="shared" si="73"/>
        <v>0</v>
      </c>
      <c r="T115" s="22">
        <f t="shared" si="74"/>
        <v>0</v>
      </c>
      <c r="U115" s="22">
        <f t="shared" si="75"/>
        <v>0</v>
      </c>
      <c r="V115" s="21">
        <f>IFERROR(R115*($I$30/M115),0)</f>
        <v>0</v>
      </c>
      <c r="W115" s="21">
        <f t="shared" si="83"/>
        <v>0</v>
      </c>
      <c r="X115" s="21">
        <f t="shared" si="84"/>
        <v>0</v>
      </c>
      <c r="Y115" s="21">
        <f t="shared" si="85"/>
        <v>0</v>
      </c>
      <c r="Z115" s="221">
        <f t="shared" si="76"/>
        <v>0</v>
      </c>
      <c r="AA115" s="30">
        <f t="shared" si="64"/>
        <v>0</v>
      </c>
      <c r="AB115" s="30">
        <f t="shared" si="65"/>
        <v>0</v>
      </c>
      <c r="AC115" s="30">
        <f t="shared" si="66"/>
        <v>0</v>
      </c>
      <c r="AD115" s="30">
        <f t="shared" si="67"/>
        <v>0</v>
      </c>
      <c r="AE115" s="32">
        <f t="shared" si="77"/>
        <v>0</v>
      </c>
      <c r="AF115" s="33">
        <f t="shared" si="87"/>
        <v>0</v>
      </c>
      <c r="AG115" s="40">
        <f t="shared" si="78"/>
        <v>0</v>
      </c>
      <c r="AH115" s="224">
        <f>AG115*$P$33</f>
        <v>0</v>
      </c>
      <c r="AI115" s="227">
        <f t="shared" si="79"/>
        <v>0</v>
      </c>
    </row>
    <row r="116" spans="1:35" x14ac:dyDescent="0.35">
      <c r="A116" s="48">
        <v>1417</v>
      </c>
      <c r="B116" s="58">
        <f>SUMIF([2]!Table2_23[ETA],'FIS Current Model'!A116,[2]!Table2_23[FIS PAX])</f>
        <v>0</v>
      </c>
      <c r="C116" s="44">
        <f t="shared" si="80"/>
        <v>0</v>
      </c>
      <c r="D116" s="52">
        <f t="shared" si="86"/>
        <v>0</v>
      </c>
      <c r="E116" s="26">
        <f t="shared" si="68"/>
        <v>0</v>
      </c>
      <c r="F116" s="26">
        <f t="shared" si="69"/>
        <v>0</v>
      </c>
      <c r="G116" s="26">
        <f t="shared" si="70"/>
        <v>0</v>
      </c>
      <c r="H116" s="26">
        <f t="shared" si="81"/>
        <v>0</v>
      </c>
      <c r="I116" s="27">
        <f t="shared" si="88"/>
        <v>0</v>
      </c>
      <c r="J116" s="27">
        <f t="shared" si="88"/>
        <v>0</v>
      </c>
      <c r="K116" s="27">
        <f t="shared" si="88"/>
        <v>0</v>
      </c>
      <c r="L116" s="27">
        <f t="shared" si="88"/>
        <v>0</v>
      </c>
      <c r="M116" s="28">
        <f>$M$115</f>
        <v>0</v>
      </c>
      <c r="N116" s="29">
        <f>$N$115</f>
        <v>11</v>
      </c>
      <c r="O116" s="28">
        <f>$O$115</f>
        <v>0</v>
      </c>
      <c r="P116" s="28">
        <f>$P$115</f>
        <v>0</v>
      </c>
      <c r="Q116" s="28">
        <f t="shared" si="71"/>
        <v>11</v>
      </c>
      <c r="R116" s="22">
        <f t="shared" si="72"/>
        <v>0</v>
      </c>
      <c r="S116" s="22">
        <f t="shared" si="73"/>
        <v>0</v>
      </c>
      <c r="T116" s="22">
        <f t="shared" si="74"/>
        <v>0</v>
      </c>
      <c r="U116" s="22">
        <f t="shared" si="75"/>
        <v>0</v>
      </c>
      <c r="V116" s="21">
        <f t="shared" ref="V116:V179" si="89">IFERROR(R116*($I$30/M116),0)</f>
        <v>0</v>
      </c>
      <c r="W116" s="21">
        <f>IFERROR(S116*($I$31/N116),0)</f>
        <v>0</v>
      </c>
      <c r="X116" s="21">
        <f t="shared" si="84"/>
        <v>0</v>
      </c>
      <c r="Y116" s="21">
        <f t="shared" si="85"/>
        <v>0</v>
      </c>
      <c r="Z116" s="221">
        <f t="shared" si="76"/>
        <v>0</v>
      </c>
      <c r="AA116" s="30">
        <f t="shared" si="64"/>
        <v>0</v>
      </c>
      <c r="AB116" s="30">
        <f t="shared" si="65"/>
        <v>0</v>
      </c>
      <c r="AC116" s="30">
        <f t="shared" si="66"/>
        <v>0</v>
      </c>
      <c r="AD116" s="30">
        <f t="shared" si="67"/>
        <v>0</v>
      </c>
      <c r="AE116" s="32">
        <f t="shared" si="77"/>
        <v>0</v>
      </c>
      <c r="AF116" s="33">
        <f t="shared" si="87"/>
        <v>0</v>
      </c>
      <c r="AG116" s="40">
        <f t="shared" si="78"/>
        <v>0</v>
      </c>
      <c r="AH116" s="224">
        <f>AG116*$P$33</f>
        <v>0</v>
      </c>
      <c r="AI116" s="227">
        <f t="shared" si="79"/>
        <v>0</v>
      </c>
    </row>
    <row r="117" spans="1:35" x14ac:dyDescent="0.35">
      <c r="A117" s="48">
        <v>1418</v>
      </c>
      <c r="B117" s="58">
        <f>SUMIF([2]!Table2_23[ETA],'FIS Current Model'!A117,[2]!Table2_23[FIS PAX])</f>
        <v>0</v>
      </c>
      <c r="C117" s="44">
        <f t="shared" si="80"/>
        <v>0</v>
      </c>
      <c r="D117" s="52">
        <f t="shared" si="86"/>
        <v>0</v>
      </c>
      <c r="E117" s="26">
        <f t="shared" si="68"/>
        <v>0</v>
      </c>
      <c r="F117" s="26">
        <f t="shared" si="69"/>
        <v>0</v>
      </c>
      <c r="G117" s="26">
        <f t="shared" si="70"/>
        <v>0</v>
      </c>
      <c r="H117" s="26">
        <f t="shared" si="81"/>
        <v>0</v>
      </c>
      <c r="I117" s="27">
        <f t="shared" si="88"/>
        <v>0</v>
      </c>
      <c r="J117" s="27">
        <f t="shared" si="88"/>
        <v>0</v>
      </c>
      <c r="K117" s="27">
        <f t="shared" si="88"/>
        <v>0</v>
      </c>
      <c r="L117" s="27">
        <f t="shared" si="88"/>
        <v>0</v>
      </c>
      <c r="M117" s="28">
        <f t="shared" ref="M117:M129" si="90">$M$115</f>
        <v>0</v>
      </c>
      <c r="N117" s="29">
        <f t="shared" ref="N117:N129" si="91">$N$115</f>
        <v>11</v>
      </c>
      <c r="O117" s="28">
        <f t="shared" ref="O117:O129" si="92">$O$115</f>
        <v>0</v>
      </c>
      <c r="P117" s="28">
        <f t="shared" ref="P117:P129" si="93">$P$115</f>
        <v>0</v>
      </c>
      <c r="Q117" s="28">
        <f t="shared" si="71"/>
        <v>11</v>
      </c>
      <c r="R117" s="22">
        <f t="shared" si="72"/>
        <v>0</v>
      </c>
      <c r="S117" s="22">
        <f t="shared" si="73"/>
        <v>0</v>
      </c>
      <c r="T117" s="22">
        <f t="shared" si="74"/>
        <v>0</v>
      </c>
      <c r="U117" s="22">
        <f t="shared" si="75"/>
        <v>0</v>
      </c>
      <c r="V117" s="21">
        <f t="shared" si="89"/>
        <v>0</v>
      </c>
      <c r="W117" s="21">
        <f t="shared" ref="W117:W180" si="94">IFERROR(S117*($I$31/N117),0)</f>
        <v>0</v>
      </c>
      <c r="X117" s="21">
        <f t="shared" si="84"/>
        <v>0</v>
      </c>
      <c r="Y117" s="21">
        <f t="shared" si="85"/>
        <v>0</v>
      </c>
      <c r="Z117" s="221">
        <f t="shared" si="76"/>
        <v>0</v>
      </c>
      <c r="AA117" s="30">
        <f t="shared" si="64"/>
        <v>0</v>
      </c>
      <c r="AB117" s="30">
        <f t="shared" si="65"/>
        <v>0</v>
      </c>
      <c r="AC117" s="30">
        <f t="shared" si="66"/>
        <v>0</v>
      </c>
      <c r="AD117" s="30">
        <f t="shared" si="67"/>
        <v>0</v>
      </c>
      <c r="AE117" s="32">
        <f t="shared" si="77"/>
        <v>0</v>
      </c>
      <c r="AF117" s="33">
        <f t="shared" si="87"/>
        <v>0</v>
      </c>
      <c r="AG117" s="40">
        <f t="shared" si="78"/>
        <v>0</v>
      </c>
      <c r="AH117" s="224">
        <f>AG117*$P$33</f>
        <v>0</v>
      </c>
      <c r="AI117" s="227">
        <f t="shared" si="79"/>
        <v>0</v>
      </c>
    </row>
    <row r="118" spans="1:35" x14ac:dyDescent="0.35">
      <c r="A118" s="48">
        <v>1419</v>
      </c>
      <c r="B118" s="58">
        <f>SUMIF([2]!Table2_23[ETA],'FIS Current Model'!A118,[2]!Table2_23[FIS PAX])</f>
        <v>0</v>
      </c>
      <c r="C118" s="44">
        <f t="shared" si="80"/>
        <v>0</v>
      </c>
      <c r="D118" s="52">
        <f t="shared" si="86"/>
        <v>0</v>
      </c>
      <c r="E118" s="26">
        <f t="shared" si="68"/>
        <v>0</v>
      </c>
      <c r="F118" s="26">
        <f t="shared" si="69"/>
        <v>0</v>
      </c>
      <c r="G118" s="26">
        <f t="shared" si="70"/>
        <v>0</v>
      </c>
      <c r="H118" s="26">
        <f t="shared" si="81"/>
        <v>0</v>
      </c>
      <c r="I118" s="27">
        <f t="shared" si="88"/>
        <v>0</v>
      </c>
      <c r="J118" s="27">
        <f t="shared" si="88"/>
        <v>0</v>
      </c>
      <c r="K118" s="27">
        <f t="shared" si="88"/>
        <v>0</v>
      </c>
      <c r="L118" s="27">
        <f t="shared" si="88"/>
        <v>0</v>
      </c>
      <c r="M118" s="28">
        <f t="shared" si="90"/>
        <v>0</v>
      </c>
      <c r="N118" s="29">
        <f t="shared" si="91"/>
        <v>11</v>
      </c>
      <c r="O118" s="28">
        <f t="shared" si="92"/>
        <v>0</v>
      </c>
      <c r="P118" s="28">
        <f t="shared" si="93"/>
        <v>0</v>
      </c>
      <c r="Q118" s="28">
        <f t="shared" si="71"/>
        <v>11</v>
      </c>
      <c r="R118" s="22">
        <f t="shared" si="72"/>
        <v>0</v>
      </c>
      <c r="S118" s="22">
        <f t="shared" si="73"/>
        <v>0</v>
      </c>
      <c r="T118" s="22">
        <f t="shared" si="74"/>
        <v>0</v>
      </c>
      <c r="U118" s="22">
        <f t="shared" si="75"/>
        <v>0</v>
      </c>
      <c r="V118" s="21">
        <f t="shared" si="89"/>
        <v>0</v>
      </c>
      <c r="W118" s="21">
        <f t="shared" si="94"/>
        <v>0</v>
      </c>
      <c r="X118" s="21">
        <f t="shared" si="84"/>
        <v>0</v>
      </c>
      <c r="Y118" s="21">
        <f t="shared" si="85"/>
        <v>0</v>
      </c>
      <c r="Z118" s="221">
        <f t="shared" si="76"/>
        <v>0</v>
      </c>
      <c r="AA118" s="30">
        <f t="shared" si="64"/>
        <v>0</v>
      </c>
      <c r="AB118" s="30">
        <f t="shared" si="65"/>
        <v>0</v>
      </c>
      <c r="AC118" s="30">
        <f t="shared" si="66"/>
        <v>0</v>
      </c>
      <c r="AD118" s="30">
        <f t="shared" si="67"/>
        <v>0</v>
      </c>
      <c r="AE118" s="32">
        <f t="shared" si="77"/>
        <v>0</v>
      </c>
      <c r="AF118" s="33">
        <f t="shared" si="87"/>
        <v>0</v>
      </c>
      <c r="AG118" s="40">
        <f t="shared" si="78"/>
        <v>0</v>
      </c>
      <c r="AH118" s="224">
        <f>AG118*$P$33</f>
        <v>0</v>
      </c>
      <c r="AI118" s="227">
        <f t="shared" si="79"/>
        <v>0</v>
      </c>
    </row>
    <row r="119" spans="1:35" x14ac:dyDescent="0.35">
      <c r="A119" s="48">
        <v>1420</v>
      </c>
      <c r="B119" s="58">
        <f>SUMIF([2]!Table2_23[ETA],'FIS Current Model'!A119,[2]!Table2_23[FIS PAX])</f>
        <v>0</v>
      </c>
      <c r="C119" s="44">
        <f t="shared" si="80"/>
        <v>0</v>
      </c>
      <c r="D119" s="52">
        <f t="shared" si="86"/>
        <v>0</v>
      </c>
      <c r="E119" s="26">
        <f t="shared" si="68"/>
        <v>0</v>
      </c>
      <c r="F119" s="26">
        <f t="shared" si="69"/>
        <v>0</v>
      </c>
      <c r="G119" s="26">
        <f t="shared" si="70"/>
        <v>0</v>
      </c>
      <c r="H119" s="26">
        <f t="shared" si="81"/>
        <v>0</v>
      </c>
      <c r="I119" s="27">
        <f t="shared" si="88"/>
        <v>0</v>
      </c>
      <c r="J119" s="27">
        <f t="shared" si="88"/>
        <v>0</v>
      </c>
      <c r="K119" s="27">
        <f t="shared" si="88"/>
        <v>0</v>
      </c>
      <c r="L119" s="27">
        <f t="shared" si="88"/>
        <v>0</v>
      </c>
      <c r="M119" s="28">
        <f t="shared" si="90"/>
        <v>0</v>
      </c>
      <c r="N119" s="29">
        <f t="shared" si="91"/>
        <v>11</v>
      </c>
      <c r="O119" s="28">
        <f t="shared" si="92"/>
        <v>0</v>
      </c>
      <c r="P119" s="28">
        <f t="shared" si="93"/>
        <v>0</v>
      </c>
      <c r="Q119" s="28">
        <f t="shared" si="71"/>
        <v>11</v>
      </c>
      <c r="R119" s="22">
        <f t="shared" si="72"/>
        <v>0</v>
      </c>
      <c r="S119" s="22">
        <f t="shared" si="73"/>
        <v>0</v>
      </c>
      <c r="T119" s="22">
        <f t="shared" si="74"/>
        <v>0</v>
      </c>
      <c r="U119" s="22">
        <f t="shared" si="75"/>
        <v>0</v>
      </c>
      <c r="V119" s="21">
        <f t="shared" si="89"/>
        <v>0</v>
      </c>
      <c r="W119" s="21">
        <f t="shared" si="94"/>
        <v>0</v>
      </c>
      <c r="X119" s="21">
        <f t="shared" si="84"/>
        <v>0</v>
      </c>
      <c r="Y119" s="21">
        <f t="shared" si="85"/>
        <v>0</v>
      </c>
      <c r="Z119" s="221">
        <f t="shared" si="76"/>
        <v>0</v>
      </c>
      <c r="AA119" s="30">
        <f t="shared" si="64"/>
        <v>0</v>
      </c>
      <c r="AB119" s="30">
        <f t="shared" si="65"/>
        <v>0</v>
      </c>
      <c r="AC119" s="30">
        <f t="shared" si="66"/>
        <v>0</v>
      </c>
      <c r="AD119" s="30">
        <f t="shared" si="67"/>
        <v>0</v>
      </c>
      <c r="AE119" s="32">
        <f t="shared" si="77"/>
        <v>0</v>
      </c>
      <c r="AF119" s="33">
        <f t="shared" si="87"/>
        <v>0</v>
      </c>
      <c r="AG119" s="40">
        <f t="shared" si="78"/>
        <v>0</v>
      </c>
      <c r="AH119" s="224">
        <f>AG119*$P$33</f>
        <v>0</v>
      </c>
      <c r="AI119" s="227">
        <f t="shared" si="79"/>
        <v>0</v>
      </c>
    </row>
    <row r="120" spans="1:35" x14ac:dyDescent="0.35">
      <c r="A120" s="48">
        <v>1421</v>
      </c>
      <c r="B120" s="58">
        <f>SUMIF([2]!Table2_23[ETA],'FIS Current Model'!A120,[2]!Table2_23[FIS PAX])</f>
        <v>0</v>
      </c>
      <c r="C120" s="44">
        <f t="shared" si="80"/>
        <v>0</v>
      </c>
      <c r="D120" s="52">
        <f t="shared" si="86"/>
        <v>0</v>
      </c>
      <c r="E120" s="26">
        <f t="shared" si="68"/>
        <v>0</v>
      </c>
      <c r="F120" s="26">
        <f t="shared" si="69"/>
        <v>0</v>
      </c>
      <c r="G120" s="26">
        <f t="shared" si="70"/>
        <v>0</v>
      </c>
      <c r="H120" s="26">
        <f t="shared" si="81"/>
        <v>0</v>
      </c>
      <c r="I120" s="27">
        <f t="shared" si="88"/>
        <v>0</v>
      </c>
      <c r="J120" s="27">
        <f t="shared" si="88"/>
        <v>0</v>
      </c>
      <c r="K120" s="27">
        <f t="shared" si="88"/>
        <v>0</v>
      </c>
      <c r="L120" s="27">
        <f t="shared" si="88"/>
        <v>0</v>
      </c>
      <c r="M120" s="28">
        <f t="shared" si="90"/>
        <v>0</v>
      </c>
      <c r="N120" s="29">
        <f t="shared" si="91"/>
        <v>11</v>
      </c>
      <c r="O120" s="28">
        <f t="shared" si="92"/>
        <v>0</v>
      </c>
      <c r="P120" s="28">
        <f t="shared" si="93"/>
        <v>0</v>
      </c>
      <c r="Q120" s="28">
        <f t="shared" si="71"/>
        <v>11</v>
      </c>
      <c r="R120" s="22">
        <f t="shared" si="72"/>
        <v>0</v>
      </c>
      <c r="S120" s="22">
        <f t="shared" si="73"/>
        <v>0</v>
      </c>
      <c r="T120" s="22">
        <f t="shared" si="74"/>
        <v>0</v>
      </c>
      <c r="U120" s="22">
        <f t="shared" si="75"/>
        <v>0</v>
      </c>
      <c r="V120" s="21">
        <f t="shared" si="89"/>
        <v>0</v>
      </c>
      <c r="W120" s="21">
        <f t="shared" si="94"/>
        <v>0</v>
      </c>
      <c r="X120" s="21">
        <f t="shared" si="84"/>
        <v>0</v>
      </c>
      <c r="Y120" s="21">
        <f t="shared" si="85"/>
        <v>0</v>
      </c>
      <c r="Z120" s="221">
        <f t="shared" si="76"/>
        <v>0</v>
      </c>
      <c r="AA120" s="30">
        <f t="shared" si="64"/>
        <v>0</v>
      </c>
      <c r="AB120" s="30">
        <f t="shared" si="65"/>
        <v>0</v>
      </c>
      <c r="AC120" s="30">
        <f t="shared" si="66"/>
        <v>0</v>
      </c>
      <c r="AD120" s="30">
        <f t="shared" si="67"/>
        <v>0</v>
      </c>
      <c r="AE120" s="32">
        <f t="shared" si="77"/>
        <v>0</v>
      </c>
      <c r="AF120" s="33">
        <f t="shared" si="87"/>
        <v>0</v>
      </c>
      <c r="AG120" s="40">
        <f t="shared" si="78"/>
        <v>0</v>
      </c>
      <c r="AH120" s="224">
        <f>AG120*$P$33</f>
        <v>0</v>
      </c>
      <c r="AI120" s="227">
        <f t="shared" si="79"/>
        <v>0</v>
      </c>
    </row>
    <row r="121" spans="1:35" x14ac:dyDescent="0.35">
      <c r="A121" s="48">
        <v>1422</v>
      </c>
      <c r="B121" s="58">
        <f>SUMIF([2]!Table2_23[ETA],'FIS Current Model'!A121,[2]!Table2_23[FIS PAX])</f>
        <v>0</v>
      </c>
      <c r="C121" s="44">
        <f t="shared" si="80"/>
        <v>0</v>
      </c>
      <c r="D121" s="52">
        <f t="shared" si="86"/>
        <v>0</v>
      </c>
      <c r="E121" s="26">
        <f t="shared" si="68"/>
        <v>0</v>
      </c>
      <c r="F121" s="26">
        <f t="shared" si="69"/>
        <v>0</v>
      </c>
      <c r="G121" s="26">
        <f t="shared" si="70"/>
        <v>0</v>
      </c>
      <c r="H121" s="26">
        <f t="shared" si="81"/>
        <v>0</v>
      </c>
      <c r="I121" s="27">
        <f t="shared" si="88"/>
        <v>0</v>
      </c>
      <c r="J121" s="27">
        <f t="shared" si="88"/>
        <v>0</v>
      </c>
      <c r="K121" s="27">
        <f t="shared" si="88"/>
        <v>0</v>
      </c>
      <c r="L121" s="27">
        <f t="shared" si="88"/>
        <v>0</v>
      </c>
      <c r="M121" s="28">
        <f t="shared" si="90"/>
        <v>0</v>
      </c>
      <c r="N121" s="29">
        <f t="shared" si="91"/>
        <v>11</v>
      </c>
      <c r="O121" s="28">
        <f t="shared" si="92"/>
        <v>0</v>
      </c>
      <c r="P121" s="28">
        <f t="shared" si="93"/>
        <v>0</v>
      </c>
      <c r="Q121" s="28">
        <f t="shared" si="71"/>
        <v>11</v>
      </c>
      <c r="R121" s="22">
        <f t="shared" si="72"/>
        <v>0</v>
      </c>
      <c r="S121" s="22">
        <f t="shared" si="73"/>
        <v>0</v>
      </c>
      <c r="T121" s="22">
        <f t="shared" si="74"/>
        <v>0</v>
      </c>
      <c r="U121" s="22">
        <f t="shared" si="75"/>
        <v>0</v>
      </c>
      <c r="V121" s="21">
        <f t="shared" si="89"/>
        <v>0</v>
      </c>
      <c r="W121" s="21">
        <f t="shared" si="94"/>
        <v>0</v>
      </c>
      <c r="X121" s="21">
        <f t="shared" si="84"/>
        <v>0</v>
      </c>
      <c r="Y121" s="21">
        <f t="shared" si="85"/>
        <v>0</v>
      </c>
      <c r="Z121" s="221">
        <f t="shared" si="76"/>
        <v>0</v>
      </c>
      <c r="AA121" s="30">
        <f t="shared" si="64"/>
        <v>0</v>
      </c>
      <c r="AB121" s="30">
        <f t="shared" si="65"/>
        <v>0</v>
      </c>
      <c r="AC121" s="30">
        <f t="shared" si="66"/>
        <v>0</v>
      </c>
      <c r="AD121" s="30">
        <f t="shared" si="67"/>
        <v>0</v>
      </c>
      <c r="AE121" s="32">
        <f t="shared" si="77"/>
        <v>0</v>
      </c>
      <c r="AF121" s="33">
        <f t="shared" si="87"/>
        <v>0</v>
      </c>
      <c r="AG121" s="40">
        <f t="shared" si="78"/>
        <v>0</v>
      </c>
      <c r="AH121" s="224">
        <f>AG121*$P$33</f>
        <v>0</v>
      </c>
      <c r="AI121" s="227">
        <f t="shared" si="79"/>
        <v>0</v>
      </c>
    </row>
    <row r="122" spans="1:35" x14ac:dyDescent="0.35">
      <c r="A122" s="48">
        <v>1423</v>
      </c>
      <c r="B122" s="58">
        <f>SUMIF([2]!Table2_23[ETA],'FIS Current Model'!A122,[2]!Table2_23[FIS PAX])</f>
        <v>0</v>
      </c>
      <c r="C122" s="44">
        <f t="shared" si="80"/>
        <v>0</v>
      </c>
      <c r="D122" s="52">
        <f t="shared" si="86"/>
        <v>0</v>
      </c>
      <c r="E122" s="26">
        <f t="shared" si="68"/>
        <v>0</v>
      </c>
      <c r="F122" s="26">
        <f t="shared" si="69"/>
        <v>0</v>
      </c>
      <c r="G122" s="26">
        <f t="shared" si="70"/>
        <v>0</v>
      </c>
      <c r="H122" s="26">
        <f t="shared" si="81"/>
        <v>0</v>
      </c>
      <c r="I122" s="27">
        <f t="shared" si="88"/>
        <v>0</v>
      </c>
      <c r="J122" s="27">
        <f t="shared" si="88"/>
        <v>0</v>
      </c>
      <c r="K122" s="27">
        <f t="shared" si="88"/>
        <v>0</v>
      </c>
      <c r="L122" s="27">
        <f t="shared" si="88"/>
        <v>0</v>
      </c>
      <c r="M122" s="28">
        <f t="shared" si="90"/>
        <v>0</v>
      </c>
      <c r="N122" s="29">
        <f t="shared" si="91"/>
        <v>11</v>
      </c>
      <c r="O122" s="28">
        <f t="shared" si="92"/>
        <v>0</v>
      </c>
      <c r="P122" s="28">
        <f t="shared" si="93"/>
        <v>0</v>
      </c>
      <c r="Q122" s="28">
        <f t="shared" si="71"/>
        <v>11</v>
      </c>
      <c r="R122" s="22">
        <f t="shared" si="72"/>
        <v>0</v>
      </c>
      <c r="S122" s="22">
        <f t="shared" si="73"/>
        <v>0</v>
      </c>
      <c r="T122" s="22">
        <f t="shared" si="74"/>
        <v>0</v>
      </c>
      <c r="U122" s="22">
        <f t="shared" si="75"/>
        <v>0</v>
      </c>
      <c r="V122" s="21">
        <f t="shared" si="89"/>
        <v>0</v>
      </c>
      <c r="W122" s="21">
        <f t="shared" si="94"/>
        <v>0</v>
      </c>
      <c r="X122" s="21">
        <f t="shared" si="84"/>
        <v>0</v>
      </c>
      <c r="Y122" s="21">
        <f t="shared" si="85"/>
        <v>0</v>
      </c>
      <c r="Z122" s="221">
        <f t="shared" si="76"/>
        <v>0</v>
      </c>
      <c r="AA122" s="30">
        <f t="shared" si="64"/>
        <v>0</v>
      </c>
      <c r="AB122" s="30">
        <f t="shared" si="65"/>
        <v>0</v>
      </c>
      <c r="AC122" s="30">
        <f t="shared" si="66"/>
        <v>0</v>
      </c>
      <c r="AD122" s="30">
        <f t="shared" si="67"/>
        <v>0</v>
      </c>
      <c r="AE122" s="32">
        <f t="shared" si="77"/>
        <v>0</v>
      </c>
      <c r="AF122" s="33">
        <f t="shared" si="87"/>
        <v>0</v>
      </c>
      <c r="AG122" s="40">
        <f t="shared" si="78"/>
        <v>0</v>
      </c>
      <c r="AH122" s="224">
        <f>AG122*$P$33</f>
        <v>0</v>
      </c>
      <c r="AI122" s="227">
        <f t="shared" si="79"/>
        <v>0</v>
      </c>
    </row>
    <row r="123" spans="1:35" x14ac:dyDescent="0.35">
      <c r="A123" s="48">
        <v>1424</v>
      </c>
      <c r="B123" s="58">
        <f>SUMIF([2]!Table2_23[ETA],'FIS Current Model'!A123,[2]!Table2_23[FIS PAX])</f>
        <v>0</v>
      </c>
      <c r="C123" s="44">
        <f t="shared" si="80"/>
        <v>0</v>
      </c>
      <c r="D123" s="52">
        <f t="shared" si="86"/>
        <v>0</v>
      </c>
      <c r="E123" s="26">
        <f t="shared" si="68"/>
        <v>0</v>
      </c>
      <c r="F123" s="26">
        <f t="shared" si="69"/>
        <v>0</v>
      </c>
      <c r="G123" s="26">
        <f t="shared" si="70"/>
        <v>0</v>
      </c>
      <c r="H123" s="26">
        <f t="shared" si="81"/>
        <v>0</v>
      </c>
      <c r="I123" s="27">
        <f t="shared" si="88"/>
        <v>0</v>
      </c>
      <c r="J123" s="27">
        <f t="shared" si="88"/>
        <v>0</v>
      </c>
      <c r="K123" s="27">
        <f t="shared" si="88"/>
        <v>0</v>
      </c>
      <c r="L123" s="27">
        <f t="shared" si="88"/>
        <v>0</v>
      </c>
      <c r="M123" s="28">
        <f t="shared" si="90"/>
        <v>0</v>
      </c>
      <c r="N123" s="29">
        <f t="shared" si="91"/>
        <v>11</v>
      </c>
      <c r="O123" s="28">
        <f t="shared" si="92"/>
        <v>0</v>
      </c>
      <c r="P123" s="28">
        <f t="shared" si="93"/>
        <v>0</v>
      </c>
      <c r="Q123" s="28">
        <f t="shared" si="71"/>
        <v>11</v>
      </c>
      <c r="R123" s="22">
        <f t="shared" si="72"/>
        <v>0</v>
      </c>
      <c r="S123" s="22">
        <f t="shared" si="73"/>
        <v>0</v>
      </c>
      <c r="T123" s="22">
        <f t="shared" si="74"/>
        <v>0</v>
      </c>
      <c r="U123" s="22">
        <f t="shared" si="75"/>
        <v>0</v>
      </c>
      <c r="V123" s="21">
        <f t="shared" si="89"/>
        <v>0</v>
      </c>
      <c r="W123" s="21">
        <f t="shared" si="94"/>
        <v>0</v>
      </c>
      <c r="X123" s="21">
        <f t="shared" si="84"/>
        <v>0</v>
      </c>
      <c r="Y123" s="21">
        <f t="shared" si="85"/>
        <v>0</v>
      </c>
      <c r="Z123" s="221">
        <f t="shared" si="76"/>
        <v>0</v>
      </c>
      <c r="AA123" s="30">
        <f t="shared" si="64"/>
        <v>0</v>
      </c>
      <c r="AB123" s="30">
        <f t="shared" si="65"/>
        <v>0</v>
      </c>
      <c r="AC123" s="30">
        <f t="shared" si="66"/>
        <v>0</v>
      </c>
      <c r="AD123" s="30">
        <f t="shared" si="67"/>
        <v>0</v>
      </c>
      <c r="AE123" s="32">
        <f t="shared" si="77"/>
        <v>0</v>
      </c>
      <c r="AF123" s="33">
        <f t="shared" si="87"/>
        <v>0</v>
      </c>
      <c r="AG123" s="40">
        <f t="shared" si="78"/>
        <v>0</v>
      </c>
      <c r="AH123" s="224">
        <f>AG123*$P$33</f>
        <v>0</v>
      </c>
      <c r="AI123" s="227">
        <f t="shared" si="79"/>
        <v>0</v>
      </c>
    </row>
    <row r="124" spans="1:35" x14ac:dyDescent="0.35">
      <c r="A124" s="48">
        <v>1425</v>
      </c>
      <c r="B124" s="58">
        <f>SUMIF([2]!Table2_23[ETA],'FIS Current Model'!A124,[2]!Table2_23[FIS PAX])</f>
        <v>0</v>
      </c>
      <c r="C124" s="44">
        <f t="shared" si="80"/>
        <v>0</v>
      </c>
      <c r="D124" s="52">
        <f t="shared" si="86"/>
        <v>0</v>
      </c>
      <c r="E124" s="26">
        <f t="shared" si="68"/>
        <v>0</v>
      </c>
      <c r="F124" s="26">
        <f t="shared" si="69"/>
        <v>0</v>
      </c>
      <c r="G124" s="26">
        <f t="shared" si="70"/>
        <v>0</v>
      </c>
      <c r="H124" s="26">
        <f t="shared" si="81"/>
        <v>0</v>
      </c>
      <c r="I124" s="27">
        <f t="shared" si="88"/>
        <v>0</v>
      </c>
      <c r="J124" s="27">
        <f t="shared" si="88"/>
        <v>0</v>
      </c>
      <c r="K124" s="27">
        <f t="shared" si="88"/>
        <v>0</v>
      </c>
      <c r="L124" s="27">
        <f t="shared" si="88"/>
        <v>0</v>
      </c>
      <c r="M124" s="28">
        <f t="shared" si="90"/>
        <v>0</v>
      </c>
      <c r="N124" s="29">
        <f t="shared" si="91"/>
        <v>11</v>
      </c>
      <c r="O124" s="28">
        <f t="shared" si="92"/>
        <v>0</v>
      </c>
      <c r="P124" s="28">
        <f t="shared" si="93"/>
        <v>0</v>
      </c>
      <c r="Q124" s="28">
        <f t="shared" si="71"/>
        <v>11</v>
      </c>
      <c r="R124" s="22">
        <f t="shared" si="72"/>
        <v>0</v>
      </c>
      <c r="S124" s="22">
        <f t="shared" si="73"/>
        <v>0</v>
      </c>
      <c r="T124" s="22">
        <f t="shared" si="74"/>
        <v>0</v>
      </c>
      <c r="U124" s="22">
        <f t="shared" si="75"/>
        <v>0</v>
      </c>
      <c r="V124" s="21">
        <f t="shared" si="89"/>
        <v>0</v>
      </c>
      <c r="W124" s="21">
        <f t="shared" si="94"/>
        <v>0</v>
      </c>
      <c r="X124" s="21">
        <f t="shared" si="84"/>
        <v>0</v>
      </c>
      <c r="Y124" s="21">
        <f t="shared" si="85"/>
        <v>0</v>
      </c>
      <c r="Z124" s="221">
        <f t="shared" si="76"/>
        <v>0</v>
      </c>
      <c r="AA124" s="30">
        <f t="shared" si="64"/>
        <v>0</v>
      </c>
      <c r="AB124" s="30">
        <f t="shared" si="65"/>
        <v>0</v>
      </c>
      <c r="AC124" s="30">
        <f t="shared" si="66"/>
        <v>0</v>
      </c>
      <c r="AD124" s="30">
        <f t="shared" si="67"/>
        <v>0</v>
      </c>
      <c r="AE124" s="32">
        <f t="shared" si="77"/>
        <v>0</v>
      </c>
      <c r="AF124" s="33">
        <f t="shared" si="87"/>
        <v>0</v>
      </c>
      <c r="AG124" s="40">
        <f t="shared" si="78"/>
        <v>0</v>
      </c>
      <c r="AH124" s="224">
        <f>AG124*$P$33</f>
        <v>0</v>
      </c>
      <c r="AI124" s="227">
        <f t="shared" si="79"/>
        <v>0</v>
      </c>
    </row>
    <row r="125" spans="1:35" x14ac:dyDescent="0.35">
      <c r="A125" s="48">
        <v>1426</v>
      </c>
      <c r="B125" s="58">
        <f>SUMIF([2]!Table2_23[ETA],'FIS Current Model'!A125,[2]!Table2_23[FIS PAX])</f>
        <v>0</v>
      </c>
      <c r="C125" s="44">
        <f t="shared" si="80"/>
        <v>0</v>
      </c>
      <c r="D125" s="52">
        <f t="shared" si="86"/>
        <v>0</v>
      </c>
      <c r="E125" s="26">
        <f t="shared" si="68"/>
        <v>0</v>
      </c>
      <c r="F125" s="26">
        <f t="shared" si="69"/>
        <v>0</v>
      </c>
      <c r="G125" s="26">
        <f t="shared" si="70"/>
        <v>0</v>
      </c>
      <c r="H125" s="26">
        <f t="shared" si="81"/>
        <v>0</v>
      </c>
      <c r="I125" s="27">
        <f t="shared" si="88"/>
        <v>0</v>
      </c>
      <c r="J125" s="27">
        <f t="shared" si="88"/>
        <v>0</v>
      </c>
      <c r="K125" s="27">
        <f t="shared" si="88"/>
        <v>0</v>
      </c>
      <c r="L125" s="27">
        <f t="shared" si="88"/>
        <v>0</v>
      </c>
      <c r="M125" s="28">
        <f t="shared" si="90"/>
        <v>0</v>
      </c>
      <c r="N125" s="29">
        <f t="shared" si="91"/>
        <v>11</v>
      </c>
      <c r="O125" s="28">
        <f t="shared" si="92"/>
        <v>0</v>
      </c>
      <c r="P125" s="28">
        <f t="shared" si="93"/>
        <v>0</v>
      </c>
      <c r="Q125" s="28">
        <f t="shared" si="71"/>
        <v>11</v>
      </c>
      <c r="R125" s="22">
        <f t="shared" si="72"/>
        <v>0</v>
      </c>
      <c r="S125" s="22">
        <f t="shared" si="73"/>
        <v>0</v>
      </c>
      <c r="T125" s="22">
        <f t="shared" si="74"/>
        <v>0</v>
      </c>
      <c r="U125" s="22">
        <f t="shared" si="75"/>
        <v>0</v>
      </c>
      <c r="V125" s="21">
        <f t="shared" si="89"/>
        <v>0</v>
      </c>
      <c r="W125" s="21">
        <f t="shared" si="94"/>
        <v>0</v>
      </c>
      <c r="X125" s="21">
        <f t="shared" si="84"/>
        <v>0</v>
      </c>
      <c r="Y125" s="21">
        <f t="shared" si="85"/>
        <v>0</v>
      </c>
      <c r="Z125" s="221">
        <f t="shared" si="76"/>
        <v>0</v>
      </c>
      <c r="AA125" s="30">
        <f t="shared" si="64"/>
        <v>0</v>
      </c>
      <c r="AB125" s="30">
        <f t="shared" si="65"/>
        <v>0</v>
      </c>
      <c r="AC125" s="30">
        <f t="shared" si="66"/>
        <v>0</v>
      </c>
      <c r="AD125" s="30">
        <f t="shared" si="67"/>
        <v>0</v>
      </c>
      <c r="AE125" s="32">
        <f t="shared" si="77"/>
        <v>0</v>
      </c>
      <c r="AF125" s="33">
        <f t="shared" si="87"/>
        <v>0</v>
      </c>
      <c r="AG125" s="40">
        <f t="shared" si="78"/>
        <v>0</v>
      </c>
      <c r="AH125" s="224">
        <f>AG125*$P$33</f>
        <v>0</v>
      </c>
      <c r="AI125" s="227">
        <f t="shared" si="79"/>
        <v>0</v>
      </c>
    </row>
    <row r="126" spans="1:35" x14ac:dyDescent="0.35">
      <c r="A126" s="48">
        <v>1427</v>
      </c>
      <c r="B126" s="58">
        <f>SUMIF([2]!Table2_23[ETA],'FIS Current Model'!A126,[2]!Table2_23[FIS PAX])</f>
        <v>0</v>
      </c>
      <c r="C126" s="44">
        <f t="shared" si="80"/>
        <v>0</v>
      </c>
      <c r="D126" s="52">
        <f t="shared" si="86"/>
        <v>0</v>
      </c>
      <c r="E126" s="26">
        <f t="shared" si="68"/>
        <v>0</v>
      </c>
      <c r="F126" s="26">
        <f t="shared" si="69"/>
        <v>0</v>
      </c>
      <c r="G126" s="26">
        <f t="shared" si="70"/>
        <v>0</v>
      </c>
      <c r="H126" s="26">
        <f t="shared" si="81"/>
        <v>0</v>
      </c>
      <c r="I126" s="27">
        <f t="shared" si="88"/>
        <v>0</v>
      </c>
      <c r="J126" s="27">
        <f t="shared" si="88"/>
        <v>0</v>
      </c>
      <c r="K126" s="27">
        <f t="shared" si="88"/>
        <v>0</v>
      </c>
      <c r="L126" s="27">
        <f t="shared" si="88"/>
        <v>0</v>
      </c>
      <c r="M126" s="28">
        <f t="shared" si="90"/>
        <v>0</v>
      </c>
      <c r="N126" s="29">
        <f t="shared" si="91"/>
        <v>11</v>
      </c>
      <c r="O126" s="28">
        <f t="shared" si="92"/>
        <v>0</v>
      </c>
      <c r="P126" s="28">
        <f t="shared" si="93"/>
        <v>0</v>
      </c>
      <c r="Q126" s="28">
        <f t="shared" si="71"/>
        <v>11</v>
      </c>
      <c r="R126" s="22">
        <f t="shared" si="72"/>
        <v>0</v>
      </c>
      <c r="S126" s="22">
        <f t="shared" si="73"/>
        <v>0</v>
      </c>
      <c r="T126" s="22">
        <f t="shared" si="74"/>
        <v>0</v>
      </c>
      <c r="U126" s="22">
        <f t="shared" si="75"/>
        <v>0</v>
      </c>
      <c r="V126" s="21">
        <f t="shared" si="89"/>
        <v>0</v>
      </c>
      <c r="W126" s="21">
        <f t="shared" si="94"/>
        <v>0</v>
      </c>
      <c r="X126" s="21">
        <f t="shared" si="84"/>
        <v>0</v>
      </c>
      <c r="Y126" s="21">
        <f t="shared" si="85"/>
        <v>0</v>
      </c>
      <c r="Z126" s="221">
        <f t="shared" si="76"/>
        <v>0</v>
      </c>
      <c r="AA126" s="30">
        <f t="shared" si="64"/>
        <v>0</v>
      </c>
      <c r="AB126" s="30">
        <f t="shared" si="65"/>
        <v>0</v>
      </c>
      <c r="AC126" s="30">
        <f t="shared" si="66"/>
        <v>0</v>
      </c>
      <c r="AD126" s="30">
        <f t="shared" si="67"/>
        <v>0</v>
      </c>
      <c r="AE126" s="32">
        <f t="shared" si="77"/>
        <v>0</v>
      </c>
      <c r="AF126" s="33">
        <f t="shared" si="87"/>
        <v>0</v>
      </c>
      <c r="AG126" s="40">
        <f t="shared" si="78"/>
        <v>0</v>
      </c>
      <c r="AH126" s="224">
        <f>AG126*$P$33</f>
        <v>0</v>
      </c>
      <c r="AI126" s="227">
        <f t="shared" si="79"/>
        <v>0</v>
      </c>
    </row>
    <row r="127" spans="1:35" x14ac:dyDescent="0.35">
      <c r="A127" s="48">
        <v>1428</v>
      </c>
      <c r="B127" s="58">
        <f>SUMIF([2]!Table2_23[ETA],'FIS Current Model'!A127,[2]!Table2_23[FIS PAX])</f>
        <v>0</v>
      </c>
      <c r="C127" s="44">
        <f t="shared" si="80"/>
        <v>0</v>
      </c>
      <c r="D127" s="52">
        <f t="shared" si="86"/>
        <v>0</v>
      </c>
      <c r="E127" s="26">
        <f t="shared" si="68"/>
        <v>0</v>
      </c>
      <c r="F127" s="26">
        <f t="shared" si="69"/>
        <v>0</v>
      </c>
      <c r="G127" s="26">
        <f t="shared" si="70"/>
        <v>0</v>
      </c>
      <c r="H127" s="26">
        <f t="shared" si="81"/>
        <v>0</v>
      </c>
      <c r="I127" s="27">
        <f t="shared" si="88"/>
        <v>0</v>
      </c>
      <c r="J127" s="27">
        <f t="shared" si="88"/>
        <v>0</v>
      </c>
      <c r="K127" s="27">
        <f t="shared" si="88"/>
        <v>0</v>
      </c>
      <c r="L127" s="27">
        <f t="shared" si="88"/>
        <v>0</v>
      </c>
      <c r="M127" s="28">
        <f t="shared" si="90"/>
        <v>0</v>
      </c>
      <c r="N127" s="29">
        <f t="shared" si="91"/>
        <v>11</v>
      </c>
      <c r="O127" s="28">
        <f t="shared" si="92"/>
        <v>0</v>
      </c>
      <c r="P127" s="28">
        <f t="shared" si="93"/>
        <v>0</v>
      </c>
      <c r="Q127" s="28">
        <f t="shared" si="71"/>
        <v>11</v>
      </c>
      <c r="R127" s="22">
        <f t="shared" si="72"/>
        <v>0</v>
      </c>
      <c r="S127" s="22">
        <f t="shared" si="73"/>
        <v>0</v>
      </c>
      <c r="T127" s="22">
        <f t="shared" si="74"/>
        <v>0</v>
      </c>
      <c r="U127" s="22">
        <f t="shared" si="75"/>
        <v>0</v>
      </c>
      <c r="V127" s="21">
        <f t="shared" si="89"/>
        <v>0</v>
      </c>
      <c r="W127" s="21">
        <f t="shared" si="94"/>
        <v>0</v>
      </c>
      <c r="X127" s="21">
        <f t="shared" si="84"/>
        <v>0</v>
      </c>
      <c r="Y127" s="21">
        <f t="shared" si="85"/>
        <v>0</v>
      </c>
      <c r="Z127" s="221">
        <f t="shared" si="76"/>
        <v>0</v>
      </c>
      <c r="AA127" s="30">
        <f t="shared" si="64"/>
        <v>0</v>
      </c>
      <c r="AB127" s="30">
        <f t="shared" si="65"/>
        <v>0</v>
      </c>
      <c r="AC127" s="30">
        <f t="shared" si="66"/>
        <v>0</v>
      </c>
      <c r="AD127" s="30">
        <f t="shared" si="67"/>
        <v>0</v>
      </c>
      <c r="AE127" s="32">
        <f t="shared" si="77"/>
        <v>0</v>
      </c>
      <c r="AF127" s="33">
        <f t="shared" si="87"/>
        <v>0</v>
      </c>
      <c r="AG127" s="40">
        <f t="shared" si="78"/>
        <v>0</v>
      </c>
      <c r="AH127" s="224">
        <f>AG127*$P$33</f>
        <v>0</v>
      </c>
      <c r="AI127" s="227">
        <f t="shared" si="79"/>
        <v>0</v>
      </c>
    </row>
    <row r="128" spans="1:35" x14ac:dyDescent="0.35">
      <c r="A128" s="48">
        <v>1429</v>
      </c>
      <c r="B128" s="58">
        <f>SUMIF([2]!Table2_23[ETA],'FIS Current Model'!A128,[2]!Table2_23[FIS PAX])</f>
        <v>0</v>
      </c>
      <c r="C128" s="44">
        <f t="shared" si="80"/>
        <v>0</v>
      </c>
      <c r="D128" s="52">
        <f t="shared" si="86"/>
        <v>0</v>
      </c>
      <c r="E128" s="26">
        <f t="shared" si="68"/>
        <v>0</v>
      </c>
      <c r="F128" s="26">
        <f t="shared" si="69"/>
        <v>0</v>
      </c>
      <c r="G128" s="26">
        <f t="shared" si="70"/>
        <v>0</v>
      </c>
      <c r="H128" s="26">
        <f t="shared" si="81"/>
        <v>0</v>
      </c>
      <c r="I128" s="27">
        <f t="shared" si="88"/>
        <v>0</v>
      </c>
      <c r="J128" s="27">
        <f t="shared" si="88"/>
        <v>0</v>
      </c>
      <c r="K128" s="27">
        <f t="shared" si="88"/>
        <v>0</v>
      </c>
      <c r="L128" s="27">
        <f t="shared" si="88"/>
        <v>0</v>
      </c>
      <c r="M128" s="28">
        <f t="shared" si="90"/>
        <v>0</v>
      </c>
      <c r="N128" s="29">
        <f t="shared" si="91"/>
        <v>11</v>
      </c>
      <c r="O128" s="28">
        <f t="shared" si="92"/>
        <v>0</v>
      </c>
      <c r="P128" s="28">
        <f t="shared" si="93"/>
        <v>0</v>
      </c>
      <c r="Q128" s="28">
        <f t="shared" si="71"/>
        <v>11</v>
      </c>
      <c r="R128" s="22">
        <f t="shared" si="72"/>
        <v>0</v>
      </c>
      <c r="S128" s="22">
        <f t="shared" si="73"/>
        <v>0</v>
      </c>
      <c r="T128" s="22">
        <f t="shared" si="74"/>
        <v>0</v>
      </c>
      <c r="U128" s="22">
        <f t="shared" si="75"/>
        <v>0</v>
      </c>
      <c r="V128" s="21">
        <f t="shared" si="89"/>
        <v>0</v>
      </c>
      <c r="W128" s="21">
        <f t="shared" si="94"/>
        <v>0</v>
      </c>
      <c r="X128" s="21">
        <f t="shared" si="84"/>
        <v>0</v>
      </c>
      <c r="Y128" s="21">
        <f t="shared" si="85"/>
        <v>0</v>
      </c>
      <c r="Z128" s="221">
        <f t="shared" si="76"/>
        <v>0</v>
      </c>
      <c r="AA128" s="30">
        <f t="shared" si="64"/>
        <v>0</v>
      </c>
      <c r="AB128" s="30">
        <f t="shared" si="65"/>
        <v>0</v>
      </c>
      <c r="AC128" s="30">
        <f t="shared" si="66"/>
        <v>0</v>
      </c>
      <c r="AD128" s="30">
        <f t="shared" si="67"/>
        <v>0</v>
      </c>
      <c r="AE128" s="32">
        <f t="shared" si="77"/>
        <v>0</v>
      </c>
      <c r="AF128" s="33">
        <f t="shared" si="87"/>
        <v>0</v>
      </c>
      <c r="AG128" s="40">
        <f t="shared" si="78"/>
        <v>0</v>
      </c>
      <c r="AH128" s="224">
        <f>AG128*$P$33</f>
        <v>0</v>
      </c>
      <c r="AI128" s="227">
        <f t="shared" si="79"/>
        <v>0</v>
      </c>
    </row>
    <row r="129" spans="1:35" x14ac:dyDescent="0.35">
      <c r="A129" s="48">
        <v>1430</v>
      </c>
      <c r="B129" s="58">
        <f>SUMIF([2]!Table2_23[ETA],'FIS Current Model'!A129,[2]!Table2_23[FIS PAX])</f>
        <v>11</v>
      </c>
      <c r="C129" s="44">
        <f t="shared" si="80"/>
        <v>0</v>
      </c>
      <c r="D129" s="52">
        <f t="shared" si="86"/>
        <v>0</v>
      </c>
      <c r="E129" s="26">
        <f t="shared" si="68"/>
        <v>0</v>
      </c>
      <c r="F129" s="26">
        <f t="shared" si="69"/>
        <v>0</v>
      </c>
      <c r="G129" s="26">
        <f t="shared" si="70"/>
        <v>0</v>
      </c>
      <c r="H129" s="26">
        <f t="shared" si="81"/>
        <v>0</v>
      </c>
      <c r="I129" s="27">
        <f t="shared" si="88"/>
        <v>0</v>
      </c>
      <c r="J129" s="27">
        <f t="shared" si="88"/>
        <v>0</v>
      </c>
      <c r="K129" s="27">
        <f t="shared" si="88"/>
        <v>0</v>
      </c>
      <c r="L129" s="27">
        <f t="shared" si="88"/>
        <v>0</v>
      </c>
      <c r="M129" s="28">
        <f t="shared" si="90"/>
        <v>0</v>
      </c>
      <c r="N129" s="29">
        <f t="shared" si="91"/>
        <v>11</v>
      </c>
      <c r="O129" s="28">
        <f t="shared" si="92"/>
        <v>0</v>
      </c>
      <c r="P129" s="28">
        <f t="shared" si="93"/>
        <v>0</v>
      </c>
      <c r="Q129" s="28">
        <f>SUM(M129:P129)</f>
        <v>11</v>
      </c>
      <c r="R129" s="22">
        <f t="shared" si="72"/>
        <v>0</v>
      </c>
      <c r="S129" s="22">
        <f t="shared" si="73"/>
        <v>0</v>
      </c>
      <c r="T129" s="22">
        <f t="shared" si="74"/>
        <v>0</v>
      </c>
      <c r="U129" s="22">
        <f t="shared" si="75"/>
        <v>0</v>
      </c>
      <c r="V129" s="21">
        <f>IFERROR(R129*($I$30/M129),0)</f>
        <v>0</v>
      </c>
      <c r="W129" s="21">
        <f>IFERROR(S129*($I$31/N129),0)</f>
        <v>0</v>
      </c>
      <c r="X129" s="21">
        <f>IFERROR(T129*($I$32/O129),0)</f>
        <v>0</v>
      </c>
      <c r="Y129" s="21">
        <f>IFERROR(U129*($I$33/P129),0)</f>
        <v>0</v>
      </c>
      <c r="Z129" s="221">
        <f t="shared" si="76"/>
        <v>0</v>
      </c>
      <c r="AA129" s="30">
        <f t="shared" si="64"/>
        <v>0</v>
      </c>
      <c r="AB129" s="30">
        <f t="shared" si="65"/>
        <v>0</v>
      </c>
      <c r="AC129" s="30">
        <f t="shared" si="66"/>
        <v>0</v>
      </c>
      <c r="AD129" s="30">
        <f t="shared" si="67"/>
        <v>0</v>
      </c>
      <c r="AE129" s="32">
        <f t="shared" si="77"/>
        <v>0</v>
      </c>
      <c r="AF129" s="33">
        <f t="shared" si="87"/>
        <v>0</v>
      </c>
      <c r="AG129" s="40">
        <f t="shared" si="78"/>
        <v>0</v>
      </c>
      <c r="AH129" s="224">
        <f>AG129*$P$33</f>
        <v>0</v>
      </c>
      <c r="AI129" s="227">
        <f t="shared" si="79"/>
        <v>0</v>
      </c>
    </row>
    <row r="130" spans="1:35" x14ac:dyDescent="0.35">
      <c r="A130" s="48">
        <v>1431</v>
      </c>
      <c r="B130" s="58">
        <f>SUMIF([2]!Table2_23[ETA],'FIS Current Model'!A130,[2]!Table2_23[FIS PAX])</f>
        <v>0</v>
      </c>
      <c r="C130" s="44">
        <f t="shared" si="80"/>
        <v>0</v>
      </c>
      <c r="D130" s="52">
        <f t="shared" si="86"/>
        <v>0</v>
      </c>
      <c r="E130" s="26">
        <f t="shared" si="68"/>
        <v>0</v>
      </c>
      <c r="F130" s="26">
        <f t="shared" si="69"/>
        <v>0</v>
      </c>
      <c r="G130" s="26">
        <f t="shared" si="70"/>
        <v>0</v>
      </c>
      <c r="H130" s="26">
        <f t="shared" si="81"/>
        <v>0</v>
      </c>
      <c r="I130" s="27">
        <f t="shared" si="88"/>
        <v>0</v>
      </c>
      <c r="J130" s="27">
        <f t="shared" si="88"/>
        <v>0</v>
      </c>
      <c r="K130" s="27">
        <f t="shared" si="88"/>
        <v>0</v>
      </c>
      <c r="L130" s="27">
        <f t="shared" si="88"/>
        <v>0</v>
      </c>
      <c r="M130" s="28">
        <f>IF(R129=0,0,$Q$12)</f>
        <v>0</v>
      </c>
      <c r="N130" s="29">
        <f>$U$12-M130-O130-P130</f>
        <v>11</v>
      </c>
      <c r="O130" s="28">
        <f>IF(T129=0,0,$S$12)</f>
        <v>0</v>
      </c>
      <c r="P130" s="28">
        <f>IF(U129=0,0,$T$12)</f>
        <v>0</v>
      </c>
      <c r="Q130" s="28">
        <f>SUM(M130:P130)</f>
        <v>11</v>
      </c>
      <c r="R130" s="22">
        <f t="shared" si="72"/>
        <v>0</v>
      </c>
      <c r="S130" s="22">
        <f t="shared" si="73"/>
        <v>0</v>
      </c>
      <c r="T130" s="22">
        <f t="shared" si="74"/>
        <v>0</v>
      </c>
      <c r="U130" s="22">
        <f t="shared" si="75"/>
        <v>0</v>
      </c>
      <c r="V130" s="21">
        <f>IFERROR(R130*($I$30/M130),0)</f>
        <v>0</v>
      </c>
      <c r="W130" s="21">
        <f>IFERROR(S130*($I$31/N130),0)</f>
        <v>0</v>
      </c>
      <c r="X130" s="21">
        <f>IFERROR(T130*($I$32/O130),0)</f>
        <v>0</v>
      </c>
      <c r="Y130" s="21">
        <f>IFERROR(U130*($I$33/P130),0)</f>
        <v>0</v>
      </c>
      <c r="Z130" s="221">
        <f t="shared" si="76"/>
        <v>0</v>
      </c>
      <c r="AA130" s="30">
        <f t="shared" si="64"/>
        <v>0</v>
      </c>
      <c r="AB130" s="30">
        <f t="shared" si="65"/>
        <v>0</v>
      </c>
      <c r="AC130" s="30">
        <f t="shared" si="66"/>
        <v>0</v>
      </c>
      <c r="AD130" s="30">
        <f t="shared" si="67"/>
        <v>0</v>
      </c>
      <c r="AE130" s="32">
        <f t="shared" si="77"/>
        <v>0</v>
      </c>
      <c r="AF130" s="33">
        <f t="shared" si="87"/>
        <v>0</v>
      </c>
      <c r="AG130" s="40">
        <f t="shared" si="78"/>
        <v>0</v>
      </c>
      <c r="AH130" s="224">
        <f>AG130*$P$33</f>
        <v>0</v>
      </c>
      <c r="AI130" s="227">
        <f t="shared" si="79"/>
        <v>0</v>
      </c>
    </row>
    <row r="131" spans="1:35" x14ac:dyDescent="0.35">
      <c r="A131" s="48">
        <v>1432</v>
      </c>
      <c r="B131" s="58">
        <f>SUMIF([2]!Table2_23[ETA],'FIS Current Model'!A131,[2]!Table2_23[FIS PAX])</f>
        <v>0</v>
      </c>
      <c r="C131" s="44">
        <f t="shared" si="80"/>
        <v>0</v>
      </c>
      <c r="D131" s="52">
        <f t="shared" si="86"/>
        <v>0</v>
      </c>
      <c r="E131" s="26">
        <f t="shared" si="68"/>
        <v>0</v>
      </c>
      <c r="F131" s="26">
        <f t="shared" si="69"/>
        <v>0</v>
      </c>
      <c r="G131" s="26">
        <f t="shared" si="70"/>
        <v>0</v>
      </c>
      <c r="H131" s="26">
        <f t="shared" si="81"/>
        <v>0</v>
      </c>
      <c r="I131" s="27">
        <f t="shared" si="88"/>
        <v>0</v>
      </c>
      <c r="J131" s="27">
        <f t="shared" si="88"/>
        <v>0</v>
      </c>
      <c r="K131" s="27">
        <f t="shared" si="88"/>
        <v>0</v>
      </c>
      <c r="L131" s="27">
        <f t="shared" si="88"/>
        <v>0</v>
      </c>
      <c r="M131" s="28">
        <f>$M$130</f>
        <v>0</v>
      </c>
      <c r="N131" s="29">
        <f>$N$130</f>
        <v>11</v>
      </c>
      <c r="O131" s="28">
        <f>$O$130</f>
        <v>0</v>
      </c>
      <c r="P131" s="28">
        <f>$P$130</f>
        <v>0</v>
      </c>
      <c r="Q131" s="28">
        <f t="shared" si="71"/>
        <v>11</v>
      </c>
      <c r="R131" s="22">
        <f t="shared" si="72"/>
        <v>0</v>
      </c>
      <c r="S131" s="22">
        <f t="shared" si="73"/>
        <v>0</v>
      </c>
      <c r="T131" s="22">
        <f t="shared" si="74"/>
        <v>0</v>
      </c>
      <c r="U131" s="22">
        <f t="shared" si="75"/>
        <v>0</v>
      </c>
      <c r="V131" s="21">
        <f t="shared" si="89"/>
        <v>0</v>
      </c>
      <c r="W131" s="21">
        <f t="shared" si="94"/>
        <v>0</v>
      </c>
      <c r="X131" s="21">
        <f t="shared" si="84"/>
        <v>0</v>
      </c>
      <c r="Y131" s="21">
        <f t="shared" si="85"/>
        <v>0</v>
      </c>
      <c r="Z131" s="221">
        <f t="shared" si="76"/>
        <v>0</v>
      </c>
      <c r="AA131" s="30">
        <f t="shared" si="64"/>
        <v>0</v>
      </c>
      <c r="AB131" s="30">
        <f t="shared" si="65"/>
        <v>0</v>
      </c>
      <c r="AC131" s="30">
        <f t="shared" si="66"/>
        <v>0</v>
      </c>
      <c r="AD131" s="30">
        <f t="shared" si="67"/>
        <v>0</v>
      </c>
      <c r="AE131" s="32">
        <f t="shared" si="77"/>
        <v>0</v>
      </c>
      <c r="AF131" s="33">
        <f t="shared" si="87"/>
        <v>0</v>
      </c>
      <c r="AG131" s="40">
        <f t="shared" si="78"/>
        <v>0</v>
      </c>
      <c r="AH131" s="224">
        <f>AG131*$P$33</f>
        <v>0</v>
      </c>
      <c r="AI131" s="227">
        <f t="shared" si="79"/>
        <v>0</v>
      </c>
    </row>
    <row r="132" spans="1:35" x14ac:dyDescent="0.35">
      <c r="A132" s="48">
        <v>1433</v>
      </c>
      <c r="B132" s="58">
        <f>SUMIF([2]!Table2_23[ETA],'FIS Current Model'!A132,[2]!Table2_23[FIS PAX])</f>
        <v>0</v>
      </c>
      <c r="C132" s="44">
        <f t="shared" si="80"/>
        <v>0</v>
      </c>
      <c r="D132" s="52">
        <f t="shared" si="86"/>
        <v>0</v>
      </c>
      <c r="E132" s="26">
        <f t="shared" si="68"/>
        <v>0</v>
      </c>
      <c r="F132" s="26">
        <f t="shared" si="69"/>
        <v>0</v>
      </c>
      <c r="G132" s="26">
        <f t="shared" si="70"/>
        <v>0</v>
      </c>
      <c r="H132" s="26">
        <f t="shared" si="81"/>
        <v>0</v>
      </c>
      <c r="I132" s="27">
        <f t="shared" si="88"/>
        <v>0</v>
      </c>
      <c r="J132" s="27">
        <f t="shared" si="88"/>
        <v>0</v>
      </c>
      <c r="K132" s="27">
        <f t="shared" si="88"/>
        <v>0</v>
      </c>
      <c r="L132" s="27">
        <f t="shared" si="88"/>
        <v>0</v>
      </c>
      <c r="M132" s="28">
        <f t="shared" ref="M132:M144" si="95">$M$130</f>
        <v>0</v>
      </c>
      <c r="N132" s="29">
        <f t="shared" ref="N132:N144" si="96">$N$130</f>
        <v>11</v>
      </c>
      <c r="O132" s="28">
        <f t="shared" ref="O132:O144" si="97">$O$130</f>
        <v>0</v>
      </c>
      <c r="P132" s="28">
        <f t="shared" ref="P132:P144" si="98">$P$130</f>
        <v>0</v>
      </c>
      <c r="Q132" s="28">
        <f t="shared" si="71"/>
        <v>11</v>
      </c>
      <c r="R132" s="22">
        <f t="shared" si="72"/>
        <v>0</v>
      </c>
      <c r="S132" s="22">
        <f t="shared" si="73"/>
        <v>0</v>
      </c>
      <c r="T132" s="22">
        <f t="shared" si="74"/>
        <v>0</v>
      </c>
      <c r="U132" s="22">
        <f t="shared" si="75"/>
        <v>0</v>
      </c>
      <c r="V132" s="21">
        <f t="shared" si="89"/>
        <v>0</v>
      </c>
      <c r="W132" s="21">
        <f t="shared" si="94"/>
        <v>0</v>
      </c>
      <c r="X132" s="21">
        <f t="shared" si="84"/>
        <v>0</v>
      </c>
      <c r="Y132" s="21">
        <f t="shared" si="85"/>
        <v>0</v>
      </c>
      <c r="Z132" s="221">
        <f t="shared" si="76"/>
        <v>0</v>
      </c>
      <c r="AA132" s="30">
        <f t="shared" si="64"/>
        <v>0</v>
      </c>
      <c r="AB132" s="30">
        <f t="shared" si="65"/>
        <v>0</v>
      </c>
      <c r="AC132" s="30">
        <f t="shared" si="66"/>
        <v>0</v>
      </c>
      <c r="AD132" s="30">
        <f t="shared" si="67"/>
        <v>0</v>
      </c>
      <c r="AE132" s="32">
        <f t="shared" si="77"/>
        <v>0</v>
      </c>
      <c r="AF132" s="33">
        <f t="shared" si="87"/>
        <v>0</v>
      </c>
      <c r="AG132" s="40">
        <f t="shared" si="78"/>
        <v>0</v>
      </c>
      <c r="AH132" s="224">
        <f>AG132*$P$33</f>
        <v>0</v>
      </c>
      <c r="AI132" s="227">
        <f t="shared" si="79"/>
        <v>0</v>
      </c>
    </row>
    <row r="133" spans="1:35" x14ac:dyDescent="0.35">
      <c r="A133" s="48">
        <v>1434</v>
      </c>
      <c r="B133" s="58">
        <f>SUMIF([2]!Table2_23[ETA],'FIS Current Model'!A133,[2]!Table2_23[FIS PAX])</f>
        <v>0</v>
      </c>
      <c r="C133" s="44">
        <f t="shared" si="80"/>
        <v>0</v>
      </c>
      <c r="D133" s="52">
        <f t="shared" si="86"/>
        <v>0</v>
      </c>
      <c r="E133" s="26">
        <f t="shared" si="68"/>
        <v>0</v>
      </c>
      <c r="F133" s="26">
        <f t="shared" si="69"/>
        <v>0</v>
      </c>
      <c r="G133" s="26">
        <f t="shared" si="70"/>
        <v>0</v>
      </c>
      <c r="H133" s="26">
        <f t="shared" si="81"/>
        <v>0</v>
      </c>
      <c r="I133" s="27">
        <f t="shared" si="88"/>
        <v>0</v>
      </c>
      <c r="J133" s="27">
        <f t="shared" si="88"/>
        <v>0</v>
      </c>
      <c r="K133" s="27">
        <f t="shared" si="88"/>
        <v>0</v>
      </c>
      <c r="L133" s="27">
        <f t="shared" si="88"/>
        <v>0</v>
      </c>
      <c r="M133" s="28">
        <f t="shared" si="95"/>
        <v>0</v>
      </c>
      <c r="N133" s="29">
        <f t="shared" si="96"/>
        <v>11</v>
      </c>
      <c r="O133" s="28">
        <f t="shared" si="97"/>
        <v>0</v>
      </c>
      <c r="P133" s="28">
        <f t="shared" si="98"/>
        <v>0</v>
      </c>
      <c r="Q133" s="28">
        <f t="shared" si="71"/>
        <v>11</v>
      </c>
      <c r="R133" s="22">
        <f t="shared" si="72"/>
        <v>0</v>
      </c>
      <c r="S133" s="22">
        <f t="shared" si="73"/>
        <v>0</v>
      </c>
      <c r="T133" s="22">
        <f t="shared" si="74"/>
        <v>0</v>
      </c>
      <c r="U133" s="22">
        <f t="shared" si="75"/>
        <v>0</v>
      </c>
      <c r="V133" s="21">
        <f t="shared" si="89"/>
        <v>0</v>
      </c>
      <c r="W133" s="21">
        <f t="shared" si="94"/>
        <v>0</v>
      </c>
      <c r="X133" s="21">
        <f t="shared" si="84"/>
        <v>0</v>
      </c>
      <c r="Y133" s="21">
        <f t="shared" si="85"/>
        <v>0</v>
      </c>
      <c r="Z133" s="221">
        <f t="shared" si="76"/>
        <v>0</v>
      </c>
      <c r="AA133" s="30">
        <f t="shared" si="64"/>
        <v>0</v>
      </c>
      <c r="AB133" s="30">
        <f t="shared" si="65"/>
        <v>0</v>
      </c>
      <c r="AC133" s="30">
        <f t="shared" si="66"/>
        <v>0</v>
      </c>
      <c r="AD133" s="30">
        <f t="shared" si="67"/>
        <v>0</v>
      </c>
      <c r="AE133" s="32">
        <f t="shared" si="77"/>
        <v>0</v>
      </c>
      <c r="AF133" s="33">
        <f t="shared" si="87"/>
        <v>0</v>
      </c>
      <c r="AG133" s="40">
        <f t="shared" si="78"/>
        <v>0</v>
      </c>
      <c r="AH133" s="224">
        <f>AG133*$P$33</f>
        <v>0</v>
      </c>
      <c r="AI133" s="227">
        <f t="shared" si="79"/>
        <v>0</v>
      </c>
    </row>
    <row r="134" spans="1:35" x14ac:dyDescent="0.35">
      <c r="A134" s="48">
        <v>1435</v>
      </c>
      <c r="B134" s="58">
        <f>SUMIF([2]!Table2_23[ETA],'FIS Current Model'!A134,[2]!Table2_23[FIS PAX])</f>
        <v>0</v>
      </c>
      <c r="C134" s="44">
        <f t="shared" si="80"/>
        <v>0</v>
      </c>
      <c r="D134" s="52">
        <f t="shared" si="86"/>
        <v>0</v>
      </c>
      <c r="E134" s="26">
        <f t="shared" si="68"/>
        <v>0</v>
      </c>
      <c r="F134" s="26">
        <f t="shared" si="69"/>
        <v>0</v>
      </c>
      <c r="G134" s="26">
        <f t="shared" si="70"/>
        <v>0</v>
      </c>
      <c r="H134" s="26">
        <f t="shared" si="81"/>
        <v>0</v>
      </c>
      <c r="I134" s="27">
        <f t="shared" si="88"/>
        <v>0</v>
      </c>
      <c r="J134" s="27">
        <f t="shared" si="88"/>
        <v>0</v>
      </c>
      <c r="K134" s="27">
        <f t="shared" si="88"/>
        <v>0</v>
      </c>
      <c r="L134" s="27">
        <f t="shared" si="88"/>
        <v>0</v>
      </c>
      <c r="M134" s="28">
        <f t="shared" si="95"/>
        <v>0</v>
      </c>
      <c r="N134" s="29">
        <f t="shared" si="96"/>
        <v>11</v>
      </c>
      <c r="O134" s="28">
        <f t="shared" si="97"/>
        <v>0</v>
      </c>
      <c r="P134" s="28">
        <f t="shared" si="98"/>
        <v>0</v>
      </c>
      <c r="Q134" s="28">
        <f t="shared" si="71"/>
        <v>11</v>
      </c>
      <c r="R134" s="22">
        <f t="shared" si="72"/>
        <v>0</v>
      </c>
      <c r="S134" s="22">
        <f t="shared" si="73"/>
        <v>0</v>
      </c>
      <c r="T134" s="22">
        <f t="shared" si="74"/>
        <v>0</v>
      </c>
      <c r="U134" s="22">
        <f t="shared" si="75"/>
        <v>0</v>
      </c>
      <c r="V134" s="21">
        <f t="shared" si="89"/>
        <v>0</v>
      </c>
      <c r="W134" s="21">
        <f t="shared" si="94"/>
        <v>0</v>
      </c>
      <c r="X134" s="21">
        <f t="shared" si="84"/>
        <v>0</v>
      </c>
      <c r="Y134" s="21">
        <f t="shared" si="85"/>
        <v>0</v>
      </c>
      <c r="Z134" s="221">
        <f t="shared" si="76"/>
        <v>0</v>
      </c>
      <c r="AA134" s="30">
        <f t="shared" si="64"/>
        <v>0</v>
      </c>
      <c r="AB134" s="30">
        <f t="shared" si="65"/>
        <v>0</v>
      </c>
      <c r="AC134" s="30">
        <f t="shared" si="66"/>
        <v>0</v>
      </c>
      <c r="AD134" s="30">
        <f t="shared" si="67"/>
        <v>0</v>
      </c>
      <c r="AE134" s="32">
        <f t="shared" si="77"/>
        <v>0</v>
      </c>
      <c r="AF134" s="33">
        <f t="shared" si="87"/>
        <v>0</v>
      </c>
      <c r="AG134" s="40">
        <f t="shared" si="78"/>
        <v>0</v>
      </c>
      <c r="AH134" s="224">
        <f>AG134*$P$33</f>
        <v>0</v>
      </c>
      <c r="AI134" s="227">
        <f t="shared" si="79"/>
        <v>0</v>
      </c>
    </row>
    <row r="135" spans="1:35" x14ac:dyDescent="0.35">
      <c r="A135" s="48">
        <v>1436</v>
      </c>
      <c r="B135" s="58">
        <f>SUMIF([2]!Table2_23[ETA],'FIS Current Model'!A135,[2]!Table2_23[FIS PAX])</f>
        <v>0</v>
      </c>
      <c r="C135" s="44">
        <f t="shared" si="80"/>
        <v>0</v>
      </c>
      <c r="D135" s="52">
        <f t="shared" si="86"/>
        <v>0</v>
      </c>
      <c r="E135" s="26">
        <f t="shared" si="68"/>
        <v>0</v>
      </c>
      <c r="F135" s="26">
        <f t="shared" si="69"/>
        <v>0</v>
      </c>
      <c r="G135" s="26">
        <f t="shared" si="70"/>
        <v>0</v>
      </c>
      <c r="H135" s="26">
        <f t="shared" si="81"/>
        <v>0</v>
      </c>
      <c r="I135" s="27">
        <f t="shared" si="88"/>
        <v>0</v>
      </c>
      <c r="J135" s="27">
        <f t="shared" si="88"/>
        <v>0</v>
      </c>
      <c r="K135" s="27">
        <f t="shared" si="88"/>
        <v>0</v>
      </c>
      <c r="L135" s="27">
        <f t="shared" si="88"/>
        <v>0</v>
      </c>
      <c r="M135" s="28">
        <f t="shared" si="95"/>
        <v>0</v>
      </c>
      <c r="N135" s="29">
        <f t="shared" si="96"/>
        <v>11</v>
      </c>
      <c r="O135" s="28">
        <f t="shared" si="97"/>
        <v>0</v>
      </c>
      <c r="P135" s="28">
        <f t="shared" si="98"/>
        <v>0</v>
      </c>
      <c r="Q135" s="28">
        <f t="shared" si="71"/>
        <v>11</v>
      </c>
      <c r="R135" s="22">
        <f t="shared" si="72"/>
        <v>0</v>
      </c>
      <c r="S135" s="22">
        <f t="shared" si="73"/>
        <v>0</v>
      </c>
      <c r="T135" s="22">
        <f t="shared" si="74"/>
        <v>0</v>
      </c>
      <c r="U135" s="22">
        <f t="shared" si="75"/>
        <v>0</v>
      </c>
      <c r="V135" s="21">
        <f t="shared" si="89"/>
        <v>0</v>
      </c>
      <c r="W135" s="21">
        <f t="shared" si="94"/>
        <v>0</v>
      </c>
      <c r="X135" s="21">
        <f t="shared" si="84"/>
        <v>0</v>
      </c>
      <c r="Y135" s="21">
        <f t="shared" si="85"/>
        <v>0</v>
      </c>
      <c r="Z135" s="221">
        <f t="shared" si="76"/>
        <v>0</v>
      </c>
      <c r="AA135" s="30">
        <f t="shared" si="64"/>
        <v>0</v>
      </c>
      <c r="AB135" s="30">
        <f t="shared" si="65"/>
        <v>0</v>
      </c>
      <c r="AC135" s="30">
        <f t="shared" si="66"/>
        <v>0</v>
      </c>
      <c r="AD135" s="30">
        <f t="shared" si="67"/>
        <v>0</v>
      </c>
      <c r="AE135" s="32">
        <f t="shared" si="77"/>
        <v>0</v>
      </c>
      <c r="AF135" s="33">
        <f t="shared" si="87"/>
        <v>0</v>
      </c>
      <c r="AG135" s="40">
        <f t="shared" si="78"/>
        <v>0</v>
      </c>
      <c r="AH135" s="224">
        <f>AG135*$P$33</f>
        <v>0</v>
      </c>
      <c r="AI135" s="227">
        <f t="shared" si="79"/>
        <v>0</v>
      </c>
    </row>
    <row r="136" spans="1:35" x14ac:dyDescent="0.35">
      <c r="A136" s="48">
        <v>1437</v>
      </c>
      <c r="B136" s="58">
        <f>SUMIF([2]!Table2_23[ETA],'FIS Current Model'!A136,[2]!Table2_23[FIS PAX])</f>
        <v>106</v>
      </c>
      <c r="C136" s="44">
        <f t="shared" si="80"/>
        <v>0</v>
      </c>
      <c r="D136" s="52">
        <f t="shared" si="86"/>
        <v>0</v>
      </c>
      <c r="E136" s="26">
        <f t="shared" si="68"/>
        <v>0</v>
      </c>
      <c r="F136" s="26">
        <f t="shared" si="69"/>
        <v>0</v>
      </c>
      <c r="G136" s="26">
        <f t="shared" si="70"/>
        <v>0</v>
      </c>
      <c r="H136" s="26">
        <f t="shared" si="81"/>
        <v>0</v>
      </c>
      <c r="I136" s="27">
        <f t="shared" si="88"/>
        <v>0</v>
      </c>
      <c r="J136" s="27">
        <f t="shared" si="88"/>
        <v>0</v>
      </c>
      <c r="K136" s="27">
        <f t="shared" si="88"/>
        <v>0</v>
      </c>
      <c r="L136" s="27">
        <f t="shared" si="88"/>
        <v>0</v>
      </c>
      <c r="M136" s="28">
        <f t="shared" si="95"/>
        <v>0</v>
      </c>
      <c r="N136" s="29">
        <f t="shared" si="96"/>
        <v>11</v>
      </c>
      <c r="O136" s="28">
        <f t="shared" si="97"/>
        <v>0</v>
      </c>
      <c r="P136" s="28">
        <f t="shared" si="98"/>
        <v>0</v>
      </c>
      <c r="Q136" s="28">
        <f t="shared" si="71"/>
        <v>11</v>
      </c>
      <c r="R136" s="22">
        <f t="shared" si="72"/>
        <v>0</v>
      </c>
      <c r="S136" s="22">
        <f t="shared" si="73"/>
        <v>0</v>
      </c>
      <c r="T136" s="22">
        <f t="shared" si="74"/>
        <v>0</v>
      </c>
      <c r="U136" s="22">
        <f t="shared" si="75"/>
        <v>0</v>
      </c>
      <c r="V136" s="21">
        <f t="shared" si="89"/>
        <v>0</v>
      </c>
      <c r="W136" s="21">
        <f t="shared" si="94"/>
        <v>0</v>
      </c>
      <c r="X136" s="21">
        <f t="shared" si="84"/>
        <v>0</v>
      </c>
      <c r="Y136" s="21">
        <f t="shared" si="85"/>
        <v>0</v>
      </c>
      <c r="Z136" s="221">
        <f t="shared" si="76"/>
        <v>0</v>
      </c>
      <c r="AA136" s="30">
        <f t="shared" si="64"/>
        <v>0</v>
      </c>
      <c r="AB136" s="30">
        <f t="shared" si="65"/>
        <v>0</v>
      </c>
      <c r="AC136" s="30">
        <f t="shared" si="66"/>
        <v>0</v>
      </c>
      <c r="AD136" s="30">
        <f t="shared" si="67"/>
        <v>0</v>
      </c>
      <c r="AE136" s="32">
        <f t="shared" si="77"/>
        <v>0</v>
      </c>
      <c r="AF136" s="33">
        <f t="shared" si="87"/>
        <v>0</v>
      </c>
      <c r="AG136" s="40">
        <f t="shared" si="78"/>
        <v>0</v>
      </c>
      <c r="AH136" s="224">
        <f>AG136*$P$33</f>
        <v>0</v>
      </c>
      <c r="AI136" s="227">
        <f t="shared" si="79"/>
        <v>0</v>
      </c>
    </row>
    <row r="137" spans="1:35" x14ac:dyDescent="0.35">
      <c r="A137" s="48">
        <v>1438</v>
      </c>
      <c r="B137" s="58">
        <f>SUMIF([2]!Table2_23[ETA],'FIS Current Model'!A137,[2]!Table2_23[FIS PAX])</f>
        <v>207</v>
      </c>
      <c r="C137" s="44">
        <f t="shared" si="80"/>
        <v>18</v>
      </c>
      <c r="D137" s="52">
        <f t="shared" si="86"/>
        <v>88</v>
      </c>
      <c r="E137" s="26">
        <f t="shared" si="68"/>
        <v>9.9503999999999984</v>
      </c>
      <c r="F137" s="26">
        <f t="shared" si="69"/>
        <v>4.2713999999999999</v>
      </c>
      <c r="G137" s="26">
        <f t="shared" si="70"/>
        <v>2.9447999999999999</v>
      </c>
      <c r="H137" s="26">
        <f t="shared" si="81"/>
        <v>0.83340000000000003</v>
      </c>
      <c r="I137" s="27">
        <f t="shared" si="88"/>
        <v>0</v>
      </c>
      <c r="J137" s="27">
        <f t="shared" si="88"/>
        <v>0</v>
      </c>
      <c r="K137" s="27">
        <f t="shared" si="88"/>
        <v>0</v>
      </c>
      <c r="L137" s="27">
        <f t="shared" si="88"/>
        <v>0</v>
      </c>
      <c r="M137" s="28">
        <f t="shared" si="95"/>
        <v>0</v>
      </c>
      <c r="N137" s="29">
        <f t="shared" si="96"/>
        <v>11</v>
      </c>
      <c r="O137" s="28">
        <f t="shared" si="97"/>
        <v>0</v>
      </c>
      <c r="P137" s="28">
        <f t="shared" si="98"/>
        <v>0</v>
      </c>
      <c r="Q137" s="28">
        <f t="shared" si="71"/>
        <v>11</v>
      </c>
      <c r="R137" s="22">
        <f t="shared" si="72"/>
        <v>0</v>
      </c>
      <c r="S137" s="22">
        <f t="shared" si="73"/>
        <v>0</v>
      </c>
      <c r="T137" s="22">
        <f t="shared" si="74"/>
        <v>0</v>
      </c>
      <c r="U137" s="22">
        <f t="shared" si="75"/>
        <v>0</v>
      </c>
      <c r="V137" s="21">
        <f t="shared" si="89"/>
        <v>0</v>
      </c>
      <c r="W137" s="21">
        <f t="shared" si="94"/>
        <v>0</v>
      </c>
      <c r="X137" s="21">
        <f t="shared" si="84"/>
        <v>0</v>
      </c>
      <c r="Y137" s="21">
        <f t="shared" si="85"/>
        <v>0</v>
      </c>
      <c r="Z137" s="221">
        <f t="shared" si="76"/>
        <v>0</v>
      </c>
      <c r="AA137" s="30">
        <f t="shared" si="64"/>
        <v>0</v>
      </c>
      <c r="AB137" s="30">
        <f t="shared" si="65"/>
        <v>0</v>
      </c>
      <c r="AC137" s="30">
        <f t="shared" si="66"/>
        <v>0</v>
      </c>
      <c r="AD137" s="30">
        <f t="shared" si="67"/>
        <v>0</v>
      </c>
      <c r="AE137" s="32">
        <f t="shared" si="77"/>
        <v>0</v>
      </c>
      <c r="AF137" s="33">
        <f t="shared" si="87"/>
        <v>0</v>
      </c>
      <c r="AG137" s="40">
        <f t="shared" si="78"/>
        <v>0</v>
      </c>
      <c r="AH137" s="224">
        <f>AG137*$P$33</f>
        <v>0</v>
      </c>
      <c r="AI137" s="227">
        <f t="shared" si="79"/>
        <v>0</v>
      </c>
    </row>
    <row r="138" spans="1:35" x14ac:dyDescent="0.35">
      <c r="A138" s="48">
        <v>1439</v>
      </c>
      <c r="B138" s="58">
        <f>SUMIF([2]!Table2_23[ETA],'FIS Current Model'!A138,[2]!Table2_23[FIS PAX])</f>
        <v>0</v>
      </c>
      <c r="C138" s="44">
        <f t="shared" si="80"/>
        <v>18</v>
      </c>
      <c r="D138" s="52">
        <f t="shared" si="86"/>
        <v>277</v>
      </c>
      <c r="E138" s="26">
        <f t="shared" si="68"/>
        <v>9.9503999999999984</v>
      </c>
      <c r="F138" s="26">
        <f t="shared" si="69"/>
        <v>4.2713999999999999</v>
      </c>
      <c r="G138" s="26">
        <f t="shared" si="70"/>
        <v>2.9447999999999999</v>
      </c>
      <c r="H138" s="26">
        <f t="shared" si="81"/>
        <v>0.83340000000000003</v>
      </c>
      <c r="I138" s="27">
        <f t="shared" si="88"/>
        <v>0</v>
      </c>
      <c r="J138" s="27">
        <f t="shared" si="88"/>
        <v>0</v>
      </c>
      <c r="K138" s="27">
        <f t="shared" si="88"/>
        <v>0</v>
      </c>
      <c r="L138" s="27">
        <f t="shared" si="88"/>
        <v>0</v>
      </c>
      <c r="M138" s="28">
        <f t="shared" si="95"/>
        <v>0</v>
      </c>
      <c r="N138" s="29">
        <f t="shared" si="96"/>
        <v>11</v>
      </c>
      <c r="O138" s="28">
        <f t="shared" si="97"/>
        <v>0</v>
      </c>
      <c r="P138" s="28">
        <f t="shared" si="98"/>
        <v>0</v>
      </c>
      <c r="Q138" s="28">
        <f t="shared" si="71"/>
        <v>11</v>
      </c>
      <c r="R138" s="22">
        <f t="shared" si="72"/>
        <v>0</v>
      </c>
      <c r="S138" s="22">
        <f t="shared" si="73"/>
        <v>0</v>
      </c>
      <c r="T138" s="22">
        <f t="shared" si="74"/>
        <v>0</v>
      </c>
      <c r="U138" s="22">
        <f t="shared" si="75"/>
        <v>0</v>
      </c>
      <c r="V138" s="21">
        <f t="shared" si="89"/>
        <v>0</v>
      </c>
      <c r="W138" s="21">
        <f t="shared" si="94"/>
        <v>0</v>
      </c>
      <c r="X138" s="21">
        <f t="shared" si="84"/>
        <v>0</v>
      </c>
      <c r="Y138" s="21">
        <f t="shared" si="85"/>
        <v>0</v>
      </c>
      <c r="Z138" s="221">
        <f t="shared" si="76"/>
        <v>0</v>
      </c>
      <c r="AA138" s="30">
        <f t="shared" si="64"/>
        <v>0</v>
      </c>
      <c r="AB138" s="30">
        <f t="shared" si="65"/>
        <v>0</v>
      </c>
      <c r="AC138" s="30">
        <f t="shared" si="66"/>
        <v>0</v>
      </c>
      <c r="AD138" s="30">
        <f t="shared" si="67"/>
        <v>0</v>
      </c>
      <c r="AE138" s="32">
        <f t="shared" si="77"/>
        <v>0</v>
      </c>
      <c r="AF138" s="33">
        <f t="shared" si="87"/>
        <v>0</v>
      </c>
      <c r="AG138" s="40">
        <f t="shared" si="78"/>
        <v>0</v>
      </c>
      <c r="AH138" s="224">
        <f>AG138*$P$33</f>
        <v>0</v>
      </c>
      <c r="AI138" s="227">
        <f t="shared" si="79"/>
        <v>0</v>
      </c>
    </row>
    <row r="139" spans="1:35" x14ac:dyDescent="0.35">
      <c r="A139" s="48">
        <v>1440</v>
      </c>
      <c r="B139" s="58">
        <f>SUMIF([2]!Table2_23[ETA],'FIS Current Model'!A139,[2]!Table2_23[FIS PAX])</f>
        <v>0</v>
      </c>
      <c r="C139" s="44">
        <f t="shared" si="80"/>
        <v>18</v>
      </c>
      <c r="D139" s="52">
        <f t="shared" si="86"/>
        <v>259</v>
      </c>
      <c r="E139" s="26">
        <f t="shared" si="68"/>
        <v>9.9503999999999984</v>
      </c>
      <c r="F139" s="26">
        <f t="shared" si="69"/>
        <v>4.2713999999999999</v>
      </c>
      <c r="G139" s="26">
        <f t="shared" si="70"/>
        <v>2.9447999999999999</v>
      </c>
      <c r="H139" s="26">
        <f t="shared" si="81"/>
        <v>0.83340000000000003</v>
      </c>
      <c r="I139" s="27">
        <f t="shared" si="88"/>
        <v>0</v>
      </c>
      <c r="J139" s="27">
        <f t="shared" si="88"/>
        <v>0</v>
      </c>
      <c r="K139" s="27">
        <f t="shared" si="88"/>
        <v>0</v>
      </c>
      <c r="L139" s="27">
        <f t="shared" si="88"/>
        <v>0</v>
      </c>
      <c r="M139" s="28">
        <f t="shared" si="95"/>
        <v>0</v>
      </c>
      <c r="N139" s="29">
        <f t="shared" si="96"/>
        <v>11</v>
      </c>
      <c r="O139" s="28">
        <f t="shared" si="97"/>
        <v>0</v>
      </c>
      <c r="P139" s="28">
        <f t="shared" si="98"/>
        <v>0</v>
      </c>
      <c r="Q139" s="28">
        <f t="shared" si="71"/>
        <v>11</v>
      </c>
      <c r="R139" s="22">
        <f t="shared" si="72"/>
        <v>0</v>
      </c>
      <c r="S139" s="22">
        <f t="shared" si="73"/>
        <v>0</v>
      </c>
      <c r="T139" s="22">
        <f t="shared" si="74"/>
        <v>0</v>
      </c>
      <c r="U139" s="22">
        <f t="shared" si="75"/>
        <v>0</v>
      </c>
      <c r="V139" s="21">
        <f t="shared" si="89"/>
        <v>0</v>
      </c>
      <c r="W139" s="21">
        <f t="shared" si="94"/>
        <v>0</v>
      </c>
      <c r="X139" s="21">
        <f t="shared" si="84"/>
        <v>0</v>
      </c>
      <c r="Y139" s="21">
        <f t="shared" si="85"/>
        <v>0</v>
      </c>
      <c r="Z139" s="221">
        <f t="shared" si="76"/>
        <v>0</v>
      </c>
      <c r="AA139" s="30">
        <f t="shared" si="64"/>
        <v>0</v>
      </c>
      <c r="AB139" s="30">
        <f t="shared" si="65"/>
        <v>0</v>
      </c>
      <c r="AC139" s="30">
        <f t="shared" si="66"/>
        <v>0</v>
      </c>
      <c r="AD139" s="30">
        <f t="shared" si="67"/>
        <v>0</v>
      </c>
      <c r="AE139" s="32">
        <f t="shared" si="77"/>
        <v>0</v>
      </c>
      <c r="AF139" s="33">
        <f t="shared" si="87"/>
        <v>0</v>
      </c>
      <c r="AG139" s="40">
        <f t="shared" si="78"/>
        <v>0</v>
      </c>
      <c r="AH139" s="224">
        <f>AG139*$P$33</f>
        <v>0</v>
      </c>
      <c r="AI139" s="227">
        <f t="shared" si="79"/>
        <v>0</v>
      </c>
    </row>
    <row r="140" spans="1:35" x14ac:dyDescent="0.35">
      <c r="A140" s="48">
        <v>1441</v>
      </c>
      <c r="B140" s="58">
        <f>SUMIF([2]!Table2_23[ETA],'FIS Current Model'!A140,[2]!Table2_23[FIS PAX])</f>
        <v>0</v>
      </c>
      <c r="C140" s="44">
        <f t="shared" si="80"/>
        <v>18</v>
      </c>
      <c r="D140" s="52">
        <f t="shared" si="86"/>
        <v>241</v>
      </c>
      <c r="E140" s="26">
        <f t="shared" si="68"/>
        <v>9.9503999999999984</v>
      </c>
      <c r="F140" s="26">
        <f t="shared" si="69"/>
        <v>4.2713999999999999</v>
      </c>
      <c r="G140" s="26">
        <f t="shared" si="70"/>
        <v>2.9447999999999999</v>
      </c>
      <c r="H140" s="26">
        <f t="shared" si="81"/>
        <v>0.83340000000000003</v>
      </c>
      <c r="I140" s="27">
        <f t="shared" si="88"/>
        <v>0</v>
      </c>
      <c r="J140" s="27">
        <f t="shared" si="88"/>
        <v>0</v>
      </c>
      <c r="K140" s="27">
        <f t="shared" si="88"/>
        <v>0</v>
      </c>
      <c r="L140" s="27">
        <f t="shared" si="88"/>
        <v>0</v>
      </c>
      <c r="M140" s="28">
        <f t="shared" si="95"/>
        <v>0</v>
      </c>
      <c r="N140" s="29">
        <f t="shared" si="96"/>
        <v>11</v>
      </c>
      <c r="O140" s="28">
        <f t="shared" si="97"/>
        <v>0</v>
      </c>
      <c r="P140" s="28">
        <f t="shared" si="98"/>
        <v>0</v>
      </c>
      <c r="Q140" s="28">
        <f t="shared" si="71"/>
        <v>11</v>
      </c>
      <c r="R140" s="22">
        <f t="shared" si="72"/>
        <v>0</v>
      </c>
      <c r="S140" s="22">
        <f t="shared" si="73"/>
        <v>0</v>
      </c>
      <c r="T140" s="22">
        <f t="shared" si="74"/>
        <v>0</v>
      </c>
      <c r="U140" s="22">
        <f t="shared" si="75"/>
        <v>0</v>
      </c>
      <c r="V140" s="21">
        <f t="shared" si="89"/>
        <v>0</v>
      </c>
      <c r="W140" s="21">
        <f t="shared" si="94"/>
        <v>0</v>
      </c>
      <c r="X140" s="21">
        <f t="shared" si="84"/>
        <v>0</v>
      </c>
      <c r="Y140" s="21">
        <f t="shared" si="85"/>
        <v>0</v>
      </c>
      <c r="Z140" s="221">
        <f t="shared" si="76"/>
        <v>0</v>
      </c>
      <c r="AA140" s="30">
        <f t="shared" si="64"/>
        <v>0</v>
      </c>
      <c r="AB140" s="30">
        <f t="shared" si="65"/>
        <v>0</v>
      </c>
      <c r="AC140" s="30">
        <f t="shared" si="66"/>
        <v>0</v>
      </c>
      <c r="AD140" s="30">
        <f t="shared" si="67"/>
        <v>0</v>
      </c>
      <c r="AE140" s="32">
        <f t="shared" si="77"/>
        <v>0</v>
      </c>
      <c r="AF140" s="33">
        <f t="shared" si="87"/>
        <v>0</v>
      </c>
      <c r="AG140" s="40">
        <f t="shared" si="78"/>
        <v>0</v>
      </c>
      <c r="AH140" s="224">
        <f>AG140*$P$33</f>
        <v>0</v>
      </c>
      <c r="AI140" s="227">
        <f t="shared" si="79"/>
        <v>0</v>
      </c>
    </row>
    <row r="141" spans="1:35" x14ac:dyDescent="0.35">
      <c r="A141" s="48">
        <v>1442</v>
      </c>
      <c r="B141" s="58">
        <f>SUMIF([2]!Table2_23[ETA],'FIS Current Model'!A141,[2]!Table2_23[FIS PAX])</f>
        <v>0</v>
      </c>
      <c r="C141" s="44">
        <f t="shared" si="80"/>
        <v>18</v>
      </c>
      <c r="D141" s="52">
        <f t="shared" si="86"/>
        <v>223</v>
      </c>
      <c r="E141" s="26">
        <f t="shared" si="68"/>
        <v>9.9503999999999984</v>
      </c>
      <c r="F141" s="26">
        <f t="shared" si="69"/>
        <v>4.2713999999999999</v>
      </c>
      <c r="G141" s="26">
        <f t="shared" si="70"/>
        <v>2.9447999999999999</v>
      </c>
      <c r="H141" s="26">
        <f t="shared" si="81"/>
        <v>0.83340000000000003</v>
      </c>
      <c r="I141" s="27">
        <f t="shared" si="88"/>
        <v>0</v>
      </c>
      <c r="J141" s="27">
        <f t="shared" si="88"/>
        <v>0</v>
      </c>
      <c r="K141" s="27">
        <f t="shared" si="88"/>
        <v>0</v>
      </c>
      <c r="L141" s="27">
        <f t="shared" si="88"/>
        <v>0</v>
      </c>
      <c r="M141" s="28">
        <f t="shared" si="95"/>
        <v>0</v>
      </c>
      <c r="N141" s="29">
        <f t="shared" si="96"/>
        <v>11</v>
      </c>
      <c r="O141" s="28">
        <f t="shared" si="97"/>
        <v>0</v>
      </c>
      <c r="P141" s="28">
        <f t="shared" si="98"/>
        <v>0</v>
      </c>
      <c r="Q141" s="28">
        <f t="shared" si="71"/>
        <v>11</v>
      </c>
      <c r="R141" s="22">
        <f t="shared" si="72"/>
        <v>0</v>
      </c>
      <c r="S141" s="22">
        <f t="shared" si="73"/>
        <v>0</v>
      </c>
      <c r="T141" s="22">
        <f t="shared" si="74"/>
        <v>0</v>
      </c>
      <c r="U141" s="22">
        <f t="shared" si="75"/>
        <v>0</v>
      </c>
      <c r="V141" s="21">
        <f t="shared" si="89"/>
        <v>0</v>
      </c>
      <c r="W141" s="21">
        <f t="shared" si="94"/>
        <v>0</v>
      </c>
      <c r="X141" s="21">
        <f t="shared" si="84"/>
        <v>0</v>
      </c>
      <c r="Y141" s="21">
        <f t="shared" si="85"/>
        <v>0</v>
      </c>
      <c r="Z141" s="221">
        <f t="shared" si="76"/>
        <v>0</v>
      </c>
      <c r="AA141" s="30">
        <f t="shared" si="64"/>
        <v>0</v>
      </c>
      <c r="AB141" s="30">
        <f t="shared" si="65"/>
        <v>0</v>
      </c>
      <c r="AC141" s="30">
        <f t="shared" si="66"/>
        <v>0</v>
      </c>
      <c r="AD141" s="30">
        <f t="shared" si="67"/>
        <v>0</v>
      </c>
      <c r="AE141" s="32">
        <f t="shared" si="77"/>
        <v>0</v>
      </c>
      <c r="AF141" s="33">
        <f t="shared" si="87"/>
        <v>0</v>
      </c>
      <c r="AG141" s="40">
        <f t="shared" si="78"/>
        <v>0</v>
      </c>
      <c r="AH141" s="224">
        <f>AG141*$P$33</f>
        <v>0</v>
      </c>
      <c r="AI141" s="227">
        <f t="shared" si="79"/>
        <v>0</v>
      </c>
    </row>
    <row r="142" spans="1:35" x14ac:dyDescent="0.35">
      <c r="A142" s="48">
        <v>1443</v>
      </c>
      <c r="B142" s="58">
        <f>SUMIF([2]!Table2_23[ETA],'FIS Current Model'!A142,[2]!Table2_23[FIS PAX])</f>
        <v>0</v>
      </c>
      <c r="C142" s="44">
        <f t="shared" si="80"/>
        <v>18</v>
      </c>
      <c r="D142" s="52">
        <f t="shared" si="86"/>
        <v>205</v>
      </c>
      <c r="E142" s="26">
        <f t="shared" si="68"/>
        <v>9.9503999999999984</v>
      </c>
      <c r="F142" s="26">
        <f t="shared" si="69"/>
        <v>4.2713999999999999</v>
      </c>
      <c r="G142" s="26">
        <f t="shared" si="70"/>
        <v>2.9447999999999999</v>
      </c>
      <c r="H142" s="26">
        <f t="shared" si="81"/>
        <v>0.83340000000000003</v>
      </c>
      <c r="I142" s="27">
        <f t="shared" si="88"/>
        <v>9.9503999999999984</v>
      </c>
      <c r="J142" s="27">
        <f t="shared" si="88"/>
        <v>4.2713999999999999</v>
      </c>
      <c r="K142" s="27">
        <f t="shared" si="88"/>
        <v>2.9447999999999999</v>
      </c>
      <c r="L142" s="27">
        <f t="shared" si="88"/>
        <v>0.83340000000000003</v>
      </c>
      <c r="M142" s="28">
        <f t="shared" si="95"/>
        <v>0</v>
      </c>
      <c r="N142" s="29">
        <f t="shared" si="96"/>
        <v>11</v>
      </c>
      <c r="O142" s="28">
        <f t="shared" si="97"/>
        <v>0</v>
      </c>
      <c r="P142" s="28">
        <f t="shared" si="98"/>
        <v>0</v>
      </c>
      <c r="Q142" s="28">
        <f t="shared" si="71"/>
        <v>11</v>
      </c>
      <c r="R142" s="22">
        <f t="shared" si="72"/>
        <v>9.9503999999999984</v>
      </c>
      <c r="S142" s="22">
        <f t="shared" si="73"/>
        <v>0</v>
      </c>
      <c r="T142" s="22">
        <f t="shared" si="74"/>
        <v>2.9447999999999999</v>
      </c>
      <c r="U142" s="22">
        <f t="shared" si="75"/>
        <v>0.83340000000000003</v>
      </c>
      <c r="V142" s="21">
        <f t="shared" si="89"/>
        <v>0</v>
      </c>
      <c r="W142" s="21">
        <f t="shared" si="94"/>
        <v>0</v>
      </c>
      <c r="X142" s="21">
        <f t="shared" si="84"/>
        <v>0</v>
      </c>
      <c r="Y142" s="21">
        <f t="shared" si="85"/>
        <v>0</v>
      </c>
      <c r="Z142" s="221">
        <f t="shared" si="76"/>
        <v>0</v>
      </c>
      <c r="AA142" s="30">
        <f t="shared" si="64"/>
        <v>0</v>
      </c>
      <c r="AB142" s="30">
        <f t="shared" si="65"/>
        <v>0</v>
      </c>
      <c r="AC142" s="30">
        <f t="shared" si="66"/>
        <v>0</v>
      </c>
      <c r="AD142" s="30">
        <f t="shared" si="67"/>
        <v>0</v>
      </c>
      <c r="AE142" s="32">
        <f t="shared" si="77"/>
        <v>0</v>
      </c>
      <c r="AF142" s="33">
        <f t="shared" si="87"/>
        <v>0</v>
      </c>
      <c r="AG142" s="40">
        <f t="shared" si="78"/>
        <v>0</v>
      </c>
      <c r="AH142" s="224">
        <f>AG142*$P$33</f>
        <v>0</v>
      </c>
      <c r="AI142" s="227">
        <f t="shared" si="79"/>
        <v>0</v>
      </c>
    </row>
    <row r="143" spans="1:35" x14ac:dyDescent="0.35">
      <c r="A143" s="48">
        <v>1444</v>
      </c>
      <c r="B143" s="58">
        <f>SUMIF([2]!Table2_23[ETA],'FIS Current Model'!A143,[2]!Table2_23[FIS PAX])</f>
        <v>140</v>
      </c>
      <c r="C143" s="44">
        <f t="shared" si="80"/>
        <v>18</v>
      </c>
      <c r="D143" s="52">
        <f t="shared" si="86"/>
        <v>187</v>
      </c>
      <c r="E143" s="26">
        <f t="shared" si="68"/>
        <v>9.9503999999999984</v>
      </c>
      <c r="F143" s="26">
        <f t="shared" si="69"/>
        <v>4.2713999999999999</v>
      </c>
      <c r="G143" s="26">
        <f t="shared" si="70"/>
        <v>2.9447999999999999</v>
      </c>
      <c r="H143" s="26">
        <f t="shared" si="81"/>
        <v>0.83340000000000003</v>
      </c>
      <c r="I143" s="27">
        <f t="shared" si="88"/>
        <v>9.9503999999999984</v>
      </c>
      <c r="J143" s="27">
        <f t="shared" si="88"/>
        <v>4.2713999999999999</v>
      </c>
      <c r="K143" s="27">
        <f t="shared" si="88"/>
        <v>2.9447999999999999</v>
      </c>
      <c r="L143" s="27">
        <f t="shared" si="88"/>
        <v>0.83340000000000003</v>
      </c>
      <c r="M143" s="28">
        <f t="shared" si="95"/>
        <v>0</v>
      </c>
      <c r="N143" s="29">
        <f t="shared" si="96"/>
        <v>11</v>
      </c>
      <c r="O143" s="28">
        <f t="shared" si="97"/>
        <v>0</v>
      </c>
      <c r="P143" s="28">
        <f t="shared" si="98"/>
        <v>0</v>
      </c>
      <c r="Q143" s="28">
        <f t="shared" si="71"/>
        <v>11</v>
      </c>
      <c r="R143" s="22">
        <f t="shared" si="72"/>
        <v>19.900799999999997</v>
      </c>
      <c r="S143" s="22">
        <f t="shared" si="73"/>
        <v>0</v>
      </c>
      <c r="T143" s="22">
        <f t="shared" si="74"/>
        <v>5.8895999999999997</v>
      </c>
      <c r="U143" s="22">
        <f t="shared" si="75"/>
        <v>1.6668000000000001</v>
      </c>
      <c r="V143" s="21">
        <f t="shared" si="89"/>
        <v>0</v>
      </c>
      <c r="W143" s="21">
        <f t="shared" si="94"/>
        <v>0</v>
      </c>
      <c r="X143" s="21">
        <f t="shared" si="84"/>
        <v>0</v>
      </c>
      <c r="Y143" s="21">
        <f t="shared" si="85"/>
        <v>0</v>
      </c>
      <c r="Z143" s="221">
        <f t="shared" si="76"/>
        <v>0</v>
      </c>
      <c r="AA143" s="30">
        <f t="shared" si="64"/>
        <v>0</v>
      </c>
      <c r="AB143" s="30">
        <f t="shared" si="65"/>
        <v>0</v>
      </c>
      <c r="AC143" s="30">
        <f t="shared" si="66"/>
        <v>0</v>
      </c>
      <c r="AD143" s="30">
        <f t="shared" si="67"/>
        <v>0</v>
      </c>
      <c r="AE143" s="32">
        <f t="shared" si="77"/>
        <v>0</v>
      </c>
      <c r="AF143" s="33">
        <f t="shared" si="87"/>
        <v>0</v>
      </c>
      <c r="AG143" s="40">
        <f t="shared" si="78"/>
        <v>0</v>
      </c>
      <c r="AH143" s="224">
        <f>AG143*$P$33</f>
        <v>0</v>
      </c>
      <c r="AI143" s="227">
        <f t="shared" si="79"/>
        <v>0</v>
      </c>
    </row>
    <row r="144" spans="1:35" x14ac:dyDescent="0.35">
      <c r="A144" s="48">
        <v>1445</v>
      </c>
      <c r="B144" s="58">
        <f>SUMIF([2]!Table2_23[ETA],'FIS Current Model'!A144,[2]!Table2_23[FIS PAX])</f>
        <v>0</v>
      </c>
      <c r="C144" s="44">
        <f t="shared" si="80"/>
        <v>18</v>
      </c>
      <c r="D144" s="52">
        <f t="shared" si="86"/>
        <v>309</v>
      </c>
      <c r="E144" s="26">
        <f t="shared" si="68"/>
        <v>9.9503999999999984</v>
      </c>
      <c r="F144" s="26">
        <f t="shared" si="69"/>
        <v>4.2713999999999999</v>
      </c>
      <c r="G144" s="26">
        <f t="shared" si="70"/>
        <v>2.9447999999999999</v>
      </c>
      <c r="H144" s="26">
        <f t="shared" si="81"/>
        <v>0.83340000000000003</v>
      </c>
      <c r="I144" s="27">
        <f t="shared" si="88"/>
        <v>9.9503999999999984</v>
      </c>
      <c r="J144" s="27">
        <f t="shared" si="88"/>
        <v>4.2713999999999999</v>
      </c>
      <c r="K144" s="27">
        <f t="shared" si="88"/>
        <v>2.9447999999999999</v>
      </c>
      <c r="L144" s="27">
        <f t="shared" si="88"/>
        <v>0.83340000000000003</v>
      </c>
      <c r="M144" s="28">
        <f t="shared" si="95"/>
        <v>0</v>
      </c>
      <c r="N144" s="29">
        <f t="shared" si="96"/>
        <v>11</v>
      </c>
      <c r="O144" s="28">
        <f t="shared" si="97"/>
        <v>0</v>
      </c>
      <c r="P144" s="28">
        <f t="shared" si="98"/>
        <v>0</v>
      </c>
      <c r="Q144" s="28">
        <f t="shared" si="71"/>
        <v>11</v>
      </c>
      <c r="R144" s="22">
        <f t="shared" si="72"/>
        <v>29.851199999999995</v>
      </c>
      <c r="S144" s="22">
        <f t="shared" si="73"/>
        <v>0</v>
      </c>
      <c r="T144" s="22">
        <f t="shared" si="74"/>
        <v>8.8343999999999987</v>
      </c>
      <c r="U144" s="22">
        <f t="shared" si="75"/>
        <v>2.5002</v>
      </c>
      <c r="V144" s="21">
        <f t="shared" si="89"/>
        <v>0</v>
      </c>
      <c r="W144" s="21">
        <f t="shared" si="94"/>
        <v>0</v>
      </c>
      <c r="X144" s="21">
        <f t="shared" si="84"/>
        <v>0</v>
      </c>
      <c r="Y144" s="21">
        <f t="shared" si="85"/>
        <v>0</v>
      </c>
      <c r="Z144" s="221">
        <f t="shared" si="76"/>
        <v>0</v>
      </c>
      <c r="AA144" s="30">
        <f t="shared" si="64"/>
        <v>0</v>
      </c>
      <c r="AB144" s="30">
        <f t="shared" si="65"/>
        <v>0</v>
      </c>
      <c r="AC144" s="30">
        <f t="shared" si="66"/>
        <v>0</v>
      </c>
      <c r="AD144" s="30">
        <f t="shared" si="67"/>
        <v>0</v>
      </c>
      <c r="AE144" s="32">
        <f t="shared" si="77"/>
        <v>0</v>
      </c>
      <c r="AF144" s="33">
        <f t="shared" si="87"/>
        <v>0</v>
      </c>
      <c r="AG144" s="40">
        <f t="shared" si="78"/>
        <v>0</v>
      </c>
      <c r="AH144" s="224">
        <f>AG144*$P$33</f>
        <v>0</v>
      </c>
      <c r="AI144" s="227">
        <f t="shared" si="79"/>
        <v>0.14100778709090978</v>
      </c>
    </row>
    <row r="145" spans="1:35" x14ac:dyDescent="0.35">
      <c r="A145" s="48">
        <v>1446</v>
      </c>
      <c r="B145" s="58">
        <f>SUMIF([2]!Table2_23[ETA],'FIS Current Model'!A145,[2]!Table2_23[FIS PAX])</f>
        <v>0</v>
      </c>
      <c r="C145" s="44">
        <f t="shared" si="80"/>
        <v>18</v>
      </c>
      <c r="D145" s="52">
        <f t="shared" si="86"/>
        <v>291</v>
      </c>
      <c r="E145" s="26">
        <f t="shared" si="68"/>
        <v>9.9503999999999984</v>
      </c>
      <c r="F145" s="26">
        <f t="shared" si="69"/>
        <v>4.2713999999999999</v>
      </c>
      <c r="G145" s="26">
        <f t="shared" si="70"/>
        <v>2.9447999999999999</v>
      </c>
      <c r="H145" s="26">
        <f t="shared" si="81"/>
        <v>0.83340000000000003</v>
      </c>
      <c r="I145" s="27">
        <f t="shared" si="88"/>
        <v>9.9503999999999984</v>
      </c>
      <c r="J145" s="27">
        <f t="shared" si="88"/>
        <v>4.2713999999999999</v>
      </c>
      <c r="K145" s="27">
        <f t="shared" si="88"/>
        <v>2.9447999999999999</v>
      </c>
      <c r="L145" s="27">
        <f t="shared" si="88"/>
        <v>0.83340000000000003</v>
      </c>
      <c r="M145" s="28">
        <f>IF(R144=0,0,$Q$13)</f>
        <v>3</v>
      </c>
      <c r="N145" s="29">
        <f>$U$13-M145-O145-P145</f>
        <v>6</v>
      </c>
      <c r="O145" s="28">
        <f>IF(T144=0,0,$S$13)</f>
        <v>1</v>
      </c>
      <c r="P145" s="28">
        <f>IF(U144=0,0,$T$13)</f>
        <v>1</v>
      </c>
      <c r="Q145" s="28">
        <f t="shared" si="71"/>
        <v>11</v>
      </c>
      <c r="R145" s="22">
        <f t="shared" si="72"/>
        <v>33.48753076808795</v>
      </c>
      <c r="S145" s="22">
        <f t="shared" si="73"/>
        <v>1.2980794305683006</v>
      </c>
      <c r="T145" s="22">
        <f t="shared" si="74"/>
        <v>9.2982232540490983</v>
      </c>
      <c r="U145" s="22">
        <f t="shared" si="75"/>
        <v>1.4972669626403445</v>
      </c>
      <c r="V145" s="21">
        <f t="shared" si="89"/>
        <v>4.5080913919999999</v>
      </c>
      <c r="W145" s="21">
        <f t="shared" si="94"/>
        <v>0.37108932259999999</v>
      </c>
      <c r="X145" s="21">
        <f t="shared" si="84"/>
        <v>3.1856363743999996</v>
      </c>
      <c r="Y145" s="21">
        <f t="shared" si="85"/>
        <v>0.6930534344</v>
      </c>
      <c r="Z145" s="221">
        <f t="shared" si="76"/>
        <v>4</v>
      </c>
      <c r="AA145" s="30">
        <f t="shared" si="64"/>
        <v>6.3140692319120486</v>
      </c>
      <c r="AB145" s="30">
        <f t="shared" si="65"/>
        <v>2.9733205694316993</v>
      </c>
      <c r="AC145" s="30">
        <f t="shared" si="66"/>
        <v>2.4809767459508998</v>
      </c>
      <c r="AD145" s="30">
        <f t="shared" si="67"/>
        <v>1.8363330373596554</v>
      </c>
      <c r="AE145" s="32">
        <f t="shared" si="77"/>
        <v>13.604699584654302</v>
      </c>
      <c r="AF145" s="33">
        <f t="shared" si="87"/>
        <v>0</v>
      </c>
      <c r="AG145" s="40">
        <f t="shared" si="78"/>
        <v>0</v>
      </c>
      <c r="AH145" s="224">
        <f>AG145*$P$33</f>
        <v>0</v>
      </c>
      <c r="AI145" s="227">
        <f t="shared" si="79"/>
        <v>25.230003631764365</v>
      </c>
    </row>
    <row r="146" spans="1:35" x14ac:dyDescent="0.35">
      <c r="A146" s="48">
        <v>1447</v>
      </c>
      <c r="B146" s="58">
        <f>SUMIF([2]!Table2_23[ETA],'FIS Current Model'!A146,[2]!Table2_23[FIS PAX])</f>
        <v>0</v>
      </c>
      <c r="C146" s="44">
        <f t="shared" si="80"/>
        <v>18</v>
      </c>
      <c r="D146" s="52">
        <f t="shared" si="86"/>
        <v>273</v>
      </c>
      <c r="E146" s="26">
        <f t="shared" si="68"/>
        <v>9.9503999999999984</v>
      </c>
      <c r="F146" s="26">
        <f t="shared" si="69"/>
        <v>4.2713999999999999</v>
      </c>
      <c r="G146" s="26">
        <f t="shared" si="70"/>
        <v>2.9447999999999999</v>
      </c>
      <c r="H146" s="26">
        <f t="shared" si="81"/>
        <v>0.83340000000000003</v>
      </c>
      <c r="I146" s="27">
        <f t="shared" si="88"/>
        <v>9.9503999999999984</v>
      </c>
      <c r="J146" s="27">
        <f t="shared" si="88"/>
        <v>4.2713999999999999</v>
      </c>
      <c r="K146" s="27">
        <f t="shared" si="88"/>
        <v>2.9447999999999999</v>
      </c>
      <c r="L146" s="27">
        <f t="shared" si="88"/>
        <v>0.83340000000000003</v>
      </c>
      <c r="M146" s="28">
        <f>$M$145</f>
        <v>3</v>
      </c>
      <c r="N146" s="29">
        <f>$N$145</f>
        <v>6</v>
      </c>
      <c r="O146" s="28">
        <f>$O$145</f>
        <v>1</v>
      </c>
      <c r="P146" s="28">
        <f>$P$145</f>
        <v>1</v>
      </c>
      <c r="Q146" s="28">
        <f t="shared" si="71"/>
        <v>11</v>
      </c>
      <c r="R146" s="22">
        <f t="shared" si="72"/>
        <v>37.123861536175895</v>
      </c>
      <c r="S146" s="22">
        <f t="shared" si="73"/>
        <v>2.5961588611366011</v>
      </c>
      <c r="T146" s="22">
        <f t="shared" si="74"/>
        <v>9.762046508098198</v>
      </c>
      <c r="U146" s="22">
        <f t="shared" si="75"/>
        <v>0.4943339252806892</v>
      </c>
      <c r="V146" s="21">
        <f t="shared" si="89"/>
        <v>4.997614239999999</v>
      </c>
      <c r="W146" s="21">
        <f t="shared" si="94"/>
        <v>0.74217864519999999</v>
      </c>
      <c r="X146" s="21">
        <f t="shared" si="84"/>
        <v>3.3445454679999993</v>
      </c>
      <c r="Y146" s="21">
        <f t="shared" si="85"/>
        <v>0.22881679300000013</v>
      </c>
      <c r="Z146" s="221">
        <f t="shared" si="76"/>
        <v>4</v>
      </c>
      <c r="AA146" s="30">
        <f t="shared" si="64"/>
        <v>6.3140692319120486</v>
      </c>
      <c r="AB146" s="30">
        <f t="shared" si="65"/>
        <v>2.9733205694316993</v>
      </c>
      <c r="AC146" s="30">
        <f t="shared" si="66"/>
        <v>2.4809767459508998</v>
      </c>
      <c r="AD146" s="30">
        <f t="shared" si="67"/>
        <v>1.8363330373596554</v>
      </c>
      <c r="AE146" s="32">
        <f t="shared" si="77"/>
        <v>13.604699584654302</v>
      </c>
      <c r="AF146" s="33">
        <f t="shared" si="87"/>
        <v>0</v>
      </c>
      <c r="AG146" s="40">
        <f t="shared" si="78"/>
        <v>0</v>
      </c>
      <c r="AH146" s="224">
        <f>AG146*$P$33</f>
        <v>0</v>
      </c>
      <c r="AI146" s="227">
        <f t="shared" si="79"/>
        <v>25.217000646160002</v>
      </c>
    </row>
    <row r="147" spans="1:35" x14ac:dyDescent="0.35">
      <c r="A147" s="48">
        <v>1448</v>
      </c>
      <c r="B147" s="58">
        <f>SUMIF([2]!Table2_23[ETA],'FIS Current Model'!A147,[2]!Table2_23[FIS PAX])</f>
        <v>0</v>
      </c>
      <c r="C147" s="44">
        <f t="shared" si="80"/>
        <v>18</v>
      </c>
      <c r="D147" s="52">
        <f t="shared" si="86"/>
        <v>255</v>
      </c>
      <c r="E147" s="26">
        <f t="shared" si="68"/>
        <v>9.9503999999999984</v>
      </c>
      <c r="F147" s="26">
        <f t="shared" si="69"/>
        <v>4.2713999999999999</v>
      </c>
      <c r="G147" s="26">
        <f t="shared" si="70"/>
        <v>2.9447999999999999</v>
      </c>
      <c r="H147" s="26">
        <f t="shared" si="81"/>
        <v>0.83340000000000003</v>
      </c>
      <c r="I147" s="27">
        <f t="shared" si="88"/>
        <v>9.9503999999999984</v>
      </c>
      <c r="J147" s="27">
        <f t="shared" si="88"/>
        <v>4.2713999999999999</v>
      </c>
      <c r="K147" s="27">
        <f t="shared" si="88"/>
        <v>2.9447999999999999</v>
      </c>
      <c r="L147" s="27">
        <f t="shared" si="88"/>
        <v>0.83340000000000003</v>
      </c>
      <c r="M147" s="28">
        <f t="shared" ref="M147:M159" si="99">$M$145</f>
        <v>3</v>
      </c>
      <c r="N147" s="29">
        <f t="shared" ref="N147:N159" si="100">$N$145</f>
        <v>6</v>
      </c>
      <c r="O147" s="28">
        <f t="shared" ref="O147:O159" si="101">$O$145</f>
        <v>1</v>
      </c>
      <c r="P147" s="28">
        <f t="shared" ref="P147:P159" si="102">$P$145</f>
        <v>1</v>
      </c>
      <c r="Q147" s="28">
        <f t="shared" si="71"/>
        <v>11</v>
      </c>
      <c r="R147" s="22">
        <f t="shared" si="72"/>
        <v>40.760192304263839</v>
      </c>
      <c r="S147" s="22">
        <f t="shared" si="73"/>
        <v>3.3986848634662845</v>
      </c>
      <c r="T147" s="22">
        <f t="shared" si="74"/>
        <v>10.225869762147298</v>
      </c>
      <c r="U147" s="22">
        <f t="shared" si="75"/>
        <v>0</v>
      </c>
      <c r="V147" s="21">
        <f t="shared" si="89"/>
        <v>5.4871370879999972</v>
      </c>
      <c r="W147" s="21">
        <f t="shared" si="94"/>
        <v>0.97160130113333321</v>
      </c>
      <c r="X147" s="21">
        <f t="shared" si="84"/>
        <v>3.503454561599999</v>
      </c>
      <c r="Y147" s="21">
        <f t="shared" si="85"/>
        <v>0</v>
      </c>
      <c r="Z147" s="221">
        <f t="shared" si="76"/>
        <v>4</v>
      </c>
      <c r="AA147" s="30">
        <f t="shared" si="64"/>
        <v>6.3140692319120486</v>
      </c>
      <c r="AB147" s="30">
        <f t="shared" si="65"/>
        <v>2.9733205694316993</v>
      </c>
      <c r="AC147" s="30">
        <f t="shared" si="66"/>
        <v>2.4809767459508998</v>
      </c>
      <c r="AD147" s="30">
        <f t="shared" si="67"/>
        <v>0</v>
      </c>
      <c r="AE147" s="32">
        <f t="shared" si="77"/>
        <v>11.768366547294647</v>
      </c>
      <c r="AF147" s="33">
        <f t="shared" si="87"/>
        <v>0</v>
      </c>
      <c r="AG147" s="40">
        <f t="shared" si="78"/>
        <v>0</v>
      </c>
      <c r="AH147" s="224">
        <f>AG147*$P$33</f>
        <v>0</v>
      </c>
      <c r="AI147" s="227">
        <f t="shared" si="79"/>
        <v>25.20399766055564</v>
      </c>
    </row>
    <row r="148" spans="1:35" x14ac:dyDescent="0.35">
      <c r="A148" s="48">
        <v>1449</v>
      </c>
      <c r="B148" s="58">
        <f>SUMIF([2]!Table2_23[ETA],'FIS Current Model'!A148,[2]!Table2_23[FIS PAX])</f>
        <v>0</v>
      </c>
      <c r="C148" s="44">
        <f t="shared" si="80"/>
        <v>18</v>
      </c>
      <c r="D148" s="52">
        <f t="shared" si="86"/>
        <v>237</v>
      </c>
      <c r="E148" s="26">
        <f t="shared" si="68"/>
        <v>9.9503999999999984</v>
      </c>
      <c r="F148" s="26">
        <f t="shared" si="69"/>
        <v>4.2713999999999999</v>
      </c>
      <c r="G148" s="26">
        <f t="shared" si="70"/>
        <v>2.9447999999999999</v>
      </c>
      <c r="H148" s="26">
        <f t="shared" si="81"/>
        <v>0.83340000000000003</v>
      </c>
      <c r="I148" s="27">
        <f t="shared" si="88"/>
        <v>9.9503999999999984</v>
      </c>
      <c r="J148" s="27">
        <f t="shared" si="88"/>
        <v>4.2713999999999999</v>
      </c>
      <c r="K148" s="27">
        <f t="shared" si="88"/>
        <v>2.9447999999999999</v>
      </c>
      <c r="L148" s="27">
        <f t="shared" si="88"/>
        <v>0.83340000000000003</v>
      </c>
      <c r="M148" s="28">
        <f t="shared" si="99"/>
        <v>3</v>
      </c>
      <c r="N148" s="29">
        <f t="shared" si="100"/>
        <v>6</v>
      </c>
      <c r="O148" s="28">
        <f t="shared" si="101"/>
        <v>1</v>
      </c>
      <c r="P148" s="28">
        <f t="shared" si="102"/>
        <v>1</v>
      </c>
      <c r="Q148" s="28">
        <f t="shared" si="71"/>
        <v>11</v>
      </c>
      <c r="R148" s="22">
        <f t="shared" si="72"/>
        <v>44.396523072351783</v>
      </c>
      <c r="S148" s="22">
        <f t="shared" si="73"/>
        <v>4.2012108657959679</v>
      </c>
      <c r="T148" s="22">
        <f t="shared" si="74"/>
        <v>10.689693016196397</v>
      </c>
      <c r="U148" s="22">
        <f t="shared" si="75"/>
        <v>0</v>
      </c>
      <c r="V148" s="21">
        <f t="shared" si="89"/>
        <v>5.9766599359999963</v>
      </c>
      <c r="W148" s="21">
        <f t="shared" si="94"/>
        <v>1.2010239570666663</v>
      </c>
      <c r="X148" s="21">
        <f t="shared" si="84"/>
        <v>3.6623636551999992</v>
      </c>
      <c r="Y148" s="21">
        <f t="shared" si="85"/>
        <v>0</v>
      </c>
      <c r="Z148" s="221">
        <f t="shared" si="76"/>
        <v>5</v>
      </c>
      <c r="AA148" s="30">
        <f t="shared" si="64"/>
        <v>6.3140692319120486</v>
      </c>
      <c r="AB148" s="30">
        <f t="shared" si="65"/>
        <v>2.9733205694316993</v>
      </c>
      <c r="AC148" s="30">
        <f t="shared" si="66"/>
        <v>2.4809767459508998</v>
      </c>
      <c r="AD148" s="30">
        <f t="shared" si="67"/>
        <v>0</v>
      </c>
      <c r="AE148" s="32">
        <f t="shared" si="77"/>
        <v>11.768366547294647</v>
      </c>
      <c r="AF148" s="33">
        <f t="shared" si="87"/>
        <v>0</v>
      </c>
      <c r="AG148" s="40">
        <f t="shared" si="78"/>
        <v>0</v>
      </c>
      <c r="AH148" s="224">
        <f>AG148*$P$33</f>
        <v>0</v>
      </c>
      <c r="AI148" s="227">
        <f t="shared" si="79"/>
        <v>26.177991689346914</v>
      </c>
    </row>
    <row r="149" spans="1:35" x14ac:dyDescent="0.35">
      <c r="A149" s="48">
        <v>1450</v>
      </c>
      <c r="B149" s="58">
        <f>SUMIF([2]!Table2_23[ETA],'FIS Current Model'!A149,[2]!Table2_23[FIS PAX])</f>
        <v>0</v>
      </c>
      <c r="C149" s="44">
        <f t="shared" si="80"/>
        <v>18</v>
      </c>
      <c r="D149" s="52">
        <f t="shared" si="86"/>
        <v>219</v>
      </c>
      <c r="E149" s="26">
        <f t="shared" si="68"/>
        <v>9.9503999999999984</v>
      </c>
      <c r="F149" s="26">
        <f t="shared" si="69"/>
        <v>4.2713999999999999</v>
      </c>
      <c r="G149" s="26">
        <f t="shared" si="70"/>
        <v>2.9447999999999999</v>
      </c>
      <c r="H149" s="26">
        <f t="shared" si="81"/>
        <v>0.83340000000000003</v>
      </c>
      <c r="I149" s="27">
        <f t="shared" si="88"/>
        <v>9.9503999999999984</v>
      </c>
      <c r="J149" s="27">
        <f t="shared" si="88"/>
        <v>4.2713999999999999</v>
      </c>
      <c r="K149" s="27">
        <f t="shared" si="88"/>
        <v>2.9447999999999999</v>
      </c>
      <c r="L149" s="27">
        <f t="shared" si="88"/>
        <v>0.83340000000000003</v>
      </c>
      <c r="M149" s="28">
        <f t="shared" si="99"/>
        <v>3</v>
      </c>
      <c r="N149" s="29">
        <f t="shared" si="100"/>
        <v>6</v>
      </c>
      <c r="O149" s="28">
        <f t="shared" si="101"/>
        <v>1</v>
      </c>
      <c r="P149" s="28">
        <f t="shared" si="102"/>
        <v>1</v>
      </c>
      <c r="Q149" s="28">
        <f t="shared" si="71"/>
        <v>11</v>
      </c>
      <c r="R149" s="22">
        <f t="shared" si="72"/>
        <v>48.032853840439728</v>
      </c>
      <c r="S149" s="22">
        <f t="shared" si="73"/>
        <v>5.0037368681256513</v>
      </c>
      <c r="T149" s="22">
        <f t="shared" si="74"/>
        <v>11.153516270245497</v>
      </c>
      <c r="U149" s="22">
        <f t="shared" si="75"/>
        <v>0</v>
      </c>
      <c r="V149" s="21">
        <f t="shared" si="89"/>
        <v>6.4661827839999955</v>
      </c>
      <c r="W149" s="21">
        <f t="shared" si="94"/>
        <v>1.4304466129999995</v>
      </c>
      <c r="X149" s="21">
        <f t="shared" si="84"/>
        <v>3.8212727487999989</v>
      </c>
      <c r="Y149" s="21">
        <f t="shared" si="85"/>
        <v>0</v>
      </c>
      <c r="Z149" s="221">
        <f t="shared" si="76"/>
        <v>5</v>
      </c>
      <c r="AA149" s="30">
        <f t="shared" si="64"/>
        <v>6.3140692319120486</v>
      </c>
      <c r="AB149" s="30">
        <f t="shared" si="65"/>
        <v>2.9733205694316993</v>
      </c>
      <c r="AC149" s="30">
        <f t="shared" si="66"/>
        <v>2.4809767459508998</v>
      </c>
      <c r="AD149" s="30">
        <f t="shared" si="67"/>
        <v>0</v>
      </c>
      <c r="AE149" s="32">
        <f t="shared" si="77"/>
        <v>11.768366547294647</v>
      </c>
      <c r="AF149" s="33">
        <f t="shared" si="87"/>
        <v>13.604699584654302</v>
      </c>
      <c r="AG149" s="40">
        <f t="shared" si="78"/>
        <v>1.6812931552025212</v>
      </c>
      <c r="AH149" s="224">
        <f>AG149*$P$33</f>
        <v>0.14100778709090978</v>
      </c>
      <c r="AI149" s="227">
        <f t="shared" si="79"/>
        <v>26.164988703742551</v>
      </c>
    </row>
    <row r="150" spans="1:35" x14ac:dyDescent="0.35">
      <c r="A150" s="48">
        <v>1451</v>
      </c>
      <c r="B150" s="58">
        <f>SUMIF([2]!Table2_23[ETA],'FIS Current Model'!A150,[2]!Table2_23[FIS PAX])</f>
        <v>0</v>
      </c>
      <c r="C150" s="44">
        <f t="shared" si="80"/>
        <v>18</v>
      </c>
      <c r="D150" s="52">
        <f t="shared" si="86"/>
        <v>201</v>
      </c>
      <c r="E150" s="26">
        <f t="shared" si="68"/>
        <v>9.9503999999999984</v>
      </c>
      <c r="F150" s="26">
        <f t="shared" si="69"/>
        <v>4.2713999999999999</v>
      </c>
      <c r="G150" s="26">
        <f t="shared" si="70"/>
        <v>2.9447999999999999</v>
      </c>
      <c r="H150" s="26">
        <f t="shared" si="81"/>
        <v>0.83340000000000003</v>
      </c>
      <c r="I150" s="27">
        <f t="shared" si="88"/>
        <v>9.9503999999999984</v>
      </c>
      <c r="J150" s="27">
        <f t="shared" si="88"/>
        <v>4.2713999999999999</v>
      </c>
      <c r="K150" s="27">
        <f t="shared" si="88"/>
        <v>2.9447999999999999</v>
      </c>
      <c r="L150" s="27">
        <f t="shared" si="88"/>
        <v>0.83340000000000003</v>
      </c>
      <c r="M150" s="28">
        <f t="shared" si="99"/>
        <v>3</v>
      </c>
      <c r="N150" s="29">
        <f t="shared" si="100"/>
        <v>6</v>
      </c>
      <c r="O150" s="28">
        <f t="shared" si="101"/>
        <v>1</v>
      </c>
      <c r="P150" s="28">
        <f t="shared" si="102"/>
        <v>1</v>
      </c>
      <c r="Q150" s="28">
        <f t="shared" si="71"/>
        <v>11</v>
      </c>
      <c r="R150" s="22">
        <f t="shared" si="72"/>
        <v>51.669184608527672</v>
      </c>
      <c r="S150" s="22">
        <f t="shared" si="73"/>
        <v>5.8062628704553347</v>
      </c>
      <c r="T150" s="22">
        <f t="shared" si="74"/>
        <v>11.617339524294596</v>
      </c>
      <c r="U150" s="22">
        <f t="shared" si="75"/>
        <v>0</v>
      </c>
      <c r="V150" s="21">
        <f t="shared" si="89"/>
        <v>6.9557056319999946</v>
      </c>
      <c r="W150" s="21">
        <f t="shared" si="94"/>
        <v>1.6598692689333325</v>
      </c>
      <c r="X150" s="21">
        <f t="shared" si="84"/>
        <v>3.9801818423999986</v>
      </c>
      <c r="Y150" s="21">
        <f t="shared" si="85"/>
        <v>0</v>
      </c>
      <c r="Z150" s="221">
        <f t="shared" si="76"/>
        <v>5</v>
      </c>
      <c r="AA150" s="30">
        <f t="shared" si="64"/>
        <v>6.3140692319120486</v>
      </c>
      <c r="AB150" s="30">
        <f t="shared" si="65"/>
        <v>2.9733205694316993</v>
      </c>
      <c r="AC150" s="30">
        <f t="shared" si="66"/>
        <v>2.4809767459508998</v>
      </c>
      <c r="AD150" s="30">
        <f t="shared" si="67"/>
        <v>0</v>
      </c>
      <c r="AE150" s="32">
        <f t="shared" si="77"/>
        <v>11.768366547294647</v>
      </c>
      <c r="AF150" s="33">
        <f t="shared" si="87"/>
        <v>13.604699584654302</v>
      </c>
      <c r="AG150" s="40">
        <f t="shared" si="78"/>
        <v>3.3625863104050424</v>
      </c>
      <c r="AH150" s="224">
        <f>AG150*$P$33</f>
        <v>0.28201557418181955</v>
      </c>
      <c r="AI150" s="227">
        <f t="shared" si="79"/>
        <v>26.151985718138189</v>
      </c>
    </row>
    <row r="151" spans="1:35" x14ac:dyDescent="0.35">
      <c r="A151" s="48">
        <v>1452</v>
      </c>
      <c r="B151" s="58">
        <f>SUMIF([2]!Table2_23[ETA],'FIS Current Model'!A151,[2]!Table2_23[FIS PAX])</f>
        <v>0</v>
      </c>
      <c r="C151" s="44">
        <f t="shared" si="80"/>
        <v>18</v>
      </c>
      <c r="D151" s="52">
        <f t="shared" si="86"/>
        <v>183</v>
      </c>
      <c r="E151" s="26">
        <f t="shared" si="68"/>
        <v>9.9503999999999984</v>
      </c>
      <c r="F151" s="26">
        <f t="shared" si="69"/>
        <v>4.2713999999999999</v>
      </c>
      <c r="G151" s="26">
        <f t="shared" si="70"/>
        <v>2.9447999999999999</v>
      </c>
      <c r="H151" s="26">
        <f t="shared" si="81"/>
        <v>0.83340000000000003</v>
      </c>
      <c r="I151" s="27">
        <f t="shared" si="88"/>
        <v>9.9503999999999984</v>
      </c>
      <c r="J151" s="27">
        <f t="shared" si="88"/>
        <v>4.2713999999999999</v>
      </c>
      <c r="K151" s="27">
        <f t="shared" si="88"/>
        <v>2.9447999999999999</v>
      </c>
      <c r="L151" s="27">
        <f t="shared" si="88"/>
        <v>0.83340000000000003</v>
      </c>
      <c r="M151" s="28">
        <f t="shared" si="99"/>
        <v>3</v>
      </c>
      <c r="N151" s="29">
        <f t="shared" si="100"/>
        <v>6</v>
      </c>
      <c r="O151" s="28">
        <f t="shared" si="101"/>
        <v>1</v>
      </c>
      <c r="P151" s="28">
        <f t="shared" si="102"/>
        <v>1</v>
      </c>
      <c r="Q151" s="28">
        <f t="shared" si="71"/>
        <v>11</v>
      </c>
      <c r="R151" s="22">
        <f t="shared" si="72"/>
        <v>55.305515376615617</v>
      </c>
      <c r="S151" s="22">
        <f t="shared" si="73"/>
        <v>6.6087888727850181</v>
      </c>
      <c r="T151" s="22">
        <f t="shared" si="74"/>
        <v>12.081162778343696</v>
      </c>
      <c r="U151" s="22">
        <f t="shared" si="75"/>
        <v>0</v>
      </c>
      <c r="V151" s="21">
        <f t="shared" si="89"/>
        <v>7.4452284799999937</v>
      </c>
      <c r="W151" s="21">
        <f t="shared" si="94"/>
        <v>1.8892919248666658</v>
      </c>
      <c r="X151" s="21">
        <f t="shared" si="84"/>
        <v>4.1390909359999988</v>
      </c>
      <c r="Y151" s="21">
        <f t="shared" si="85"/>
        <v>0</v>
      </c>
      <c r="Z151" s="221">
        <f t="shared" si="76"/>
        <v>6</v>
      </c>
      <c r="AA151" s="30">
        <f t="shared" si="64"/>
        <v>6.3140692319120486</v>
      </c>
      <c r="AB151" s="30">
        <f t="shared" si="65"/>
        <v>2.9733205694316993</v>
      </c>
      <c r="AC151" s="30">
        <f t="shared" si="66"/>
        <v>2.4809767459508998</v>
      </c>
      <c r="AD151" s="30">
        <f t="shared" si="67"/>
        <v>0</v>
      </c>
      <c r="AE151" s="32">
        <f t="shared" si="77"/>
        <v>11.768366547294647</v>
      </c>
      <c r="AF151" s="33">
        <f t="shared" si="87"/>
        <v>11.768366547294647</v>
      </c>
      <c r="AG151" s="40">
        <f t="shared" si="78"/>
        <v>3.2075464282479089</v>
      </c>
      <c r="AH151" s="224">
        <f>AG151*$P$33</f>
        <v>0.2690125885774563</v>
      </c>
      <c r="AI151" s="227">
        <f t="shared" si="79"/>
        <v>27.12597974692946</v>
      </c>
    </row>
    <row r="152" spans="1:35" x14ac:dyDescent="0.35">
      <c r="A152" s="48">
        <v>1453</v>
      </c>
      <c r="B152" s="58">
        <f>SUMIF([2]!Table2_23[ETA],'FIS Current Model'!A152,[2]!Table2_23[FIS PAX])</f>
        <v>0</v>
      </c>
      <c r="C152" s="44">
        <f t="shared" si="80"/>
        <v>18</v>
      </c>
      <c r="D152" s="52">
        <f t="shared" si="86"/>
        <v>165</v>
      </c>
      <c r="E152" s="26">
        <f t="shared" si="68"/>
        <v>9.9503999999999984</v>
      </c>
      <c r="F152" s="26">
        <f t="shared" si="69"/>
        <v>4.2713999999999999</v>
      </c>
      <c r="G152" s="26">
        <f t="shared" si="70"/>
        <v>2.9447999999999999</v>
      </c>
      <c r="H152" s="26">
        <f t="shared" si="81"/>
        <v>0.83340000000000003</v>
      </c>
      <c r="I152" s="27">
        <f t="shared" si="88"/>
        <v>9.9503999999999984</v>
      </c>
      <c r="J152" s="27">
        <f t="shared" si="88"/>
        <v>4.2713999999999999</v>
      </c>
      <c r="K152" s="27">
        <f t="shared" si="88"/>
        <v>2.9447999999999999</v>
      </c>
      <c r="L152" s="27">
        <f t="shared" si="88"/>
        <v>0.83340000000000003</v>
      </c>
      <c r="M152" s="28">
        <f t="shared" si="99"/>
        <v>3</v>
      </c>
      <c r="N152" s="29">
        <f t="shared" si="100"/>
        <v>6</v>
      </c>
      <c r="O152" s="28">
        <f t="shared" si="101"/>
        <v>1</v>
      </c>
      <c r="P152" s="28">
        <f t="shared" si="102"/>
        <v>1</v>
      </c>
      <c r="Q152" s="28">
        <f t="shared" si="71"/>
        <v>11</v>
      </c>
      <c r="R152" s="22">
        <f t="shared" si="72"/>
        <v>58.941846144703561</v>
      </c>
      <c r="S152" s="22">
        <f t="shared" si="73"/>
        <v>7.4113148751147016</v>
      </c>
      <c r="T152" s="22">
        <f t="shared" si="74"/>
        <v>12.544986032392796</v>
      </c>
      <c r="U152" s="22">
        <f t="shared" si="75"/>
        <v>0</v>
      </c>
      <c r="V152" s="21">
        <f t="shared" si="89"/>
        <v>7.9347513279999928</v>
      </c>
      <c r="W152" s="21">
        <f t="shared" si="94"/>
        <v>2.118714580799999</v>
      </c>
      <c r="X152" s="21">
        <f t="shared" si="84"/>
        <v>4.2980000295999989</v>
      </c>
      <c r="Y152" s="21">
        <f t="shared" si="85"/>
        <v>0</v>
      </c>
      <c r="Z152" s="221">
        <f t="shared" si="76"/>
        <v>6</v>
      </c>
      <c r="AA152" s="30">
        <f t="shared" si="64"/>
        <v>6.3140692319120486</v>
      </c>
      <c r="AB152" s="30">
        <f t="shared" si="65"/>
        <v>2.9733205694316993</v>
      </c>
      <c r="AC152" s="30">
        <f t="shared" si="66"/>
        <v>2.4809767459508998</v>
      </c>
      <c r="AD152" s="30">
        <f t="shared" si="67"/>
        <v>0</v>
      </c>
      <c r="AE152" s="32">
        <f t="shared" si="77"/>
        <v>11.768366547294647</v>
      </c>
      <c r="AF152" s="33">
        <f t="shared" si="87"/>
        <v>11.768366547294647</v>
      </c>
      <c r="AG152" s="40">
        <f t="shared" si="78"/>
        <v>3.0525065460907754</v>
      </c>
      <c r="AH152" s="224">
        <f>AG152*$P$33</f>
        <v>0.25600960297309305</v>
      </c>
      <c r="AI152" s="227">
        <f t="shared" si="79"/>
        <v>27.112976761325097</v>
      </c>
    </row>
    <row r="153" spans="1:35" x14ac:dyDescent="0.35">
      <c r="A153" s="48">
        <v>1454</v>
      </c>
      <c r="B153" s="58">
        <f>SUMIF([2]!Table2_23[ETA],'FIS Current Model'!A153,[2]!Table2_23[FIS PAX])</f>
        <v>0</v>
      </c>
      <c r="C153" s="44">
        <f t="shared" si="80"/>
        <v>18</v>
      </c>
      <c r="D153" s="52">
        <f t="shared" si="86"/>
        <v>147</v>
      </c>
      <c r="E153" s="26">
        <f t="shared" si="68"/>
        <v>9.9503999999999984</v>
      </c>
      <c r="F153" s="26">
        <f t="shared" si="69"/>
        <v>4.2713999999999999</v>
      </c>
      <c r="G153" s="26">
        <f t="shared" si="70"/>
        <v>2.9447999999999999</v>
      </c>
      <c r="H153" s="26">
        <f t="shared" si="81"/>
        <v>0.83340000000000003</v>
      </c>
      <c r="I153" s="27">
        <f t="shared" si="88"/>
        <v>9.9503999999999984</v>
      </c>
      <c r="J153" s="27">
        <f t="shared" si="88"/>
        <v>4.2713999999999999</v>
      </c>
      <c r="K153" s="27">
        <f t="shared" si="88"/>
        <v>2.9447999999999999</v>
      </c>
      <c r="L153" s="27">
        <f t="shared" si="88"/>
        <v>0.83340000000000003</v>
      </c>
      <c r="M153" s="28">
        <f t="shared" si="99"/>
        <v>3</v>
      </c>
      <c r="N153" s="29">
        <f t="shared" si="100"/>
        <v>6</v>
      </c>
      <c r="O153" s="28">
        <f t="shared" si="101"/>
        <v>1</v>
      </c>
      <c r="P153" s="28">
        <f t="shared" si="102"/>
        <v>1</v>
      </c>
      <c r="Q153" s="28">
        <f t="shared" si="71"/>
        <v>11</v>
      </c>
      <c r="R153" s="22">
        <f t="shared" si="72"/>
        <v>62.578176912791506</v>
      </c>
      <c r="S153" s="22">
        <f t="shared" si="73"/>
        <v>8.213840877444385</v>
      </c>
      <c r="T153" s="22">
        <f t="shared" si="74"/>
        <v>13.008809286441895</v>
      </c>
      <c r="U153" s="22">
        <f t="shared" si="75"/>
        <v>0</v>
      </c>
      <c r="V153" s="21">
        <f t="shared" si="89"/>
        <v>8.424274175999992</v>
      </c>
      <c r="W153" s="21">
        <f t="shared" si="94"/>
        <v>2.348137236733332</v>
      </c>
      <c r="X153" s="21">
        <f t="shared" si="84"/>
        <v>4.4569091231999982</v>
      </c>
      <c r="Y153" s="21">
        <f t="shared" si="85"/>
        <v>0</v>
      </c>
      <c r="Z153" s="221">
        <f t="shared" si="76"/>
        <v>6</v>
      </c>
      <c r="AA153" s="30">
        <f t="shared" si="64"/>
        <v>6.3140692319120486</v>
      </c>
      <c r="AB153" s="30">
        <f t="shared" si="65"/>
        <v>2.9733205694316993</v>
      </c>
      <c r="AC153" s="30">
        <f t="shared" si="66"/>
        <v>2.4809767459508998</v>
      </c>
      <c r="AD153" s="30">
        <f t="shared" si="67"/>
        <v>0</v>
      </c>
      <c r="AE153" s="32">
        <f t="shared" si="77"/>
        <v>11.768366547294647</v>
      </c>
      <c r="AF153" s="33">
        <f t="shared" si="87"/>
        <v>11.768366547294647</v>
      </c>
      <c r="AG153" s="40">
        <f t="shared" si="78"/>
        <v>2.8974666639336419</v>
      </c>
      <c r="AH153" s="224">
        <f>AG153*$P$33</f>
        <v>0.24300661736872983</v>
      </c>
      <c r="AI153" s="227">
        <f t="shared" si="79"/>
        <v>27.141535172723405</v>
      </c>
    </row>
    <row r="154" spans="1:35" x14ac:dyDescent="0.35">
      <c r="A154" s="48">
        <v>1455</v>
      </c>
      <c r="B154" s="58">
        <f>SUMIF([2]!Table2_23[ETA],'FIS Current Model'!A154,[2]!Table2_23[FIS PAX])</f>
        <v>186</v>
      </c>
      <c r="C154" s="44">
        <f t="shared" si="80"/>
        <v>18</v>
      </c>
      <c r="D154" s="52">
        <f t="shared" si="86"/>
        <v>129</v>
      </c>
      <c r="E154" s="26">
        <f t="shared" si="68"/>
        <v>9.9503999999999984</v>
      </c>
      <c r="F154" s="26">
        <f t="shared" si="69"/>
        <v>4.2713999999999999</v>
      </c>
      <c r="G154" s="26">
        <f t="shared" si="70"/>
        <v>2.9447999999999999</v>
      </c>
      <c r="H154" s="26">
        <f t="shared" si="81"/>
        <v>0.83340000000000003</v>
      </c>
      <c r="I154" s="27">
        <f t="shared" si="88"/>
        <v>9.9503999999999984</v>
      </c>
      <c r="J154" s="27">
        <f t="shared" si="88"/>
        <v>4.2713999999999999</v>
      </c>
      <c r="K154" s="27">
        <f t="shared" si="88"/>
        <v>2.9447999999999999</v>
      </c>
      <c r="L154" s="27">
        <f t="shared" si="88"/>
        <v>0.83340000000000003</v>
      </c>
      <c r="M154" s="28">
        <f t="shared" si="99"/>
        <v>3</v>
      </c>
      <c r="N154" s="29">
        <f t="shared" si="100"/>
        <v>6</v>
      </c>
      <c r="O154" s="28">
        <f t="shared" si="101"/>
        <v>1</v>
      </c>
      <c r="P154" s="28">
        <f t="shared" si="102"/>
        <v>1</v>
      </c>
      <c r="Q154" s="28">
        <f t="shared" si="71"/>
        <v>11</v>
      </c>
      <c r="R154" s="22">
        <f t="shared" si="72"/>
        <v>66.21450768087945</v>
      </c>
      <c r="S154" s="22">
        <f t="shared" si="73"/>
        <v>9.0163668797740684</v>
      </c>
      <c r="T154" s="22">
        <f t="shared" si="74"/>
        <v>13.472632540490995</v>
      </c>
      <c r="U154" s="22">
        <f t="shared" si="75"/>
        <v>0</v>
      </c>
      <c r="V154" s="21">
        <f t="shared" si="89"/>
        <v>8.9137970239999902</v>
      </c>
      <c r="W154" s="21">
        <f t="shared" si="94"/>
        <v>2.5775598926666654</v>
      </c>
      <c r="X154" s="21">
        <f t="shared" si="84"/>
        <v>4.6158182167999984</v>
      </c>
      <c r="Y154" s="21">
        <f t="shared" si="85"/>
        <v>0</v>
      </c>
      <c r="Z154" s="221">
        <f t="shared" si="76"/>
        <v>7</v>
      </c>
      <c r="AA154" s="30">
        <f t="shared" si="64"/>
        <v>6.3140692319120486</v>
      </c>
      <c r="AB154" s="30">
        <f t="shared" si="65"/>
        <v>2.9733205694316993</v>
      </c>
      <c r="AC154" s="30">
        <f t="shared" si="66"/>
        <v>2.4809767459508998</v>
      </c>
      <c r="AD154" s="30">
        <f t="shared" si="67"/>
        <v>0</v>
      </c>
      <c r="AE154" s="32">
        <f t="shared" si="77"/>
        <v>11.768366547294647</v>
      </c>
      <c r="AF154" s="33">
        <f t="shared" si="87"/>
        <v>11.768366547294647</v>
      </c>
      <c r="AG154" s="40">
        <f t="shared" si="78"/>
        <v>2.7424267817765084</v>
      </c>
      <c r="AH154" s="224">
        <f>AG154*$P$33</f>
        <v>0.23000363176436661</v>
      </c>
      <c r="AI154" s="227">
        <f t="shared" si="79"/>
        <v>28.198651995520013</v>
      </c>
    </row>
    <row r="155" spans="1:35" x14ac:dyDescent="0.35">
      <c r="A155" s="48">
        <v>1456</v>
      </c>
      <c r="B155" s="58">
        <f>SUMIF([2]!Table2_23[ETA],'FIS Current Model'!A155,[2]!Table2_23[FIS PAX])</f>
        <v>0</v>
      </c>
      <c r="C155" s="44">
        <f t="shared" si="80"/>
        <v>18</v>
      </c>
      <c r="D155" s="52">
        <f t="shared" si="86"/>
        <v>297</v>
      </c>
      <c r="E155" s="26">
        <f t="shared" si="68"/>
        <v>9.9503999999999984</v>
      </c>
      <c r="F155" s="26">
        <f t="shared" si="69"/>
        <v>4.2713999999999999</v>
      </c>
      <c r="G155" s="26">
        <f t="shared" si="70"/>
        <v>2.9447999999999999</v>
      </c>
      <c r="H155" s="26">
        <f t="shared" si="81"/>
        <v>0.83340000000000003</v>
      </c>
      <c r="I155" s="27">
        <f t="shared" si="88"/>
        <v>9.9503999999999984</v>
      </c>
      <c r="J155" s="27">
        <f t="shared" si="88"/>
        <v>4.2713999999999999</v>
      </c>
      <c r="K155" s="27">
        <f t="shared" si="88"/>
        <v>2.9447999999999999</v>
      </c>
      <c r="L155" s="27">
        <f t="shared" si="88"/>
        <v>0.83340000000000003</v>
      </c>
      <c r="M155" s="28">
        <f t="shared" si="99"/>
        <v>3</v>
      </c>
      <c r="N155" s="29">
        <f t="shared" si="100"/>
        <v>6</v>
      </c>
      <c r="O155" s="28">
        <f t="shared" si="101"/>
        <v>1</v>
      </c>
      <c r="P155" s="28">
        <f t="shared" si="102"/>
        <v>1</v>
      </c>
      <c r="Q155" s="28">
        <f t="shared" si="71"/>
        <v>11</v>
      </c>
      <c r="R155" s="22">
        <f t="shared" si="72"/>
        <v>69.850838448967394</v>
      </c>
      <c r="S155" s="22">
        <f t="shared" si="73"/>
        <v>9.8188928821037518</v>
      </c>
      <c r="T155" s="22">
        <f t="shared" si="74"/>
        <v>13.936455794540095</v>
      </c>
      <c r="U155" s="22">
        <f t="shared" si="75"/>
        <v>0</v>
      </c>
      <c r="V155" s="21">
        <f t="shared" si="89"/>
        <v>9.4033198719999902</v>
      </c>
      <c r="W155" s="21">
        <f t="shared" si="94"/>
        <v>2.8069825485999984</v>
      </c>
      <c r="X155" s="21">
        <f t="shared" si="84"/>
        <v>4.7747273103999985</v>
      </c>
      <c r="Y155" s="21">
        <f t="shared" si="85"/>
        <v>0</v>
      </c>
      <c r="Z155" s="221">
        <f t="shared" si="76"/>
        <v>7</v>
      </c>
      <c r="AA155" s="30">
        <f t="shared" si="64"/>
        <v>6.3140692319120486</v>
      </c>
      <c r="AB155" s="30">
        <f t="shared" si="65"/>
        <v>2.9733205694316993</v>
      </c>
      <c r="AC155" s="30">
        <f t="shared" si="66"/>
        <v>2.4809767459508998</v>
      </c>
      <c r="AD155" s="30">
        <f t="shared" si="67"/>
        <v>0</v>
      </c>
      <c r="AE155" s="32">
        <f t="shared" si="77"/>
        <v>11.768366547294647</v>
      </c>
      <c r="AF155" s="33">
        <f t="shared" si="87"/>
        <v>11.768366547294647</v>
      </c>
      <c r="AG155" s="40">
        <f t="shared" si="78"/>
        <v>2.587386899619375</v>
      </c>
      <c r="AH155" s="224">
        <f>AG155*$P$33</f>
        <v>0.21700064616000336</v>
      </c>
      <c r="AI155" s="227">
        <f t="shared" si="79"/>
        <v>28.227210406918321</v>
      </c>
    </row>
    <row r="156" spans="1:35" x14ac:dyDescent="0.35">
      <c r="A156" s="48">
        <v>1457</v>
      </c>
      <c r="B156" s="58">
        <f>SUMIF([2]!Table2_23[ETA],'FIS Current Model'!A156,[2]!Table2_23[FIS PAX])</f>
        <v>0</v>
      </c>
      <c r="C156" s="44">
        <f t="shared" si="80"/>
        <v>18</v>
      </c>
      <c r="D156" s="52">
        <f t="shared" si="86"/>
        <v>279</v>
      </c>
      <c r="E156" s="26">
        <f t="shared" si="68"/>
        <v>9.9503999999999984</v>
      </c>
      <c r="F156" s="26">
        <f t="shared" si="69"/>
        <v>4.2713999999999999</v>
      </c>
      <c r="G156" s="26">
        <f t="shared" si="70"/>
        <v>2.9447999999999999</v>
      </c>
      <c r="H156" s="26">
        <f t="shared" si="81"/>
        <v>0.83340000000000003</v>
      </c>
      <c r="I156" s="27">
        <f t="shared" si="88"/>
        <v>9.9503999999999984</v>
      </c>
      <c r="J156" s="27">
        <f t="shared" si="88"/>
        <v>4.2713999999999999</v>
      </c>
      <c r="K156" s="27">
        <f t="shared" si="88"/>
        <v>2.9447999999999999</v>
      </c>
      <c r="L156" s="27">
        <f t="shared" si="88"/>
        <v>0.83340000000000003</v>
      </c>
      <c r="M156" s="28">
        <f t="shared" si="99"/>
        <v>3</v>
      </c>
      <c r="N156" s="29">
        <f t="shared" si="100"/>
        <v>6</v>
      </c>
      <c r="O156" s="28">
        <f t="shared" si="101"/>
        <v>1</v>
      </c>
      <c r="P156" s="28">
        <f t="shared" si="102"/>
        <v>1</v>
      </c>
      <c r="Q156" s="28">
        <f t="shared" si="71"/>
        <v>11</v>
      </c>
      <c r="R156" s="22">
        <f t="shared" si="72"/>
        <v>73.487169217055339</v>
      </c>
      <c r="S156" s="22">
        <f t="shared" si="73"/>
        <v>10.621418884433435</v>
      </c>
      <c r="T156" s="22">
        <f t="shared" si="74"/>
        <v>14.400279048589194</v>
      </c>
      <c r="U156" s="22">
        <f t="shared" si="75"/>
        <v>0</v>
      </c>
      <c r="V156" s="21">
        <f t="shared" si="89"/>
        <v>9.8928427199999884</v>
      </c>
      <c r="W156" s="21">
        <f t="shared" si="94"/>
        <v>3.0364052045333314</v>
      </c>
      <c r="X156" s="21">
        <f t="shared" si="84"/>
        <v>4.9336364039999978</v>
      </c>
      <c r="Y156" s="21">
        <f t="shared" si="85"/>
        <v>0</v>
      </c>
      <c r="Z156" s="221">
        <f t="shared" si="76"/>
        <v>7</v>
      </c>
      <c r="AA156" s="30">
        <f t="shared" si="64"/>
        <v>6.3140692319120486</v>
      </c>
      <c r="AB156" s="30">
        <f t="shared" si="65"/>
        <v>2.9733205694316993</v>
      </c>
      <c r="AC156" s="30">
        <f t="shared" si="66"/>
        <v>2.4809767459508998</v>
      </c>
      <c r="AD156" s="30">
        <f t="shared" si="67"/>
        <v>0</v>
      </c>
      <c r="AE156" s="32">
        <f t="shared" si="77"/>
        <v>11.768366547294647</v>
      </c>
      <c r="AF156" s="33">
        <f t="shared" si="87"/>
        <v>11.768366547294647</v>
      </c>
      <c r="AG156" s="40">
        <f t="shared" si="78"/>
        <v>2.4323470174622415</v>
      </c>
      <c r="AH156" s="224">
        <f>AG156*$P$33</f>
        <v>0.20399766055564014</v>
      </c>
      <c r="AI156" s="227">
        <f t="shared" si="79"/>
        <v>28.255768818316625</v>
      </c>
    </row>
    <row r="157" spans="1:35" x14ac:dyDescent="0.35">
      <c r="A157" s="48">
        <v>1458</v>
      </c>
      <c r="B157" s="58">
        <f>SUMIF([2]!Table2_23[ETA],'FIS Current Model'!A157,[2]!Table2_23[FIS PAX])</f>
        <v>0</v>
      </c>
      <c r="C157" s="44">
        <f t="shared" si="80"/>
        <v>18</v>
      </c>
      <c r="D157" s="52">
        <f t="shared" si="86"/>
        <v>261</v>
      </c>
      <c r="E157" s="26">
        <f t="shared" si="68"/>
        <v>9.9503999999999984</v>
      </c>
      <c r="F157" s="26">
        <f t="shared" si="69"/>
        <v>4.2713999999999999</v>
      </c>
      <c r="G157" s="26">
        <f t="shared" si="70"/>
        <v>2.9447999999999999</v>
      </c>
      <c r="H157" s="26">
        <f t="shared" si="81"/>
        <v>0.83340000000000003</v>
      </c>
      <c r="I157" s="27">
        <f t="shared" si="88"/>
        <v>9.9503999999999984</v>
      </c>
      <c r="J157" s="27">
        <f t="shared" si="88"/>
        <v>4.2713999999999999</v>
      </c>
      <c r="K157" s="27">
        <f t="shared" si="88"/>
        <v>2.9447999999999999</v>
      </c>
      <c r="L157" s="27">
        <f t="shared" si="88"/>
        <v>0.83340000000000003</v>
      </c>
      <c r="M157" s="28">
        <f t="shared" si="99"/>
        <v>3</v>
      </c>
      <c r="N157" s="29">
        <f t="shared" si="100"/>
        <v>6</v>
      </c>
      <c r="O157" s="28">
        <f t="shared" si="101"/>
        <v>1</v>
      </c>
      <c r="P157" s="28">
        <f t="shared" si="102"/>
        <v>1</v>
      </c>
      <c r="Q157" s="28">
        <f t="shared" si="71"/>
        <v>11</v>
      </c>
      <c r="R157" s="22">
        <f t="shared" si="72"/>
        <v>77.123499985143297</v>
      </c>
      <c r="S157" s="22">
        <f t="shared" si="73"/>
        <v>11.423944886763119</v>
      </c>
      <c r="T157" s="22">
        <f t="shared" si="74"/>
        <v>14.864102302638294</v>
      </c>
      <c r="U157" s="22">
        <f t="shared" si="75"/>
        <v>0</v>
      </c>
      <c r="V157" s="21">
        <f t="shared" si="89"/>
        <v>10.38236556799999</v>
      </c>
      <c r="W157" s="21">
        <f t="shared" si="94"/>
        <v>3.2658278604666648</v>
      </c>
      <c r="X157" s="21">
        <f t="shared" si="84"/>
        <v>5.092545497599998</v>
      </c>
      <c r="Y157" s="21">
        <f t="shared" si="85"/>
        <v>0</v>
      </c>
      <c r="Z157" s="221">
        <f t="shared" si="76"/>
        <v>8</v>
      </c>
      <c r="AA157" s="30">
        <f t="shared" si="64"/>
        <v>6.3140692319120486</v>
      </c>
      <c r="AB157" s="30">
        <f t="shared" si="65"/>
        <v>2.9733205694316993</v>
      </c>
      <c r="AC157" s="30">
        <f t="shared" si="66"/>
        <v>2.4809767459508998</v>
      </c>
      <c r="AD157" s="30">
        <f t="shared" si="67"/>
        <v>0</v>
      </c>
      <c r="AE157" s="32">
        <f t="shared" si="77"/>
        <v>11.768366547294647</v>
      </c>
      <c r="AF157" s="33">
        <f t="shared" si="87"/>
        <v>11.768366547294647</v>
      </c>
      <c r="AG157" s="40">
        <f t="shared" si="78"/>
        <v>2.277307135305108</v>
      </c>
      <c r="AH157" s="224">
        <f>AG157*$P$33</f>
        <v>0.19099467495127692</v>
      </c>
      <c r="AI157" s="227">
        <f t="shared" si="79"/>
        <v>29.312885641113237</v>
      </c>
    </row>
    <row r="158" spans="1:35" x14ac:dyDescent="0.35">
      <c r="A158" s="48">
        <v>1459</v>
      </c>
      <c r="B158" s="58">
        <f>SUMIF([2]!Table2_23[ETA],'FIS Current Model'!A158,[2]!Table2_23[FIS PAX])</f>
        <v>0</v>
      </c>
      <c r="C158" s="44">
        <f t="shared" si="80"/>
        <v>18</v>
      </c>
      <c r="D158" s="52">
        <f t="shared" si="86"/>
        <v>243</v>
      </c>
      <c r="E158" s="26">
        <f t="shared" si="68"/>
        <v>9.9503999999999984</v>
      </c>
      <c r="F158" s="26">
        <f t="shared" si="69"/>
        <v>4.2713999999999999</v>
      </c>
      <c r="G158" s="26">
        <f t="shared" si="70"/>
        <v>2.9447999999999999</v>
      </c>
      <c r="H158" s="26">
        <f t="shared" si="81"/>
        <v>0.83340000000000003</v>
      </c>
      <c r="I158" s="27">
        <f t="shared" si="88"/>
        <v>9.9503999999999984</v>
      </c>
      <c r="J158" s="27">
        <f t="shared" si="88"/>
        <v>4.2713999999999999</v>
      </c>
      <c r="K158" s="27">
        <f t="shared" si="88"/>
        <v>2.9447999999999999</v>
      </c>
      <c r="L158" s="27">
        <f t="shared" si="88"/>
        <v>0.83340000000000003</v>
      </c>
      <c r="M158" s="28">
        <f t="shared" si="99"/>
        <v>3</v>
      </c>
      <c r="N158" s="29">
        <f t="shared" si="100"/>
        <v>6</v>
      </c>
      <c r="O158" s="28">
        <f t="shared" si="101"/>
        <v>1</v>
      </c>
      <c r="P158" s="28">
        <f t="shared" si="102"/>
        <v>1</v>
      </c>
      <c r="Q158" s="28">
        <f t="shared" si="71"/>
        <v>11</v>
      </c>
      <c r="R158" s="22">
        <f t="shared" si="72"/>
        <v>80.759830753231256</v>
      </c>
      <c r="S158" s="22">
        <f t="shared" si="73"/>
        <v>12.226470889092802</v>
      </c>
      <c r="T158" s="22">
        <f t="shared" si="74"/>
        <v>15.327925556687394</v>
      </c>
      <c r="U158" s="22">
        <f t="shared" si="75"/>
        <v>0</v>
      </c>
      <c r="V158" s="21">
        <f t="shared" si="89"/>
        <v>10.87188841599999</v>
      </c>
      <c r="W158" s="21">
        <f t="shared" si="94"/>
        <v>3.4952505163999978</v>
      </c>
      <c r="X158" s="21">
        <f t="shared" si="84"/>
        <v>5.2514545911999981</v>
      </c>
      <c r="Y158" s="21">
        <f t="shared" si="85"/>
        <v>0</v>
      </c>
      <c r="Z158" s="221">
        <f t="shared" si="76"/>
        <v>8</v>
      </c>
      <c r="AA158" s="30">
        <f t="shared" si="64"/>
        <v>6.3140692319120486</v>
      </c>
      <c r="AB158" s="30">
        <f t="shared" si="65"/>
        <v>2.9733205694316993</v>
      </c>
      <c r="AC158" s="30">
        <f t="shared" si="66"/>
        <v>2.4809767459508998</v>
      </c>
      <c r="AD158" s="30">
        <f t="shared" si="67"/>
        <v>0</v>
      </c>
      <c r="AE158" s="32">
        <f t="shared" si="77"/>
        <v>11.768366547294647</v>
      </c>
      <c r="AF158" s="33">
        <f t="shared" si="87"/>
        <v>11.768366547294647</v>
      </c>
      <c r="AG158" s="40">
        <f t="shared" si="78"/>
        <v>2.1222672531479745</v>
      </c>
      <c r="AH158" s="224">
        <f>AG158*$P$33</f>
        <v>0.17799168934691367</v>
      </c>
      <c r="AI158" s="227">
        <f t="shared" si="79"/>
        <v>29.341444052511541</v>
      </c>
    </row>
    <row r="159" spans="1:35" x14ac:dyDescent="0.35">
      <c r="A159" s="48">
        <v>1500</v>
      </c>
      <c r="B159" s="58">
        <f>SUMIF([2]!Table2_23[ETA],'FIS Current Model'!A159,[2]!Table2_23[FIS PAX])</f>
        <v>0</v>
      </c>
      <c r="C159" s="44">
        <f t="shared" si="80"/>
        <v>18</v>
      </c>
      <c r="D159" s="52">
        <f t="shared" si="86"/>
        <v>225</v>
      </c>
      <c r="E159" s="26">
        <f t="shared" si="68"/>
        <v>9.9503999999999984</v>
      </c>
      <c r="F159" s="26">
        <f t="shared" si="69"/>
        <v>4.2713999999999999</v>
      </c>
      <c r="G159" s="26">
        <f t="shared" si="70"/>
        <v>2.9447999999999999</v>
      </c>
      <c r="H159" s="26">
        <f t="shared" si="81"/>
        <v>0.83340000000000003</v>
      </c>
      <c r="I159" s="27">
        <f t="shared" si="88"/>
        <v>9.9503999999999984</v>
      </c>
      <c r="J159" s="27">
        <f t="shared" si="88"/>
        <v>4.2713999999999999</v>
      </c>
      <c r="K159" s="27">
        <f t="shared" si="88"/>
        <v>2.9447999999999999</v>
      </c>
      <c r="L159" s="27">
        <f t="shared" si="88"/>
        <v>0.83340000000000003</v>
      </c>
      <c r="M159" s="28">
        <f t="shared" si="99"/>
        <v>3</v>
      </c>
      <c r="N159" s="29">
        <f t="shared" si="100"/>
        <v>6</v>
      </c>
      <c r="O159" s="28">
        <f t="shared" si="101"/>
        <v>1</v>
      </c>
      <c r="P159" s="28">
        <f t="shared" si="102"/>
        <v>1</v>
      </c>
      <c r="Q159" s="28">
        <f t="shared" si="71"/>
        <v>11</v>
      </c>
      <c r="R159" s="22">
        <f t="shared" si="72"/>
        <v>84.396161521319215</v>
      </c>
      <c r="S159" s="22">
        <f t="shared" si="73"/>
        <v>13.028996891422485</v>
      </c>
      <c r="T159" s="22">
        <f t="shared" si="74"/>
        <v>15.791748810736493</v>
      </c>
      <c r="U159" s="22">
        <f t="shared" si="75"/>
        <v>0</v>
      </c>
      <c r="V159" s="21">
        <f t="shared" si="89"/>
        <v>11.361411263999992</v>
      </c>
      <c r="W159" s="21">
        <f t="shared" si="94"/>
        <v>3.7246731723333308</v>
      </c>
      <c r="X159" s="21">
        <f t="shared" si="84"/>
        <v>5.4103636847999974</v>
      </c>
      <c r="Y159" s="21">
        <f t="shared" si="85"/>
        <v>0</v>
      </c>
      <c r="Z159" s="221">
        <f t="shared" si="76"/>
        <v>9</v>
      </c>
      <c r="AA159" s="30">
        <f t="shared" si="64"/>
        <v>6.3140692319120486</v>
      </c>
      <c r="AB159" s="30">
        <f t="shared" si="65"/>
        <v>2.9733205694316993</v>
      </c>
      <c r="AC159" s="30">
        <f t="shared" si="66"/>
        <v>2.4809767459508998</v>
      </c>
      <c r="AD159" s="30">
        <f t="shared" si="67"/>
        <v>0</v>
      </c>
      <c r="AE159" s="32">
        <f t="shared" si="77"/>
        <v>11.768366547294647</v>
      </c>
      <c r="AF159" s="33">
        <f t="shared" si="87"/>
        <v>11.768366547294647</v>
      </c>
      <c r="AG159" s="40">
        <f t="shared" si="78"/>
        <v>1.967227370990841</v>
      </c>
      <c r="AH159" s="224">
        <f>AG159*$P$33</f>
        <v>0.16498870374255045</v>
      </c>
      <c r="AI159" s="227">
        <f t="shared" si="79"/>
        <v>30.398560875308153</v>
      </c>
    </row>
    <row r="160" spans="1:35" x14ac:dyDescent="0.35">
      <c r="A160" s="48">
        <v>1501</v>
      </c>
      <c r="B160" s="58">
        <f>SUMIF([2]!Table2_23[ETA],'FIS Current Model'!A160,[2]!Table2_23[FIS PAX])</f>
        <v>0</v>
      </c>
      <c r="C160" s="44">
        <f t="shared" si="80"/>
        <v>18</v>
      </c>
      <c r="D160" s="52">
        <f t="shared" si="86"/>
        <v>207</v>
      </c>
      <c r="E160" s="26">
        <f t="shared" si="68"/>
        <v>9.9503999999999984</v>
      </c>
      <c r="F160" s="26">
        <f t="shared" si="69"/>
        <v>4.2713999999999999</v>
      </c>
      <c r="G160" s="26">
        <f t="shared" si="70"/>
        <v>2.9447999999999999</v>
      </c>
      <c r="H160" s="26">
        <f t="shared" si="81"/>
        <v>0.83340000000000003</v>
      </c>
      <c r="I160" s="27">
        <f t="shared" si="88"/>
        <v>9.9503999999999984</v>
      </c>
      <c r="J160" s="27">
        <f t="shared" si="88"/>
        <v>4.2713999999999999</v>
      </c>
      <c r="K160" s="27">
        <f t="shared" si="88"/>
        <v>2.9447999999999999</v>
      </c>
      <c r="L160" s="27">
        <f t="shared" si="88"/>
        <v>0.83340000000000003</v>
      </c>
      <c r="M160" s="28">
        <f>IF(R159=0,0,$Q$14)</f>
        <v>3</v>
      </c>
      <c r="N160" s="29">
        <f>$U$14-M160-O160-P160</f>
        <v>7</v>
      </c>
      <c r="O160" s="28">
        <f>IF(T159=0,0,$S$14)</f>
        <v>1</v>
      </c>
      <c r="P160" s="28">
        <f>IF(U159=0,0,$T$14)</f>
        <v>0</v>
      </c>
      <c r="Q160" s="28">
        <f t="shared" si="71"/>
        <v>11</v>
      </c>
      <c r="R160" s="22">
        <f t="shared" si="72"/>
        <v>88.032492289407173</v>
      </c>
      <c r="S160" s="22">
        <f t="shared" si="73"/>
        <v>13.831522893752169</v>
      </c>
      <c r="T160" s="22">
        <f t="shared" si="74"/>
        <v>16.255572064785593</v>
      </c>
      <c r="U160" s="22">
        <f t="shared" si="75"/>
        <v>0.83340000000000003</v>
      </c>
      <c r="V160" s="21">
        <f t="shared" si="89"/>
        <v>11.850934111999992</v>
      </c>
      <c r="W160" s="21">
        <f t="shared" si="94"/>
        <v>3.3892249956571407</v>
      </c>
      <c r="X160" s="21">
        <f t="shared" si="84"/>
        <v>5.5692727783999976</v>
      </c>
      <c r="Y160" s="21">
        <f t="shared" si="85"/>
        <v>0</v>
      </c>
      <c r="Z160" s="221">
        <f t="shared" si="76"/>
        <v>9</v>
      </c>
      <c r="AA160" s="30">
        <f t="shared" si="64"/>
        <v>6.3140692319120486</v>
      </c>
      <c r="AB160" s="30">
        <f t="shared" si="65"/>
        <v>3.4688739976703165</v>
      </c>
      <c r="AC160" s="30">
        <f t="shared" si="66"/>
        <v>2.4809767459508998</v>
      </c>
      <c r="AD160" s="30">
        <f t="shared" si="67"/>
        <v>0</v>
      </c>
      <c r="AE160" s="32">
        <f t="shared" si="77"/>
        <v>12.263919975533264</v>
      </c>
      <c r="AF160" s="33">
        <f t="shared" si="87"/>
        <v>11.768366547294647</v>
      </c>
      <c r="AG160" s="40">
        <f t="shared" si="78"/>
        <v>1.8121874888337075</v>
      </c>
      <c r="AH160" s="224">
        <f>AG160*$P$33</f>
        <v>0.15198571813818723</v>
      </c>
      <c r="AI160" s="227">
        <f t="shared" si="79"/>
        <v>30.427119286706457</v>
      </c>
    </row>
    <row r="161" spans="1:35" x14ac:dyDescent="0.35">
      <c r="A161" s="48">
        <v>1502</v>
      </c>
      <c r="B161" s="58">
        <f>SUMIF([2]!Table2_23[ETA],'FIS Current Model'!A161,[2]!Table2_23[FIS PAX])</f>
        <v>0</v>
      </c>
      <c r="C161" s="44">
        <f t="shared" si="80"/>
        <v>18</v>
      </c>
      <c r="D161" s="52">
        <f t="shared" si="86"/>
        <v>189</v>
      </c>
      <c r="E161" s="26">
        <f t="shared" si="68"/>
        <v>9.9503999999999984</v>
      </c>
      <c r="F161" s="26">
        <f t="shared" si="69"/>
        <v>4.2713999999999999</v>
      </c>
      <c r="G161" s="26">
        <f t="shared" si="70"/>
        <v>2.9447999999999999</v>
      </c>
      <c r="H161" s="26">
        <f t="shared" si="81"/>
        <v>0.83340000000000003</v>
      </c>
      <c r="I161" s="27">
        <f t="shared" si="88"/>
        <v>9.9503999999999984</v>
      </c>
      <c r="J161" s="27">
        <f t="shared" si="88"/>
        <v>4.2713999999999999</v>
      </c>
      <c r="K161" s="27">
        <f t="shared" si="88"/>
        <v>2.9447999999999999</v>
      </c>
      <c r="L161" s="27">
        <f t="shared" si="88"/>
        <v>0.83340000000000003</v>
      </c>
      <c r="M161" s="28">
        <f>$M$160</f>
        <v>3</v>
      </c>
      <c r="N161" s="29">
        <f>$N$160</f>
        <v>7</v>
      </c>
      <c r="O161" s="28">
        <f>$O$160</f>
        <v>1</v>
      </c>
      <c r="P161" s="28">
        <f>$P$160</f>
        <v>0</v>
      </c>
      <c r="Q161" s="28">
        <f t="shared" si="71"/>
        <v>11</v>
      </c>
      <c r="R161" s="22">
        <f t="shared" si="72"/>
        <v>91.668823057495132</v>
      </c>
      <c r="S161" s="22">
        <f t="shared" si="73"/>
        <v>14.634048896081852</v>
      </c>
      <c r="T161" s="22">
        <f t="shared" si="74"/>
        <v>16.719395318834692</v>
      </c>
      <c r="U161" s="22">
        <f t="shared" si="75"/>
        <v>1.6668000000000001</v>
      </c>
      <c r="V161" s="21">
        <f t="shared" si="89"/>
        <v>12.340456959999994</v>
      </c>
      <c r="W161" s="21">
        <f t="shared" si="94"/>
        <v>3.5858729864571406</v>
      </c>
      <c r="X161" s="21">
        <f t="shared" si="84"/>
        <v>5.7281818719999977</v>
      </c>
      <c r="Y161" s="21">
        <f t="shared" si="85"/>
        <v>0</v>
      </c>
      <c r="Z161" s="221">
        <f t="shared" si="76"/>
        <v>9</v>
      </c>
      <c r="AA161" s="30">
        <f t="shared" si="64"/>
        <v>6.3140692319120486</v>
      </c>
      <c r="AB161" s="30">
        <f t="shared" si="65"/>
        <v>3.4688739976703165</v>
      </c>
      <c r="AC161" s="30">
        <f t="shared" si="66"/>
        <v>2.4809767459508998</v>
      </c>
      <c r="AD161" s="30">
        <f t="shared" si="67"/>
        <v>0</v>
      </c>
      <c r="AE161" s="32">
        <f t="shared" si="77"/>
        <v>12.263919975533264</v>
      </c>
      <c r="AF161" s="33">
        <f t="shared" si="87"/>
        <v>11.768366547294647</v>
      </c>
      <c r="AG161" s="40">
        <f t="shared" si="78"/>
        <v>1.657147606676574</v>
      </c>
      <c r="AH161" s="224">
        <f>AG161*$P$33</f>
        <v>0.13898273253382398</v>
      </c>
      <c r="AI161" s="227">
        <f t="shared" si="79"/>
        <v>30.455677698104761</v>
      </c>
    </row>
    <row r="162" spans="1:35" x14ac:dyDescent="0.35">
      <c r="A162" s="48">
        <v>1503</v>
      </c>
      <c r="B162" s="58">
        <f>SUMIF([2]!Table2_23[ETA],'FIS Current Model'!A162,[2]!Table2_23[FIS PAX])</f>
        <v>0</v>
      </c>
      <c r="C162" s="44">
        <f t="shared" si="80"/>
        <v>18</v>
      </c>
      <c r="D162" s="52">
        <f t="shared" si="86"/>
        <v>171</v>
      </c>
      <c r="E162" s="26">
        <f t="shared" si="68"/>
        <v>9.9503999999999984</v>
      </c>
      <c r="F162" s="26">
        <f t="shared" si="69"/>
        <v>4.2713999999999999</v>
      </c>
      <c r="G162" s="26">
        <f t="shared" si="70"/>
        <v>2.9447999999999999</v>
      </c>
      <c r="H162" s="26">
        <f t="shared" si="81"/>
        <v>0.83340000000000003</v>
      </c>
      <c r="I162" s="27">
        <f t="shared" si="88"/>
        <v>9.9503999999999984</v>
      </c>
      <c r="J162" s="27">
        <f t="shared" si="88"/>
        <v>4.2713999999999999</v>
      </c>
      <c r="K162" s="27">
        <f t="shared" si="88"/>
        <v>2.9447999999999999</v>
      </c>
      <c r="L162" s="27">
        <f t="shared" si="88"/>
        <v>0.83340000000000003</v>
      </c>
      <c r="M162" s="28">
        <f t="shared" ref="M162:M174" si="103">$M$160</f>
        <v>3</v>
      </c>
      <c r="N162" s="29">
        <f t="shared" ref="N162:N174" si="104">$N$160</f>
        <v>7</v>
      </c>
      <c r="O162" s="28">
        <f t="shared" ref="O162:O174" si="105">$O$160</f>
        <v>1</v>
      </c>
      <c r="P162" s="28">
        <f t="shared" ref="P162:P174" si="106">$P$160</f>
        <v>0</v>
      </c>
      <c r="Q162" s="28">
        <f t="shared" si="71"/>
        <v>11</v>
      </c>
      <c r="R162" s="22">
        <f t="shared" si="72"/>
        <v>95.305153825583091</v>
      </c>
      <c r="S162" s="22">
        <f t="shared" si="73"/>
        <v>15.436574898411536</v>
      </c>
      <c r="T162" s="22">
        <f t="shared" si="74"/>
        <v>17.183218572883792</v>
      </c>
      <c r="U162" s="22">
        <f t="shared" si="75"/>
        <v>2.5002</v>
      </c>
      <c r="V162" s="21">
        <f t="shared" si="89"/>
        <v>12.829979807999994</v>
      </c>
      <c r="W162" s="21">
        <f t="shared" si="94"/>
        <v>3.7825209772571404</v>
      </c>
      <c r="X162" s="21">
        <f t="shared" si="84"/>
        <v>5.887090965599997</v>
      </c>
      <c r="Y162" s="21">
        <f t="shared" si="85"/>
        <v>0</v>
      </c>
      <c r="Z162" s="221">
        <f t="shared" si="76"/>
        <v>9</v>
      </c>
      <c r="AA162" s="30">
        <f t="shared" si="64"/>
        <v>6.3140692319120486</v>
      </c>
      <c r="AB162" s="30">
        <f t="shared" si="65"/>
        <v>3.4688739976703165</v>
      </c>
      <c r="AC162" s="30">
        <f t="shared" si="66"/>
        <v>2.4809767459508998</v>
      </c>
      <c r="AD162" s="30">
        <f t="shared" si="67"/>
        <v>0</v>
      </c>
      <c r="AE162" s="32">
        <f t="shared" si="77"/>
        <v>12.263919975533264</v>
      </c>
      <c r="AF162" s="33">
        <f t="shared" si="87"/>
        <v>11.768366547294647</v>
      </c>
      <c r="AG162" s="40">
        <f t="shared" si="78"/>
        <v>1.5021077245194405</v>
      </c>
      <c r="AH162" s="224">
        <f>AG162*$P$33</f>
        <v>0.12597974692946076</v>
      </c>
      <c r="AI162" s="227">
        <f t="shared" si="79"/>
        <v>30.484236109503069</v>
      </c>
    </row>
    <row r="163" spans="1:35" x14ac:dyDescent="0.35">
      <c r="A163" s="48">
        <v>1504</v>
      </c>
      <c r="B163" s="58">
        <f>SUMIF([2]!Table2_23[ETA],'FIS Current Model'!A163,[2]!Table2_23[FIS PAX])</f>
        <v>0</v>
      </c>
      <c r="C163" s="44">
        <f t="shared" si="80"/>
        <v>18</v>
      </c>
      <c r="D163" s="52">
        <f t="shared" si="86"/>
        <v>153</v>
      </c>
      <c r="E163" s="26">
        <f t="shared" si="68"/>
        <v>9.9503999999999984</v>
      </c>
      <c r="F163" s="26">
        <f t="shared" si="69"/>
        <v>4.2713999999999999</v>
      </c>
      <c r="G163" s="26">
        <f t="shared" si="70"/>
        <v>2.9447999999999999</v>
      </c>
      <c r="H163" s="26">
        <f t="shared" si="81"/>
        <v>0.83340000000000003</v>
      </c>
      <c r="I163" s="27">
        <f t="shared" si="88"/>
        <v>9.9503999999999984</v>
      </c>
      <c r="J163" s="27">
        <f t="shared" si="88"/>
        <v>4.2713999999999999</v>
      </c>
      <c r="K163" s="27">
        <f t="shared" si="88"/>
        <v>2.9447999999999999</v>
      </c>
      <c r="L163" s="27">
        <f t="shared" si="88"/>
        <v>0.83340000000000003</v>
      </c>
      <c r="M163" s="28">
        <f t="shared" si="103"/>
        <v>3</v>
      </c>
      <c r="N163" s="29">
        <f t="shared" si="104"/>
        <v>7</v>
      </c>
      <c r="O163" s="28">
        <f t="shared" si="105"/>
        <v>1</v>
      </c>
      <c r="P163" s="28">
        <f t="shared" si="106"/>
        <v>0</v>
      </c>
      <c r="Q163" s="28">
        <f t="shared" si="71"/>
        <v>11</v>
      </c>
      <c r="R163" s="22">
        <f t="shared" si="72"/>
        <v>98.941484593671049</v>
      </c>
      <c r="S163" s="22">
        <f t="shared" si="73"/>
        <v>16.239100900741221</v>
      </c>
      <c r="T163" s="22">
        <f t="shared" si="74"/>
        <v>17.647041826932892</v>
      </c>
      <c r="U163" s="22">
        <f t="shared" si="75"/>
        <v>3.3336000000000001</v>
      </c>
      <c r="V163" s="21">
        <f t="shared" si="89"/>
        <v>13.319502655999996</v>
      </c>
      <c r="W163" s="21">
        <f t="shared" si="94"/>
        <v>3.9791689680571407</v>
      </c>
      <c r="X163" s="21">
        <f t="shared" si="84"/>
        <v>6.0460000591999972</v>
      </c>
      <c r="Y163" s="21">
        <f t="shared" si="85"/>
        <v>0</v>
      </c>
      <c r="Z163" s="221">
        <f t="shared" si="76"/>
        <v>10</v>
      </c>
      <c r="AA163" s="30">
        <f t="shared" si="64"/>
        <v>6.3140692319120486</v>
      </c>
      <c r="AB163" s="30">
        <f t="shared" si="65"/>
        <v>3.4688739976703165</v>
      </c>
      <c r="AC163" s="30">
        <f t="shared" si="66"/>
        <v>2.4809767459508998</v>
      </c>
      <c r="AD163" s="30">
        <f t="shared" si="67"/>
        <v>0</v>
      </c>
      <c r="AE163" s="32">
        <f t="shared" si="77"/>
        <v>12.263919975533264</v>
      </c>
      <c r="AF163" s="33">
        <f t="shared" si="87"/>
        <v>11.768366547294647</v>
      </c>
      <c r="AG163" s="40">
        <f t="shared" si="78"/>
        <v>1.347067842362307</v>
      </c>
      <c r="AH163" s="224">
        <f>AG163*$P$33</f>
        <v>0.11297676132509753</v>
      </c>
      <c r="AI163" s="227">
        <f t="shared" si="79"/>
        <v>31.541352932299677</v>
      </c>
    </row>
    <row r="164" spans="1:35" x14ac:dyDescent="0.35">
      <c r="A164" s="48">
        <v>1505</v>
      </c>
      <c r="B164" s="58">
        <f>SUMIF([2]!Table2_23[ETA],'FIS Current Model'!A164,[2]!Table2_23[FIS PAX])</f>
        <v>0</v>
      </c>
      <c r="C164" s="44">
        <f t="shared" si="80"/>
        <v>18</v>
      </c>
      <c r="D164" s="52">
        <f t="shared" si="86"/>
        <v>135</v>
      </c>
      <c r="E164" s="26">
        <f t="shared" si="68"/>
        <v>9.9503999999999984</v>
      </c>
      <c r="F164" s="26">
        <f t="shared" si="69"/>
        <v>4.2713999999999999</v>
      </c>
      <c r="G164" s="26">
        <f t="shared" si="70"/>
        <v>2.9447999999999999</v>
      </c>
      <c r="H164" s="26">
        <f t="shared" si="81"/>
        <v>0.83340000000000003</v>
      </c>
      <c r="I164" s="27">
        <f t="shared" si="88"/>
        <v>9.9503999999999984</v>
      </c>
      <c r="J164" s="27">
        <f t="shared" si="88"/>
        <v>4.2713999999999999</v>
      </c>
      <c r="K164" s="27">
        <f t="shared" si="88"/>
        <v>2.9447999999999999</v>
      </c>
      <c r="L164" s="27">
        <f t="shared" si="88"/>
        <v>0.83340000000000003</v>
      </c>
      <c r="M164" s="28">
        <f t="shared" si="103"/>
        <v>3</v>
      </c>
      <c r="N164" s="29">
        <f t="shared" si="104"/>
        <v>7</v>
      </c>
      <c r="O164" s="28">
        <f t="shared" si="105"/>
        <v>1</v>
      </c>
      <c r="P164" s="28">
        <f t="shared" si="106"/>
        <v>0</v>
      </c>
      <c r="Q164" s="28">
        <f t="shared" si="71"/>
        <v>11</v>
      </c>
      <c r="R164" s="22">
        <f t="shared" si="72"/>
        <v>102.57781536175901</v>
      </c>
      <c r="S164" s="22">
        <f t="shared" si="73"/>
        <v>17.041626903070906</v>
      </c>
      <c r="T164" s="22">
        <f t="shared" si="74"/>
        <v>18.110865080981991</v>
      </c>
      <c r="U164" s="22">
        <f t="shared" si="75"/>
        <v>4.1669999999999998</v>
      </c>
      <c r="V164" s="21">
        <f t="shared" si="89"/>
        <v>13.809025503999997</v>
      </c>
      <c r="W164" s="21">
        <f t="shared" si="94"/>
        <v>4.1758169588571405</v>
      </c>
      <c r="X164" s="21">
        <f t="shared" si="84"/>
        <v>6.2049091527999973</v>
      </c>
      <c r="Y164" s="21">
        <f t="shared" si="85"/>
        <v>0</v>
      </c>
      <c r="Z164" s="221">
        <f t="shared" si="76"/>
        <v>10</v>
      </c>
      <c r="AA164" s="30">
        <f t="shared" si="64"/>
        <v>6.3140692319120486</v>
      </c>
      <c r="AB164" s="30">
        <f t="shared" si="65"/>
        <v>3.4688739976703165</v>
      </c>
      <c r="AC164" s="30">
        <f t="shared" si="66"/>
        <v>2.4809767459508998</v>
      </c>
      <c r="AD164" s="30">
        <f t="shared" si="67"/>
        <v>0</v>
      </c>
      <c r="AE164" s="32">
        <f t="shared" si="77"/>
        <v>12.263919975533264</v>
      </c>
      <c r="AF164" s="33">
        <f t="shared" si="87"/>
        <v>12.263919975533264</v>
      </c>
      <c r="AG164" s="40">
        <f t="shared" si="78"/>
        <v>1.6875813884437907</v>
      </c>
      <c r="AH164" s="224">
        <f>AG164*$P$33</f>
        <v>0.14153517272340294</v>
      </c>
      <c r="AI164" s="227">
        <f t="shared" si="79"/>
        <v>31.682360719390587</v>
      </c>
    </row>
    <row r="165" spans="1:35" x14ac:dyDescent="0.35">
      <c r="A165" s="48">
        <v>1506</v>
      </c>
      <c r="B165" s="58">
        <f>SUMIF([2]!Table2_23[ETA],'FIS Current Model'!A165,[2]!Table2_23[FIS PAX])</f>
        <v>86</v>
      </c>
      <c r="C165" s="44">
        <f t="shared" si="80"/>
        <v>18</v>
      </c>
      <c r="D165" s="52">
        <f t="shared" si="86"/>
        <v>117</v>
      </c>
      <c r="E165" s="26">
        <f t="shared" si="68"/>
        <v>9.9503999999999984</v>
      </c>
      <c r="F165" s="26">
        <f t="shared" si="69"/>
        <v>4.2713999999999999</v>
      </c>
      <c r="G165" s="26">
        <f t="shared" si="70"/>
        <v>2.9447999999999999</v>
      </c>
      <c r="H165" s="26">
        <f t="shared" si="81"/>
        <v>0.83340000000000003</v>
      </c>
      <c r="I165" s="27">
        <f t="shared" si="88"/>
        <v>9.9503999999999984</v>
      </c>
      <c r="J165" s="27">
        <f t="shared" si="88"/>
        <v>4.2713999999999999</v>
      </c>
      <c r="K165" s="27">
        <f t="shared" si="88"/>
        <v>2.9447999999999999</v>
      </c>
      <c r="L165" s="27">
        <f t="shared" si="88"/>
        <v>0.83340000000000003</v>
      </c>
      <c r="M165" s="28">
        <f t="shared" si="103"/>
        <v>3</v>
      </c>
      <c r="N165" s="29">
        <f t="shared" si="104"/>
        <v>7</v>
      </c>
      <c r="O165" s="28">
        <f t="shared" si="105"/>
        <v>1</v>
      </c>
      <c r="P165" s="28">
        <f t="shared" si="106"/>
        <v>0</v>
      </c>
      <c r="Q165" s="28">
        <f t="shared" si="71"/>
        <v>11</v>
      </c>
      <c r="R165" s="22">
        <f t="shared" si="72"/>
        <v>106.21414612984697</v>
      </c>
      <c r="S165" s="22">
        <f t="shared" si="73"/>
        <v>17.844152905400591</v>
      </c>
      <c r="T165" s="22">
        <f t="shared" si="74"/>
        <v>18.574688335031091</v>
      </c>
      <c r="U165" s="22">
        <f t="shared" si="75"/>
        <v>5.0004</v>
      </c>
      <c r="V165" s="21">
        <f t="shared" si="89"/>
        <v>14.298548351999997</v>
      </c>
      <c r="W165" s="21">
        <f t="shared" si="94"/>
        <v>4.3724649496571413</v>
      </c>
      <c r="X165" s="21">
        <f t="shared" si="84"/>
        <v>6.3638182463999966</v>
      </c>
      <c r="Y165" s="21">
        <f t="shared" si="85"/>
        <v>0</v>
      </c>
      <c r="Z165" s="221">
        <f t="shared" si="76"/>
        <v>10</v>
      </c>
      <c r="AA165" s="30">
        <f t="shared" si="64"/>
        <v>6.3140692319120486</v>
      </c>
      <c r="AB165" s="30">
        <f t="shared" si="65"/>
        <v>3.4688739976703165</v>
      </c>
      <c r="AC165" s="30">
        <f t="shared" si="66"/>
        <v>2.4809767459508998</v>
      </c>
      <c r="AD165" s="30">
        <f t="shared" si="67"/>
        <v>0</v>
      </c>
      <c r="AE165" s="32">
        <f t="shared" si="77"/>
        <v>12.263919975533264</v>
      </c>
      <c r="AF165" s="33">
        <f t="shared" si="87"/>
        <v>12.263919975533264</v>
      </c>
      <c r="AG165" s="40">
        <f t="shared" si="78"/>
        <v>2.0280949345252743</v>
      </c>
      <c r="AH165" s="224">
        <f>AG165*$P$33</f>
        <v>0.17009358412170833</v>
      </c>
      <c r="AI165" s="227">
        <f t="shared" si="79"/>
        <v>31.823368506481497</v>
      </c>
    </row>
    <row r="166" spans="1:35" x14ac:dyDescent="0.35">
      <c r="A166" s="48">
        <v>1507</v>
      </c>
      <c r="B166" s="58">
        <f>SUMIF([2]!Table2_23[ETA],'FIS Current Model'!A166,[2]!Table2_23[FIS PAX])</f>
        <v>0</v>
      </c>
      <c r="C166" s="44">
        <f t="shared" si="80"/>
        <v>18</v>
      </c>
      <c r="D166" s="52">
        <f t="shared" si="86"/>
        <v>185</v>
      </c>
      <c r="E166" s="26">
        <f t="shared" si="68"/>
        <v>9.9503999999999984</v>
      </c>
      <c r="F166" s="26">
        <f t="shared" si="69"/>
        <v>4.2713999999999999</v>
      </c>
      <c r="G166" s="26">
        <f t="shared" si="70"/>
        <v>2.9447999999999999</v>
      </c>
      <c r="H166" s="26">
        <f t="shared" si="81"/>
        <v>0.83340000000000003</v>
      </c>
      <c r="I166" s="27">
        <f t="shared" si="88"/>
        <v>9.9503999999999984</v>
      </c>
      <c r="J166" s="27">
        <f t="shared" si="88"/>
        <v>4.2713999999999999</v>
      </c>
      <c r="K166" s="27">
        <f t="shared" si="88"/>
        <v>2.9447999999999999</v>
      </c>
      <c r="L166" s="27">
        <f t="shared" si="88"/>
        <v>0.83340000000000003</v>
      </c>
      <c r="M166" s="28">
        <f t="shared" si="103"/>
        <v>3</v>
      </c>
      <c r="N166" s="29">
        <f t="shared" si="104"/>
        <v>7</v>
      </c>
      <c r="O166" s="28">
        <f t="shared" si="105"/>
        <v>1</v>
      </c>
      <c r="P166" s="28">
        <f t="shared" si="106"/>
        <v>0</v>
      </c>
      <c r="Q166" s="28">
        <f t="shared" si="71"/>
        <v>11</v>
      </c>
      <c r="R166" s="22">
        <f t="shared" si="72"/>
        <v>109.85047689793493</v>
      </c>
      <c r="S166" s="22">
        <f t="shared" si="73"/>
        <v>18.646678907730276</v>
      </c>
      <c r="T166" s="22">
        <f t="shared" si="74"/>
        <v>19.038511589080191</v>
      </c>
      <c r="U166" s="22">
        <f t="shared" si="75"/>
        <v>5.8338000000000001</v>
      </c>
      <c r="V166" s="21">
        <f t="shared" si="89"/>
        <v>14.788071199999999</v>
      </c>
      <c r="W166" s="21">
        <f t="shared" si="94"/>
        <v>4.5691129404571411</v>
      </c>
      <c r="X166" s="21">
        <f t="shared" si="84"/>
        <v>6.5227273399999968</v>
      </c>
      <c r="Y166" s="21">
        <f t="shared" si="85"/>
        <v>0</v>
      </c>
      <c r="Z166" s="221">
        <f t="shared" si="76"/>
        <v>11</v>
      </c>
      <c r="AA166" s="30">
        <f t="shared" si="64"/>
        <v>6.3140692319120486</v>
      </c>
      <c r="AB166" s="30">
        <f t="shared" si="65"/>
        <v>3.4688739976703165</v>
      </c>
      <c r="AC166" s="30">
        <f t="shared" si="66"/>
        <v>2.4809767459508998</v>
      </c>
      <c r="AD166" s="30">
        <f t="shared" si="67"/>
        <v>0</v>
      </c>
      <c r="AE166" s="32">
        <f t="shared" si="77"/>
        <v>12.263919975533264</v>
      </c>
      <c r="AF166" s="33">
        <f t="shared" si="87"/>
        <v>12.263919975533264</v>
      </c>
      <c r="AG166" s="40">
        <f t="shared" si="78"/>
        <v>2.368608480606758</v>
      </c>
      <c r="AH166" s="224">
        <f>AG166*$P$33</f>
        <v>0.19865199552001372</v>
      </c>
      <c r="AI166" s="227">
        <f t="shared" si="79"/>
        <v>33.10538408066332</v>
      </c>
    </row>
    <row r="167" spans="1:35" x14ac:dyDescent="0.35">
      <c r="A167" s="48">
        <v>1508</v>
      </c>
      <c r="B167" s="58">
        <f>SUMIF([2]!Table2_23[ETA],'FIS Current Model'!A167,[2]!Table2_23[FIS PAX])</f>
        <v>0</v>
      </c>
      <c r="C167" s="44">
        <f t="shared" si="80"/>
        <v>18</v>
      </c>
      <c r="D167" s="52">
        <f t="shared" si="86"/>
        <v>167</v>
      </c>
      <c r="E167" s="26">
        <f t="shared" si="68"/>
        <v>9.9503999999999984</v>
      </c>
      <c r="F167" s="26">
        <f t="shared" si="69"/>
        <v>4.2713999999999999</v>
      </c>
      <c r="G167" s="26">
        <f t="shared" si="70"/>
        <v>2.9447999999999999</v>
      </c>
      <c r="H167" s="26">
        <f t="shared" si="81"/>
        <v>0.83340000000000003</v>
      </c>
      <c r="I167" s="27">
        <f t="shared" si="88"/>
        <v>9.9503999999999984</v>
      </c>
      <c r="J167" s="27">
        <f t="shared" si="88"/>
        <v>4.2713999999999999</v>
      </c>
      <c r="K167" s="27">
        <f t="shared" si="88"/>
        <v>2.9447999999999999</v>
      </c>
      <c r="L167" s="27">
        <f t="shared" si="88"/>
        <v>0.83340000000000003</v>
      </c>
      <c r="M167" s="28">
        <f t="shared" si="103"/>
        <v>3</v>
      </c>
      <c r="N167" s="29">
        <f t="shared" si="104"/>
        <v>7</v>
      </c>
      <c r="O167" s="28">
        <f t="shared" si="105"/>
        <v>1</v>
      </c>
      <c r="P167" s="28">
        <f t="shared" si="106"/>
        <v>0</v>
      </c>
      <c r="Q167" s="28">
        <f t="shared" si="71"/>
        <v>11</v>
      </c>
      <c r="R167" s="22">
        <f t="shared" si="72"/>
        <v>113.48680766602288</v>
      </c>
      <c r="S167" s="22">
        <f t="shared" si="73"/>
        <v>19.449204910059962</v>
      </c>
      <c r="T167" s="22">
        <f t="shared" si="74"/>
        <v>19.50233484312929</v>
      </c>
      <c r="U167" s="22">
        <f t="shared" si="75"/>
        <v>6.6672000000000002</v>
      </c>
      <c r="V167" s="21">
        <f t="shared" si="89"/>
        <v>15.277594047999999</v>
      </c>
      <c r="W167" s="21">
        <f t="shared" si="94"/>
        <v>4.7657609312571418</v>
      </c>
      <c r="X167" s="21">
        <f t="shared" si="84"/>
        <v>6.6816364335999969</v>
      </c>
      <c r="Y167" s="21">
        <f t="shared" si="85"/>
        <v>0</v>
      </c>
      <c r="Z167" s="221">
        <f t="shared" si="76"/>
        <v>11</v>
      </c>
      <c r="AA167" s="30">
        <f t="shared" ref="AA167:AA230" si="107">IF(R167&lt;&gt;0,($J$30*M167*$L$33),0)</f>
        <v>6.3140692319120486</v>
      </c>
      <c r="AB167" s="30">
        <f t="shared" ref="AB167:AB230" si="108">IF(W167&lt;&gt;0,($J$31*N167*$L$33),0)</f>
        <v>3.4688739976703165</v>
      </c>
      <c r="AC167" s="30">
        <f t="shared" ref="AC167:AC230" si="109">IF(X167&lt;&gt;0,($J$32*O167*$L$33),0)</f>
        <v>2.4809767459508998</v>
      </c>
      <c r="AD167" s="30">
        <f t="shared" ref="AD167:AD230" si="110">IF(Y167&lt;&gt;0,($J$33*P167*$L$33),0)</f>
        <v>0</v>
      </c>
      <c r="AE167" s="32">
        <f t="shared" si="77"/>
        <v>12.263919975533264</v>
      </c>
      <c r="AF167" s="33">
        <f t="shared" si="87"/>
        <v>12.263919975533264</v>
      </c>
      <c r="AG167" s="40">
        <f t="shared" si="78"/>
        <v>2.7091220266882416</v>
      </c>
      <c r="AH167" s="224">
        <f>AG167*$P$33</f>
        <v>0.22721040691831915</v>
      </c>
      <c r="AI167" s="227">
        <f t="shared" si="79"/>
        <v>33.246391867754227</v>
      </c>
    </row>
    <row r="168" spans="1:35" x14ac:dyDescent="0.35">
      <c r="A168" s="48">
        <v>1509</v>
      </c>
      <c r="B168" s="58">
        <f>SUMIF([2]!Table2_23[ETA],'FIS Current Model'!A168,[2]!Table2_23[FIS PAX])</f>
        <v>0</v>
      </c>
      <c r="C168" s="44">
        <f t="shared" si="80"/>
        <v>18</v>
      </c>
      <c r="D168" s="52">
        <f t="shared" si="86"/>
        <v>149</v>
      </c>
      <c r="E168" s="26">
        <f t="shared" ref="E168:E231" si="111">$C$30*C168</f>
        <v>9.9503999999999984</v>
      </c>
      <c r="F168" s="26">
        <f t="shared" ref="F168:F231" si="112">$C$31*C168</f>
        <v>4.2713999999999999</v>
      </c>
      <c r="G168" s="26">
        <f t="shared" ref="G168:G231" si="113">$C$32*C168</f>
        <v>2.9447999999999999</v>
      </c>
      <c r="H168" s="26">
        <f t="shared" si="81"/>
        <v>0.83340000000000003</v>
      </c>
      <c r="I168" s="27">
        <f t="shared" si="88"/>
        <v>9.9503999999999984</v>
      </c>
      <c r="J168" s="27">
        <f t="shared" si="88"/>
        <v>4.2713999999999999</v>
      </c>
      <c r="K168" s="27">
        <f t="shared" si="88"/>
        <v>2.9447999999999999</v>
      </c>
      <c r="L168" s="27">
        <f t="shared" si="88"/>
        <v>0.83340000000000003</v>
      </c>
      <c r="M168" s="28">
        <f t="shared" si="103"/>
        <v>3</v>
      </c>
      <c r="N168" s="29">
        <f t="shared" si="104"/>
        <v>7</v>
      </c>
      <c r="O168" s="28">
        <f t="shared" si="105"/>
        <v>1</v>
      </c>
      <c r="P168" s="28">
        <f t="shared" si="106"/>
        <v>0</v>
      </c>
      <c r="Q168" s="28">
        <f t="shared" ref="Q168:Q231" si="114">SUM(M168:P168)</f>
        <v>11</v>
      </c>
      <c r="R168" s="22">
        <f t="shared" ref="R168:R231" si="115">MAX(R167-($J$30*M168*$L$33)+I168,0)</f>
        <v>117.12313843411084</v>
      </c>
      <c r="S168" s="22">
        <f t="shared" ref="S168:S231" si="116">IF(U168&lt;&gt;0,(MAX(S167-($J$31*N168*$L$33)+J168,0)),(MAX(S167-($J$31*(N168+P168)*$L$33)+J168,0)))</f>
        <v>20.251730912389647</v>
      </c>
      <c r="T168" s="22">
        <f t="shared" ref="T168:T231" si="117">MAX(T167-($J$32*O168*$L$33)+K168,0)</f>
        <v>19.96615809717839</v>
      </c>
      <c r="U168" s="22">
        <f t="shared" ref="U168:U231" si="118">MAX(U167-($J$33*P168*$L$33)+L168,0)</f>
        <v>7.5006000000000004</v>
      </c>
      <c r="V168" s="21">
        <f t="shared" si="89"/>
        <v>15.767116896000001</v>
      </c>
      <c r="W168" s="21">
        <f t="shared" si="94"/>
        <v>4.9624089220571417</v>
      </c>
      <c r="X168" s="21">
        <f t="shared" si="84"/>
        <v>6.8405455271999962</v>
      </c>
      <c r="Y168" s="21">
        <f t="shared" si="85"/>
        <v>0</v>
      </c>
      <c r="Z168" s="221">
        <f t="shared" ref="Z168:Z231" si="119">ROUNDUP(SUM(V168*$C$30,W168*$C$31,X168*$C$32,Y168*$C$33),0)</f>
        <v>12</v>
      </c>
      <c r="AA168" s="30">
        <f t="shared" si="107"/>
        <v>6.3140692319120486</v>
      </c>
      <c r="AB168" s="30">
        <f t="shared" si="108"/>
        <v>3.4688739976703165</v>
      </c>
      <c r="AC168" s="30">
        <f t="shared" si="109"/>
        <v>2.4809767459508998</v>
      </c>
      <c r="AD168" s="30">
        <f t="shared" si="110"/>
        <v>0</v>
      </c>
      <c r="AE168" s="32">
        <f t="shared" ref="AE168:AE231" si="120">SUM(AA168:AD168)</f>
        <v>12.263919975533264</v>
      </c>
      <c r="AF168" s="33">
        <f t="shared" si="87"/>
        <v>12.263919975533264</v>
      </c>
      <c r="AG168" s="40">
        <f t="shared" ref="AG168:AG231" si="121">MAX(AG167-$Q$33+AF168,0)</f>
        <v>3.0496355727697253</v>
      </c>
      <c r="AH168" s="224">
        <f>AG168*$P$33</f>
        <v>0.25576881831662457</v>
      </c>
      <c r="AI168" s="227">
        <f t="shared" ref="AI168:AI231" si="122">SUM(Z168,IF(Z168&lt;&gt;0,$F$31,0),IF(Z168&lt;&gt;0,$N$33,0),IF(Z168&lt;&gt;0,$T$33,0),IF(Z168=0,AH173,IF(Z168=1,AH174,IF(Z168=2,AH175,IF(Z168=3,AH176,IF(Z168=4,AH177,IF(Z168=5,AH178,IF(Z168=6,AH179,IF(Z168=7,AH180,IF(Z168=8,AH181,IF(Z168=9,AH182,IF(Z168=10,AH183,IF(Z168=11,AH184,IF(Z168=12,AH185,IF(Z168=13,AH186,IF(Z168=14,AH187,IF(Z168=15,AH188,IF(Z168=16,AH189,IF(Z168=17,AH190,IF(Z168=18,AH191,IF(Z168=19,AH192,IF(Z168=20,AH193,IF(Z168=21,AH194,IF(Z168=22,AH195,IF(Z168=23,AH196,IF(Z168=24,AH197,IF(Z168=25,AH198,IF(Z168=26,AH199,IF(Z168=27,AH200,IF(Z168=28,AH201,IF(Z168=29,AH202,IF(Z168=30,AH203))))))))))))))))))))))))))))))))</f>
        <v>34.528407441936046</v>
      </c>
    </row>
    <row r="169" spans="1:35" x14ac:dyDescent="0.35">
      <c r="A169" s="48">
        <v>1510</v>
      </c>
      <c r="B169" s="58">
        <f>SUMIF([2]!Table2_23[ETA],'FIS Current Model'!A169,[2]!Table2_23[FIS PAX])</f>
        <v>0</v>
      </c>
      <c r="C169" s="44">
        <f t="shared" ref="C169:C232" si="123">IF((D168-D169)&gt;-1,(D168-D169),18)</f>
        <v>18</v>
      </c>
      <c r="D169" s="52">
        <f t="shared" si="86"/>
        <v>131</v>
      </c>
      <c r="E169" s="26">
        <f t="shared" si="111"/>
        <v>9.9503999999999984</v>
      </c>
      <c r="F169" s="26">
        <f t="shared" si="112"/>
        <v>4.2713999999999999</v>
      </c>
      <c r="G169" s="26">
        <f t="shared" si="113"/>
        <v>2.9447999999999999</v>
      </c>
      <c r="H169" s="26">
        <f t="shared" ref="H169:H232" si="124">$C$33*C169</f>
        <v>0.83340000000000003</v>
      </c>
      <c r="I169" s="27">
        <f t="shared" si="88"/>
        <v>9.9503999999999984</v>
      </c>
      <c r="J169" s="27">
        <f t="shared" si="88"/>
        <v>4.2713999999999999</v>
      </c>
      <c r="K169" s="27">
        <f t="shared" si="88"/>
        <v>2.9447999999999999</v>
      </c>
      <c r="L169" s="27">
        <f t="shared" si="88"/>
        <v>0.83340000000000003</v>
      </c>
      <c r="M169" s="28">
        <f t="shared" si="103"/>
        <v>3</v>
      </c>
      <c r="N169" s="29">
        <f t="shared" si="104"/>
        <v>7</v>
      </c>
      <c r="O169" s="28">
        <f t="shared" si="105"/>
        <v>1</v>
      </c>
      <c r="P169" s="28">
        <f t="shared" si="106"/>
        <v>0</v>
      </c>
      <c r="Q169" s="28">
        <f t="shared" si="114"/>
        <v>11</v>
      </c>
      <c r="R169" s="22">
        <f t="shared" si="115"/>
        <v>120.7594692021988</v>
      </c>
      <c r="S169" s="22">
        <f t="shared" si="116"/>
        <v>21.054256914719332</v>
      </c>
      <c r="T169" s="22">
        <f t="shared" si="117"/>
        <v>20.429981351227489</v>
      </c>
      <c r="U169" s="22">
        <f t="shared" si="118"/>
        <v>8.3339999999999996</v>
      </c>
      <c r="V169" s="21">
        <f t="shared" si="89"/>
        <v>16.256639744000001</v>
      </c>
      <c r="W169" s="21">
        <f t="shared" si="94"/>
        <v>5.1590569128571424</v>
      </c>
      <c r="X169" s="21">
        <f t="shared" ref="X169:X232" si="125">IFERROR(T169*($I$32/O169),0)</f>
        <v>6.9994546207999964</v>
      </c>
      <c r="Y169" s="21">
        <f t="shared" ref="Y169:Y232" si="126">IFERROR(U169*($I$33/P169),0)</f>
        <v>0</v>
      </c>
      <c r="Z169" s="221">
        <f t="shared" si="119"/>
        <v>12</v>
      </c>
      <c r="AA169" s="30">
        <f t="shared" si="107"/>
        <v>6.3140692319120486</v>
      </c>
      <c r="AB169" s="30">
        <f t="shared" si="108"/>
        <v>3.4688739976703165</v>
      </c>
      <c r="AC169" s="30">
        <f t="shared" si="109"/>
        <v>2.4809767459508998</v>
      </c>
      <c r="AD169" s="30">
        <f t="shared" si="110"/>
        <v>0</v>
      </c>
      <c r="AE169" s="32">
        <f t="shared" si="120"/>
        <v>12.263919975533264</v>
      </c>
      <c r="AF169" s="33">
        <f t="shared" si="87"/>
        <v>12.263919975533264</v>
      </c>
      <c r="AG169" s="40">
        <f t="shared" si="121"/>
        <v>3.390149118851209</v>
      </c>
      <c r="AH169" s="224">
        <f>AG169*$P$33</f>
        <v>0.28432722971492996</v>
      </c>
      <c r="AI169" s="227">
        <f t="shared" si="122"/>
        <v>34.66941522902696</v>
      </c>
    </row>
    <row r="170" spans="1:35" x14ac:dyDescent="0.35">
      <c r="A170" s="48">
        <v>1511</v>
      </c>
      <c r="B170" s="58">
        <f>SUMIF([2]!Table2_23[ETA],'FIS Current Model'!A170,[2]!Table2_23[FIS PAX])</f>
        <v>0</v>
      </c>
      <c r="C170" s="44">
        <f t="shared" si="123"/>
        <v>18</v>
      </c>
      <c r="D170" s="52">
        <f t="shared" ref="D170:D233" si="127">MAX(D169-$E$31+B169,0)</f>
        <v>113</v>
      </c>
      <c r="E170" s="26">
        <f t="shared" si="111"/>
        <v>9.9503999999999984</v>
      </c>
      <c r="F170" s="26">
        <f t="shared" si="112"/>
        <v>4.2713999999999999</v>
      </c>
      <c r="G170" s="26">
        <f t="shared" si="113"/>
        <v>2.9447999999999999</v>
      </c>
      <c r="H170" s="26">
        <f t="shared" si="124"/>
        <v>0.83340000000000003</v>
      </c>
      <c r="I170" s="27">
        <f t="shared" si="88"/>
        <v>9.9503999999999984</v>
      </c>
      <c r="J170" s="27">
        <f t="shared" si="88"/>
        <v>4.2713999999999999</v>
      </c>
      <c r="K170" s="27">
        <f t="shared" si="88"/>
        <v>2.9447999999999999</v>
      </c>
      <c r="L170" s="27">
        <f t="shared" si="88"/>
        <v>0.83340000000000003</v>
      </c>
      <c r="M170" s="28">
        <f t="shared" si="103"/>
        <v>3</v>
      </c>
      <c r="N170" s="29">
        <f t="shared" si="104"/>
        <v>7</v>
      </c>
      <c r="O170" s="28">
        <f t="shared" si="105"/>
        <v>1</v>
      </c>
      <c r="P170" s="28">
        <f t="shared" si="106"/>
        <v>0</v>
      </c>
      <c r="Q170" s="28">
        <f t="shared" si="114"/>
        <v>11</v>
      </c>
      <c r="R170" s="22">
        <f t="shared" si="115"/>
        <v>124.39579997028676</v>
      </c>
      <c r="S170" s="22">
        <f t="shared" si="116"/>
        <v>21.856782917049017</v>
      </c>
      <c r="T170" s="22">
        <f t="shared" si="117"/>
        <v>20.893804605276589</v>
      </c>
      <c r="U170" s="22">
        <f t="shared" si="118"/>
        <v>9.1673999999999989</v>
      </c>
      <c r="V170" s="21">
        <f t="shared" si="89"/>
        <v>16.746162592000001</v>
      </c>
      <c r="W170" s="21">
        <f t="shared" si="94"/>
        <v>5.3557049036571422</v>
      </c>
      <c r="X170" s="21">
        <f t="shared" si="125"/>
        <v>7.1583637143999965</v>
      </c>
      <c r="Y170" s="21">
        <f t="shared" si="126"/>
        <v>0</v>
      </c>
      <c r="Z170" s="221">
        <f t="shared" si="119"/>
        <v>12</v>
      </c>
      <c r="AA170" s="30">
        <f t="shared" si="107"/>
        <v>6.3140692319120486</v>
      </c>
      <c r="AB170" s="30">
        <f t="shared" si="108"/>
        <v>3.4688739976703165</v>
      </c>
      <c r="AC170" s="30">
        <f t="shared" si="109"/>
        <v>2.4809767459508998</v>
      </c>
      <c r="AD170" s="30">
        <f t="shared" si="110"/>
        <v>0</v>
      </c>
      <c r="AE170" s="32">
        <f t="shared" si="120"/>
        <v>12.263919975533264</v>
      </c>
      <c r="AF170" s="33">
        <f t="shared" si="87"/>
        <v>12.263919975533264</v>
      </c>
      <c r="AG170" s="40">
        <f t="shared" si="121"/>
        <v>3.7306626649326926</v>
      </c>
      <c r="AH170" s="224">
        <f>AG170*$P$33</f>
        <v>0.31288564111323536</v>
      </c>
      <c r="AI170" s="227">
        <f t="shared" si="122"/>
        <v>34.810423016117866</v>
      </c>
    </row>
    <row r="171" spans="1:35" x14ac:dyDescent="0.35">
      <c r="A171" s="48">
        <v>1512</v>
      </c>
      <c r="B171" s="58">
        <f>SUMIF([2]!Table2_23[ETA],'FIS Current Model'!A171,[2]!Table2_23[FIS PAX])</f>
        <v>0</v>
      </c>
      <c r="C171" s="44">
        <f t="shared" si="123"/>
        <v>18</v>
      </c>
      <c r="D171" s="52">
        <f t="shared" si="127"/>
        <v>95</v>
      </c>
      <c r="E171" s="26">
        <f t="shared" si="111"/>
        <v>9.9503999999999984</v>
      </c>
      <c r="F171" s="26">
        <f t="shared" si="112"/>
        <v>4.2713999999999999</v>
      </c>
      <c r="G171" s="26">
        <f t="shared" si="113"/>
        <v>2.9447999999999999</v>
      </c>
      <c r="H171" s="26">
        <f t="shared" si="124"/>
        <v>0.83340000000000003</v>
      </c>
      <c r="I171" s="27">
        <f t="shared" si="88"/>
        <v>9.9503999999999984</v>
      </c>
      <c r="J171" s="27">
        <f t="shared" si="88"/>
        <v>4.2713999999999999</v>
      </c>
      <c r="K171" s="27">
        <f t="shared" si="88"/>
        <v>2.9447999999999999</v>
      </c>
      <c r="L171" s="27">
        <f t="shared" si="88"/>
        <v>0.83340000000000003</v>
      </c>
      <c r="M171" s="28">
        <f t="shared" si="103"/>
        <v>3</v>
      </c>
      <c r="N171" s="29">
        <f t="shared" si="104"/>
        <v>7</v>
      </c>
      <c r="O171" s="28">
        <f t="shared" si="105"/>
        <v>1</v>
      </c>
      <c r="P171" s="28">
        <f t="shared" si="106"/>
        <v>0</v>
      </c>
      <c r="Q171" s="28">
        <f t="shared" si="114"/>
        <v>11</v>
      </c>
      <c r="R171" s="22">
        <f t="shared" si="115"/>
        <v>128.03213073837472</v>
      </c>
      <c r="S171" s="22">
        <f t="shared" si="116"/>
        <v>22.659308919378702</v>
      </c>
      <c r="T171" s="22">
        <f t="shared" si="117"/>
        <v>21.357627859325689</v>
      </c>
      <c r="U171" s="22">
        <f t="shared" si="118"/>
        <v>10.000799999999998</v>
      </c>
      <c r="V171" s="21">
        <f t="shared" si="89"/>
        <v>17.235685440000005</v>
      </c>
      <c r="W171" s="21">
        <f t="shared" si="94"/>
        <v>5.552352894457143</v>
      </c>
      <c r="X171" s="21">
        <f t="shared" si="125"/>
        <v>7.3172728079999958</v>
      </c>
      <c r="Y171" s="21">
        <f t="shared" si="126"/>
        <v>0</v>
      </c>
      <c r="Z171" s="221">
        <f t="shared" si="119"/>
        <v>13</v>
      </c>
      <c r="AA171" s="30">
        <f t="shared" si="107"/>
        <v>6.3140692319120486</v>
      </c>
      <c r="AB171" s="30">
        <f t="shared" si="108"/>
        <v>3.4688739976703165</v>
      </c>
      <c r="AC171" s="30">
        <f t="shared" si="109"/>
        <v>2.4809767459508998</v>
      </c>
      <c r="AD171" s="30">
        <f t="shared" si="110"/>
        <v>0</v>
      </c>
      <c r="AE171" s="32">
        <f t="shared" si="120"/>
        <v>12.263919975533264</v>
      </c>
      <c r="AF171" s="33">
        <f t="shared" si="87"/>
        <v>12.263919975533264</v>
      </c>
      <c r="AG171" s="40">
        <f t="shared" si="121"/>
        <v>4.0711762110141763</v>
      </c>
      <c r="AH171" s="224">
        <f>AG171*$P$33</f>
        <v>0.34144405251154075</v>
      </c>
      <c r="AI171" s="227">
        <f t="shared" si="122"/>
        <v>35.938427817604413</v>
      </c>
    </row>
    <row r="172" spans="1:35" x14ac:dyDescent="0.35">
      <c r="A172" s="48">
        <v>1513</v>
      </c>
      <c r="B172" s="58">
        <f>SUMIF([2]!Table2_23[ETA],'FIS Current Model'!A172,[2]!Table2_23[FIS PAX])</f>
        <v>0</v>
      </c>
      <c r="C172" s="44">
        <f t="shared" si="123"/>
        <v>18</v>
      </c>
      <c r="D172" s="52">
        <f t="shared" si="127"/>
        <v>77</v>
      </c>
      <c r="E172" s="26">
        <f t="shared" si="111"/>
        <v>9.9503999999999984</v>
      </c>
      <c r="F172" s="26">
        <f t="shared" si="112"/>
        <v>4.2713999999999999</v>
      </c>
      <c r="G172" s="26">
        <f t="shared" si="113"/>
        <v>2.9447999999999999</v>
      </c>
      <c r="H172" s="26">
        <f t="shared" si="124"/>
        <v>0.83340000000000003</v>
      </c>
      <c r="I172" s="27">
        <f t="shared" si="88"/>
        <v>9.9503999999999984</v>
      </c>
      <c r="J172" s="27">
        <f t="shared" si="88"/>
        <v>4.2713999999999999</v>
      </c>
      <c r="K172" s="27">
        <f t="shared" si="88"/>
        <v>2.9447999999999999</v>
      </c>
      <c r="L172" s="27">
        <f t="shared" ref="L172:L235" si="128">H167</f>
        <v>0.83340000000000003</v>
      </c>
      <c r="M172" s="28">
        <f t="shared" si="103"/>
        <v>3</v>
      </c>
      <c r="N172" s="29">
        <f t="shared" si="104"/>
        <v>7</v>
      </c>
      <c r="O172" s="28">
        <f t="shared" si="105"/>
        <v>1</v>
      </c>
      <c r="P172" s="28">
        <f t="shared" si="106"/>
        <v>0</v>
      </c>
      <c r="Q172" s="28">
        <f t="shared" si="114"/>
        <v>11</v>
      </c>
      <c r="R172" s="22">
        <f t="shared" si="115"/>
        <v>131.66846150646268</v>
      </c>
      <c r="S172" s="22">
        <f t="shared" si="116"/>
        <v>23.461834921708387</v>
      </c>
      <c r="T172" s="22">
        <f t="shared" si="117"/>
        <v>21.821451113374788</v>
      </c>
      <c r="U172" s="22">
        <f t="shared" si="118"/>
        <v>10.834199999999997</v>
      </c>
      <c r="V172" s="21">
        <f t="shared" si="89"/>
        <v>17.725208288000005</v>
      </c>
      <c r="W172" s="21">
        <f t="shared" si="94"/>
        <v>5.7490008852571428</v>
      </c>
      <c r="X172" s="21">
        <f t="shared" si="125"/>
        <v>7.476181901599996</v>
      </c>
      <c r="Y172" s="21">
        <f t="shared" si="126"/>
        <v>0</v>
      </c>
      <c r="Z172" s="221">
        <f t="shared" si="119"/>
        <v>13</v>
      </c>
      <c r="AA172" s="30">
        <f t="shared" si="107"/>
        <v>6.3140692319120486</v>
      </c>
      <c r="AB172" s="30">
        <f t="shared" si="108"/>
        <v>3.4688739976703165</v>
      </c>
      <c r="AC172" s="30">
        <f t="shared" si="109"/>
        <v>2.4809767459508998</v>
      </c>
      <c r="AD172" s="30">
        <f t="shared" si="110"/>
        <v>0</v>
      </c>
      <c r="AE172" s="32">
        <f t="shared" si="120"/>
        <v>12.263919975533264</v>
      </c>
      <c r="AF172" s="33">
        <f t="shared" ref="AF172:AF235" si="129">AE168</f>
        <v>12.263919975533264</v>
      </c>
      <c r="AG172" s="40">
        <f t="shared" si="121"/>
        <v>4.4116897570956599</v>
      </c>
      <c r="AH172" s="224">
        <f>AG172*$P$33</f>
        <v>0.37000246390984615</v>
      </c>
      <c r="AI172" s="227">
        <f t="shared" si="122"/>
        <v>35.925424832000047</v>
      </c>
    </row>
    <row r="173" spans="1:35" x14ac:dyDescent="0.35">
      <c r="A173" s="48">
        <v>1514</v>
      </c>
      <c r="B173" s="58">
        <f>SUMIF([2]!Table2_23[ETA],'FIS Current Model'!A173,[2]!Table2_23[FIS PAX])</f>
        <v>0</v>
      </c>
      <c r="C173" s="44">
        <f t="shared" si="123"/>
        <v>18</v>
      </c>
      <c r="D173" s="52">
        <f t="shared" si="127"/>
        <v>59</v>
      </c>
      <c r="E173" s="26">
        <f t="shared" si="111"/>
        <v>9.9503999999999984</v>
      </c>
      <c r="F173" s="26">
        <f t="shared" si="112"/>
        <v>4.2713999999999999</v>
      </c>
      <c r="G173" s="26">
        <f t="shared" si="113"/>
        <v>2.9447999999999999</v>
      </c>
      <c r="H173" s="26">
        <f t="shared" si="124"/>
        <v>0.83340000000000003</v>
      </c>
      <c r="I173" s="27">
        <f t="shared" ref="I173:L236" si="130">E168</f>
        <v>9.9503999999999984</v>
      </c>
      <c r="J173" s="27">
        <f t="shared" si="130"/>
        <v>4.2713999999999999</v>
      </c>
      <c r="K173" s="27">
        <f t="shared" si="130"/>
        <v>2.9447999999999999</v>
      </c>
      <c r="L173" s="27">
        <f t="shared" si="128"/>
        <v>0.83340000000000003</v>
      </c>
      <c r="M173" s="28">
        <f t="shared" si="103"/>
        <v>3</v>
      </c>
      <c r="N173" s="29">
        <f t="shared" si="104"/>
        <v>7</v>
      </c>
      <c r="O173" s="28">
        <f t="shared" si="105"/>
        <v>1</v>
      </c>
      <c r="P173" s="28">
        <f t="shared" si="106"/>
        <v>0</v>
      </c>
      <c r="Q173" s="28">
        <f t="shared" si="114"/>
        <v>11</v>
      </c>
      <c r="R173" s="22">
        <f t="shared" si="115"/>
        <v>135.30479227455064</v>
      </c>
      <c r="S173" s="22">
        <f t="shared" si="116"/>
        <v>24.264360924038073</v>
      </c>
      <c r="T173" s="22">
        <f t="shared" si="117"/>
        <v>22.285274367423888</v>
      </c>
      <c r="U173" s="22">
        <f t="shared" si="118"/>
        <v>11.667599999999997</v>
      </c>
      <c r="V173" s="21">
        <f t="shared" si="89"/>
        <v>18.214731136000005</v>
      </c>
      <c r="W173" s="21">
        <f t="shared" si="94"/>
        <v>5.9456488760571435</v>
      </c>
      <c r="X173" s="21">
        <f t="shared" si="125"/>
        <v>7.6350909951999961</v>
      </c>
      <c r="Y173" s="21">
        <f t="shared" si="126"/>
        <v>0</v>
      </c>
      <c r="Z173" s="221">
        <f t="shared" si="119"/>
        <v>13</v>
      </c>
      <c r="AA173" s="30">
        <f t="shared" si="107"/>
        <v>6.3140692319120486</v>
      </c>
      <c r="AB173" s="30">
        <f t="shared" si="108"/>
        <v>3.4688739976703165</v>
      </c>
      <c r="AC173" s="30">
        <f t="shared" si="109"/>
        <v>2.4809767459508998</v>
      </c>
      <c r="AD173" s="30">
        <f t="shared" si="110"/>
        <v>0</v>
      </c>
      <c r="AE173" s="32">
        <f t="shared" si="120"/>
        <v>12.263919975533264</v>
      </c>
      <c r="AF173" s="33">
        <f t="shared" si="129"/>
        <v>12.263919975533264</v>
      </c>
      <c r="AG173" s="40">
        <f t="shared" si="121"/>
        <v>4.7522033031771436</v>
      </c>
      <c r="AH173" s="224">
        <f>AG173*$P$33</f>
        <v>0.39856087530815154</v>
      </c>
      <c r="AI173" s="227">
        <f t="shared" si="122"/>
        <v>35.912421846395688</v>
      </c>
    </row>
    <row r="174" spans="1:35" x14ac:dyDescent="0.35">
      <c r="A174" s="48">
        <v>1515</v>
      </c>
      <c r="B174" s="58">
        <f>SUMIF([2]!Table2_23[ETA],'FIS Current Model'!A174,[2]!Table2_23[FIS PAX])</f>
        <v>0</v>
      </c>
      <c r="C174" s="44">
        <f t="shared" si="123"/>
        <v>18</v>
      </c>
      <c r="D174" s="52">
        <f t="shared" si="127"/>
        <v>41</v>
      </c>
      <c r="E174" s="26">
        <f t="shared" si="111"/>
        <v>9.9503999999999984</v>
      </c>
      <c r="F174" s="26">
        <f t="shared" si="112"/>
        <v>4.2713999999999999</v>
      </c>
      <c r="G174" s="26">
        <f t="shared" si="113"/>
        <v>2.9447999999999999</v>
      </c>
      <c r="H174" s="26">
        <f t="shared" si="124"/>
        <v>0.83340000000000003</v>
      </c>
      <c r="I174" s="27">
        <f t="shared" si="130"/>
        <v>9.9503999999999984</v>
      </c>
      <c r="J174" s="27">
        <f t="shared" si="130"/>
        <v>4.2713999999999999</v>
      </c>
      <c r="K174" s="27">
        <f t="shared" si="130"/>
        <v>2.9447999999999999</v>
      </c>
      <c r="L174" s="27">
        <f t="shared" si="128"/>
        <v>0.83340000000000003</v>
      </c>
      <c r="M174" s="28">
        <f t="shared" si="103"/>
        <v>3</v>
      </c>
      <c r="N174" s="29">
        <f t="shared" si="104"/>
        <v>7</v>
      </c>
      <c r="O174" s="28">
        <f t="shared" si="105"/>
        <v>1</v>
      </c>
      <c r="P174" s="28">
        <f t="shared" si="106"/>
        <v>0</v>
      </c>
      <c r="Q174" s="28">
        <f t="shared" si="114"/>
        <v>11</v>
      </c>
      <c r="R174" s="22">
        <f t="shared" si="115"/>
        <v>138.94112304263859</v>
      </c>
      <c r="S174" s="22">
        <f t="shared" si="116"/>
        <v>25.066886926367758</v>
      </c>
      <c r="T174" s="22">
        <f t="shared" si="117"/>
        <v>22.749097621472988</v>
      </c>
      <c r="U174" s="22">
        <f t="shared" si="118"/>
        <v>12.500999999999996</v>
      </c>
      <c r="V174" s="21">
        <f t="shared" si="89"/>
        <v>18.704253984000005</v>
      </c>
      <c r="W174" s="21">
        <f t="shared" si="94"/>
        <v>6.1422968668571434</v>
      </c>
      <c r="X174" s="21">
        <f t="shared" si="125"/>
        <v>7.7940000887999954</v>
      </c>
      <c r="Y174" s="21">
        <f t="shared" si="126"/>
        <v>0</v>
      </c>
      <c r="Z174" s="221">
        <f t="shared" si="119"/>
        <v>14</v>
      </c>
      <c r="AA174" s="30">
        <f t="shared" si="107"/>
        <v>6.3140692319120486</v>
      </c>
      <c r="AB174" s="30">
        <f t="shared" si="108"/>
        <v>3.4688739976703165</v>
      </c>
      <c r="AC174" s="30">
        <f t="shared" si="109"/>
        <v>2.4809767459508998</v>
      </c>
      <c r="AD174" s="30">
        <f t="shared" si="110"/>
        <v>0</v>
      </c>
      <c r="AE174" s="32">
        <f t="shared" si="120"/>
        <v>12.263919975533264</v>
      </c>
      <c r="AF174" s="33">
        <f t="shared" si="129"/>
        <v>12.263919975533264</v>
      </c>
      <c r="AG174" s="40">
        <f t="shared" si="121"/>
        <v>5.0927168492586272</v>
      </c>
      <c r="AH174" s="224">
        <f>AG174*$P$33</f>
        <v>0.42711928670645699</v>
      </c>
      <c r="AI174" s="227">
        <f t="shared" si="122"/>
        <v>36.886415875186962</v>
      </c>
    </row>
    <row r="175" spans="1:35" x14ac:dyDescent="0.35">
      <c r="A175" s="48">
        <v>1516</v>
      </c>
      <c r="B175" s="58">
        <f>SUMIF([2]!Table2_23[ETA],'FIS Current Model'!A175,[2]!Table2_23[FIS PAX])</f>
        <v>0</v>
      </c>
      <c r="C175" s="44">
        <f t="shared" si="123"/>
        <v>18</v>
      </c>
      <c r="D175" s="52">
        <f t="shared" si="127"/>
        <v>23</v>
      </c>
      <c r="E175" s="26">
        <f t="shared" si="111"/>
        <v>9.9503999999999984</v>
      </c>
      <c r="F175" s="26">
        <f t="shared" si="112"/>
        <v>4.2713999999999999</v>
      </c>
      <c r="G175" s="26">
        <f t="shared" si="113"/>
        <v>2.9447999999999999</v>
      </c>
      <c r="H175" s="26">
        <f t="shared" si="124"/>
        <v>0.83340000000000003</v>
      </c>
      <c r="I175" s="27">
        <f t="shared" si="130"/>
        <v>9.9503999999999984</v>
      </c>
      <c r="J175" s="27">
        <f t="shared" si="130"/>
        <v>4.2713999999999999</v>
      </c>
      <c r="K175" s="27">
        <f t="shared" si="130"/>
        <v>2.9447999999999999</v>
      </c>
      <c r="L175" s="27">
        <f t="shared" si="128"/>
        <v>0.83340000000000003</v>
      </c>
      <c r="M175" s="28">
        <f>IF(R174=0,0,$Q$15)</f>
        <v>3</v>
      </c>
      <c r="N175" s="29">
        <f>$U$15-M175-O175-P175</f>
        <v>6</v>
      </c>
      <c r="O175" s="28">
        <f>IF(T174=0,0,$S$15)</f>
        <v>1</v>
      </c>
      <c r="P175" s="28">
        <f>IF(U174=0,0,$T$15)</f>
        <v>1</v>
      </c>
      <c r="Q175" s="28">
        <f t="shared" si="114"/>
        <v>11</v>
      </c>
      <c r="R175" s="22">
        <f t="shared" si="115"/>
        <v>142.57745381072655</v>
      </c>
      <c r="S175" s="22">
        <f t="shared" si="116"/>
        <v>26.364966356936058</v>
      </c>
      <c r="T175" s="22">
        <f t="shared" si="117"/>
        <v>23.212920875522087</v>
      </c>
      <c r="U175" s="22">
        <f t="shared" si="118"/>
        <v>11.49806696264034</v>
      </c>
      <c r="V175" s="21">
        <f t="shared" si="89"/>
        <v>19.193776832000008</v>
      </c>
      <c r="W175" s="21">
        <f t="shared" si="94"/>
        <v>7.5371023339333343</v>
      </c>
      <c r="X175" s="21">
        <f t="shared" si="125"/>
        <v>7.9529091823999956</v>
      </c>
      <c r="Y175" s="21">
        <f t="shared" si="126"/>
        <v>5.3222137375999976</v>
      </c>
      <c r="Z175" s="221">
        <f t="shared" si="119"/>
        <v>14</v>
      </c>
      <c r="AA175" s="30">
        <f t="shared" si="107"/>
        <v>6.3140692319120486</v>
      </c>
      <c r="AB175" s="30">
        <f t="shared" si="108"/>
        <v>2.9733205694316993</v>
      </c>
      <c r="AC175" s="30">
        <f t="shared" si="109"/>
        <v>2.4809767459508998</v>
      </c>
      <c r="AD175" s="30">
        <f t="shared" si="110"/>
        <v>1.8363330373596554</v>
      </c>
      <c r="AE175" s="32">
        <f t="shared" si="120"/>
        <v>13.604699584654302</v>
      </c>
      <c r="AF175" s="33">
        <f t="shared" si="129"/>
        <v>12.263919975533264</v>
      </c>
      <c r="AG175" s="40">
        <f t="shared" si="121"/>
        <v>5.4332303953401109</v>
      </c>
      <c r="AH175" s="224">
        <f>AG175*$P$33</f>
        <v>0.45567769810476239</v>
      </c>
      <c r="AI175" s="227">
        <f t="shared" si="122"/>
        <v>36.914974286585263</v>
      </c>
    </row>
    <row r="176" spans="1:35" x14ac:dyDescent="0.35">
      <c r="A176" s="48">
        <v>1517</v>
      </c>
      <c r="B176" s="58">
        <f>SUMIF([2]!Table2_23[ETA],'FIS Current Model'!A176,[2]!Table2_23[FIS PAX])</f>
        <v>0</v>
      </c>
      <c r="C176" s="44">
        <f t="shared" si="123"/>
        <v>18</v>
      </c>
      <c r="D176" s="52">
        <f t="shared" si="127"/>
        <v>5</v>
      </c>
      <c r="E176" s="26">
        <f t="shared" si="111"/>
        <v>9.9503999999999984</v>
      </c>
      <c r="F176" s="26">
        <f t="shared" si="112"/>
        <v>4.2713999999999999</v>
      </c>
      <c r="G176" s="26">
        <f t="shared" si="113"/>
        <v>2.9447999999999999</v>
      </c>
      <c r="H176" s="26">
        <f t="shared" si="124"/>
        <v>0.83340000000000003</v>
      </c>
      <c r="I176" s="27">
        <f t="shared" si="130"/>
        <v>9.9503999999999984</v>
      </c>
      <c r="J176" s="27">
        <f t="shared" si="130"/>
        <v>4.2713999999999999</v>
      </c>
      <c r="K176" s="27">
        <f t="shared" si="130"/>
        <v>2.9447999999999999</v>
      </c>
      <c r="L176" s="27">
        <f t="shared" si="128"/>
        <v>0.83340000000000003</v>
      </c>
      <c r="M176" s="28">
        <f>$M$175</f>
        <v>3</v>
      </c>
      <c r="N176" s="29">
        <f>$N$175</f>
        <v>6</v>
      </c>
      <c r="O176" s="28">
        <f>$O$175</f>
        <v>1</v>
      </c>
      <c r="P176" s="28">
        <f>$P$175</f>
        <v>1</v>
      </c>
      <c r="Q176" s="28">
        <f t="shared" si="114"/>
        <v>11</v>
      </c>
      <c r="R176" s="22">
        <f t="shared" si="115"/>
        <v>146.21378457881451</v>
      </c>
      <c r="S176" s="22">
        <f t="shared" si="116"/>
        <v>27.663045787504359</v>
      </c>
      <c r="T176" s="22">
        <f t="shared" si="117"/>
        <v>23.676744129571187</v>
      </c>
      <c r="U176" s="22">
        <f t="shared" si="118"/>
        <v>10.495133925280685</v>
      </c>
      <c r="V176" s="21">
        <f t="shared" si="89"/>
        <v>19.683299680000008</v>
      </c>
      <c r="W176" s="21">
        <f t="shared" si="94"/>
        <v>7.9081916565333348</v>
      </c>
      <c r="X176" s="21">
        <f t="shared" si="125"/>
        <v>8.1118182759999957</v>
      </c>
      <c r="Y176" s="21">
        <f t="shared" si="126"/>
        <v>4.8579770961999982</v>
      </c>
      <c r="Z176" s="221">
        <f t="shared" si="119"/>
        <v>15</v>
      </c>
      <c r="AA176" s="30">
        <f t="shared" si="107"/>
        <v>6.3140692319120486</v>
      </c>
      <c r="AB176" s="30">
        <f t="shared" si="108"/>
        <v>2.9733205694316993</v>
      </c>
      <c r="AC176" s="30">
        <f t="shared" si="109"/>
        <v>2.4809767459508998</v>
      </c>
      <c r="AD176" s="30">
        <f t="shared" si="110"/>
        <v>1.8363330373596554</v>
      </c>
      <c r="AE176" s="32">
        <f t="shared" si="120"/>
        <v>13.604699584654302</v>
      </c>
      <c r="AF176" s="33">
        <f t="shared" si="129"/>
        <v>12.263919975533264</v>
      </c>
      <c r="AG176" s="40">
        <f t="shared" si="121"/>
        <v>5.7737439414215945</v>
      </c>
      <c r="AH176" s="224">
        <f>AG176*$P$33</f>
        <v>0.48423610950306778</v>
      </c>
      <c r="AI176" s="227">
        <f t="shared" si="122"/>
        <v>37.473085160131951</v>
      </c>
    </row>
    <row r="177" spans="1:35" x14ac:dyDescent="0.35">
      <c r="A177" s="48">
        <v>1518</v>
      </c>
      <c r="B177" s="58">
        <f>SUMIF([2]!Table2_23[ETA],'FIS Current Model'!A177,[2]!Table2_23[FIS PAX])</f>
        <v>0</v>
      </c>
      <c r="C177" s="44">
        <f t="shared" si="123"/>
        <v>5</v>
      </c>
      <c r="D177" s="52">
        <f t="shared" si="127"/>
        <v>0</v>
      </c>
      <c r="E177" s="26">
        <f t="shared" si="111"/>
        <v>2.7639999999999998</v>
      </c>
      <c r="F177" s="26">
        <f t="shared" si="112"/>
        <v>1.1865000000000001</v>
      </c>
      <c r="G177" s="26">
        <f t="shared" si="113"/>
        <v>0.81799999999999995</v>
      </c>
      <c r="H177" s="26">
        <f t="shared" si="124"/>
        <v>0.23150000000000001</v>
      </c>
      <c r="I177" s="27">
        <f t="shared" si="130"/>
        <v>9.9503999999999984</v>
      </c>
      <c r="J177" s="27">
        <f t="shared" si="130"/>
        <v>4.2713999999999999</v>
      </c>
      <c r="K177" s="27">
        <f t="shared" si="130"/>
        <v>2.9447999999999999</v>
      </c>
      <c r="L177" s="27">
        <f t="shared" si="128"/>
        <v>0.83340000000000003</v>
      </c>
      <c r="M177" s="28">
        <f t="shared" ref="M177:M189" si="131">$M$175</f>
        <v>3</v>
      </c>
      <c r="N177" s="29">
        <f t="shared" ref="N177:N189" si="132">$N$175</f>
        <v>6</v>
      </c>
      <c r="O177" s="28">
        <f t="shared" ref="O177:O189" si="133">$O$175</f>
        <v>1</v>
      </c>
      <c r="P177" s="28">
        <f t="shared" ref="P177:P189" si="134">$P$175</f>
        <v>1</v>
      </c>
      <c r="Q177" s="28">
        <f t="shared" si="114"/>
        <v>11</v>
      </c>
      <c r="R177" s="22">
        <f t="shared" si="115"/>
        <v>149.85011534690247</v>
      </c>
      <c r="S177" s="22">
        <f t="shared" si="116"/>
        <v>28.961125218072659</v>
      </c>
      <c r="T177" s="22">
        <f t="shared" si="117"/>
        <v>24.140567383620287</v>
      </c>
      <c r="U177" s="22">
        <f t="shared" si="118"/>
        <v>9.4922008879210296</v>
      </c>
      <c r="V177" s="21">
        <f t="shared" si="89"/>
        <v>20.172822528000008</v>
      </c>
      <c r="W177" s="21">
        <f t="shared" si="94"/>
        <v>8.2792809791333344</v>
      </c>
      <c r="X177" s="21">
        <f t="shared" si="125"/>
        <v>8.2707273695999959</v>
      </c>
      <c r="Y177" s="21">
        <f t="shared" si="126"/>
        <v>4.3937404547999979</v>
      </c>
      <c r="Z177" s="221">
        <f t="shared" si="119"/>
        <v>15</v>
      </c>
      <c r="AA177" s="30">
        <f t="shared" si="107"/>
        <v>6.3140692319120486</v>
      </c>
      <c r="AB177" s="30">
        <f t="shared" si="108"/>
        <v>2.9733205694316993</v>
      </c>
      <c r="AC177" s="30">
        <f t="shared" si="109"/>
        <v>2.4809767459508998</v>
      </c>
      <c r="AD177" s="30">
        <f t="shared" si="110"/>
        <v>1.8363330373596554</v>
      </c>
      <c r="AE177" s="32">
        <f t="shared" si="120"/>
        <v>13.604699584654302</v>
      </c>
      <c r="AF177" s="33">
        <f t="shared" si="129"/>
        <v>12.263919975533264</v>
      </c>
      <c r="AG177" s="40">
        <f t="shared" si="121"/>
        <v>6.1142574875030782</v>
      </c>
      <c r="AH177" s="224">
        <f>AG177*$P$33</f>
        <v>0.51279452090137323</v>
      </c>
      <c r="AI177" s="227">
        <f t="shared" si="122"/>
        <v>37.002637622280339</v>
      </c>
    </row>
    <row r="178" spans="1:35" x14ac:dyDescent="0.35">
      <c r="A178" s="48">
        <v>1519</v>
      </c>
      <c r="B178" s="58">
        <f>SUMIF([2]!Table2_23[ETA],'FIS Current Model'!A178,[2]!Table2_23[FIS PAX])</f>
        <v>0</v>
      </c>
      <c r="C178" s="44">
        <f t="shared" si="123"/>
        <v>0</v>
      </c>
      <c r="D178" s="52">
        <f t="shared" si="127"/>
        <v>0</v>
      </c>
      <c r="E178" s="26">
        <f t="shared" si="111"/>
        <v>0</v>
      </c>
      <c r="F178" s="26">
        <f t="shared" si="112"/>
        <v>0</v>
      </c>
      <c r="G178" s="26">
        <f t="shared" si="113"/>
        <v>0</v>
      </c>
      <c r="H178" s="26">
        <f t="shared" si="124"/>
        <v>0</v>
      </c>
      <c r="I178" s="27">
        <f t="shared" si="130"/>
        <v>9.9503999999999984</v>
      </c>
      <c r="J178" s="27">
        <f t="shared" si="130"/>
        <v>4.2713999999999999</v>
      </c>
      <c r="K178" s="27">
        <f t="shared" si="130"/>
        <v>2.9447999999999999</v>
      </c>
      <c r="L178" s="27">
        <f t="shared" si="128"/>
        <v>0.83340000000000003</v>
      </c>
      <c r="M178" s="28">
        <f t="shared" si="131"/>
        <v>3</v>
      </c>
      <c r="N178" s="29">
        <f t="shared" si="132"/>
        <v>6</v>
      </c>
      <c r="O178" s="28">
        <f t="shared" si="133"/>
        <v>1</v>
      </c>
      <c r="P178" s="28">
        <f t="shared" si="134"/>
        <v>1</v>
      </c>
      <c r="Q178" s="28">
        <f t="shared" si="114"/>
        <v>11</v>
      </c>
      <c r="R178" s="22">
        <f t="shared" si="115"/>
        <v>153.48644611499043</v>
      </c>
      <c r="S178" s="22">
        <f t="shared" si="116"/>
        <v>30.25920464864096</v>
      </c>
      <c r="T178" s="22">
        <f t="shared" si="117"/>
        <v>24.604390637669386</v>
      </c>
      <c r="U178" s="22">
        <f t="shared" si="118"/>
        <v>8.4892678505613741</v>
      </c>
      <c r="V178" s="21">
        <f t="shared" si="89"/>
        <v>20.662345376000008</v>
      </c>
      <c r="W178" s="21">
        <f t="shared" si="94"/>
        <v>8.650370301733334</v>
      </c>
      <c r="X178" s="21">
        <f t="shared" si="125"/>
        <v>8.429636463199996</v>
      </c>
      <c r="Y178" s="21">
        <f t="shared" si="126"/>
        <v>3.929503813399998</v>
      </c>
      <c r="Z178" s="221">
        <f t="shared" si="119"/>
        <v>16</v>
      </c>
      <c r="AA178" s="30">
        <f t="shared" si="107"/>
        <v>6.3140692319120486</v>
      </c>
      <c r="AB178" s="30">
        <f t="shared" si="108"/>
        <v>2.9733205694316993</v>
      </c>
      <c r="AC178" s="30">
        <f t="shared" si="109"/>
        <v>2.4809767459508998</v>
      </c>
      <c r="AD178" s="30">
        <f t="shared" si="110"/>
        <v>1.8363330373596554</v>
      </c>
      <c r="AE178" s="32">
        <f t="shared" si="120"/>
        <v>13.604699584654302</v>
      </c>
      <c r="AF178" s="33">
        <f t="shared" si="129"/>
        <v>12.263919975533264</v>
      </c>
      <c r="AG178" s="40">
        <f t="shared" si="121"/>
        <v>6.4547710335845618</v>
      </c>
      <c r="AH178" s="224">
        <f>AG178*$P$33</f>
        <v>0.54135293229967862</v>
      </c>
      <c r="AI178" s="227">
        <f t="shared" si="122"/>
        <v>37.061742546577101</v>
      </c>
    </row>
    <row r="179" spans="1:35" x14ac:dyDescent="0.35">
      <c r="A179" s="48">
        <v>1520</v>
      </c>
      <c r="B179" s="58">
        <f>SUMIF([2]!Table2_23[ETA],'FIS Current Model'!A179,[2]!Table2_23[FIS PAX])</f>
        <v>0</v>
      </c>
      <c r="C179" s="44">
        <f t="shared" si="123"/>
        <v>0</v>
      </c>
      <c r="D179" s="52">
        <f t="shared" si="127"/>
        <v>0</v>
      </c>
      <c r="E179" s="26">
        <f t="shared" si="111"/>
        <v>0</v>
      </c>
      <c r="F179" s="26">
        <f t="shared" si="112"/>
        <v>0</v>
      </c>
      <c r="G179" s="26">
        <f t="shared" si="113"/>
        <v>0</v>
      </c>
      <c r="H179" s="26">
        <f t="shared" si="124"/>
        <v>0</v>
      </c>
      <c r="I179" s="27">
        <f t="shared" si="130"/>
        <v>9.9503999999999984</v>
      </c>
      <c r="J179" s="27">
        <f t="shared" si="130"/>
        <v>4.2713999999999999</v>
      </c>
      <c r="K179" s="27">
        <f t="shared" si="130"/>
        <v>2.9447999999999999</v>
      </c>
      <c r="L179" s="27">
        <f t="shared" si="128"/>
        <v>0.83340000000000003</v>
      </c>
      <c r="M179" s="28">
        <f t="shared" si="131"/>
        <v>3</v>
      </c>
      <c r="N179" s="29">
        <f t="shared" si="132"/>
        <v>6</v>
      </c>
      <c r="O179" s="28">
        <f t="shared" si="133"/>
        <v>1</v>
      </c>
      <c r="P179" s="28">
        <f t="shared" si="134"/>
        <v>1</v>
      </c>
      <c r="Q179" s="28">
        <f t="shared" si="114"/>
        <v>11</v>
      </c>
      <c r="R179" s="22">
        <f t="shared" si="115"/>
        <v>157.12277688307839</v>
      </c>
      <c r="S179" s="22">
        <f t="shared" si="116"/>
        <v>31.557284079209261</v>
      </c>
      <c r="T179" s="22">
        <f t="shared" si="117"/>
        <v>25.068213891718486</v>
      </c>
      <c r="U179" s="22">
        <f t="shared" si="118"/>
        <v>7.4863348132017187</v>
      </c>
      <c r="V179" s="21">
        <f t="shared" si="89"/>
        <v>21.151868224000012</v>
      </c>
      <c r="W179" s="21">
        <f t="shared" si="94"/>
        <v>9.0214596243333336</v>
      </c>
      <c r="X179" s="21">
        <f t="shared" si="125"/>
        <v>8.5885455567999944</v>
      </c>
      <c r="Y179" s="21">
        <f t="shared" si="126"/>
        <v>3.4652671719999981</v>
      </c>
      <c r="Z179" s="221">
        <f t="shared" si="119"/>
        <v>16</v>
      </c>
      <c r="AA179" s="30">
        <f t="shared" si="107"/>
        <v>6.3140692319120486</v>
      </c>
      <c r="AB179" s="30">
        <f t="shared" si="108"/>
        <v>2.9733205694316993</v>
      </c>
      <c r="AC179" s="30">
        <f t="shared" si="109"/>
        <v>2.4809767459508998</v>
      </c>
      <c r="AD179" s="30">
        <f t="shared" si="110"/>
        <v>1.8363330373596554</v>
      </c>
      <c r="AE179" s="32">
        <f t="shared" si="120"/>
        <v>13.604699584654302</v>
      </c>
      <c r="AF179" s="33">
        <f t="shared" si="129"/>
        <v>13.604699584654302</v>
      </c>
      <c r="AG179" s="40">
        <f t="shared" si="121"/>
        <v>8.136064188787083</v>
      </c>
      <c r="AH179" s="224">
        <f>AG179*$P$33</f>
        <v>0.6823607193905884</v>
      </c>
      <c r="AI179" s="227">
        <f t="shared" si="122"/>
        <v>37</v>
      </c>
    </row>
    <row r="180" spans="1:35" x14ac:dyDescent="0.35">
      <c r="A180" s="48">
        <v>1521</v>
      </c>
      <c r="B180" s="58">
        <f>SUMIF([2]!Table2_23[ETA],'FIS Current Model'!A180,[2]!Table2_23[FIS PAX])</f>
        <v>0</v>
      </c>
      <c r="C180" s="44">
        <f t="shared" si="123"/>
        <v>0</v>
      </c>
      <c r="D180" s="52">
        <f t="shared" si="127"/>
        <v>0</v>
      </c>
      <c r="E180" s="26">
        <f t="shared" si="111"/>
        <v>0</v>
      </c>
      <c r="F180" s="26">
        <f t="shared" si="112"/>
        <v>0</v>
      </c>
      <c r="G180" s="26">
        <f t="shared" si="113"/>
        <v>0</v>
      </c>
      <c r="H180" s="26">
        <f t="shared" si="124"/>
        <v>0</v>
      </c>
      <c r="I180" s="27">
        <f t="shared" si="130"/>
        <v>9.9503999999999984</v>
      </c>
      <c r="J180" s="27">
        <f t="shared" si="130"/>
        <v>4.2713999999999999</v>
      </c>
      <c r="K180" s="27">
        <f t="shared" si="130"/>
        <v>2.9447999999999999</v>
      </c>
      <c r="L180" s="27">
        <f t="shared" si="128"/>
        <v>0.83340000000000003</v>
      </c>
      <c r="M180" s="28">
        <f t="shared" si="131"/>
        <v>3</v>
      </c>
      <c r="N180" s="29">
        <f t="shared" si="132"/>
        <v>6</v>
      </c>
      <c r="O180" s="28">
        <f t="shared" si="133"/>
        <v>1</v>
      </c>
      <c r="P180" s="28">
        <f t="shared" si="134"/>
        <v>1</v>
      </c>
      <c r="Q180" s="28">
        <f t="shared" si="114"/>
        <v>11</v>
      </c>
      <c r="R180" s="22">
        <f t="shared" si="115"/>
        <v>160.75910765116635</v>
      </c>
      <c r="S180" s="22">
        <f t="shared" si="116"/>
        <v>32.855363509777561</v>
      </c>
      <c r="T180" s="22">
        <f t="shared" si="117"/>
        <v>25.532037145767585</v>
      </c>
      <c r="U180" s="22">
        <f t="shared" si="118"/>
        <v>6.4834017758420632</v>
      </c>
      <c r="V180" s="21">
        <f t="shared" ref="V180:V243" si="135">IFERROR(R180*($I$30/M180),0)</f>
        <v>21.641391072000012</v>
      </c>
      <c r="W180" s="21">
        <f t="shared" si="94"/>
        <v>9.392548946933335</v>
      </c>
      <c r="X180" s="21">
        <f t="shared" si="125"/>
        <v>8.7474546503999946</v>
      </c>
      <c r="Y180" s="21">
        <f t="shared" si="126"/>
        <v>3.0010305305999982</v>
      </c>
      <c r="Z180" s="221">
        <f t="shared" si="119"/>
        <v>16</v>
      </c>
      <c r="AA180" s="30">
        <f t="shared" si="107"/>
        <v>6.3140692319120486</v>
      </c>
      <c r="AB180" s="30">
        <f t="shared" si="108"/>
        <v>2.9733205694316993</v>
      </c>
      <c r="AC180" s="30">
        <f t="shared" si="109"/>
        <v>2.4809767459508998</v>
      </c>
      <c r="AD180" s="30">
        <f t="shared" si="110"/>
        <v>1.8363330373596554</v>
      </c>
      <c r="AE180" s="32">
        <f t="shared" si="120"/>
        <v>13.604699584654302</v>
      </c>
      <c r="AF180" s="33">
        <f t="shared" si="129"/>
        <v>13.604699584654302</v>
      </c>
      <c r="AG180" s="40">
        <f t="shared" si="121"/>
        <v>9.8173573439896042</v>
      </c>
      <c r="AH180" s="224">
        <f>AG180*$P$33</f>
        <v>0.82336850648149806</v>
      </c>
      <c r="AI180" s="227">
        <f t="shared" si="122"/>
        <v>37</v>
      </c>
    </row>
    <row r="181" spans="1:35" x14ac:dyDescent="0.35">
      <c r="A181" s="48">
        <v>1522</v>
      </c>
      <c r="B181" s="58">
        <f>SUMIF([2]!Table2_23[ETA],'FIS Current Model'!A181,[2]!Table2_23[FIS PAX])</f>
        <v>0</v>
      </c>
      <c r="C181" s="44">
        <f t="shared" si="123"/>
        <v>0</v>
      </c>
      <c r="D181" s="52">
        <f t="shared" si="127"/>
        <v>0</v>
      </c>
      <c r="E181" s="26">
        <f t="shared" si="111"/>
        <v>0</v>
      </c>
      <c r="F181" s="26">
        <f t="shared" si="112"/>
        <v>0</v>
      </c>
      <c r="G181" s="26">
        <f t="shared" si="113"/>
        <v>0</v>
      </c>
      <c r="H181" s="26">
        <f t="shared" si="124"/>
        <v>0</v>
      </c>
      <c r="I181" s="27">
        <f t="shared" si="130"/>
        <v>9.9503999999999984</v>
      </c>
      <c r="J181" s="27">
        <f t="shared" si="130"/>
        <v>4.2713999999999999</v>
      </c>
      <c r="K181" s="27">
        <f t="shared" si="130"/>
        <v>2.9447999999999999</v>
      </c>
      <c r="L181" s="27">
        <f t="shared" si="128"/>
        <v>0.83340000000000003</v>
      </c>
      <c r="M181" s="28">
        <f t="shared" si="131"/>
        <v>3</v>
      </c>
      <c r="N181" s="29">
        <f t="shared" si="132"/>
        <v>6</v>
      </c>
      <c r="O181" s="28">
        <f t="shared" si="133"/>
        <v>1</v>
      </c>
      <c r="P181" s="28">
        <f t="shared" si="134"/>
        <v>1</v>
      </c>
      <c r="Q181" s="28">
        <f t="shared" si="114"/>
        <v>11</v>
      </c>
      <c r="R181" s="22">
        <f t="shared" si="115"/>
        <v>164.3954384192543</v>
      </c>
      <c r="S181" s="22">
        <f t="shared" si="116"/>
        <v>34.153442940345862</v>
      </c>
      <c r="T181" s="22">
        <f t="shared" si="117"/>
        <v>25.995860399816685</v>
      </c>
      <c r="U181" s="22">
        <f t="shared" si="118"/>
        <v>5.4804687384824078</v>
      </c>
      <c r="V181" s="21">
        <f t="shared" si="135"/>
        <v>22.130913920000012</v>
      </c>
      <c r="W181" s="21">
        <f t="shared" ref="W181:W244" si="136">IFERROR(S181*($I$31/N181),0)</f>
        <v>9.7636382695333346</v>
      </c>
      <c r="X181" s="21">
        <f t="shared" si="125"/>
        <v>8.9063637439999948</v>
      </c>
      <c r="Y181" s="21">
        <f t="shared" si="126"/>
        <v>2.5367938891999984</v>
      </c>
      <c r="Z181" s="221">
        <f t="shared" si="119"/>
        <v>17</v>
      </c>
      <c r="AA181" s="30">
        <f t="shared" si="107"/>
        <v>6.3140692319120486</v>
      </c>
      <c r="AB181" s="30">
        <f t="shared" si="108"/>
        <v>2.9733205694316993</v>
      </c>
      <c r="AC181" s="30">
        <f t="shared" si="109"/>
        <v>2.4809767459508998</v>
      </c>
      <c r="AD181" s="30">
        <f t="shared" si="110"/>
        <v>1.8363330373596554</v>
      </c>
      <c r="AE181" s="32">
        <f t="shared" si="120"/>
        <v>13.604699584654302</v>
      </c>
      <c r="AF181" s="33">
        <f t="shared" si="129"/>
        <v>13.604699584654302</v>
      </c>
      <c r="AG181" s="40">
        <f t="shared" si="121"/>
        <v>11.498650499192125</v>
      </c>
      <c r="AH181" s="224">
        <f>AG181*$P$33</f>
        <v>0.96437629357240784</v>
      </c>
      <c r="AI181" s="227">
        <f t="shared" si="122"/>
        <v>38</v>
      </c>
    </row>
    <row r="182" spans="1:35" x14ac:dyDescent="0.35">
      <c r="A182" s="48">
        <v>1523</v>
      </c>
      <c r="B182" s="58">
        <f>SUMIF([2]!Table2_23[ETA],'FIS Current Model'!A182,[2]!Table2_23[FIS PAX])</f>
        <v>0</v>
      </c>
      <c r="C182" s="44">
        <f t="shared" si="123"/>
        <v>0</v>
      </c>
      <c r="D182" s="52">
        <f t="shared" si="127"/>
        <v>0</v>
      </c>
      <c r="E182" s="26">
        <f t="shared" si="111"/>
        <v>0</v>
      </c>
      <c r="F182" s="26">
        <f t="shared" si="112"/>
        <v>0</v>
      </c>
      <c r="G182" s="26">
        <f t="shared" si="113"/>
        <v>0</v>
      </c>
      <c r="H182" s="26">
        <f t="shared" si="124"/>
        <v>0</v>
      </c>
      <c r="I182" s="27">
        <f t="shared" si="130"/>
        <v>2.7639999999999998</v>
      </c>
      <c r="J182" s="27">
        <f t="shared" si="130"/>
        <v>1.1865000000000001</v>
      </c>
      <c r="K182" s="27">
        <f t="shared" si="130"/>
        <v>0.81799999999999995</v>
      </c>
      <c r="L182" s="27">
        <f t="shared" si="128"/>
        <v>0.23150000000000001</v>
      </c>
      <c r="M182" s="28">
        <f t="shared" si="131"/>
        <v>3</v>
      </c>
      <c r="N182" s="29">
        <f t="shared" si="132"/>
        <v>6</v>
      </c>
      <c r="O182" s="28">
        <f t="shared" si="133"/>
        <v>1</v>
      </c>
      <c r="P182" s="28">
        <f t="shared" si="134"/>
        <v>1</v>
      </c>
      <c r="Q182" s="28">
        <f t="shared" si="114"/>
        <v>11</v>
      </c>
      <c r="R182" s="22">
        <f t="shared" si="115"/>
        <v>160.84536918734227</v>
      </c>
      <c r="S182" s="22">
        <f t="shared" si="116"/>
        <v>32.366622370914165</v>
      </c>
      <c r="T182" s="22">
        <f t="shared" si="117"/>
        <v>24.332883653865785</v>
      </c>
      <c r="U182" s="22">
        <f t="shared" si="118"/>
        <v>3.8756357011227522</v>
      </c>
      <c r="V182" s="21">
        <f t="shared" si="135"/>
        <v>21.653003600000016</v>
      </c>
      <c r="W182" s="21">
        <f t="shared" si="136"/>
        <v>9.252829748033335</v>
      </c>
      <c r="X182" s="21">
        <f t="shared" si="125"/>
        <v>8.3366162699999951</v>
      </c>
      <c r="Y182" s="21">
        <f t="shared" si="126"/>
        <v>1.7939503776999983</v>
      </c>
      <c r="Z182" s="221">
        <f t="shared" si="119"/>
        <v>16</v>
      </c>
      <c r="AA182" s="30">
        <f t="shared" si="107"/>
        <v>6.3140692319120486</v>
      </c>
      <c r="AB182" s="30">
        <f t="shared" si="108"/>
        <v>2.9733205694316993</v>
      </c>
      <c r="AC182" s="30">
        <f t="shared" si="109"/>
        <v>2.4809767459508998</v>
      </c>
      <c r="AD182" s="30">
        <f t="shared" si="110"/>
        <v>1.8363330373596554</v>
      </c>
      <c r="AE182" s="32">
        <f t="shared" si="120"/>
        <v>13.604699584654302</v>
      </c>
      <c r="AF182" s="33">
        <f t="shared" si="129"/>
        <v>13.604699584654302</v>
      </c>
      <c r="AG182" s="40">
        <f t="shared" si="121"/>
        <v>13.179943654394647</v>
      </c>
      <c r="AH182" s="224">
        <f>AG182*$P$33</f>
        <v>1.1053840806633177</v>
      </c>
      <c r="AI182" s="227">
        <f t="shared" si="122"/>
        <v>37</v>
      </c>
    </row>
    <row r="183" spans="1:35" x14ac:dyDescent="0.35">
      <c r="A183" s="48">
        <v>1524</v>
      </c>
      <c r="B183" s="58">
        <f>SUMIF([2]!Table2_23[ETA],'FIS Current Model'!A183,[2]!Table2_23[FIS PAX])</f>
        <v>0</v>
      </c>
      <c r="C183" s="44">
        <f t="shared" si="123"/>
        <v>0</v>
      </c>
      <c r="D183" s="52">
        <f t="shared" si="127"/>
        <v>0</v>
      </c>
      <c r="E183" s="26">
        <f t="shared" si="111"/>
        <v>0</v>
      </c>
      <c r="F183" s="26">
        <f t="shared" si="112"/>
        <v>0</v>
      </c>
      <c r="G183" s="26">
        <f t="shared" si="113"/>
        <v>0</v>
      </c>
      <c r="H183" s="26">
        <f t="shared" si="124"/>
        <v>0</v>
      </c>
      <c r="I183" s="27">
        <f t="shared" si="130"/>
        <v>0</v>
      </c>
      <c r="J183" s="27">
        <f t="shared" si="130"/>
        <v>0</v>
      </c>
      <c r="K183" s="27">
        <f t="shared" si="130"/>
        <v>0</v>
      </c>
      <c r="L183" s="27">
        <f t="shared" si="128"/>
        <v>0</v>
      </c>
      <c r="M183" s="28">
        <f t="shared" si="131"/>
        <v>3</v>
      </c>
      <c r="N183" s="29">
        <f t="shared" si="132"/>
        <v>6</v>
      </c>
      <c r="O183" s="28">
        <f t="shared" si="133"/>
        <v>1</v>
      </c>
      <c r="P183" s="28">
        <f t="shared" si="134"/>
        <v>1</v>
      </c>
      <c r="Q183" s="28">
        <f t="shared" si="114"/>
        <v>11</v>
      </c>
      <c r="R183" s="22">
        <f t="shared" si="115"/>
        <v>154.53129995543023</v>
      </c>
      <c r="S183" s="22">
        <f t="shared" si="116"/>
        <v>29.393301801482465</v>
      </c>
      <c r="T183" s="22">
        <f t="shared" si="117"/>
        <v>21.851906907914884</v>
      </c>
      <c r="U183" s="22">
        <f t="shared" si="118"/>
        <v>2.0393026637630971</v>
      </c>
      <c r="V183" s="21">
        <f t="shared" si="135"/>
        <v>20.803003600000014</v>
      </c>
      <c r="W183" s="21">
        <f t="shared" si="136"/>
        <v>8.4028297480333354</v>
      </c>
      <c r="X183" s="21">
        <f t="shared" si="125"/>
        <v>7.4866162699999945</v>
      </c>
      <c r="Y183" s="21">
        <f t="shared" si="126"/>
        <v>0.94395037769999857</v>
      </c>
      <c r="Z183" s="221">
        <f t="shared" si="119"/>
        <v>15</v>
      </c>
      <c r="AA183" s="30">
        <f t="shared" si="107"/>
        <v>6.3140692319120486</v>
      </c>
      <c r="AB183" s="30">
        <f t="shared" si="108"/>
        <v>2.9733205694316993</v>
      </c>
      <c r="AC183" s="30">
        <f t="shared" si="109"/>
        <v>2.4809767459508998</v>
      </c>
      <c r="AD183" s="30">
        <f t="shared" si="110"/>
        <v>1.8363330373596554</v>
      </c>
      <c r="AE183" s="32">
        <f t="shared" si="120"/>
        <v>13.604699584654302</v>
      </c>
      <c r="AF183" s="33">
        <f t="shared" si="129"/>
        <v>13.604699584654302</v>
      </c>
      <c r="AG183" s="40">
        <f t="shared" si="121"/>
        <v>14.861236809597168</v>
      </c>
      <c r="AH183" s="224">
        <f>AG183*$P$33</f>
        <v>1.2463918677542274</v>
      </c>
      <c r="AI183" s="227">
        <f t="shared" si="122"/>
        <v>36</v>
      </c>
    </row>
    <row r="184" spans="1:35" x14ac:dyDescent="0.35">
      <c r="A184" s="48">
        <v>1525</v>
      </c>
      <c r="B184" s="58">
        <f>SUMIF([2]!Table2_23[ETA],'FIS Current Model'!A184,[2]!Table2_23[FIS PAX])</f>
        <v>0</v>
      </c>
      <c r="C184" s="44">
        <f t="shared" si="123"/>
        <v>0</v>
      </c>
      <c r="D184" s="52">
        <f t="shared" si="127"/>
        <v>0</v>
      </c>
      <c r="E184" s="26">
        <f t="shared" si="111"/>
        <v>0</v>
      </c>
      <c r="F184" s="26">
        <f t="shared" si="112"/>
        <v>0</v>
      </c>
      <c r="G184" s="26">
        <f t="shared" si="113"/>
        <v>0</v>
      </c>
      <c r="H184" s="26">
        <f t="shared" si="124"/>
        <v>0</v>
      </c>
      <c r="I184" s="27">
        <f t="shared" si="130"/>
        <v>0</v>
      </c>
      <c r="J184" s="27">
        <f t="shared" si="130"/>
        <v>0</v>
      </c>
      <c r="K184" s="27">
        <f t="shared" si="130"/>
        <v>0</v>
      </c>
      <c r="L184" s="27">
        <f t="shared" si="128"/>
        <v>0</v>
      </c>
      <c r="M184" s="28">
        <f t="shared" si="131"/>
        <v>3</v>
      </c>
      <c r="N184" s="29">
        <f t="shared" si="132"/>
        <v>6</v>
      </c>
      <c r="O184" s="28">
        <f t="shared" si="133"/>
        <v>1</v>
      </c>
      <c r="P184" s="28">
        <f t="shared" si="134"/>
        <v>1</v>
      </c>
      <c r="Q184" s="28">
        <f t="shared" si="114"/>
        <v>11</v>
      </c>
      <c r="R184" s="22">
        <f t="shared" si="115"/>
        <v>148.21723072351818</v>
      </c>
      <c r="S184" s="22">
        <f t="shared" si="116"/>
        <v>26.419981232050766</v>
      </c>
      <c r="T184" s="22">
        <f t="shared" si="117"/>
        <v>19.370930161963983</v>
      </c>
      <c r="U184" s="22">
        <f t="shared" si="118"/>
        <v>0.20296962640344174</v>
      </c>
      <c r="V184" s="21">
        <f t="shared" si="135"/>
        <v>19.953003600000017</v>
      </c>
      <c r="W184" s="21">
        <f t="shared" si="136"/>
        <v>7.5528297480333348</v>
      </c>
      <c r="X184" s="21">
        <f t="shared" si="125"/>
        <v>6.636616269999994</v>
      </c>
      <c r="Y184" s="21">
        <f t="shared" si="126"/>
        <v>9.3950377699998699E-2</v>
      </c>
      <c r="Z184" s="221">
        <f t="shared" si="119"/>
        <v>14</v>
      </c>
      <c r="AA184" s="30">
        <f t="shared" si="107"/>
        <v>6.3140692319120486</v>
      </c>
      <c r="AB184" s="30">
        <f t="shared" si="108"/>
        <v>2.9733205694316993</v>
      </c>
      <c r="AC184" s="30">
        <f t="shared" si="109"/>
        <v>2.4809767459508998</v>
      </c>
      <c r="AD184" s="30">
        <f t="shared" si="110"/>
        <v>1.8363330373596554</v>
      </c>
      <c r="AE184" s="32">
        <f t="shared" si="120"/>
        <v>13.604699584654302</v>
      </c>
      <c r="AF184" s="33">
        <f t="shared" si="129"/>
        <v>13.604699584654302</v>
      </c>
      <c r="AG184" s="40">
        <f t="shared" si="121"/>
        <v>16.542529964799691</v>
      </c>
      <c r="AH184" s="224">
        <f>AG184*$P$33</f>
        <v>1.3873996548451373</v>
      </c>
      <c r="AI184" s="227">
        <f t="shared" si="122"/>
        <v>35</v>
      </c>
    </row>
    <row r="185" spans="1:35" x14ac:dyDescent="0.35">
      <c r="A185" s="48">
        <v>1526</v>
      </c>
      <c r="B185" s="58">
        <f>SUMIF([2]!Table2_23[ETA],'FIS Current Model'!A185,[2]!Table2_23[FIS PAX])</f>
        <v>0</v>
      </c>
      <c r="C185" s="44">
        <f t="shared" si="123"/>
        <v>0</v>
      </c>
      <c r="D185" s="52">
        <f t="shared" si="127"/>
        <v>0</v>
      </c>
      <c r="E185" s="26">
        <f t="shared" si="111"/>
        <v>0</v>
      </c>
      <c r="F185" s="26">
        <f t="shared" si="112"/>
        <v>0</v>
      </c>
      <c r="G185" s="26">
        <f t="shared" si="113"/>
        <v>0</v>
      </c>
      <c r="H185" s="26">
        <f t="shared" si="124"/>
        <v>0</v>
      </c>
      <c r="I185" s="27">
        <f t="shared" si="130"/>
        <v>0</v>
      </c>
      <c r="J185" s="27">
        <f t="shared" si="130"/>
        <v>0</v>
      </c>
      <c r="K185" s="27">
        <f t="shared" si="130"/>
        <v>0</v>
      </c>
      <c r="L185" s="27">
        <f t="shared" si="128"/>
        <v>0</v>
      </c>
      <c r="M185" s="28">
        <f t="shared" si="131"/>
        <v>3</v>
      </c>
      <c r="N185" s="29">
        <f t="shared" si="132"/>
        <v>6</v>
      </c>
      <c r="O185" s="28">
        <f t="shared" si="133"/>
        <v>1</v>
      </c>
      <c r="P185" s="28">
        <f t="shared" si="134"/>
        <v>1</v>
      </c>
      <c r="Q185" s="28">
        <f t="shared" si="114"/>
        <v>11</v>
      </c>
      <c r="R185" s="22">
        <f t="shared" si="115"/>
        <v>141.90316149160614</v>
      </c>
      <c r="S185" s="22">
        <f t="shared" si="116"/>
        <v>22.951107234380451</v>
      </c>
      <c r="T185" s="22">
        <f t="shared" si="117"/>
        <v>16.889953416013082</v>
      </c>
      <c r="U185" s="22">
        <f t="shared" si="118"/>
        <v>0</v>
      </c>
      <c r="V185" s="21">
        <f t="shared" si="135"/>
        <v>19.103003600000019</v>
      </c>
      <c r="W185" s="21">
        <f t="shared" si="136"/>
        <v>6.5611630813666686</v>
      </c>
      <c r="X185" s="21">
        <f t="shared" si="125"/>
        <v>5.7866162699999935</v>
      </c>
      <c r="Y185" s="21">
        <f t="shared" si="126"/>
        <v>0</v>
      </c>
      <c r="Z185" s="221">
        <f t="shared" si="119"/>
        <v>14</v>
      </c>
      <c r="AA185" s="30">
        <f t="shared" si="107"/>
        <v>6.3140692319120486</v>
      </c>
      <c r="AB185" s="30">
        <f t="shared" si="108"/>
        <v>2.9733205694316993</v>
      </c>
      <c r="AC185" s="30">
        <f t="shared" si="109"/>
        <v>2.4809767459508998</v>
      </c>
      <c r="AD185" s="30">
        <f t="shared" si="110"/>
        <v>0</v>
      </c>
      <c r="AE185" s="32">
        <f t="shared" si="120"/>
        <v>11.768366547294647</v>
      </c>
      <c r="AF185" s="33">
        <f t="shared" si="129"/>
        <v>13.604699584654302</v>
      </c>
      <c r="AG185" s="40">
        <f t="shared" si="121"/>
        <v>18.223823120002212</v>
      </c>
      <c r="AH185" s="224">
        <f>AG185*$P$33</f>
        <v>1.5284074419360472</v>
      </c>
      <c r="AI185" s="227">
        <f t="shared" si="122"/>
        <v>35</v>
      </c>
    </row>
    <row r="186" spans="1:35" x14ac:dyDescent="0.35">
      <c r="A186" s="48">
        <v>1527</v>
      </c>
      <c r="B186" s="58">
        <f>SUMIF([2]!Table2_23[ETA],'FIS Current Model'!A186,[2]!Table2_23[FIS PAX])</f>
        <v>0</v>
      </c>
      <c r="C186" s="44">
        <f t="shared" si="123"/>
        <v>0</v>
      </c>
      <c r="D186" s="52">
        <f t="shared" si="127"/>
        <v>0</v>
      </c>
      <c r="E186" s="26">
        <f t="shared" si="111"/>
        <v>0</v>
      </c>
      <c r="F186" s="26">
        <f t="shared" si="112"/>
        <v>0</v>
      </c>
      <c r="G186" s="26">
        <f t="shared" si="113"/>
        <v>0</v>
      </c>
      <c r="H186" s="26">
        <f t="shared" si="124"/>
        <v>0</v>
      </c>
      <c r="I186" s="27">
        <f t="shared" si="130"/>
        <v>0</v>
      </c>
      <c r="J186" s="27">
        <f t="shared" si="130"/>
        <v>0</v>
      </c>
      <c r="K186" s="27">
        <f t="shared" si="130"/>
        <v>0</v>
      </c>
      <c r="L186" s="27">
        <f t="shared" si="128"/>
        <v>0</v>
      </c>
      <c r="M186" s="28">
        <f t="shared" si="131"/>
        <v>3</v>
      </c>
      <c r="N186" s="29">
        <f t="shared" si="132"/>
        <v>6</v>
      </c>
      <c r="O186" s="28">
        <f t="shared" si="133"/>
        <v>1</v>
      </c>
      <c r="P186" s="28">
        <f t="shared" si="134"/>
        <v>1</v>
      </c>
      <c r="Q186" s="28">
        <f t="shared" si="114"/>
        <v>11</v>
      </c>
      <c r="R186" s="22">
        <f t="shared" si="115"/>
        <v>135.5890922596941</v>
      </c>
      <c r="S186" s="22">
        <f t="shared" si="116"/>
        <v>19.482233236710137</v>
      </c>
      <c r="T186" s="22">
        <f t="shared" si="117"/>
        <v>14.408976670062183</v>
      </c>
      <c r="U186" s="22">
        <f t="shared" si="118"/>
        <v>0</v>
      </c>
      <c r="V186" s="21">
        <f t="shared" si="135"/>
        <v>18.253003600000017</v>
      </c>
      <c r="W186" s="21">
        <f t="shared" si="136"/>
        <v>5.5694964147000023</v>
      </c>
      <c r="X186" s="21">
        <f t="shared" si="125"/>
        <v>4.9366162699999938</v>
      </c>
      <c r="Y186" s="21">
        <f t="shared" si="126"/>
        <v>0</v>
      </c>
      <c r="Z186" s="221">
        <f t="shared" si="119"/>
        <v>13</v>
      </c>
      <c r="AA186" s="30">
        <f t="shared" si="107"/>
        <v>6.3140692319120486</v>
      </c>
      <c r="AB186" s="30">
        <f t="shared" si="108"/>
        <v>2.9733205694316993</v>
      </c>
      <c r="AC186" s="30">
        <f t="shared" si="109"/>
        <v>2.4809767459508998</v>
      </c>
      <c r="AD186" s="30">
        <f t="shared" si="110"/>
        <v>0</v>
      </c>
      <c r="AE186" s="32">
        <f t="shared" si="120"/>
        <v>11.768366547294647</v>
      </c>
      <c r="AF186" s="33">
        <f t="shared" si="129"/>
        <v>13.604699584654302</v>
      </c>
      <c r="AG186" s="40">
        <f t="shared" si="121"/>
        <v>19.905116275204733</v>
      </c>
      <c r="AH186" s="224">
        <f>AG186*$P$33</f>
        <v>1.6694152290269568</v>
      </c>
      <c r="AI186" s="227">
        <f t="shared" si="122"/>
        <v>34</v>
      </c>
    </row>
    <row r="187" spans="1:35" x14ac:dyDescent="0.35">
      <c r="A187" s="48">
        <v>1528</v>
      </c>
      <c r="B187" s="58">
        <f>SUMIF([2]!Table2_23[ETA],'FIS Current Model'!A187,[2]!Table2_23[FIS PAX])</f>
        <v>0</v>
      </c>
      <c r="C187" s="44">
        <f t="shared" si="123"/>
        <v>0</v>
      </c>
      <c r="D187" s="52">
        <f t="shared" si="127"/>
        <v>0</v>
      </c>
      <c r="E187" s="26">
        <f t="shared" si="111"/>
        <v>0</v>
      </c>
      <c r="F187" s="26">
        <f t="shared" si="112"/>
        <v>0</v>
      </c>
      <c r="G187" s="26">
        <f t="shared" si="113"/>
        <v>0</v>
      </c>
      <c r="H187" s="26">
        <f t="shared" si="124"/>
        <v>0</v>
      </c>
      <c r="I187" s="27">
        <f t="shared" si="130"/>
        <v>0</v>
      </c>
      <c r="J187" s="27">
        <f t="shared" si="130"/>
        <v>0</v>
      </c>
      <c r="K187" s="27">
        <f t="shared" si="130"/>
        <v>0</v>
      </c>
      <c r="L187" s="27">
        <f t="shared" si="128"/>
        <v>0</v>
      </c>
      <c r="M187" s="28">
        <f t="shared" si="131"/>
        <v>3</v>
      </c>
      <c r="N187" s="29">
        <f t="shared" si="132"/>
        <v>6</v>
      </c>
      <c r="O187" s="28">
        <f t="shared" si="133"/>
        <v>1</v>
      </c>
      <c r="P187" s="28">
        <f t="shared" si="134"/>
        <v>1</v>
      </c>
      <c r="Q187" s="28">
        <f t="shared" si="114"/>
        <v>11</v>
      </c>
      <c r="R187" s="22">
        <f t="shared" si="115"/>
        <v>129.27502302778205</v>
      </c>
      <c r="S187" s="22">
        <f t="shared" si="116"/>
        <v>16.013359239039822</v>
      </c>
      <c r="T187" s="22">
        <f t="shared" si="117"/>
        <v>11.927999924111283</v>
      </c>
      <c r="U187" s="22">
        <f t="shared" si="118"/>
        <v>0</v>
      </c>
      <c r="V187" s="21">
        <f t="shared" si="135"/>
        <v>17.403003600000019</v>
      </c>
      <c r="W187" s="21">
        <f t="shared" si="136"/>
        <v>4.5778297480333352</v>
      </c>
      <c r="X187" s="21">
        <f t="shared" si="125"/>
        <v>4.0866162699999942</v>
      </c>
      <c r="Y187" s="21">
        <f t="shared" si="126"/>
        <v>0</v>
      </c>
      <c r="Z187" s="221">
        <f t="shared" si="119"/>
        <v>12</v>
      </c>
      <c r="AA187" s="30">
        <f t="shared" si="107"/>
        <v>6.3140692319120486</v>
      </c>
      <c r="AB187" s="30">
        <f t="shared" si="108"/>
        <v>2.9733205694316993</v>
      </c>
      <c r="AC187" s="30">
        <f t="shared" si="109"/>
        <v>2.4809767459508998</v>
      </c>
      <c r="AD187" s="30">
        <f t="shared" si="110"/>
        <v>0</v>
      </c>
      <c r="AE187" s="32">
        <f t="shared" si="120"/>
        <v>11.768366547294647</v>
      </c>
      <c r="AF187" s="33">
        <f t="shared" si="129"/>
        <v>13.604699584654302</v>
      </c>
      <c r="AG187" s="40">
        <f t="shared" si="121"/>
        <v>21.586409430407254</v>
      </c>
      <c r="AH187" s="224">
        <f>AG187*$P$33</f>
        <v>1.8104230161178667</v>
      </c>
      <c r="AI187" s="227">
        <f t="shared" si="122"/>
        <v>33</v>
      </c>
    </row>
    <row r="188" spans="1:35" x14ac:dyDescent="0.35">
      <c r="A188" s="48">
        <v>1529</v>
      </c>
      <c r="B188" s="58">
        <f>SUMIF([2]!Table2_23[ETA],'FIS Current Model'!A188,[2]!Table2_23[FIS PAX])</f>
        <v>0</v>
      </c>
      <c r="C188" s="44">
        <f t="shared" si="123"/>
        <v>0</v>
      </c>
      <c r="D188" s="52">
        <f t="shared" si="127"/>
        <v>0</v>
      </c>
      <c r="E188" s="26">
        <f t="shared" si="111"/>
        <v>0</v>
      </c>
      <c r="F188" s="26">
        <f t="shared" si="112"/>
        <v>0</v>
      </c>
      <c r="G188" s="26">
        <f t="shared" si="113"/>
        <v>0</v>
      </c>
      <c r="H188" s="26">
        <f t="shared" si="124"/>
        <v>0</v>
      </c>
      <c r="I188" s="27">
        <f t="shared" si="130"/>
        <v>0</v>
      </c>
      <c r="J188" s="27">
        <f t="shared" si="130"/>
        <v>0</v>
      </c>
      <c r="K188" s="27">
        <f t="shared" si="130"/>
        <v>0</v>
      </c>
      <c r="L188" s="27">
        <f t="shared" si="128"/>
        <v>0</v>
      </c>
      <c r="M188" s="28">
        <f t="shared" si="131"/>
        <v>3</v>
      </c>
      <c r="N188" s="29">
        <f t="shared" si="132"/>
        <v>6</v>
      </c>
      <c r="O188" s="28">
        <f t="shared" si="133"/>
        <v>1</v>
      </c>
      <c r="P188" s="28">
        <f t="shared" si="134"/>
        <v>1</v>
      </c>
      <c r="Q188" s="28">
        <f t="shared" si="114"/>
        <v>11</v>
      </c>
      <c r="R188" s="22">
        <f t="shared" si="115"/>
        <v>122.96095379587001</v>
      </c>
      <c r="S188" s="22">
        <f t="shared" si="116"/>
        <v>12.544485241369506</v>
      </c>
      <c r="T188" s="22">
        <f t="shared" si="117"/>
        <v>9.4470231781603839</v>
      </c>
      <c r="U188" s="22">
        <f t="shared" si="118"/>
        <v>0</v>
      </c>
      <c r="V188" s="21">
        <f t="shared" si="135"/>
        <v>16.553003600000018</v>
      </c>
      <c r="W188" s="21">
        <f t="shared" si="136"/>
        <v>3.5861630813666685</v>
      </c>
      <c r="X188" s="21">
        <f t="shared" si="125"/>
        <v>3.2366162699999945</v>
      </c>
      <c r="Y188" s="21">
        <f t="shared" si="126"/>
        <v>0</v>
      </c>
      <c r="Z188" s="221">
        <f t="shared" si="119"/>
        <v>11</v>
      </c>
      <c r="AA188" s="30">
        <f t="shared" si="107"/>
        <v>6.3140692319120486</v>
      </c>
      <c r="AB188" s="30">
        <f t="shared" si="108"/>
        <v>2.9733205694316993</v>
      </c>
      <c r="AC188" s="30">
        <f t="shared" si="109"/>
        <v>2.4809767459508998</v>
      </c>
      <c r="AD188" s="30">
        <f t="shared" si="110"/>
        <v>0</v>
      </c>
      <c r="AE188" s="32">
        <f t="shared" si="120"/>
        <v>11.768366547294647</v>
      </c>
      <c r="AF188" s="33">
        <f t="shared" si="129"/>
        <v>13.604699584654302</v>
      </c>
      <c r="AG188" s="40">
        <f t="shared" si="121"/>
        <v>23.267702585609776</v>
      </c>
      <c r="AH188" s="224">
        <f>AG188*$P$33</f>
        <v>1.9514308032087764</v>
      </c>
      <c r="AI188" s="227">
        <f t="shared" si="122"/>
        <v>32</v>
      </c>
    </row>
    <row r="189" spans="1:35" x14ac:dyDescent="0.35">
      <c r="A189" s="48">
        <v>1530</v>
      </c>
      <c r="B189" s="58">
        <f>SUMIF([2]!Table2_23[ETA],'FIS Current Model'!A189,[2]!Table2_23[FIS PAX])</f>
        <v>0</v>
      </c>
      <c r="C189" s="44">
        <f t="shared" si="123"/>
        <v>0</v>
      </c>
      <c r="D189" s="52">
        <f t="shared" si="127"/>
        <v>0</v>
      </c>
      <c r="E189" s="26">
        <f t="shared" si="111"/>
        <v>0</v>
      </c>
      <c r="F189" s="26">
        <f t="shared" si="112"/>
        <v>0</v>
      </c>
      <c r="G189" s="26">
        <f t="shared" si="113"/>
        <v>0</v>
      </c>
      <c r="H189" s="26">
        <f t="shared" si="124"/>
        <v>0</v>
      </c>
      <c r="I189" s="27">
        <f t="shared" si="130"/>
        <v>0</v>
      </c>
      <c r="J189" s="27">
        <f t="shared" si="130"/>
        <v>0</v>
      </c>
      <c r="K189" s="27">
        <f t="shared" si="130"/>
        <v>0</v>
      </c>
      <c r="L189" s="27">
        <f t="shared" si="128"/>
        <v>0</v>
      </c>
      <c r="M189" s="28">
        <f t="shared" si="131"/>
        <v>3</v>
      </c>
      <c r="N189" s="29">
        <f t="shared" si="132"/>
        <v>6</v>
      </c>
      <c r="O189" s="28">
        <f t="shared" si="133"/>
        <v>1</v>
      </c>
      <c r="P189" s="28">
        <f t="shared" si="134"/>
        <v>1</v>
      </c>
      <c r="Q189" s="28">
        <f t="shared" si="114"/>
        <v>11</v>
      </c>
      <c r="R189" s="22">
        <f t="shared" si="115"/>
        <v>116.64688456395797</v>
      </c>
      <c r="S189" s="22">
        <f t="shared" si="116"/>
        <v>9.0756112436991891</v>
      </c>
      <c r="T189" s="22">
        <f t="shared" si="117"/>
        <v>6.9660464322094846</v>
      </c>
      <c r="U189" s="22">
        <f t="shared" si="118"/>
        <v>0</v>
      </c>
      <c r="V189" s="21">
        <f t="shared" si="135"/>
        <v>15.70300360000002</v>
      </c>
      <c r="W189" s="21">
        <f t="shared" si="136"/>
        <v>2.5944964147000018</v>
      </c>
      <c r="X189" s="21">
        <f t="shared" si="125"/>
        <v>2.3866162699999949</v>
      </c>
      <c r="Y189" s="21">
        <f t="shared" si="126"/>
        <v>0</v>
      </c>
      <c r="Z189" s="221">
        <f t="shared" si="119"/>
        <v>10</v>
      </c>
      <c r="AA189" s="30">
        <f t="shared" si="107"/>
        <v>6.3140692319120486</v>
      </c>
      <c r="AB189" s="30">
        <f t="shared" si="108"/>
        <v>2.9733205694316993</v>
      </c>
      <c r="AC189" s="30">
        <f t="shared" si="109"/>
        <v>2.4809767459508998</v>
      </c>
      <c r="AD189" s="30">
        <f t="shared" si="110"/>
        <v>0</v>
      </c>
      <c r="AE189" s="32">
        <f t="shared" si="120"/>
        <v>11.768366547294647</v>
      </c>
      <c r="AF189" s="33">
        <f t="shared" si="129"/>
        <v>11.768366547294647</v>
      </c>
      <c r="AG189" s="40">
        <f t="shared" si="121"/>
        <v>23.112662703452642</v>
      </c>
      <c r="AH189" s="224">
        <f>AG189*$P$33</f>
        <v>1.9384278176044132</v>
      </c>
      <c r="AI189" s="227">
        <f t="shared" si="122"/>
        <v>31</v>
      </c>
    </row>
    <row r="190" spans="1:35" x14ac:dyDescent="0.35">
      <c r="A190" s="48">
        <v>1531</v>
      </c>
      <c r="B190" s="58">
        <f>SUMIF([2]!Table2_23[ETA],'FIS Current Model'!A190,[2]!Table2_23[FIS PAX])</f>
        <v>0</v>
      </c>
      <c r="C190" s="44">
        <f t="shared" si="123"/>
        <v>0</v>
      </c>
      <c r="D190" s="52">
        <f t="shared" si="127"/>
        <v>0</v>
      </c>
      <c r="E190" s="26">
        <f t="shared" si="111"/>
        <v>0</v>
      </c>
      <c r="F190" s="26">
        <f t="shared" si="112"/>
        <v>0</v>
      </c>
      <c r="G190" s="26">
        <f t="shared" si="113"/>
        <v>0</v>
      </c>
      <c r="H190" s="26">
        <f t="shared" si="124"/>
        <v>0</v>
      </c>
      <c r="I190" s="27">
        <f t="shared" si="130"/>
        <v>0</v>
      </c>
      <c r="J190" s="27">
        <f t="shared" si="130"/>
        <v>0</v>
      </c>
      <c r="K190" s="27">
        <f t="shared" si="130"/>
        <v>0</v>
      </c>
      <c r="L190" s="27">
        <f t="shared" si="128"/>
        <v>0</v>
      </c>
      <c r="M190" s="28">
        <f>IF(R189=0,0,$Q$16)</f>
        <v>3</v>
      </c>
      <c r="N190" s="29">
        <f>$U$16-M190-O190-P190</f>
        <v>7</v>
      </c>
      <c r="O190" s="28">
        <f>IF(T189=0,0,$S$16)</f>
        <v>1</v>
      </c>
      <c r="P190" s="28">
        <f>IF(U189=0,0,$T$16)</f>
        <v>0</v>
      </c>
      <c r="Q190" s="28">
        <f t="shared" si="114"/>
        <v>11</v>
      </c>
      <c r="R190" s="22">
        <f t="shared" si="115"/>
        <v>110.33281533204593</v>
      </c>
      <c r="S190" s="22">
        <f t="shared" si="116"/>
        <v>5.6067372460288727</v>
      </c>
      <c r="T190" s="22">
        <f t="shared" si="117"/>
        <v>4.4850696862585853</v>
      </c>
      <c r="U190" s="22">
        <f t="shared" si="118"/>
        <v>0</v>
      </c>
      <c r="V190" s="21">
        <f t="shared" si="135"/>
        <v>14.853003600000021</v>
      </c>
      <c r="W190" s="21">
        <f t="shared" si="136"/>
        <v>1.3738540697428585</v>
      </c>
      <c r="X190" s="21">
        <f t="shared" si="125"/>
        <v>1.536616269999995</v>
      </c>
      <c r="Y190" s="21">
        <f t="shared" si="126"/>
        <v>0</v>
      </c>
      <c r="Z190" s="221">
        <f t="shared" si="119"/>
        <v>9</v>
      </c>
      <c r="AA190" s="30">
        <f t="shared" si="107"/>
        <v>6.3140692319120486</v>
      </c>
      <c r="AB190" s="30">
        <f t="shared" si="108"/>
        <v>3.4688739976703165</v>
      </c>
      <c r="AC190" s="30">
        <f t="shared" si="109"/>
        <v>2.4809767459508998</v>
      </c>
      <c r="AD190" s="30">
        <f t="shared" si="110"/>
        <v>0</v>
      </c>
      <c r="AE190" s="32">
        <f t="shared" si="120"/>
        <v>12.263919975533264</v>
      </c>
      <c r="AF190" s="33">
        <f t="shared" si="129"/>
        <v>11.768366547294647</v>
      </c>
      <c r="AG190" s="40">
        <f t="shared" si="121"/>
        <v>22.957622821295509</v>
      </c>
      <c r="AH190" s="224">
        <f>AG190*$P$33</f>
        <v>1.92542483200005</v>
      </c>
      <c r="AI190" s="227">
        <f t="shared" si="122"/>
        <v>30</v>
      </c>
    </row>
    <row r="191" spans="1:35" x14ac:dyDescent="0.35">
      <c r="A191" s="48">
        <v>1532</v>
      </c>
      <c r="B191" s="58">
        <f>SUMIF([2]!Table2_23[ETA],'FIS Current Model'!A191,[2]!Table2_23[FIS PAX])</f>
        <v>0</v>
      </c>
      <c r="C191" s="44">
        <f t="shared" si="123"/>
        <v>0</v>
      </c>
      <c r="D191" s="52">
        <f t="shared" si="127"/>
        <v>0</v>
      </c>
      <c r="E191" s="26">
        <f t="shared" si="111"/>
        <v>0</v>
      </c>
      <c r="F191" s="26">
        <f t="shared" si="112"/>
        <v>0</v>
      </c>
      <c r="G191" s="26">
        <f t="shared" si="113"/>
        <v>0</v>
      </c>
      <c r="H191" s="26">
        <f t="shared" si="124"/>
        <v>0</v>
      </c>
      <c r="I191" s="27">
        <f t="shared" si="130"/>
        <v>0</v>
      </c>
      <c r="J191" s="27">
        <f t="shared" si="130"/>
        <v>0</v>
      </c>
      <c r="K191" s="27">
        <f t="shared" si="130"/>
        <v>0</v>
      </c>
      <c r="L191" s="27">
        <f t="shared" si="128"/>
        <v>0</v>
      </c>
      <c r="M191" s="28">
        <f>$M$190</f>
        <v>3</v>
      </c>
      <c r="N191" s="29">
        <f>$N$190</f>
        <v>7</v>
      </c>
      <c r="O191" s="28">
        <f>$O$190</f>
        <v>1</v>
      </c>
      <c r="P191" s="28">
        <f>$P$190</f>
        <v>0</v>
      </c>
      <c r="Q191" s="28">
        <f t="shared" si="114"/>
        <v>11</v>
      </c>
      <c r="R191" s="22">
        <f t="shared" si="115"/>
        <v>104.01874610013388</v>
      </c>
      <c r="S191" s="22">
        <f t="shared" si="116"/>
        <v>2.1378632483585562</v>
      </c>
      <c r="T191" s="22">
        <f t="shared" si="117"/>
        <v>2.0040929403076855</v>
      </c>
      <c r="U191" s="22">
        <f t="shared" si="118"/>
        <v>0</v>
      </c>
      <c r="V191" s="21">
        <f t="shared" si="135"/>
        <v>14.003003600000023</v>
      </c>
      <c r="W191" s="21">
        <f t="shared" si="136"/>
        <v>0.5238540697428582</v>
      </c>
      <c r="X191" s="21">
        <f t="shared" si="125"/>
        <v>0.68661626999999514</v>
      </c>
      <c r="Y191" s="21">
        <f t="shared" si="126"/>
        <v>0</v>
      </c>
      <c r="Z191" s="221">
        <f t="shared" si="119"/>
        <v>8</v>
      </c>
      <c r="AA191" s="30">
        <f t="shared" si="107"/>
        <v>6.3140692319120486</v>
      </c>
      <c r="AB191" s="30">
        <f t="shared" si="108"/>
        <v>3.4688739976703165</v>
      </c>
      <c r="AC191" s="30">
        <f t="shared" si="109"/>
        <v>2.4809767459508998</v>
      </c>
      <c r="AD191" s="30">
        <f t="shared" si="110"/>
        <v>0</v>
      </c>
      <c r="AE191" s="32">
        <f t="shared" si="120"/>
        <v>12.263919975533264</v>
      </c>
      <c r="AF191" s="33">
        <f t="shared" si="129"/>
        <v>11.768366547294647</v>
      </c>
      <c r="AG191" s="40">
        <f t="shared" si="121"/>
        <v>22.802582939138375</v>
      </c>
      <c r="AH191" s="224">
        <f>AG191*$P$33</f>
        <v>1.9124218463956866</v>
      </c>
      <c r="AI191" s="227">
        <f t="shared" si="122"/>
        <v>29</v>
      </c>
    </row>
    <row r="192" spans="1:35" x14ac:dyDescent="0.35">
      <c r="A192" s="48">
        <v>1533</v>
      </c>
      <c r="B192" s="58">
        <f>SUMIF([2]!Table2_23[ETA],'FIS Current Model'!A192,[2]!Table2_23[FIS PAX])</f>
        <v>0</v>
      </c>
      <c r="C192" s="44">
        <f t="shared" si="123"/>
        <v>0</v>
      </c>
      <c r="D192" s="52">
        <f t="shared" si="127"/>
        <v>0</v>
      </c>
      <c r="E192" s="26">
        <f t="shared" si="111"/>
        <v>0</v>
      </c>
      <c r="F192" s="26">
        <f t="shared" si="112"/>
        <v>0</v>
      </c>
      <c r="G192" s="26">
        <f t="shared" si="113"/>
        <v>0</v>
      </c>
      <c r="H192" s="26">
        <f t="shared" si="124"/>
        <v>0</v>
      </c>
      <c r="I192" s="27">
        <f t="shared" si="130"/>
        <v>0</v>
      </c>
      <c r="J192" s="27">
        <f t="shared" si="130"/>
        <v>0</v>
      </c>
      <c r="K192" s="27">
        <f t="shared" si="130"/>
        <v>0</v>
      </c>
      <c r="L192" s="27">
        <f t="shared" si="128"/>
        <v>0</v>
      </c>
      <c r="M192" s="28">
        <f t="shared" ref="M192:M204" si="137">$M$190</f>
        <v>3</v>
      </c>
      <c r="N192" s="29">
        <f t="shared" ref="N192:N204" si="138">$N$190</f>
        <v>7</v>
      </c>
      <c r="O192" s="28">
        <f t="shared" ref="O192:O204" si="139">$O$190</f>
        <v>1</v>
      </c>
      <c r="P192" s="28">
        <f t="shared" ref="P192:P204" si="140">$P$190</f>
        <v>0</v>
      </c>
      <c r="Q192" s="28">
        <f t="shared" si="114"/>
        <v>11</v>
      </c>
      <c r="R192" s="22">
        <f t="shared" si="115"/>
        <v>97.704676868221839</v>
      </c>
      <c r="S192" s="22">
        <f t="shared" si="116"/>
        <v>0</v>
      </c>
      <c r="T192" s="22">
        <f t="shared" si="117"/>
        <v>0</v>
      </c>
      <c r="U192" s="22">
        <f t="shared" si="118"/>
        <v>0</v>
      </c>
      <c r="V192" s="21">
        <f t="shared" si="135"/>
        <v>13.153003600000023</v>
      </c>
      <c r="W192" s="21">
        <f t="shared" si="136"/>
        <v>0</v>
      </c>
      <c r="X192" s="21">
        <f t="shared" si="125"/>
        <v>0</v>
      </c>
      <c r="Y192" s="21">
        <f t="shared" si="126"/>
        <v>0</v>
      </c>
      <c r="Z192" s="221">
        <f t="shared" si="119"/>
        <v>8</v>
      </c>
      <c r="AA192" s="30">
        <f t="shared" si="107"/>
        <v>6.3140692319120486</v>
      </c>
      <c r="AB192" s="30">
        <f t="shared" si="108"/>
        <v>0</v>
      </c>
      <c r="AC192" s="30">
        <f t="shared" si="109"/>
        <v>0</v>
      </c>
      <c r="AD192" s="30">
        <f t="shared" si="110"/>
        <v>0</v>
      </c>
      <c r="AE192" s="32">
        <f t="shared" si="120"/>
        <v>6.3140692319120486</v>
      </c>
      <c r="AF192" s="33">
        <f t="shared" si="129"/>
        <v>11.768366547294647</v>
      </c>
      <c r="AG192" s="40">
        <f t="shared" si="121"/>
        <v>22.647543056981242</v>
      </c>
      <c r="AH192" s="224">
        <f>AG192*$P$33</f>
        <v>1.8994188607913234</v>
      </c>
      <c r="AI192" s="227">
        <f t="shared" si="122"/>
        <v>29</v>
      </c>
    </row>
    <row r="193" spans="1:35" x14ac:dyDescent="0.35">
      <c r="A193" s="48">
        <v>1534</v>
      </c>
      <c r="B193" s="58">
        <f>SUMIF([2]!Table2_23[ETA],'FIS Current Model'!A193,[2]!Table2_23[FIS PAX])</f>
        <v>0</v>
      </c>
      <c r="C193" s="44">
        <f t="shared" si="123"/>
        <v>0</v>
      </c>
      <c r="D193" s="52">
        <f t="shared" si="127"/>
        <v>0</v>
      </c>
      <c r="E193" s="26">
        <f t="shared" si="111"/>
        <v>0</v>
      </c>
      <c r="F193" s="26">
        <f t="shared" si="112"/>
        <v>0</v>
      </c>
      <c r="G193" s="26">
        <f t="shared" si="113"/>
        <v>0</v>
      </c>
      <c r="H193" s="26">
        <f t="shared" si="124"/>
        <v>0</v>
      </c>
      <c r="I193" s="27">
        <f t="shared" si="130"/>
        <v>0</v>
      </c>
      <c r="J193" s="27">
        <f t="shared" si="130"/>
        <v>0</v>
      </c>
      <c r="K193" s="27">
        <f t="shared" si="130"/>
        <v>0</v>
      </c>
      <c r="L193" s="27">
        <f t="shared" si="128"/>
        <v>0</v>
      </c>
      <c r="M193" s="28">
        <f t="shared" si="137"/>
        <v>3</v>
      </c>
      <c r="N193" s="29">
        <f t="shared" si="138"/>
        <v>7</v>
      </c>
      <c r="O193" s="28">
        <f t="shared" si="139"/>
        <v>1</v>
      </c>
      <c r="P193" s="28">
        <f t="shared" si="140"/>
        <v>0</v>
      </c>
      <c r="Q193" s="28">
        <f t="shared" si="114"/>
        <v>11</v>
      </c>
      <c r="R193" s="22">
        <f t="shared" si="115"/>
        <v>91.390607636309795</v>
      </c>
      <c r="S193" s="22">
        <f t="shared" si="116"/>
        <v>0</v>
      </c>
      <c r="T193" s="22">
        <f t="shared" si="117"/>
        <v>0</v>
      </c>
      <c r="U193" s="22">
        <f t="shared" si="118"/>
        <v>0</v>
      </c>
      <c r="V193" s="21">
        <f t="shared" si="135"/>
        <v>12.303003600000023</v>
      </c>
      <c r="W193" s="21">
        <f t="shared" si="136"/>
        <v>0</v>
      </c>
      <c r="X193" s="21">
        <f t="shared" si="125"/>
        <v>0</v>
      </c>
      <c r="Y193" s="21">
        <f t="shared" si="126"/>
        <v>0</v>
      </c>
      <c r="Z193" s="221">
        <f t="shared" si="119"/>
        <v>7</v>
      </c>
      <c r="AA193" s="30">
        <f t="shared" si="107"/>
        <v>6.3140692319120486</v>
      </c>
      <c r="AB193" s="30">
        <f t="shared" si="108"/>
        <v>0</v>
      </c>
      <c r="AC193" s="30">
        <f t="shared" si="109"/>
        <v>0</v>
      </c>
      <c r="AD193" s="30">
        <f t="shared" si="110"/>
        <v>0</v>
      </c>
      <c r="AE193" s="32">
        <f t="shared" si="120"/>
        <v>6.3140692319120486</v>
      </c>
      <c r="AF193" s="33">
        <f t="shared" si="129"/>
        <v>11.768366547294647</v>
      </c>
      <c r="AG193" s="40">
        <f t="shared" si="121"/>
        <v>22.492503174824108</v>
      </c>
      <c r="AH193" s="224">
        <f>AG193*$P$33</f>
        <v>1.8864158751869602</v>
      </c>
      <c r="AI193" s="227">
        <f t="shared" si="122"/>
        <v>28</v>
      </c>
    </row>
    <row r="194" spans="1:35" x14ac:dyDescent="0.35">
      <c r="A194" s="48">
        <v>1535</v>
      </c>
      <c r="B194" s="58">
        <f>SUMIF([2]!Table2_23[ETA],'FIS Current Model'!A194,[2]!Table2_23[FIS PAX])</f>
        <v>0</v>
      </c>
      <c r="C194" s="44">
        <f t="shared" si="123"/>
        <v>0</v>
      </c>
      <c r="D194" s="52">
        <f t="shared" si="127"/>
        <v>0</v>
      </c>
      <c r="E194" s="26">
        <f t="shared" si="111"/>
        <v>0</v>
      </c>
      <c r="F194" s="26">
        <f t="shared" si="112"/>
        <v>0</v>
      </c>
      <c r="G194" s="26">
        <f t="shared" si="113"/>
        <v>0</v>
      </c>
      <c r="H194" s="26">
        <f t="shared" si="124"/>
        <v>0</v>
      </c>
      <c r="I194" s="27">
        <f t="shared" si="130"/>
        <v>0</v>
      </c>
      <c r="J194" s="27">
        <f t="shared" si="130"/>
        <v>0</v>
      </c>
      <c r="K194" s="27">
        <f t="shared" si="130"/>
        <v>0</v>
      </c>
      <c r="L194" s="27">
        <f t="shared" si="128"/>
        <v>0</v>
      </c>
      <c r="M194" s="28">
        <f t="shared" si="137"/>
        <v>3</v>
      </c>
      <c r="N194" s="29">
        <f t="shared" si="138"/>
        <v>7</v>
      </c>
      <c r="O194" s="28">
        <f t="shared" si="139"/>
        <v>1</v>
      </c>
      <c r="P194" s="28">
        <f t="shared" si="140"/>
        <v>0</v>
      </c>
      <c r="Q194" s="28">
        <f t="shared" si="114"/>
        <v>11</v>
      </c>
      <c r="R194" s="22">
        <f t="shared" si="115"/>
        <v>85.076538404397752</v>
      </c>
      <c r="S194" s="22">
        <f t="shared" si="116"/>
        <v>0</v>
      </c>
      <c r="T194" s="22">
        <f t="shared" si="117"/>
        <v>0</v>
      </c>
      <c r="U194" s="22">
        <f t="shared" si="118"/>
        <v>0</v>
      </c>
      <c r="V194" s="21">
        <f t="shared" si="135"/>
        <v>11.453003600000024</v>
      </c>
      <c r="W194" s="21">
        <f t="shared" si="136"/>
        <v>0</v>
      </c>
      <c r="X194" s="21">
        <f t="shared" si="125"/>
        <v>0</v>
      </c>
      <c r="Y194" s="21">
        <f t="shared" si="126"/>
        <v>0</v>
      </c>
      <c r="Z194" s="221">
        <f t="shared" si="119"/>
        <v>7</v>
      </c>
      <c r="AA194" s="30">
        <f t="shared" si="107"/>
        <v>6.3140692319120486</v>
      </c>
      <c r="AB194" s="30">
        <f t="shared" si="108"/>
        <v>0</v>
      </c>
      <c r="AC194" s="30">
        <f t="shared" si="109"/>
        <v>0</v>
      </c>
      <c r="AD194" s="30">
        <f t="shared" si="110"/>
        <v>0</v>
      </c>
      <c r="AE194" s="32">
        <f t="shared" si="120"/>
        <v>6.3140692319120486</v>
      </c>
      <c r="AF194" s="33">
        <f t="shared" si="129"/>
        <v>12.263919975533264</v>
      </c>
      <c r="AG194" s="40">
        <f t="shared" si="121"/>
        <v>22.83301672090559</v>
      </c>
      <c r="AH194" s="224">
        <f>AG194*$P$33</f>
        <v>1.9149742865852655</v>
      </c>
      <c r="AI194" s="227">
        <f t="shared" si="122"/>
        <v>28</v>
      </c>
    </row>
    <row r="195" spans="1:35" x14ac:dyDescent="0.35">
      <c r="A195" s="48">
        <v>1536</v>
      </c>
      <c r="B195" s="58">
        <f>SUMIF([2]!Table2_23[ETA],'FIS Current Model'!A195,[2]!Table2_23[FIS PAX])</f>
        <v>0</v>
      </c>
      <c r="C195" s="44">
        <f t="shared" si="123"/>
        <v>0</v>
      </c>
      <c r="D195" s="52">
        <f t="shared" si="127"/>
        <v>0</v>
      </c>
      <c r="E195" s="26">
        <f t="shared" si="111"/>
        <v>0</v>
      </c>
      <c r="F195" s="26">
        <f t="shared" si="112"/>
        <v>0</v>
      </c>
      <c r="G195" s="26">
        <f t="shared" si="113"/>
        <v>0</v>
      </c>
      <c r="H195" s="26">
        <f t="shared" si="124"/>
        <v>0</v>
      </c>
      <c r="I195" s="27">
        <f t="shared" si="130"/>
        <v>0</v>
      </c>
      <c r="J195" s="27">
        <f t="shared" si="130"/>
        <v>0</v>
      </c>
      <c r="K195" s="27">
        <f t="shared" si="130"/>
        <v>0</v>
      </c>
      <c r="L195" s="27">
        <f t="shared" si="128"/>
        <v>0</v>
      </c>
      <c r="M195" s="28">
        <f t="shared" si="137"/>
        <v>3</v>
      </c>
      <c r="N195" s="29">
        <f t="shared" si="138"/>
        <v>7</v>
      </c>
      <c r="O195" s="28">
        <f t="shared" si="139"/>
        <v>1</v>
      </c>
      <c r="P195" s="28">
        <f t="shared" si="140"/>
        <v>0</v>
      </c>
      <c r="Q195" s="28">
        <f t="shared" si="114"/>
        <v>11</v>
      </c>
      <c r="R195" s="22">
        <f t="shared" si="115"/>
        <v>78.762469172485709</v>
      </c>
      <c r="S195" s="22">
        <f t="shared" si="116"/>
        <v>0</v>
      </c>
      <c r="T195" s="22">
        <f t="shared" si="117"/>
        <v>0</v>
      </c>
      <c r="U195" s="22">
        <f t="shared" si="118"/>
        <v>0</v>
      </c>
      <c r="V195" s="21">
        <f t="shared" si="135"/>
        <v>10.603003600000026</v>
      </c>
      <c r="W195" s="21">
        <f t="shared" si="136"/>
        <v>0</v>
      </c>
      <c r="X195" s="21">
        <f t="shared" si="125"/>
        <v>0</v>
      </c>
      <c r="Y195" s="21">
        <f t="shared" si="126"/>
        <v>0</v>
      </c>
      <c r="Z195" s="221">
        <f t="shared" si="119"/>
        <v>6</v>
      </c>
      <c r="AA195" s="30">
        <f t="shared" si="107"/>
        <v>6.3140692319120486</v>
      </c>
      <c r="AB195" s="30">
        <f t="shared" si="108"/>
        <v>0</v>
      </c>
      <c r="AC195" s="30">
        <f t="shared" si="109"/>
        <v>0</v>
      </c>
      <c r="AD195" s="30">
        <f t="shared" si="110"/>
        <v>0</v>
      </c>
      <c r="AE195" s="32">
        <f t="shared" si="120"/>
        <v>6.3140692319120486</v>
      </c>
      <c r="AF195" s="33">
        <f t="shared" si="129"/>
        <v>12.263919975533264</v>
      </c>
      <c r="AG195" s="40">
        <f t="shared" si="121"/>
        <v>23.173530266987072</v>
      </c>
      <c r="AH195" s="224">
        <f>AG195*$P$33</f>
        <v>1.9435326979835708</v>
      </c>
      <c r="AI195" s="227">
        <f t="shared" si="122"/>
        <v>27</v>
      </c>
    </row>
    <row r="196" spans="1:35" x14ac:dyDescent="0.35">
      <c r="A196" s="48">
        <v>1537</v>
      </c>
      <c r="B196" s="58">
        <f>SUMIF([2]!Table2_23[ETA],'FIS Current Model'!A196,[2]!Table2_23[FIS PAX])</f>
        <v>0</v>
      </c>
      <c r="C196" s="44">
        <f t="shared" si="123"/>
        <v>0</v>
      </c>
      <c r="D196" s="52">
        <f t="shared" si="127"/>
        <v>0</v>
      </c>
      <c r="E196" s="26">
        <f t="shared" si="111"/>
        <v>0</v>
      </c>
      <c r="F196" s="26">
        <f t="shared" si="112"/>
        <v>0</v>
      </c>
      <c r="G196" s="26">
        <f t="shared" si="113"/>
        <v>0</v>
      </c>
      <c r="H196" s="26">
        <f t="shared" si="124"/>
        <v>0</v>
      </c>
      <c r="I196" s="27">
        <f t="shared" si="130"/>
        <v>0</v>
      </c>
      <c r="J196" s="27">
        <f t="shared" si="130"/>
        <v>0</v>
      </c>
      <c r="K196" s="27">
        <f t="shared" si="130"/>
        <v>0</v>
      </c>
      <c r="L196" s="27">
        <f t="shared" si="128"/>
        <v>0</v>
      </c>
      <c r="M196" s="28">
        <f t="shared" si="137"/>
        <v>3</v>
      </c>
      <c r="N196" s="29">
        <f t="shared" si="138"/>
        <v>7</v>
      </c>
      <c r="O196" s="28">
        <f t="shared" si="139"/>
        <v>1</v>
      </c>
      <c r="P196" s="28">
        <f t="shared" si="140"/>
        <v>0</v>
      </c>
      <c r="Q196" s="28">
        <f t="shared" si="114"/>
        <v>11</v>
      </c>
      <c r="R196" s="22">
        <f t="shared" si="115"/>
        <v>72.448399940573665</v>
      </c>
      <c r="S196" s="22">
        <f t="shared" si="116"/>
        <v>0</v>
      </c>
      <c r="T196" s="22">
        <f t="shared" si="117"/>
        <v>0</v>
      </c>
      <c r="U196" s="22">
        <f t="shared" si="118"/>
        <v>0</v>
      </c>
      <c r="V196" s="21">
        <f t="shared" si="135"/>
        <v>9.7530036000000262</v>
      </c>
      <c r="W196" s="21">
        <f t="shared" si="136"/>
        <v>0</v>
      </c>
      <c r="X196" s="21">
        <f t="shared" si="125"/>
        <v>0</v>
      </c>
      <c r="Y196" s="21">
        <f t="shared" si="126"/>
        <v>0</v>
      </c>
      <c r="Z196" s="221">
        <f t="shared" si="119"/>
        <v>6</v>
      </c>
      <c r="AA196" s="30">
        <f t="shared" si="107"/>
        <v>6.3140692319120486</v>
      </c>
      <c r="AB196" s="30">
        <f t="shared" si="108"/>
        <v>0</v>
      </c>
      <c r="AC196" s="30">
        <f t="shared" si="109"/>
        <v>0</v>
      </c>
      <c r="AD196" s="30">
        <f t="shared" si="110"/>
        <v>0</v>
      </c>
      <c r="AE196" s="32">
        <f t="shared" si="120"/>
        <v>6.3140692319120486</v>
      </c>
      <c r="AF196" s="33">
        <f t="shared" si="129"/>
        <v>6.3140692319120486</v>
      </c>
      <c r="AG196" s="40">
        <f t="shared" si="121"/>
        <v>17.564193069447342</v>
      </c>
      <c r="AH196" s="224">
        <f>AG196*$P$33</f>
        <v>1.4730851601319537</v>
      </c>
      <c r="AI196" s="227">
        <f t="shared" si="122"/>
        <v>27</v>
      </c>
    </row>
    <row r="197" spans="1:35" x14ac:dyDescent="0.35">
      <c r="A197" s="48">
        <v>1538</v>
      </c>
      <c r="B197" s="58">
        <f>SUMIF([2]!Table2_23[ETA],'FIS Current Model'!A197,[2]!Table2_23[FIS PAX])</f>
        <v>0</v>
      </c>
      <c r="C197" s="44">
        <f t="shared" si="123"/>
        <v>0</v>
      </c>
      <c r="D197" s="52">
        <f t="shared" si="127"/>
        <v>0</v>
      </c>
      <c r="E197" s="26">
        <f t="shared" si="111"/>
        <v>0</v>
      </c>
      <c r="F197" s="26">
        <f t="shared" si="112"/>
        <v>0</v>
      </c>
      <c r="G197" s="26">
        <f t="shared" si="113"/>
        <v>0</v>
      </c>
      <c r="H197" s="26">
        <f t="shared" si="124"/>
        <v>0</v>
      </c>
      <c r="I197" s="27">
        <f t="shared" si="130"/>
        <v>0</v>
      </c>
      <c r="J197" s="27">
        <f t="shared" si="130"/>
        <v>0</v>
      </c>
      <c r="K197" s="27">
        <f t="shared" si="130"/>
        <v>0</v>
      </c>
      <c r="L197" s="27">
        <f t="shared" si="128"/>
        <v>0</v>
      </c>
      <c r="M197" s="28">
        <f t="shared" si="137"/>
        <v>3</v>
      </c>
      <c r="N197" s="29">
        <f t="shared" si="138"/>
        <v>7</v>
      </c>
      <c r="O197" s="28">
        <f t="shared" si="139"/>
        <v>1</v>
      </c>
      <c r="P197" s="28">
        <f t="shared" si="140"/>
        <v>0</v>
      </c>
      <c r="Q197" s="28">
        <f t="shared" si="114"/>
        <v>11</v>
      </c>
      <c r="R197" s="22">
        <f t="shared" si="115"/>
        <v>66.134330708661622</v>
      </c>
      <c r="S197" s="22">
        <f t="shared" si="116"/>
        <v>0</v>
      </c>
      <c r="T197" s="22">
        <f t="shared" si="117"/>
        <v>0</v>
      </c>
      <c r="U197" s="22">
        <f t="shared" si="118"/>
        <v>0</v>
      </c>
      <c r="V197" s="21">
        <f t="shared" si="135"/>
        <v>8.9030036000000266</v>
      </c>
      <c r="W197" s="21">
        <f t="shared" si="136"/>
        <v>0</v>
      </c>
      <c r="X197" s="21">
        <f t="shared" si="125"/>
        <v>0</v>
      </c>
      <c r="Y197" s="21">
        <f t="shared" si="126"/>
        <v>0</v>
      </c>
      <c r="Z197" s="221">
        <f t="shared" si="119"/>
        <v>5</v>
      </c>
      <c r="AA197" s="30">
        <f t="shared" si="107"/>
        <v>6.3140692319120486</v>
      </c>
      <c r="AB197" s="30">
        <f t="shared" si="108"/>
        <v>0</v>
      </c>
      <c r="AC197" s="30">
        <f t="shared" si="109"/>
        <v>0</v>
      </c>
      <c r="AD197" s="30">
        <f t="shared" si="110"/>
        <v>0</v>
      </c>
      <c r="AE197" s="32">
        <f t="shared" si="120"/>
        <v>6.3140692319120486</v>
      </c>
      <c r="AF197" s="33">
        <f t="shared" si="129"/>
        <v>6.3140692319120486</v>
      </c>
      <c r="AG197" s="40">
        <f t="shared" si="121"/>
        <v>11.954855871907609</v>
      </c>
      <c r="AH197" s="224">
        <f>AG197*$P$33</f>
        <v>1.0026376222803366</v>
      </c>
      <c r="AI197" s="227">
        <f t="shared" si="122"/>
        <v>26</v>
      </c>
    </row>
    <row r="198" spans="1:35" x14ac:dyDescent="0.35">
      <c r="A198" s="48">
        <v>1539</v>
      </c>
      <c r="B198" s="58">
        <f>SUMIF([2]!Table2_23[ETA],'FIS Current Model'!A198,[2]!Table2_23[FIS PAX])</f>
        <v>185</v>
      </c>
      <c r="C198" s="44">
        <f t="shared" si="123"/>
        <v>0</v>
      </c>
      <c r="D198" s="52">
        <f t="shared" si="127"/>
        <v>0</v>
      </c>
      <c r="E198" s="26">
        <f t="shared" si="111"/>
        <v>0</v>
      </c>
      <c r="F198" s="26">
        <f t="shared" si="112"/>
        <v>0</v>
      </c>
      <c r="G198" s="26">
        <f t="shared" si="113"/>
        <v>0</v>
      </c>
      <c r="H198" s="26">
        <f t="shared" si="124"/>
        <v>0</v>
      </c>
      <c r="I198" s="27">
        <f t="shared" si="130"/>
        <v>0</v>
      </c>
      <c r="J198" s="27">
        <f t="shared" si="130"/>
        <v>0</v>
      </c>
      <c r="K198" s="27">
        <f t="shared" si="130"/>
        <v>0</v>
      </c>
      <c r="L198" s="27">
        <f t="shared" si="128"/>
        <v>0</v>
      </c>
      <c r="M198" s="28">
        <f t="shared" si="137"/>
        <v>3</v>
      </c>
      <c r="N198" s="29">
        <f t="shared" si="138"/>
        <v>7</v>
      </c>
      <c r="O198" s="28">
        <f t="shared" si="139"/>
        <v>1</v>
      </c>
      <c r="P198" s="28">
        <f t="shared" si="140"/>
        <v>0</v>
      </c>
      <c r="Q198" s="28">
        <f t="shared" si="114"/>
        <v>11</v>
      </c>
      <c r="R198" s="22">
        <f t="shared" si="115"/>
        <v>59.820261476749572</v>
      </c>
      <c r="S198" s="22">
        <f t="shared" si="116"/>
        <v>0</v>
      </c>
      <c r="T198" s="22">
        <f t="shared" si="117"/>
        <v>0</v>
      </c>
      <c r="U198" s="22">
        <f t="shared" si="118"/>
        <v>0</v>
      </c>
      <c r="V198" s="21">
        <f t="shared" si="135"/>
        <v>8.0530036000000269</v>
      </c>
      <c r="W198" s="21">
        <f t="shared" si="136"/>
        <v>0</v>
      </c>
      <c r="X198" s="21">
        <f t="shared" si="125"/>
        <v>0</v>
      </c>
      <c r="Y198" s="21">
        <f t="shared" si="126"/>
        <v>0</v>
      </c>
      <c r="Z198" s="221">
        <f t="shared" si="119"/>
        <v>5</v>
      </c>
      <c r="AA198" s="30">
        <f t="shared" si="107"/>
        <v>6.3140692319120486</v>
      </c>
      <c r="AB198" s="30">
        <f t="shared" si="108"/>
        <v>0</v>
      </c>
      <c r="AC198" s="30">
        <f t="shared" si="109"/>
        <v>0</v>
      </c>
      <c r="AD198" s="30">
        <f t="shared" si="110"/>
        <v>0</v>
      </c>
      <c r="AE198" s="32">
        <f t="shared" si="120"/>
        <v>6.3140692319120486</v>
      </c>
      <c r="AF198" s="33">
        <f t="shared" si="129"/>
        <v>6.3140692319120486</v>
      </c>
      <c r="AG198" s="40">
        <f t="shared" si="121"/>
        <v>6.3455186743678773</v>
      </c>
      <c r="AH198" s="224">
        <f>AG198*$P$33</f>
        <v>0.53219008442871929</v>
      </c>
      <c r="AI198" s="227">
        <f t="shared" si="122"/>
        <v>26.028558411398304</v>
      </c>
    </row>
    <row r="199" spans="1:35" x14ac:dyDescent="0.35">
      <c r="A199" s="48">
        <v>1540</v>
      </c>
      <c r="B199" s="58">
        <f>SUMIF([2]!Table2_23[ETA],'FIS Current Model'!A199,[2]!Table2_23[FIS PAX])</f>
        <v>0</v>
      </c>
      <c r="C199" s="44">
        <f t="shared" si="123"/>
        <v>18</v>
      </c>
      <c r="D199" s="52">
        <f t="shared" si="127"/>
        <v>167</v>
      </c>
      <c r="E199" s="26">
        <f t="shared" si="111"/>
        <v>9.9503999999999984</v>
      </c>
      <c r="F199" s="26">
        <f t="shared" si="112"/>
        <v>4.2713999999999999</v>
      </c>
      <c r="G199" s="26">
        <f t="shared" si="113"/>
        <v>2.9447999999999999</v>
      </c>
      <c r="H199" s="26">
        <f t="shared" si="124"/>
        <v>0.83340000000000003</v>
      </c>
      <c r="I199" s="27">
        <f t="shared" si="130"/>
        <v>0</v>
      </c>
      <c r="J199" s="27">
        <f t="shared" si="130"/>
        <v>0</v>
      </c>
      <c r="K199" s="27">
        <f t="shared" si="130"/>
        <v>0</v>
      </c>
      <c r="L199" s="27">
        <f t="shared" si="128"/>
        <v>0</v>
      </c>
      <c r="M199" s="28">
        <f t="shared" si="137"/>
        <v>3</v>
      </c>
      <c r="N199" s="29">
        <f t="shared" si="138"/>
        <v>7</v>
      </c>
      <c r="O199" s="28">
        <f t="shared" si="139"/>
        <v>1</v>
      </c>
      <c r="P199" s="28">
        <f t="shared" si="140"/>
        <v>0</v>
      </c>
      <c r="Q199" s="28">
        <f t="shared" si="114"/>
        <v>11</v>
      </c>
      <c r="R199" s="22">
        <f t="shared" si="115"/>
        <v>53.506192244837521</v>
      </c>
      <c r="S199" s="22">
        <f t="shared" si="116"/>
        <v>0</v>
      </c>
      <c r="T199" s="22">
        <f t="shared" si="117"/>
        <v>0</v>
      </c>
      <c r="U199" s="22">
        <f t="shared" si="118"/>
        <v>0</v>
      </c>
      <c r="V199" s="21">
        <f t="shared" si="135"/>
        <v>7.2030036000000264</v>
      </c>
      <c r="W199" s="21">
        <f t="shared" si="136"/>
        <v>0</v>
      </c>
      <c r="X199" s="21">
        <f t="shared" si="125"/>
        <v>0</v>
      </c>
      <c r="Y199" s="21">
        <f t="shared" si="126"/>
        <v>0</v>
      </c>
      <c r="Z199" s="221">
        <f t="shared" si="119"/>
        <v>4</v>
      </c>
      <c r="AA199" s="30">
        <f t="shared" si="107"/>
        <v>6.3140692319120486</v>
      </c>
      <c r="AB199" s="30">
        <f t="shared" si="108"/>
        <v>0</v>
      </c>
      <c r="AC199" s="30">
        <f t="shared" si="109"/>
        <v>0</v>
      </c>
      <c r="AD199" s="30">
        <f t="shared" si="110"/>
        <v>0</v>
      </c>
      <c r="AE199" s="32">
        <f t="shared" si="120"/>
        <v>6.3140692319120486</v>
      </c>
      <c r="AF199" s="33">
        <f t="shared" si="129"/>
        <v>6.3140692319120486</v>
      </c>
      <c r="AG199" s="40">
        <f t="shared" si="121"/>
        <v>0.73618147682814516</v>
      </c>
      <c r="AH199" s="224">
        <f>AG199*$P$33</f>
        <v>6.1742546577102098E-2</v>
      </c>
      <c r="AI199" s="227">
        <f t="shared" si="122"/>
        <v>25.028558411398304</v>
      </c>
    </row>
    <row r="200" spans="1:35" x14ac:dyDescent="0.35">
      <c r="A200" s="48">
        <v>1541</v>
      </c>
      <c r="B200" s="58">
        <f>SUMIF([2]!Table2_23[ETA],'FIS Current Model'!A200,[2]!Table2_23[FIS PAX])</f>
        <v>0</v>
      </c>
      <c r="C200" s="44">
        <f t="shared" si="123"/>
        <v>18</v>
      </c>
      <c r="D200" s="52">
        <f t="shared" si="127"/>
        <v>149</v>
      </c>
      <c r="E200" s="26">
        <f t="shared" si="111"/>
        <v>9.9503999999999984</v>
      </c>
      <c r="F200" s="26">
        <f t="shared" si="112"/>
        <v>4.2713999999999999</v>
      </c>
      <c r="G200" s="26">
        <f t="shared" si="113"/>
        <v>2.9447999999999999</v>
      </c>
      <c r="H200" s="26">
        <f t="shared" si="124"/>
        <v>0.83340000000000003</v>
      </c>
      <c r="I200" s="27">
        <f t="shared" si="130"/>
        <v>0</v>
      </c>
      <c r="J200" s="27">
        <f t="shared" si="130"/>
        <v>0</v>
      </c>
      <c r="K200" s="27">
        <f t="shared" si="130"/>
        <v>0</v>
      </c>
      <c r="L200" s="27">
        <f t="shared" si="128"/>
        <v>0</v>
      </c>
      <c r="M200" s="28">
        <f t="shared" si="137"/>
        <v>3</v>
      </c>
      <c r="N200" s="29">
        <f t="shared" si="138"/>
        <v>7</v>
      </c>
      <c r="O200" s="28">
        <f t="shared" si="139"/>
        <v>1</v>
      </c>
      <c r="P200" s="28">
        <f t="shared" si="140"/>
        <v>0</v>
      </c>
      <c r="Q200" s="28">
        <f t="shared" si="114"/>
        <v>11</v>
      </c>
      <c r="R200" s="22">
        <f t="shared" si="115"/>
        <v>47.192123012925471</v>
      </c>
      <c r="S200" s="22">
        <f t="shared" si="116"/>
        <v>0</v>
      </c>
      <c r="T200" s="22">
        <f t="shared" si="117"/>
        <v>0</v>
      </c>
      <c r="U200" s="22">
        <f t="shared" si="118"/>
        <v>0</v>
      </c>
      <c r="V200" s="21">
        <f t="shared" si="135"/>
        <v>6.3530036000000267</v>
      </c>
      <c r="W200" s="21">
        <f t="shared" si="136"/>
        <v>0</v>
      </c>
      <c r="X200" s="21">
        <f t="shared" si="125"/>
        <v>0</v>
      </c>
      <c r="Y200" s="21">
        <f t="shared" si="126"/>
        <v>0</v>
      </c>
      <c r="Z200" s="221">
        <f t="shared" si="119"/>
        <v>4</v>
      </c>
      <c r="AA200" s="30">
        <f t="shared" si="107"/>
        <v>6.3140692319120486</v>
      </c>
      <c r="AB200" s="30">
        <f t="shared" si="108"/>
        <v>0</v>
      </c>
      <c r="AC200" s="30">
        <f t="shared" si="109"/>
        <v>0</v>
      </c>
      <c r="AD200" s="30">
        <f t="shared" si="110"/>
        <v>0</v>
      </c>
      <c r="AE200" s="32">
        <f t="shared" si="120"/>
        <v>6.3140692319120486</v>
      </c>
      <c r="AF200" s="33">
        <f t="shared" si="129"/>
        <v>6.3140692319120486</v>
      </c>
      <c r="AG200" s="40">
        <f t="shared" si="121"/>
        <v>0</v>
      </c>
      <c r="AH200" s="224">
        <f>AG200*$P$33</f>
        <v>0</v>
      </c>
      <c r="AI200" s="227">
        <f t="shared" si="122"/>
        <v>25.015555425793941</v>
      </c>
    </row>
    <row r="201" spans="1:35" x14ac:dyDescent="0.35">
      <c r="A201" s="48">
        <v>1542</v>
      </c>
      <c r="B201" s="58">
        <f>SUMIF([2]!Table2_23[ETA],'FIS Current Model'!A201,[2]!Table2_23[FIS PAX])</f>
        <v>0</v>
      </c>
      <c r="C201" s="44">
        <f t="shared" si="123"/>
        <v>18</v>
      </c>
      <c r="D201" s="52">
        <f t="shared" si="127"/>
        <v>131</v>
      </c>
      <c r="E201" s="26">
        <f t="shared" si="111"/>
        <v>9.9503999999999984</v>
      </c>
      <c r="F201" s="26">
        <f t="shared" si="112"/>
        <v>4.2713999999999999</v>
      </c>
      <c r="G201" s="26">
        <f t="shared" si="113"/>
        <v>2.9447999999999999</v>
      </c>
      <c r="H201" s="26">
        <f t="shared" si="124"/>
        <v>0.83340000000000003</v>
      </c>
      <c r="I201" s="27">
        <f t="shared" si="130"/>
        <v>0</v>
      </c>
      <c r="J201" s="27">
        <f t="shared" si="130"/>
        <v>0</v>
      </c>
      <c r="K201" s="27">
        <f t="shared" si="130"/>
        <v>0</v>
      </c>
      <c r="L201" s="27">
        <f t="shared" si="128"/>
        <v>0</v>
      </c>
      <c r="M201" s="28">
        <f t="shared" si="137"/>
        <v>3</v>
      </c>
      <c r="N201" s="29">
        <f t="shared" si="138"/>
        <v>7</v>
      </c>
      <c r="O201" s="28">
        <f t="shared" si="139"/>
        <v>1</v>
      </c>
      <c r="P201" s="28">
        <f t="shared" si="140"/>
        <v>0</v>
      </c>
      <c r="Q201" s="28">
        <f t="shared" si="114"/>
        <v>11</v>
      </c>
      <c r="R201" s="22">
        <f t="shared" si="115"/>
        <v>40.878053781013421</v>
      </c>
      <c r="S201" s="22">
        <f t="shared" si="116"/>
        <v>0</v>
      </c>
      <c r="T201" s="22">
        <f t="shared" si="117"/>
        <v>0</v>
      </c>
      <c r="U201" s="22">
        <f t="shared" si="118"/>
        <v>0</v>
      </c>
      <c r="V201" s="21">
        <f t="shared" si="135"/>
        <v>5.5030036000000262</v>
      </c>
      <c r="W201" s="21">
        <f t="shared" si="136"/>
        <v>0</v>
      </c>
      <c r="X201" s="21">
        <f t="shared" si="125"/>
        <v>0</v>
      </c>
      <c r="Y201" s="21">
        <f t="shared" si="126"/>
        <v>0</v>
      </c>
      <c r="Z201" s="221">
        <f t="shared" si="119"/>
        <v>4</v>
      </c>
      <c r="AA201" s="30">
        <f t="shared" si="107"/>
        <v>6.3140692319120486</v>
      </c>
      <c r="AB201" s="30">
        <f t="shared" si="108"/>
        <v>0</v>
      </c>
      <c r="AC201" s="30">
        <f t="shared" si="109"/>
        <v>0</v>
      </c>
      <c r="AD201" s="30">
        <f t="shared" si="110"/>
        <v>0</v>
      </c>
      <c r="AE201" s="32">
        <f t="shared" si="120"/>
        <v>6.3140692319120486</v>
      </c>
      <c r="AF201" s="33">
        <f t="shared" si="129"/>
        <v>6.3140692319120486</v>
      </c>
      <c r="AG201" s="40">
        <f t="shared" si="121"/>
        <v>0</v>
      </c>
      <c r="AH201" s="224">
        <f>AG201*$P$33</f>
        <v>0</v>
      </c>
      <c r="AI201" s="227">
        <f t="shared" si="122"/>
        <v>25.002552440189579</v>
      </c>
    </row>
    <row r="202" spans="1:35" x14ac:dyDescent="0.35">
      <c r="A202" s="48">
        <v>1543</v>
      </c>
      <c r="B202" s="58">
        <f>SUMIF([2]!Table2_23[ETA],'FIS Current Model'!A202,[2]!Table2_23[FIS PAX])</f>
        <v>0</v>
      </c>
      <c r="C202" s="44">
        <f t="shared" si="123"/>
        <v>18</v>
      </c>
      <c r="D202" s="52">
        <f t="shared" si="127"/>
        <v>113</v>
      </c>
      <c r="E202" s="26">
        <f t="shared" si="111"/>
        <v>9.9503999999999984</v>
      </c>
      <c r="F202" s="26">
        <f t="shared" si="112"/>
        <v>4.2713999999999999</v>
      </c>
      <c r="G202" s="26">
        <f t="shared" si="113"/>
        <v>2.9447999999999999</v>
      </c>
      <c r="H202" s="26">
        <f t="shared" si="124"/>
        <v>0.83340000000000003</v>
      </c>
      <c r="I202" s="27">
        <f t="shared" si="130"/>
        <v>0</v>
      </c>
      <c r="J202" s="27">
        <f t="shared" si="130"/>
        <v>0</v>
      </c>
      <c r="K202" s="27">
        <f t="shared" si="130"/>
        <v>0</v>
      </c>
      <c r="L202" s="27">
        <f t="shared" si="128"/>
        <v>0</v>
      </c>
      <c r="M202" s="28">
        <f t="shared" si="137"/>
        <v>3</v>
      </c>
      <c r="N202" s="29">
        <f t="shared" si="138"/>
        <v>7</v>
      </c>
      <c r="O202" s="28">
        <f t="shared" si="139"/>
        <v>1</v>
      </c>
      <c r="P202" s="28">
        <f t="shared" si="140"/>
        <v>0</v>
      </c>
      <c r="Q202" s="28">
        <f t="shared" si="114"/>
        <v>11</v>
      </c>
      <c r="R202" s="22">
        <f t="shared" si="115"/>
        <v>34.56398454910137</v>
      </c>
      <c r="S202" s="22">
        <f t="shared" si="116"/>
        <v>0</v>
      </c>
      <c r="T202" s="22">
        <f t="shared" si="117"/>
        <v>0</v>
      </c>
      <c r="U202" s="22">
        <f t="shared" si="118"/>
        <v>0</v>
      </c>
      <c r="V202" s="21">
        <f t="shared" si="135"/>
        <v>4.6530036000000257</v>
      </c>
      <c r="W202" s="21">
        <f t="shared" si="136"/>
        <v>0</v>
      </c>
      <c r="X202" s="21">
        <f t="shared" si="125"/>
        <v>0</v>
      </c>
      <c r="Y202" s="21">
        <f t="shared" si="126"/>
        <v>0</v>
      </c>
      <c r="Z202" s="221">
        <f t="shared" si="119"/>
        <v>3</v>
      </c>
      <c r="AA202" s="30">
        <f t="shared" si="107"/>
        <v>6.3140692319120486</v>
      </c>
      <c r="AB202" s="30">
        <f t="shared" si="108"/>
        <v>0</v>
      </c>
      <c r="AC202" s="30">
        <f t="shared" si="109"/>
        <v>0</v>
      </c>
      <c r="AD202" s="30">
        <f t="shared" si="110"/>
        <v>0</v>
      </c>
      <c r="AE202" s="32">
        <f t="shared" si="120"/>
        <v>6.3140692319120486</v>
      </c>
      <c r="AF202" s="33">
        <f t="shared" si="129"/>
        <v>6.3140692319120486</v>
      </c>
      <c r="AG202" s="40">
        <f t="shared" si="121"/>
        <v>0</v>
      </c>
      <c r="AH202" s="224">
        <f>AG202*$P$33</f>
        <v>0</v>
      </c>
      <c r="AI202" s="227">
        <f t="shared" si="122"/>
        <v>24.002552440189579</v>
      </c>
    </row>
    <row r="203" spans="1:35" x14ac:dyDescent="0.35">
      <c r="A203" s="48">
        <v>1544</v>
      </c>
      <c r="B203" s="58">
        <f>SUMIF([2]!Table2_23[ETA],'FIS Current Model'!A203,[2]!Table2_23[FIS PAX])</f>
        <v>0</v>
      </c>
      <c r="C203" s="44">
        <f t="shared" si="123"/>
        <v>18</v>
      </c>
      <c r="D203" s="52">
        <f t="shared" si="127"/>
        <v>95</v>
      </c>
      <c r="E203" s="26">
        <f t="shared" si="111"/>
        <v>9.9503999999999984</v>
      </c>
      <c r="F203" s="26">
        <f t="shared" si="112"/>
        <v>4.2713999999999999</v>
      </c>
      <c r="G203" s="26">
        <f t="shared" si="113"/>
        <v>2.9447999999999999</v>
      </c>
      <c r="H203" s="26">
        <f t="shared" si="124"/>
        <v>0.83340000000000003</v>
      </c>
      <c r="I203" s="27">
        <f t="shared" si="130"/>
        <v>0</v>
      </c>
      <c r="J203" s="27">
        <f t="shared" si="130"/>
        <v>0</v>
      </c>
      <c r="K203" s="27">
        <f t="shared" si="130"/>
        <v>0</v>
      </c>
      <c r="L203" s="27">
        <f t="shared" si="128"/>
        <v>0</v>
      </c>
      <c r="M203" s="28">
        <f t="shared" si="137"/>
        <v>3</v>
      </c>
      <c r="N203" s="29">
        <f t="shared" si="138"/>
        <v>7</v>
      </c>
      <c r="O203" s="28">
        <f t="shared" si="139"/>
        <v>1</v>
      </c>
      <c r="P203" s="28">
        <f t="shared" si="140"/>
        <v>0</v>
      </c>
      <c r="Q203" s="28">
        <f t="shared" si="114"/>
        <v>11</v>
      </c>
      <c r="R203" s="22">
        <f t="shared" si="115"/>
        <v>28.24991531718932</v>
      </c>
      <c r="S203" s="22">
        <f t="shared" si="116"/>
        <v>0</v>
      </c>
      <c r="T203" s="22">
        <f t="shared" si="117"/>
        <v>0</v>
      </c>
      <c r="U203" s="22">
        <f t="shared" si="118"/>
        <v>0</v>
      </c>
      <c r="V203" s="21">
        <f t="shared" si="135"/>
        <v>3.803003600000026</v>
      </c>
      <c r="W203" s="21">
        <f t="shared" si="136"/>
        <v>0</v>
      </c>
      <c r="X203" s="21">
        <f t="shared" si="125"/>
        <v>0</v>
      </c>
      <c r="Y203" s="21">
        <f t="shared" si="126"/>
        <v>0</v>
      </c>
      <c r="Z203" s="221">
        <f t="shared" si="119"/>
        <v>3</v>
      </c>
      <c r="AA203" s="30">
        <f t="shared" si="107"/>
        <v>6.3140692319120486</v>
      </c>
      <c r="AB203" s="30">
        <f t="shared" si="108"/>
        <v>0</v>
      </c>
      <c r="AC203" s="30">
        <f t="shared" si="109"/>
        <v>0</v>
      </c>
      <c r="AD203" s="30">
        <f t="shared" si="110"/>
        <v>0</v>
      </c>
      <c r="AE203" s="32">
        <f t="shared" si="120"/>
        <v>6.3140692319120486</v>
      </c>
      <c r="AF203" s="33">
        <f t="shared" si="129"/>
        <v>6.3140692319120486</v>
      </c>
      <c r="AG203" s="40">
        <f t="shared" si="121"/>
        <v>0</v>
      </c>
      <c r="AH203" s="224">
        <f>AG203*$P$33</f>
        <v>0</v>
      </c>
      <c r="AI203" s="227">
        <f t="shared" si="122"/>
        <v>24</v>
      </c>
    </row>
    <row r="204" spans="1:35" x14ac:dyDescent="0.35">
      <c r="A204" s="48">
        <v>1545</v>
      </c>
      <c r="B204" s="58">
        <f>SUMIF([2]!Table2_23[ETA],'FIS Current Model'!A204,[2]!Table2_23[FIS PAX])</f>
        <v>0</v>
      </c>
      <c r="C204" s="44">
        <f t="shared" si="123"/>
        <v>18</v>
      </c>
      <c r="D204" s="52">
        <f t="shared" si="127"/>
        <v>77</v>
      </c>
      <c r="E204" s="26">
        <f t="shared" si="111"/>
        <v>9.9503999999999984</v>
      </c>
      <c r="F204" s="26">
        <f t="shared" si="112"/>
        <v>4.2713999999999999</v>
      </c>
      <c r="G204" s="26">
        <f t="shared" si="113"/>
        <v>2.9447999999999999</v>
      </c>
      <c r="H204" s="26">
        <f t="shared" si="124"/>
        <v>0.83340000000000003</v>
      </c>
      <c r="I204" s="27">
        <f t="shared" si="130"/>
        <v>9.9503999999999984</v>
      </c>
      <c r="J204" s="27">
        <f t="shared" si="130"/>
        <v>4.2713999999999999</v>
      </c>
      <c r="K204" s="27">
        <f t="shared" si="130"/>
        <v>2.9447999999999999</v>
      </c>
      <c r="L204" s="27">
        <f t="shared" si="128"/>
        <v>0.83340000000000003</v>
      </c>
      <c r="M204" s="28">
        <f t="shared" si="137"/>
        <v>3</v>
      </c>
      <c r="N204" s="29">
        <f t="shared" si="138"/>
        <v>7</v>
      </c>
      <c r="O204" s="28">
        <f t="shared" si="139"/>
        <v>1</v>
      </c>
      <c r="P204" s="28">
        <f t="shared" si="140"/>
        <v>0</v>
      </c>
      <c r="Q204" s="28">
        <f t="shared" si="114"/>
        <v>11</v>
      </c>
      <c r="R204" s="22">
        <f t="shared" si="115"/>
        <v>31.886246085277268</v>
      </c>
      <c r="S204" s="22">
        <f t="shared" si="116"/>
        <v>0.80252600232968341</v>
      </c>
      <c r="T204" s="22">
        <f t="shared" si="117"/>
        <v>0.46382325404910008</v>
      </c>
      <c r="U204" s="22">
        <f t="shared" si="118"/>
        <v>0.83340000000000003</v>
      </c>
      <c r="V204" s="21">
        <f t="shared" si="135"/>
        <v>4.2925264480000251</v>
      </c>
      <c r="W204" s="21">
        <f t="shared" si="136"/>
        <v>0.19664799079999984</v>
      </c>
      <c r="X204" s="21">
        <f t="shared" si="125"/>
        <v>0.15890909360000002</v>
      </c>
      <c r="Y204" s="21">
        <f t="shared" si="126"/>
        <v>0</v>
      </c>
      <c r="Z204" s="221">
        <f t="shared" si="119"/>
        <v>3</v>
      </c>
      <c r="AA204" s="30">
        <f t="shared" si="107"/>
        <v>6.3140692319120486</v>
      </c>
      <c r="AB204" s="30">
        <f t="shared" si="108"/>
        <v>3.4688739976703165</v>
      </c>
      <c r="AC204" s="30">
        <f t="shared" si="109"/>
        <v>2.4809767459508998</v>
      </c>
      <c r="AD204" s="30">
        <f t="shared" si="110"/>
        <v>0</v>
      </c>
      <c r="AE204" s="32">
        <f t="shared" si="120"/>
        <v>12.263919975533264</v>
      </c>
      <c r="AF204" s="33">
        <f t="shared" si="129"/>
        <v>6.3140692319120486</v>
      </c>
      <c r="AG204" s="40">
        <f t="shared" si="121"/>
        <v>0</v>
      </c>
      <c r="AH204" s="224">
        <f>AG204*$P$33</f>
        <v>0</v>
      </c>
      <c r="AI204" s="227">
        <f t="shared" si="122"/>
        <v>24</v>
      </c>
    </row>
    <row r="205" spans="1:35" x14ac:dyDescent="0.35">
      <c r="A205" s="48">
        <v>1546</v>
      </c>
      <c r="B205" s="58">
        <f>SUMIF([2]!Table2_23[ETA],'FIS Current Model'!A205,[2]!Table2_23[FIS PAX])</f>
        <v>123</v>
      </c>
      <c r="C205" s="44">
        <f t="shared" si="123"/>
        <v>18</v>
      </c>
      <c r="D205" s="52">
        <f t="shared" si="127"/>
        <v>59</v>
      </c>
      <c r="E205" s="26">
        <f t="shared" si="111"/>
        <v>9.9503999999999984</v>
      </c>
      <c r="F205" s="26">
        <f t="shared" si="112"/>
        <v>4.2713999999999999</v>
      </c>
      <c r="G205" s="26">
        <f t="shared" si="113"/>
        <v>2.9447999999999999</v>
      </c>
      <c r="H205" s="26">
        <f t="shared" si="124"/>
        <v>0.83340000000000003</v>
      </c>
      <c r="I205" s="27">
        <f t="shared" si="130"/>
        <v>9.9503999999999984</v>
      </c>
      <c r="J205" s="27">
        <f t="shared" si="130"/>
        <v>4.2713999999999999</v>
      </c>
      <c r="K205" s="27">
        <f t="shared" si="130"/>
        <v>2.9447999999999999</v>
      </c>
      <c r="L205" s="27">
        <f t="shared" si="128"/>
        <v>0.83340000000000003</v>
      </c>
      <c r="M205" s="28">
        <f>IF(R204=0,0,$Q$17)</f>
        <v>3</v>
      </c>
      <c r="N205" s="29">
        <f>$U$17-M205-O205-P205</f>
        <v>6</v>
      </c>
      <c r="O205" s="28">
        <f>IF(T204=0,0,$S$17)</f>
        <v>1</v>
      </c>
      <c r="P205" s="28">
        <f>IF(U204=0,0,$T$17)</f>
        <v>1</v>
      </c>
      <c r="Q205" s="28">
        <f t="shared" si="114"/>
        <v>11</v>
      </c>
      <c r="R205" s="22">
        <f t="shared" si="115"/>
        <v>35.522576853365223</v>
      </c>
      <c r="S205" s="22">
        <f t="shared" si="116"/>
        <v>1.6050520046593668</v>
      </c>
      <c r="T205" s="22">
        <f t="shared" si="117"/>
        <v>0.92764650809820015</v>
      </c>
      <c r="U205" s="22">
        <f t="shared" si="118"/>
        <v>0</v>
      </c>
      <c r="V205" s="21">
        <f t="shared" si="135"/>
        <v>4.782049296000026</v>
      </c>
      <c r="W205" s="21">
        <f t="shared" si="136"/>
        <v>0.45884531186666633</v>
      </c>
      <c r="X205" s="21">
        <f t="shared" si="125"/>
        <v>0.31781818720000005</v>
      </c>
      <c r="Y205" s="21">
        <f t="shared" si="126"/>
        <v>0</v>
      </c>
      <c r="Z205" s="221">
        <f t="shared" si="119"/>
        <v>3</v>
      </c>
      <c r="AA205" s="30">
        <f t="shared" si="107"/>
        <v>6.3140692319120486</v>
      </c>
      <c r="AB205" s="30">
        <f t="shared" si="108"/>
        <v>2.9733205694316993</v>
      </c>
      <c r="AC205" s="30">
        <f t="shared" si="109"/>
        <v>2.4809767459508998</v>
      </c>
      <c r="AD205" s="30">
        <f t="shared" si="110"/>
        <v>0</v>
      </c>
      <c r="AE205" s="32">
        <f t="shared" si="120"/>
        <v>11.768366547294647</v>
      </c>
      <c r="AF205" s="33">
        <f t="shared" si="129"/>
        <v>6.3140692319120486</v>
      </c>
      <c r="AG205" s="40">
        <f t="shared" si="121"/>
        <v>0</v>
      </c>
      <c r="AH205" s="224">
        <f>AG205*$P$33</f>
        <v>0</v>
      </c>
      <c r="AI205" s="227">
        <f t="shared" si="122"/>
        <v>24</v>
      </c>
    </row>
    <row r="206" spans="1:35" x14ac:dyDescent="0.35">
      <c r="A206" s="48">
        <v>1547</v>
      </c>
      <c r="B206" s="58">
        <f>SUMIF([2]!Table2_23[ETA],'FIS Current Model'!A206,[2]!Table2_23[FIS PAX])</f>
        <v>0</v>
      </c>
      <c r="C206" s="44">
        <f t="shared" si="123"/>
        <v>18</v>
      </c>
      <c r="D206" s="52">
        <f t="shared" si="127"/>
        <v>164</v>
      </c>
      <c r="E206" s="26">
        <f t="shared" si="111"/>
        <v>9.9503999999999984</v>
      </c>
      <c r="F206" s="26">
        <f t="shared" si="112"/>
        <v>4.2713999999999999</v>
      </c>
      <c r="G206" s="26">
        <f t="shared" si="113"/>
        <v>2.9447999999999999</v>
      </c>
      <c r="H206" s="26">
        <f t="shared" si="124"/>
        <v>0.83340000000000003</v>
      </c>
      <c r="I206" s="27">
        <f t="shared" si="130"/>
        <v>9.9503999999999984</v>
      </c>
      <c r="J206" s="27">
        <f t="shared" si="130"/>
        <v>4.2713999999999999</v>
      </c>
      <c r="K206" s="27">
        <f t="shared" si="130"/>
        <v>2.9447999999999999</v>
      </c>
      <c r="L206" s="27">
        <f t="shared" si="128"/>
        <v>0.83340000000000003</v>
      </c>
      <c r="M206" s="28">
        <f>$M$205</f>
        <v>3</v>
      </c>
      <c r="N206" s="29">
        <f>$N$205</f>
        <v>6</v>
      </c>
      <c r="O206" s="28">
        <f>$O$205</f>
        <v>1</v>
      </c>
      <c r="P206" s="28">
        <f>$P$205</f>
        <v>1</v>
      </c>
      <c r="Q206" s="28">
        <f t="shared" si="114"/>
        <v>11</v>
      </c>
      <c r="R206" s="22">
        <f t="shared" si="115"/>
        <v>39.158907621453167</v>
      </c>
      <c r="S206" s="22">
        <f t="shared" si="116"/>
        <v>2.4075780069890502</v>
      </c>
      <c r="T206" s="22">
        <f t="shared" si="117"/>
        <v>1.3914697621473002</v>
      </c>
      <c r="U206" s="22">
        <f t="shared" si="118"/>
        <v>0</v>
      </c>
      <c r="V206" s="21">
        <f t="shared" si="135"/>
        <v>5.2715721440000252</v>
      </c>
      <c r="W206" s="21">
        <f t="shared" si="136"/>
        <v>0.68826796779999944</v>
      </c>
      <c r="X206" s="21">
        <f t="shared" si="125"/>
        <v>0.4767272808000001</v>
      </c>
      <c r="Y206" s="21">
        <f t="shared" si="126"/>
        <v>0</v>
      </c>
      <c r="Z206" s="221">
        <f t="shared" si="119"/>
        <v>4</v>
      </c>
      <c r="AA206" s="30">
        <f t="shared" si="107"/>
        <v>6.3140692319120486</v>
      </c>
      <c r="AB206" s="30">
        <f t="shared" si="108"/>
        <v>2.9733205694316993</v>
      </c>
      <c r="AC206" s="30">
        <f t="shared" si="109"/>
        <v>2.4809767459508998</v>
      </c>
      <c r="AD206" s="30">
        <f t="shared" si="110"/>
        <v>0</v>
      </c>
      <c r="AE206" s="32">
        <f t="shared" si="120"/>
        <v>11.768366547294647</v>
      </c>
      <c r="AF206" s="33">
        <f t="shared" si="129"/>
        <v>6.3140692319120486</v>
      </c>
      <c r="AG206" s="40">
        <f t="shared" si="121"/>
        <v>0</v>
      </c>
      <c r="AH206" s="224">
        <f>AG206*$P$33</f>
        <v>0</v>
      </c>
      <c r="AI206" s="227">
        <f t="shared" si="122"/>
        <v>25</v>
      </c>
    </row>
    <row r="207" spans="1:35" x14ac:dyDescent="0.35">
      <c r="A207" s="48">
        <v>1548</v>
      </c>
      <c r="B207" s="58">
        <f>SUMIF([2]!Table2_23[ETA],'FIS Current Model'!A207,[2]!Table2_23[FIS PAX])</f>
        <v>0</v>
      </c>
      <c r="C207" s="44">
        <f t="shared" si="123"/>
        <v>18</v>
      </c>
      <c r="D207" s="52">
        <f t="shared" si="127"/>
        <v>146</v>
      </c>
      <c r="E207" s="26">
        <f t="shared" si="111"/>
        <v>9.9503999999999984</v>
      </c>
      <c r="F207" s="26">
        <f t="shared" si="112"/>
        <v>4.2713999999999999</v>
      </c>
      <c r="G207" s="26">
        <f t="shared" si="113"/>
        <v>2.9447999999999999</v>
      </c>
      <c r="H207" s="26">
        <f t="shared" si="124"/>
        <v>0.83340000000000003</v>
      </c>
      <c r="I207" s="27">
        <f t="shared" si="130"/>
        <v>9.9503999999999984</v>
      </c>
      <c r="J207" s="27">
        <f t="shared" si="130"/>
        <v>4.2713999999999999</v>
      </c>
      <c r="K207" s="27">
        <f t="shared" si="130"/>
        <v>2.9447999999999999</v>
      </c>
      <c r="L207" s="27">
        <f t="shared" si="128"/>
        <v>0.83340000000000003</v>
      </c>
      <c r="M207" s="28">
        <f t="shared" ref="M207:M219" si="141">$M$205</f>
        <v>3</v>
      </c>
      <c r="N207" s="29">
        <f t="shared" ref="N207:N219" si="142">$N$205</f>
        <v>6</v>
      </c>
      <c r="O207" s="28">
        <f t="shared" ref="O207:O219" si="143">$O$205</f>
        <v>1</v>
      </c>
      <c r="P207" s="28">
        <f t="shared" ref="P207:P219" si="144">$P$205</f>
        <v>1</v>
      </c>
      <c r="Q207" s="28">
        <f t="shared" si="114"/>
        <v>11</v>
      </c>
      <c r="R207" s="22">
        <f t="shared" si="115"/>
        <v>42.795238389541112</v>
      </c>
      <c r="S207" s="22">
        <f t="shared" si="116"/>
        <v>3.2101040093187336</v>
      </c>
      <c r="T207" s="22">
        <f t="shared" si="117"/>
        <v>1.8552930161964003</v>
      </c>
      <c r="U207" s="22">
        <f t="shared" si="118"/>
        <v>0</v>
      </c>
      <c r="V207" s="21">
        <f t="shared" si="135"/>
        <v>5.7610949920000243</v>
      </c>
      <c r="W207" s="21">
        <f t="shared" si="136"/>
        <v>0.91769062373333266</v>
      </c>
      <c r="X207" s="21">
        <f t="shared" si="125"/>
        <v>0.63563637440000009</v>
      </c>
      <c r="Y207" s="21">
        <f t="shared" si="126"/>
        <v>0</v>
      </c>
      <c r="Z207" s="221">
        <f t="shared" si="119"/>
        <v>4</v>
      </c>
      <c r="AA207" s="30">
        <f t="shared" si="107"/>
        <v>6.3140692319120486</v>
      </c>
      <c r="AB207" s="30">
        <f t="shared" si="108"/>
        <v>2.9733205694316993</v>
      </c>
      <c r="AC207" s="30">
        <f t="shared" si="109"/>
        <v>2.4809767459508998</v>
      </c>
      <c r="AD207" s="30">
        <f t="shared" si="110"/>
        <v>0</v>
      </c>
      <c r="AE207" s="32">
        <f t="shared" si="120"/>
        <v>11.768366547294647</v>
      </c>
      <c r="AF207" s="33">
        <f t="shared" si="129"/>
        <v>6.3140692319120486</v>
      </c>
      <c r="AG207" s="40">
        <f t="shared" si="121"/>
        <v>0</v>
      </c>
      <c r="AH207" s="224">
        <f>AG207*$P$33</f>
        <v>0</v>
      </c>
      <c r="AI207" s="227">
        <f t="shared" si="122"/>
        <v>25</v>
      </c>
    </row>
    <row r="208" spans="1:35" x14ac:dyDescent="0.35">
      <c r="A208" s="48">
        <v>1549</v>
      </c>
      <c r="B208" s="58">
        <f>SUMIF([2]!Table2_23[ETA],'FIS Current Model'!A208,[2]!Table2_23[FIS PAX])</f>
        <v>0</v>
      </c>
      <c r="C208" s="44">
        <f t="shared" si="123"/>
        <v>18</v>
      </c>
      <c r="D208" s="52">
        <f t="shared" si="127"/>
        <v>128</v>
      </c>
      <c r="E208" s="26">
        <f t="shared" si="111"/>
        <v>9.9503999999999984</v>
      </c>
      <c r="F208" s="26">
        <f t="shared" si="112"/>
        <v>4.2713999999999999</v>
      </c>
      <c r="G208" s="26">
        <f t="shared" si="113"/>
        <v>2.9447999999999999</v>
      </c>
      <c r="H208" s="26">
        <f t="shared" si="124"/>
        <v>0.83340000000000003</v>
      </c>
      <c r="I208" s="27">
        <f t="shared" si="130"/>
        <v>9.9503999999999984</v>
      </c>
      <c r="J208" s="27">
        <f t="shared" si="130"/>
        <v>4.2713999999999999</v>
      </c>
      <c r="K208" s="27">
        <f t="shared" si="130"/>
        <v>2.9447999999999999</v>
      </c>
      <c r="L208" s="27">
        <f t="shared" si="128"/>
        <v>0.83340000000000003</v>
      </c>
      <c r="M208" s="28">
        <f t="shared" si="141"/>
        <v>3</v>
      </c>
      <c r="N208" s="29">
        <f t="shared" si="142"/>
        <v>6</v>
      </c>
      <c r="O208" s="28">
        <f t="shared" si="143"/>
        <v>1</v>
      </c>
      <c r="P208" s="28">
        <f t="shared" si="144"/>
        <v>1</v>
      </c>
      <c r="Q208" s="28">
        <f t="shared" si="114"/>
        <v>11</v>
      </c>
      <c r="R208" s="22">
        <f t="shared" si="115"/>
        <v>46.431569157629056</v>
      </c>
      <c r="S208" s="22">
        <f t="shared" si="116"/>
        <v>4.012630011648417</v>
      </c>
      <c r="T208" s="22">
        <f t="shared" si="117"/>
        <v>2.3191162702455004</v>
      </c>
      <c r="U208" s="22">
        <f t="shared" si="118"/>
        <v>0</v>
      </c>
      <c r="V208" s="21">
        <f t="shared" si="135"/>
        <v>6.2506178400000234</v>
      </c>
      <c r="W208" s="21">
        <f t="shared" si="136"/>
        <v>1.1471132796666659</v>
      </c>
      <c r="X208" s="21">
        <f t="shared" si="125"/>
        <v>0.79454546800000014</v>
      </c>
      <c r="Y208" s="21">
        <f t="shared" si="126"/>
        <v>0</v>
      </c>
      <c r="Z208" s="221">
        <f t="shared" si="119"/>
        <v>4</v>
      </c>
      <c r="AA208" s="30">
        <f t="shared" si="107"/>
        <v>6.3140692319120486</v>
      </c>
      <c r="AB208" s="30">
        <f t="shared" si="108"/>
        <v>2.9733205694316993</v>
      </c>
      <c r="AC208" s="30">
        <f t="shared" si="109"/>
        <v>2.4809767459508998</v>
      </c>
      <c r="AD208" s="30">
        <f t="shared" si="110"/>
        <v>0</v>
      </c>
      <c r="AE208" s="32">
        <f t="shared" si="120"/>
        <v>11.768366547294647</v>
      </c>
      <c r="AF208" s="33">
        <f t="shared" si="129"/>
        <v>12.263919975533264</v>
      </c>
      <c r="AG208" s="40">
        <f t="shared" si="121"/>
        <v>0.34051354608148365</v>
      </c>
      <c r="AH208" s="224">
        <f>AG208*$P$33</f>
        <v>2.8558411398305405E-2</v>
      </c>
      <c r="AI208" s="227">
        <f t="shared" si="122"/>
        <v>25</v>
      </c>
    </row>
    <row r="209" spans="1:35" x14ac:dyDescent="0.35">
      <c r="A209" s="48">
        <v>1550</v>
      </c>
      <c r="B209" s="58">
        <f>SUMIF([2]!Table2_23[ETA],'FIS Current Model'!A209,[2]!Table2_23[FIS PAX])</f>
        <v>17</v>
      </c>
      <c r="C209" s="44">
        <f t="shared" si="123"/>
        <v>18</v>
      </c>
      <c r="D209" s="52">
        <f t="shared" si="127"/>
        <v>110</v>
      </c>
      <c r="E209" s="26">
        <f t="shared" si="111"/>
        <v>9.9503999999999984</v>
      </c>
      <c r="F209" s="26">
        <f t="shared" si="112"/>
        <v>4.2713999999999999</v>
      </c>
      <c r="G209" s="26">
        <f t="shared" si="113"/>
        <v>2.9447999999999999</v>
      </c>
      <c r="H209" s="26">
        <f t="shared" si="124"/>
        <v>0.83340000000000003</v>
      </c>
      <c r="I209" s="27">
        <f t="shared" si="130"/>
        <v>9.9503999999999984</v>
      </c>
      <c r="J209" s="27">
        <f t="shared" si="130"/>
        <v>4.2713999999999999</v>
      </c>
      <c r="K209" s="27">
        <f t="shared" si="130"/>
        <v>2.9447999999999999</v>
      </c>
      <c r="L209" s="27">
        <f t="shared" si="128"/>
        <v>0.83340000000000003</v>
      </c>
      <c r="M209" s="28">
        <f t="shared" si="141"/>
        <v>3</v>
      </c>
      <c r="N209" s="29">
        <f t="shared" si="142"/>
        <v>6</v>
      </c>
      <c r="O209" s="28">
        <f t="shared" si="143"/>
        <v>1</v>
      </c>
      <c r="P209" s="28">
        <f t="shared" si="144"/>
        <v>1</v>
      </c>
      <c r="Q209" s="28">
        <f t="shared" si="114"/>
        <v>11</v>
      </c>
      <c r="R209" s="22">
        <f t="shared" si="115"/>
        <v>50.067899925717001</v>
      </c>
      <c r="S209" s="22">
        <f t="shared" si="116"/>
        <v>4.8151560139781004</v>
      </c>
      <c r="T209" s="22">
        <f t="shared" si="117"/>
        <v>2.7829395242946005</v>
      </c>
      <c r="U209" s="22">
        <f t="shared" si="118"/>
        <v>0</v>
      </c>
      <c r="V209" s="21">
        <f t="shared" si="135"/>
        <v>6.7401406880000225</v>
      </c>
      <c r="W209" s="21">
        <f t="shared" si="136"/>
        <v>1.3765359355999989</v>
      </c>
      <c r="X209" s="21">
        <f t="shared" si="125"/>
        <v>0.95345456160000019</v>
      </c>
      <c r="Y209" s="21">
        <f t="shared" si="126"/>
        <v>0</v>
      </c>
      <c r="Z209" s="221">
        <f t="shared" si="119"/>
        <v>5</v>
      </c>
      <c r="AA209" s="30">
        <f t="shared" si="107"/>
        <v>6.3140692319120486</v>
      </c>
      <c r="AB209" s="30">
        <f t="shared" si="108"/>
        <v>2.9733205694316993</v>
      </c>
      <c r="AC209" s="30">
        <f t="shared" si="109"/>
        <v>2.4809767459508998</v>
      </c>
      <c r="AD209" s="30">
        <f t="shared" si="110"/>
        <v>0</v>
      </c>
      <c r="AE209" s="32">
        <f t="shared" si="120"/>
        <v>11.768366547294647</v>
      </c>
      <c r="AF209" s="33">
        <f t="shared" si="129"/>
        <v>11.768366547294647</v>
      </c>
      <c r="AG209" s="40">
        <f t="shared" si="121"/>
        <v>0.18547366392435016</v>
      </c>
      <c r="AH209" s="224">
        <f>AG209*$P$33</f>
        <v>1.5555425793942172E-2</v>
      </c>
      <c r="AI209" s="227">
        <f t="shared" si="122"/>
        <v>26</v>
      </c>
    </row>
    <row r="210" spans="1:35" x14ac:dyDescent="0.35">
      <c r="A210" s="48">
        <v>1551</v>
      </c>
      <c r="B210" s="58">
        <f>SUMIF([2]!Table2_23[ETA],'FIS Current Model'!A210,[2]!Table2_23[FIS PAX])</f>
        <v>0</v>
      </c>
      <c r="C210" s="44">
        <f t="shared" si="123"/>
        <v>1</v>
      </c>
      <c r="D210" s="52">
        <f t="shared" si="127"/>
        <v>109</v>
      </c>
      <c r="E210" s="26">
        <f t="shared" si="111"/>
        <v>0.55279999999999996</v>
      </c>
      <c r="F210" s="26">
        <f t="shared" si="112"/>
        <v>0.23730000000000001</v>
      </c>
      <c r="G210" s="26">
        <f t="shared" si="113"/>
        <v>0.1636</v>
      </c>
      <c r="H210" s="26">
        <f t="shared" si="124"/>
        <v>4.6300000000000001E-2</v>
      </c>
      <c r="I210" s="27">
        <f t="shared" si="130"/>
        <v>9.9503999999999984</v>
      </c>
      <c r="J210" s="27">
        <f t="shared" si="130"/>
        <v>4.2713999999999999</v>
      </c>
      <c r="K210" s="27">
        <f t="shared" si="130"/>
        <v>2.9447999999999999</v>
      </c>
      <c r="L210" s="27">
        <f t="shared" si="128"/>
        <v>0.83340000000000003</v>
      </c>
      <c r="M210" s="28">
        <f t="shared" si="141"/>
        <v>3</v>
      </c>
      <c r="N210" s="29">
        <f t="shared" si="142"/>
        <v>6</v>
      </c>
      <c r="O210" s="28">
        <f t="shared" si="143"/>
        <v>1</v>
      </c>
      <c r="P210" s="28">
        <f t="shared" si="144"/>
        <v>1</v>
      </c>
      <c r="Q210" s="28">
        <f t="shared" si="114"/>
        <v>11</v>
      </c>
      <c r="R210" s="22">
        <f t="shared" si="115"/>
        <v>53.704230693804945</v>
      </c>
      <c r="S210" s="22">
        <f t="shared" si="116"/>
        <v>5.6176820163077839</v>
      </c>
      <c r="T210" s="22">
        <f t="shared" si="117"/>
        <v>3.2467627783437005</v>
      </c>
      <c r="U210" s="22">
        <f t="shared" si="118"/>
        <v>0</v>
      </c>
      <c r="V210" s="21">
        <f t="shared" si="135"/>
        <v>7.2296635360000208</v>
      </c>
      <c r="W210" s="21">
        <f t="shared" si="136"/>
        <v>1.6059585915333321</v>
      </c>
      <c r="X210" s="21">
        <f t="shared" si="125"/>
        <v>1.1123636552000002</v>
      </c>
      <c r="Y210" s="21">
        <f t="shared" si="126"/>
        <v>0</v>
      </c>
      <c r="Z210" s="221">
        <f t="shared" si="119"/>
        <v>5</v>
      </c>
      <c r="AA210" s="30">
        <f t="shared" si="107"/>
        <v>6.3140692319120486</v>
      </c>
      <c r="AB210" s="30">
        <f t="shared" si="108"/>
        <v>2.9733205694316993</v>
      </c>
      <c r="AC210" s="30">
        <f t="shared" si="109"/>
        <v>2.4809767459508998</v>
      </c>
      <c r="AD210" s="30">
        <f t="shared" si="110"/>
        <v>0</v>
      </c>
      <c r="AE210" s="32">
        <f t="shared" si="120"/>
        <v>11.768366547294647</v>
      </c>
      <c r="AF210" s="33">
        <f t="shared" si="129"/>
        <v>11.768366547294647</v>
      </c>
      <c r="AG210" s="40">
        <f t="shared" si="121"/>
        <v>3.0433781767216672E-2</v>
      </c>
      <c r="AH210" s="224">
        <f>AG210*$P$33</f>
        <v>2.5524401895789415E-3</v>
      </c>
      <c r="AI210" s="227">
        <f t="shared" si="122"/>
        <v>26</v>
      </c>
    </row>
    <row r="211" spans="1:35" x14ac:dyDescent="0.35">
      <c r="A211" s="48">
        <v>1552</v>
      </c>
      <c r="B211" s="58">
        <f>SUMIF([2]!Table2_23[ETA],'FIS Current Model'!A211,[2]!Table2_23[FIS PAX])</f>
        <v>0</v>
      </c>
      <c r="C211" s="44">
        <f t="shared" si="123"/>
        <v>18</v>
      </c>
      <c r="D211" s="52">
        <f t="shared" si="127"/>
        <v>91</v>
      </c>
      <c r="E211" s="26">
        <f t="shared" si="111"/>
        <v>9.9503999999999984</v>
      </c>
      <c r="F211" s="26">
        <f t="shared" si="112"/>
        <v>4.2713999999999999</v>
      </c>
      <c r="G211" s="26">
        <f t="shared" si="113"/>
        <v>2.9447999999999999</v>
      </c>
      <c r="H211" s="26">
        <f t="shared" si="124"/>
        <v>0.83340000000000003</v>
      </c>
      <c r="I211" s="27">
        <f t="shared" si="130"/>
        <v>9.9503999999999984</v>
      </c>
      <c r="J211" s="27">
        <f t="shared" si="130"/>
        <v>4.2713999999999999</v>
      </c>
      <c r="K211" s="27">
        <f t="shared" si="130"/>
        <v>2.9447999999999999</v>
      </c>
      <c r="L211" s="27">
        <f t="shared" si="128"/>
        <v>0.83340000000000003</v>
      </c>
      <c r="M211" s="28">
        <f t="shared" si="141"/>
        <v>3</v>
      </c>
      <c r="N211" s="29">
        <f t="shared" si="142"/>
        <v>6</v>
      </c>
      <c r="O211" s="28">
        <f t="shared" si="143"/>
        <v>1</v>
      </c>
      <c r="P211" s="28">
        <f t="shared" si="144"/>
        <v>1</v>
      </c>
      <c r="Q211" s="28">
        <f t="shared" si="114"/>
        <v>11</v>
      </c>
      <c r="R211" s="22">
        <f t="shared" si="115"/>
        <v>57.340561461892889</v>
      </c>
      <c r="S211" s="22">
        <f t="shared" si="116"/>
        <v>6.4202080186374673</v>
      </c>
      <c r="T211" s="22">
        <f t="shared" si="117"/>
        <v>3.7105860323928006</v>
      </c>
      <c r="U211" s="22">
        <f t="shared" si="118"/>
        <v>0</v>
      </c>
      <c r="V211" s="21">
        <f t="shared" si="135"/>
        <v>7.7191863840000199</v>
      </c>
      <c r="W211" s="21">
        <f t="shared" si="136"/>
        <v>1.8353812474666653</v>
      </c>
      <c r="X211" s="21">
        <f t="shared" si="125"/>
        <v>1.2712727488000002</v>
      </c>
      <c r="Y211" s="21">
        <f t="shared" si="126"/>
        <v>0</v>
      </c>
      <c r="Z211" s="221">
        <f t="shared" si="119"/>
        <v>5</v>
      </c>
      <c r="AA211" s="30">
        <f t="shared" si="107"/>
        <v>6.3140692319120486</v>
      </c>
      <c r="AB211" s="30">
        <f t="shared" si="108"/>
        <v>2.9733205694316993</v>
      </c>
      <c r="AC211" s="30">
        <f t="shared" si="109"/>
        <v>2.4809767459508998</v>
      </c>
      <c r="AD211" s="30">
        <f t="shared" si="110"/>
        <v>0</v>
      </c>
      <c r="AE211" s="32">
        <f t="shared" si="120"/>
        <v>11.768366547294647</v>
      </c>
      <c r="AF211" s="33">
        <f t="shared" si="129"/>
        <v>11.768366547294647</v>
      </c>
      <c r="AG211" s="40">
        <f t="shared" si="121"/>
        <v>0</v>
      </c>
      <c r="AH211" s="224">
        <f>AG211*$P$33</f>
        <v>0</v>
      </c>
      <c r="AI211" s="227">
        <f t="shared" si="122"/>
        <v>26</v>
      </c>
    </row>
    <row r="212" spans="1:35" x14ac:dyDescent="0.35">
      <c r="A212" s="48">
        <v>1553</v>
      </c>
      <c r="B212" s="58">
        <f>SUMIF([2]!Table2_23[ETA],'FIS Current Model'!A212,[2]!Table2_23[FIS PAX])</f>
        <v>0</v>
      </c>
      <c r="C212" s="44">
        <f t="shared" si="123"/>
        <v>18</v>
      </c>
      <c r="D212" s="52">
        <f t="shared" si="127"/>
        <v>73</v>
      </c>
      <c r="E212" s="26">
        <f t="shared" si="111"/>
        <v>9.9503999999999984</v>
      </c>
      <c r="F212" s="26">
        <f t="shared" si="112"/>
        <v>4.2713999999999999</v>
      </c>
      <c r="G212" s="26">
        <f t="shared" si="113"/>
        <v>2.9447999999999999</v>
      </c>
      <c r="H212" s="26">
        <f t="shared" si="124"/>
        <v>0.83340000000000003</v>
      </c>
      <c r="I212" s="27">
        <f t="shared" si="130"/>
        <v>9.9503999999999984</v>
      </c>
      <c r="J212" s="27">
        <f t="shared" si="130"/>
        <v>4.2713999999999999</v>
      </c>
      <c r="K212" s="27">
        <f t="shared" si="130"/>
        <v>2.9447999999999999</v>
      </c>
      <c r="L212" s="27">
        <f t="shared" si="128"/>
        <v>0.83340000000000003</v>
      </c>
      <c r="M212" s="28">
        <f t="shared" si="141"/>
        <v>3</v>
      </c>
      <c r="N212" s="29">
        <f t="shared" si="142"/>
        <v>6</v>
      </c>
      <c r="O212" s="28">
        <f t="shared" si="143"/>
        <v>1</v>
      </c>
      <c r="P212" s="28">
        <f t="shared" si="144"/>
        <v>1</v>
      </c>
      <c r="Q212" s="28">
        <f t="shared" si="114"/>
        <v>11</v>
      </c>
      <c r="R212" s="22">
        <f t="shared" si="115"/>
        <v>60.976892229980834</v>
      </c>
      <c r="S212" s="22">
        <f t="shared" si="116"/>
        <v>7.2227340209671507</v>
      </c>
      <c r="T212" s="22">
        <f t="shared" si="117"/>
        <v>4.1744092864419002</v>
      </c>
      <c r="U212" s="22">
        <f t="shared" si="118"/>
        <v>0</v>
      </c>
      <c r="V212" s="21">
        <f t="shared" si="135"/>
        <v>8.2087092320000199</v>
      </c>
      <c r="W212" s="21">
        <f t="shared" si="136"/>
        <v>2.0648039033999983</v>
      </c>
      <c r="X212" s="21">
        <f t="shared" si="125"/>
        <v>1.4301818424000001</v>
      </c>
      <c r="Y212" s="21">
        <f t="shared" si="126"/>
        <v>0</v>
      </c>
      <c r="Z212" s="221">
        <f t="shared" si="119"/>
        <v>6</v>
      </c>
      <c r="AA212" s="30">
        <f t="shared" si="107"/>
        <v>6.3140692319120486</v>
      </c>
      <c r="AB212" s="30">
        <f t="shared" si="108"/>
        <v>2.9733205694316993</v>
      </c>
      <c r="AC212" s="30">
        <f t="shared" si="109"/>
        <v>2.4809767459508998</v>
      </c>
      <c r="AD212" s="30">
        <f t="shared" si="110"/>
        <v>0</v>
      </c>
      <c r="AE212" s="32">
        <f t="shared" si="120"/>
        <v>11.768366547294647</v>
      </c>
      <c r="AF212" s="33">
        <f t="shared" si="129"/>
        <v>11.768366547294647</v>
      </c>
      <c r="AG212" s="40">
        <f t="shared" si="121"/>
        <v>0</v>
      </c>
      <c r="AH212" s="224">
        <f>AG212*$P$33</f>
        <v>0</v>
      </c>
      <c r="AI212" s="227">
        <f t="shared" si="122"/>
        <v>27</v>
      </c>
    </row>
    <row r="213" spans="1:35" x14ac:dyDescent="0.35">
      <c r="A213" s="48">
        <v>1554</v>
      </c>
      <c r="B213" s="58">
        <f>SUMIF([2]!Table2_23[ETA],'FIS Current Model'!A213,[2]!Table2_23[FIS PAX])</f>
        <v>169</v>
      </c>
      <c r="C213" s="44">
        <f t="shared" si="123"/>
        <v>18</v>
      </c>
      <c r="D213" s="52">
        <f t="shared" si="127"/>
        <v>55</v>
      </c>
      <c r="E213" s="26">
        <f t="shared" si="111"/>
        <v>9.9503999999999984</v>
      </c>
      <c r="F213" s="26">
        <f t="shared" si="112"/>
        <v>4.2713999999999999</v>
      </c>
      <c r="G213" s="26">
        <f t="shared" si="113"/>
        <v>2.9447999999999999</v>
      </c>
      <c r="H213" s="26">
        <f t="shared" si="124"/>
        <v>0.83340000000000003</v>
      </c>
      <c r="I213" s="27">
        <f t="shared" si="130"/>
        <v>9.9503999999999984</v>
      </c>
      <c r="J213" s="27">
        <f t="shared" si="130"/>
        <v>4.2713999999999999</v>
      </c>
      <c r="K213" s="27">
        <f t="shared" si="130"/>
        <v>2.9447999999999999</v>
      </c>
      <c r="L213" s="27">
        <f t="shared" si="128"/>
        <v>0.83340000000000003</v>
      </c>
      <c r="M213" s="28">
        <f t="shared" si="141"/>
        <v>3</v>
      </c>
      <c r="N213" s="29">
        <f t="shared" si="142"/>
        <v>6</v>
      </c>
      <c r="O213" s="28">
        <f t="shared" si="143"/>
        <v>1</v>
      </c>
      <c r="P213" s="28">
        <f t="shared" si="144"/>
        <v>1</v>
      </c>
      <c r="Q213" s="28">
        <f t="shared" si="114"/>
        <v>11</v>
      </c>
      <c r="R213" s="22">
        <f t="shared" si="115"/>
        <v>64.613222998068778</v>
      </c>
      <c r="S213" s="22">
        <f t="shared" si="116"/>
        <v>8.0252600232968341</v>
      </c>
      <c r="T213" s="22">
        <f t="shared" si="117"/>
        <v>4.6382325404909999</v>
      </c>
      <c r="U213" s="22">
        <f t="shared" si="118"/>
        <v>0</v>
      </c>
      <c r="V213" s="21">
        <f t="shared" si="135"/>
        <v>8.6982320800000181</v>
      </c>
      <c r="W213" s="21">
        <f t="shared" si="136"/>
        <v>2.2942265593333317</v>
      </c>
      <c r="X213" s="21">
        <f t="shared" si="125"/>
        <v>1.5890909360000001</v>
      </c>
      <c r="Y213" s="21">
        <f t="shared" si="126"/>
        <v>0</v>
      </c>
      <c r="Z213" s="221">
        <f t="shared" si="119"/>
        <v>6</v>
      </c>
      <c r="AA213" s="30">
        <f t="shared" si="107"/>
        <v>6.3140692319120486</v>
      </c>
      <c r="AB213" s="30">
        <f t="shared" si="108"/>
        <v>2.9733205694316993</v>
      </c>
      <c r="AC213" s="30">
        <f t="shared" si="109"/>
        <v>2.4809767459508998</v>
      </c>
      <c r="AD213" s="30">
        <f t="shared" si="110"/>
        <v>0</v>
      </c>
      <c r="AE213" s="32">
        <f t="shared" si="120"/>
        <v>11.768366547294647</v>
      </c>
      <c r="AF213" s="33">
        <f t="shared" si="129"/>
        <v>11.768366547294647</v>
      </c>
      <c r="AG213" s="40">
        <f t="shared" si="121"/>
        <v>0</v>
      </c>
      <c r="AH213" s="224">
        <f>AG213*$P$33</f>
        <v>0</v>
      </c>
      <c r="AI213" s="227">
        <f t="shared" si="122"/>
        <v>27.028558411398304</v>
      </c>
    </row>
    <row r="214" spans="1:35" x14ac:dyDescent="0.35">
      <c r="A214" s="48">
        <v>1555</v>
      </c>
      <c r="B214" s="58">
        <f>SUMIF([2]!Table2_23[ETA],'FIS Current Model'!A214,[2]!Table2_23[FIS PAX])</f>
        <v>0</v>
      </c>
      <c r="C214" s="44">
        <f t="shared" si="123"/>
        <v>18</v>
      </c>
      <c r="D214" s="52">
        <f t="shared" si="127"/>
        <v>206</v>
      </c>
      <c r="E214" s="26">
        <f t="shared" si="111"/>
        <v>9.9503999999999984</v>
      </c>
      <c r="F214" s="26">
        <f t="shared" si="112"/>
        <v>4.2713999999999999</v>
      </c>
      <c r="G214" s="26">
        <f t="shared" si="113"/>
        <v>2.9447999999999999</v>
      </c>
      <c r="H214" s="26">
        <f t="shared" si="124"/>
        <v>0.83340000000000003</v>
      </c>
      <c r="I214" s="27">
        <f t="shared" si="130"/>
        <v>9.9503999999999984</v>
      </c>
      <c r="J214" s="27">
        <f t="shared" si="130"/>
        <v>4.2713999999999999</v>
      </c>
      <c r="K214" s="27">
        <f t="shared" si="130"/>
        <v>2.9447999999999999</v>
      </c>
      <c r="L214" s="27">
        <f t="shared" si="128"/>
        <v>0.83340000000000003</v>
      </c>
      <c r="M214" s="28">
        <f t="shared" si="141"/>
        <v>3</v>
      </c>
      <c r="N214" s="29">
        <f t="shared" si="142"/>
        <v>6</v>
      </c>
      <c r="O214" s="28">
        <f t="shared" si="143"/>
        <v>1</v>
      </c>
      <c r="P214" s="28">
        <f t="shared" si="144"/>
        <v>1</v>
      </c>
      <c r="Q214" s="28">
        <f t="shared" si="114"/>
        <v>11</v>
      </c>
      <c r="R214" s="22">
        <f t="shared" si="115"/>
        <v>68.249553766156723</v>
      </c>
      <c r="S214" s="22">
        <f t="shared" si="116"/>
        <v>8.8277860256265175</v>
      </c>
      <c r="T214" s="22">
        <f t="shared" si="117"/>
        <v>5.1020557945400995</v>
      </c>
      <c r="U214" s="22">
        <f t="shared" si="118"/>
        <v>0</v>
      </c>
      <c r="V214" s="21">
        <f t="shared" si="135"/>
        <v>9.1877549280000181</v>
      </c>
      <c r="W214" s="21">
        <f t="shared" si="136"/>
        <v>2.5236492152666647</v>
      </c>
      <c r="X214" s="21">
        <f t="shared" si="125"/>
        <v>1.7480000295999998</v>
      </c>
      <c r="Y214" s="21">
        <f t="shared" si="126"/>
        <v>0</v>
      </c>
      <c r="Z214" s="221">
        <f t="shared" si="119"/>
        <v>6</v>
      </c>
      <c r="AA214" s="30">
        <f t="shared" si="107"/>
        <v>6.3140692319120486</v>
      </c>
      <c r="AB214" s="30">
        <f t="shared" si="108"/>
        <v>2.9733205694316993</v>
      </c>
      <c r="AC214" s="30">
        <f t="shared" si="109"/>
        <v>2.4809767459508998</v>
      </c>
      <c r="AD214" s="30">
        <f t="shared" si="110"/>
        <v>0</v>
      </c>
      <c r="AE214" s="32">
        <f t="shared" si="120"/>
        <v>11.768366547294647</v>
      </c>
      <c r="AF214" s="33">
        <f t="shared" si="129"/>
        <v>11.768366547294647</v>
      </c>
      <c r="AG214" s="40">
        <f t="shared" si="121"/>
        <v>0</v>
      </c>
      <c r="AH214" s="224">
        <f>AG214*$P$33</f>
        <v>0</v>
      </c>
      <c r="AI214" s="227">
        <f t="shared" si="122"/>
        <v>27.057116822796612</v>
      </c>
    </row>
    <row r="215" spans="1:35" x14ac:dyDescent="0.35">
      <c r="A215" s="48">
        <v>1556</v>
      </c>
      <c r="B215" s="58">
        <f>SUMIF([2]!Table2_23[ETA],'FIS Current Model'!A215,[2]!Table2_23[FIS PAX])</f>
        <v>148</v>
      </c>
      <c r="C215" s="44">
        <f t="shared" si="123"/>
        <v>18</v>
      </c>
      <c r="D215" s="52">
        <f t="shared" si="127"/>
        <v>188</v>
      </c>
      <c r="E215" s="26">
        <f t="shared" si="111"/>
        <v>9.9503999999999984</v>
      </c>
      <c r="F215" s="26">
        <f t="shared" si="112"/>
        <v>4.2713999999999999</v>
      </c>
      <c r="G215" s="26">
        <f t="shared" si="113"/>
        <v>2.9447999999999999</v>
      </c>
      <c r="H215" s="26">
        <f t="shared" si="124"/>
        <v>0.83340000000000003</v>
      </c>
      <c r="I215" s="27">
        <f t="shared" si="130"/>
        <v>0.55279999999999996</v>
      </c>
      <c r="J215" s="27">
        <f t="shared" si="130"/>
        <v>0.23730000000000001</v>
      </c>
      <c r="K215" s="27">
        <f t="shared" si="130"/>
        <v>0.1636</v>
      </c>
      <c r="L215" s="27">
        <f t="shared" si="128"/>
        <v>4.6300000000000001E-2</v>
      </c>
      <c r="M215" s="28">
        <f t="shared" si="141"/>
        <v>3</v>
      </c>
      <c r="N215" s="29">
        <f t="shared" si="142"/>
        <v>6</v>
      </c>
      <c r="O215" s="28">
        <f t="shared" si="143"/>
        <v>1</v>
      </c>
      <c r="P215" s="28">
        <f t="shared" si="144"/>
        <v>1</v>
      </c>
      <c r="Q215" s="28">
        <f t="shared" si="114"/>
        <v>11</v>
      </c>
      <c r="R215" s="22">
        <f t="shared" si="115"/>
        <v>62.48828453424467</v>
      </c>
      <c r="S215" s="22">
        <f t="shared" si="116"/>
        <v>5.5962120279562013</v>
      </c>
      <c r="T215" s="22">
        <f t="shared" si="117"/>
        <v>2.7846790485891999</v>
      </c>
      <c r="U215" s="22">
        <f t="shared" si="118"/>
        <v>0</v>
      </c>
      <c r="V215" s="21">
        <f t="shared" si="135"/>
        <v>8.4121728640000164</v>
      </c>
      <c r="W215" s="21">
        <f t="shared" si="136"/>
        <v>1.5998208442999979</v>
      </c>
      <c r="X215" s="21">
        <f t="shared" si="125"/>
        <v>0.95405053480000002</v>
      </c>
      <c r="Y215" s="21">
        <f t="shared" si="126"/>
        <v>0</v>
      </c>
      <c r="Z215" s="221">
        <f t="shared" si="119"/>
        <v>6</v>
      </c>
      <c r="AA215" s="30">
        <f t="shared" si="107"/>
        <v>6.3140692319120486</v>
      </c>
      <c r="AB215" s="30">
        <f t="shared" si="108"/>
        <v>2.9733205694316993</v>
      </c>
      <c r="AC215" s="30">
        <f t="shared" si="109"/>
        <v>2.4809767459508998</v>
      </c>
      <c r="AD215" s="30">
        <f t="shared" si="110"/>
        <v>0</v>
      </c>
      <c r="AE215" s="32">
        <f t="shared" si="120"/>
        <v>11.768366547294647</v>
      </c>
      <c r="AF215" s="33">
        <f t="shared" si="129"/>
        <v>11.768366547294647</v>
      </c>
      <c r="AG215" s="40">
        <f t="shared" si="121"/>
        <v>0</v>
      </c>
      <c r="AH215" s="224">
        <f>AG215*$P$33</f>
        <v>0</v>
      </c>
      <c r="AI215" s="227">
        <f t="shared" si="122"/>
        <v>27.085675234194916</v>
      </c>
    </row>
    <row r="216" spans="1:35" x14ac:dyDescent="0.35">
      <c r="A216" s="48">
        <v>1557</v>
      </c>
      <c r="B216" s="58">
        <f>SUMIF([2]!Table2_23[ETA],'FIS Current Model'!A216,[2]!Table2_23[FIS PAX])</f>
        <v>0</v>
      </c>
      <c r="C216" s="44">
        <f t="shared" si="123"/>
        <v>18</v>
      </c>
      <c r="D216" s="52">
        <f t="shared" si="127"/>
        <v>318</v>
      </c>
      <c r="E216" s="26">
        <f t="shared" si="111"/>
        <v>9.9503999999999984</v>
      </c>
      <c r="F216" s="26">
        <f t="shared" si="112"/>
        <v>4.2713999999999999</v>
      </c>
      <c r="G216" s="26">
        <f t="shared" si="113"/>
        <v>2.9447999999999999</v>
      </c>
      <c r="H216" s="26">
        <f t="shared" si="124"/>
        <v>0.83340000000000003</v>
      </c>
      <c r="I216" s="27">
        <f t="shared" si="130"/>
        <v>9.9503999999999984</v>
      </c>
      <c r="J216" s="27">
        <f t="shared" si="130"/>
        <v>4.2713999999999999</v>
      </c>
      <c r="K216" s="27">
        <f t="shared" si="130"/>
        <v>2.9447999999999999</v>
      </c>
      <c r="L216" s="27">
        <f t="shared" si="128"/>
        <v>0.83340000000000003</v>
      </c>
      <c r="M216" s="28">
        <f t="shared" si="141"/>
        <v>3</v>
      </c>
      <c r="N216" s="29">
        <f t="shared" si="142"/>
        <v>6</v>
      </c>
      <c r="O216" s="28">
        <f t="shared" si="143"/>
        <v>1</v>
      </c>
      <c r="P216" s="28">
        <f t="shared" si="144"/>
        <v>1</v>
      </c>
      <c r="Q216" s="28">
        <f t="shared" si="114"/>
        <v>11</v>
      </c>
      <c r="R216" s="22">
        <f t="shared" si="115"/>
        <v>66.124615302332614</v>
      </c>
      <c r="S216" s="22">
        <f t="shared" si="116"/>
        <v>6.3987380302858847</v>
      </c>
      <c r="T216" s="22">
        <f t="shared" si="117"/>
        <v>3.2485023026383</v>
      </c>
      <c r="U216" s="22">
        <f t="shared" si="118"/>
        <v>0</v>
      </c>
      <c r="V216" s="21">
        <f t="shared" si="135"/>
        <v>8.9016957120000164</v>
      </c>
      <c r="W216" s="21">
        <f t="shared" si="136"/>
        <v>1.8292435002333309</v>
      </c>
      <c r="X216" s="21">
        <f t="shared" si="125"/>
        <v>1.1129596284000001</v>
      </c>
      <c r="Y216" s="21">
        <f t="shared" si="126"/>
        <v>0</v>
      </c>
      <c r="Z216" s="221">
        <f t="shared" si="119"/>
        <v>6</v>
      </c>
      <c r="AA216" s="30">
        <f t="shared" si="107"/>
        <v>6.3140692319120486</v>
      </c>
      <c r="AB216" s="30">
        <f t="shared" si="108"/>
        <v>2.9733205694316993</v>
      </c>
      <c r="AC216" s="30">
        <f t="shared" si="109"/>
        <v>2.4809767459508998</v>
      </c>
      <c r="AD216" s="30">
        <f t="shared" si="110"/>
        <v>0</v>
      </c>
      <c r="AE216" s="32">
        <f t="shared" si="120"/>
        <v>11.768366547294647</v>
      </c>
      <c r="AF216" s="33">
        <f t="shared" si="129"/>
        <v>11.768366547294647</v>
      </c>
      <c r="AG216" s="40">
        <f t="shared" si="121"/>
        <v>0</v>
      </c>
      <c r="AH216" s="224">
        <f>AG216*$P$33</f>
        <v>0</v>
      </c>
      <c r="AI216" s="227">
        <f t="shared" si="122"/>
        <v>27.11423364559322</v>
      </c>
    </row>
    <row r="217" spans="1:35" x14ac:dyDescent="0.35">
      <c r="A217" s="48">
        <v>1558</v>
      </c>
      <c r="B217" s="58">
        <f>SUMIF([2]!Table2_23[ETA],'FIS Current Model'!A217,[2]!Table2_23[FIS PAX])</f>
        <v>0</v>
      </c>
      <c r="C217" s="44">
        <f t="shared" si="123"/>
        <v>18</v>
      </c>
      <c r="D217" s="52">
        <f t="shared" si="127"/>
        <v>300</v>
      </c>
      <c r="E217" s="26">
        <f t="shared" si="111"/>
        <v>9.9503999999999984</v>
      </c>
      <c r="F217" s="26">
        <f t="shared" si="112"/>
        <v>4.2713999999999999</v>
      </c>
      <c r="G217" s="26">
        <f t="shared" si="113"/>
        <v>2.9447999999999999</v>
      </c>
      <c r="H217" s="26">
        <f t="shared" si="124"/>
        <v>0.83340000000000003</v>
      </c>
      <c r="I217" s="27">
        <f t="shared" si="130"/>
        <v>9.9503999999999984</v>
      </c>
      <c r="J217" s="27">
        <f t="shared" si="130"/>
        <v>4.2713999999999999</v>
      </c>
      <c r="K217" s="27">
        <f t="shared" si="130"/>
        <v>2.9447999999999999</v>
      </c>
      <c r="L217" s="27">
        <f t="shared" si="128"/>
        <v>0.83340000000000003</v>
      </c>
      <c r="M217" s="28">
        <f t="shared" si="141"/>
        <v>3</v>
      </c>
      <c r="N217" s="29">
        <f t="shared" si="142"/>
        <v>6</v>
      </c>
      <c r="O217" s="28">
        <f t="shared" si="143"/>
        <v>1</v>
      </c>
      <c r="P217" s="28">
        <f t="shared" si="144"/>
        <v>1</v>
      </c>
      <c r="Q217" s="28">
        <f t="shared" si="114"/>
        <v>11</v>
      </c>
      <c r="R217" s="22">
        <f t="shared" si="115"/>
        <v>69.760946070420559</v>
      </c>
      <c r="S217" s="22">
        <f t="shared" si="116"/>
        <v>7.2012640326155681</v>
      </c>
      <c r="T217" s="22">
        <f t="shared" si="117"/>
        <v>3.7123255566874001</v>
      </c>
      <c r="U217" s="22">
        <f t="shared" si="118"/>
        <v>0</v>
      </c>
      <c r="V217" s="21">
        <f t="shared" si="135"/>
        <v>9.3912185600000146</v>
      </c>
      <c r="W217" s="21">
        <f t="shared" si="136"/>
        <v>2.0586661561666642</v>
      </c>
      <c r="X217" s="21">
        <f t="shared" si="125"/>
        <v>1.271868722</v>
      </c>
      <c r="Y217" s="21">
        <f t="shared" si="126"/>
        <v>0</v>
      </c>
      <c r="Z217" s="221">
        <f t="shared" si="119"/>
        <v>6</v>
      </c>
      <c r="AA217" s="30">
        <f t="shared" si="107"/>
        <v>6.3140692319120486</v>
      </c>
      <c r="AB217" s="30">
        <f t="shared" si="108"/>
        <v>2.9733205694316993</v>
      </c>
      <c r="AC217" s="30">
        <f t="shared" si="109"/>
        <v>2.4809767459508998</v>
      </c>
      <c r="AD217" s="30">
        <f t="shared" si="110"/>
        <v>0</v>
      </c>
      <c r="AE217" s="32">
        <f t="shared" si="120"/>
        <v>11.768366547294647</v>
      </c>
      <c r="AF217" s="33">
        <f t="shared" si="129"/>
        <v>11.768366547294647</v>
      </c>
      <c r="AG217" s="40">
        <f t="shared" si="121"/>
        <v>0</v>
      </c>
      <c r="AH217" s="224">
        <f>AG217*$P$33</f>
        <v>0</v>
      </c>
      <c r="AI217" s="227">
        <f t="shared" si="122"/>
        <v>27.142792056991528</v>
      </c>
    </row>
    <row r="218" spans="1:35" x14ac:dyDescent="0.35">
      <c r="A218" s="48">
        <v>1559</v>
      </c>
      <c r="B218" s="58">
        <f>SUMIF([2]!Table2_23[ETA],'FIS Current Model'!A218,[2]!Table2_23[FIS PAX])</f>
        <v>52</v>
      </c>
      <c r="C218" s="44">
        <f t="shared" si="123"/>
        <v>18</v>
      </c>
      <c r="D218" s="52">
        <f t="shared" si="127"/>
        <v>282</v>
      </c>
      <c r="E218" s="26">
        <f t="shared" si="111"/>
        <v>9.9503999999999984</v>
      </c>
      <c r="F218" s="26">
        <f t="shared" si="112"/>
        <v>4.2713999999999999</v>
      </c>
      <c r="G218" s="26">
        <f t="shared" si="113"/>
        <v>2.9447999999999999</v>
      </c>
      <c r="H218" s="26">
        <f t="shared" si="124"/>
        <v>0.83340000000000003</v>
      </c>
      <c r="I218" s="27">
        <f t="shared" si="130"/>
        <v>9.9503999999999984</v>
      </c>
      <c r="J218" s="27">
        <f t="shared" si="130"/>
        <v>4.2713999999999999</v>
      </c>
      <c r="K218" s="27">
        <f t="shared" si="130"/>
        <v>2.9447999999999999</v>
      </c>
      <c r="L218" s="27">
        <f t="shared" si="128"/>
        <v>0.83340000000000003</v>
      </c>
      <c r="M218" s="28">
        <f t="shared" si="141"/>
        <v>3</v>
      </c>
      <c r="N218" s="29">
        <f t="shared" si="142"/>
        <v>6</v>
      </c>
      <c r="O218" s="28">
        <f t="shared" si="143"/>
        <v>1</v>
      </c>
      <c r="P218" s="28">
        <f t="shared" si="144"/>
        <v>1</v>
      </c>
      <c r="Q218" s="28">
        <f t="shared" si="114"/>
        <v>11</v>
      </c>
      <c r="R218" s="22">
        <f t="shared" si="115"/>
        <v>73.397276838508503</v>
      </c>
      <c r="S218" s="22">
        <f t="shared" si="116"/>
        <v>8.0037900349452507</v>
      </c>
      <c r="T218" s="22">
        <f t="shared" si="117"/>
        <v>4.1761488107364997</v>
      </c>
      <c r="U218" s="22">
        <f t="shared" si="118"/>
        <v>0</v>
      </c>
      <c r="V218" s="21">
        <f t="shared" si="135"/>
        <v>9.8807414080000147</v>
      </c>
      <c r="W218" s="21">
        <f t="shared" si="136"/>
        <v>2.2880888120999971</v>
      </c>
      <c r="X218" s="21">
        <f t="shared" si="125"/>
        <v>1.4307778155999999</v>
      </c>
      <c r="Y218" s="21">
        <f t="shared" si="126"/>
        <v>0</v>
      </c>
      <c r="Z218" s="221">
        <f t="shared" si="119"/>
        <v>7</v>
      </c>
      <c r="AA218" s="30">
        <f t="shared" si="107"/>
        <v>6.3140692319120486</v>
      </c>
      <c r="AB218" s="30">
        <f t="shared" si="108"/>
        <v>2.9733205694316993</v>
      </c>
      <c r="AC218" s="30">
        <f t="shared" si="109"/>
        <v>2.4809767459508998</v>
      </c>
      <c r="AD218" s="30">
        <f t="shared" si="110"/>
        <v>0</v>
      </c>
      <c r="AE218" s="32">
        <f t="shared" si="120"/>
        <v>11.768366547294647</v>
      </c>
      <c r="AF218" s="33">
        <f t="shared" si="129"/>
        <v>11.768366547294647</v>
      </c>
      <c r="AG218" s="40">
        <f t="shared" si="121"/>
        <v>0</v>
      </c>
      <c r="AH218" s="224">
        <f>AG218*$P$33</f>
        <v>0</v>
      </c>
      <c r="AI218" s="227">
        <f t="shared" si="122"/>
        <v>28.199908879788136</v>
      </c>
    </row>
    <row r="219" spans="1:35" x14ac:dyDescent="0.35">
      <c r="A219" s="48">
        <v>1600</v>
      </c>
      <c r="B219" s="58">
        <f>SUMIF([2]!Table2_23[ETA],'FIS Current Model'!A219,[2]!Table2_23[FIS PAX])</f>
        <v>106</v>
      </c>
      <c r="C219" s="44">
        <f t="shared" si="123"/>
        <v>18</v>
      </c>
      <c r="D219" s="52">
        <f t="shared" si="127"/>
        <v>316</v>
      </c>
      <c r="E219" s="26">
        <f t="shared" si="111"/>
        <v>9.9503999999999984</v>
      </c>
      <c r="F219" s="26">
        <f t="shared" si="112"/>
        <v>4.2713999999999999</v>
      </c>
      <c r="G219" s="26">
        <f t="shared" si="113"/>
        <v>2.9447999999999999</v>
      </c>
      <c r="H219" s="26">
        <f t="shared" si="124"/>
        <v>0.83340000000000003</v>
      </c>
      <c r="I219" s="27">
        <f t="shared" si="130"/>
        <v>9.9503999999999984</v>
      </c>
      <c r="J219" s="27">
        <f t="shared" si="130"/>
        <v>4.2713999999999999</v>
      </c>
      <c r="K219" s="27">
        <f t="shared" si="130"/>
        <v>2.9447999999999999</v>
      </c>
      <c r="L219" s="27">
        <f t="shared" si="128"/>
        <v>0.83340000000000003</v>
      </c>
      <c r="M219" s="28">
        <f t="shared" si="141"/>
        <v>3</v>
      </c>
      <c r="N219" s="29">
        <f t="shared" si="142"/>
        <v>6</v>
      </c>
      <c r="O219" s="28">
        <f t="shared" si="143"/>
        <v>1</v>
      </c>
      <c r="P219" s="28">
        <f t="shared" si="144"/>
        <v>1</v>
      </c>
      <c r="Q219" s="28">
        <f t="shared" si="114"/>
        <v>11</v>
      </c>
      <c r="R219" s="22">
        <f t="shared" si="115"/>
        <v>77.033607606596462</v>
      </c>
      <c r="S219" s="22">
        <f t="shared" si="116"/>
        <v>8.8063160372749341</v>
      </c>
      <c r="T219" s="22">
        <f t="shared" si="117"/>
        <v>4.6399720647855993</v>
      </c>
      <c r="U219" s="22">
        <f t="shared" si="118"/>
        <v>0</v>
      </c>
      <c r="V219" s="21">
        <f t="shared" si="135"/>
        <v>10.370264256000015</v>
      </c>
      <c r="W219" s="21">
        <f t="shared" si="136"/>
        <v>2.5175114680333301</v>
      </c>
      <c r="X219" s="21">
        <f t="shared" si="125"/>
        <v>1.5896869091999999</v>
      </c>
      <c r="Y219" s="21">
        <f t="shared" si="126"/>
        <v>0</v>
      </c>
      <c r="Z219" s="221">
        <f t="shared" si="119"/>
        <v>7</v>
      </c>
      <c r="AA219" s="30">
        <f t="shared" si="107"/>
        <v>6.3140692319120486</v>
      </c>
      <c r="AB219" s="30">
        <f t="shared" si="108"/>
        <v>2.9733205694316993</v>
      </c>
      <c r="AC219" s="30">
        <f t="shared" si="109"/>
        <v>2.4809767459508998</v>
      </c>
      <c r="AD219" s="30">
        <f t="shared" si="110"/>
        <v>0</v>
      </c>
      <c r="AE219" s="32">
        <f t="shared" si="120"/>
        <v>11.768366547294647</v>
      </c>
      <c r="AF219" s="33">
        <f t="shared" si="129"/>
        <v>11.768366547294647</v>
      </c>
      <c r="AG219" s="40">
        <f t="shared" si="121"/>
        <v>0</v>
      </c>
      <c r="AH219" s="224">
        <f>AG219*$P$33</f>
        <v>0</v>
      </c>
      <c r="AI219" s="227">
        <f t="shared" si="122"/>
        <v>28.228467291186444</v>
      </c>
    </row>
    <row r="220" spans="1:35" x14ac:dyDescent="0.35">
      <c r="A220" s="48">
        <v>1601</v>
      </c>
      <c r="B220" s="58">
        <f>SUMIF([2]!Table2_23[ETA],'FIS Current Model'!A220,[2]!Table2_23[FIS PAX])</f>
        <v>0</v>
      </c>
      <c r="C220" s="44">
        <f t="shared" si="123"/>
        <v>18</v>
      </c>
      <c r="D220" s="52">
        <f t="shared" si="127"/>
        <v>404</v>
      </c>
      <c r="E220" s="26">
        <f t="shared" si="111"/>
        <v>9.9503999999999984</v>
      </c>
      <c r="F220" s="26">
        <f t="shared" si="112"/>
        <v>4.2713999999999999</v>
      </c>
      <c r="G220" s="26">
        <f t="shared" si="113"/>
        <v>2.9447999999999999</v>
      </c>
      <c r="H220" s="26">
        <f t="shared" si="124"/>
        <v>0.83340000000000003</v>
      </c>
      <c r="I220" s="27">
        <f t="shared" si="130"/>
        <v>9.9503999999999984</v>
      </c>
      <c r="J220" s="27">
        <f t="shared" si="130"/>
        <v>4.2713999999999999</v>
      </c>
      <c r="K220" s="27">
        <f t="shared" si="130"/>
        <v>2.9447999999999999</v>
      </c>
      <c r="L220" s="27">
        <f t="shared" si="128"/>
        <v>0.83340000000000003</v>
      </c>
      <c r="M220" s="28">
        <f>IF(R219=0,0,$Q$18)</f>
        <v>3</v>
      </c>
      <c r="N220" s="29">
        <f>$U$18-M220-O220-P220</f>
        <v>7</v>
      </c>
      <c r="O220" s="28">
        <f>IF(T219=0,0,$S$18)</f>
        <v>1</v>
      </c>
      <c r="P220" s="28">
        <f>IF(U219=0,0,$T$18)</f>
        <v>0</v>
      </c>
      <c r="Q220" s="28">
        <f t="shared" si="114"/>
        <v>11</v>
      </c>
      <c r="R220" s="22">
        <f t="shared" si="115"/>
        <v>80.669938374684421</v>
      </c>
      <c r="S220" s="22">
        <f t="shared" si="116"/>
        <v>9.6088420396046175</v>
      </c>
      <c r="T220" s="22">
        <f t="shared" si="117"/>
        <v>5.1037953188346989</v>
      </c>
      <c r="U220" s="22">
        <f t="shared" si="118"/>
        <v>0.83340000000000003</v>
      </c>
      <c r="V220" s="21">
        <f t="shared" si="135"/>
        <v>10.859787104000016</v>
      </c>
      <c r="W220" s="21">
        <f t="shared" si="136"/>
        <v>2.3545149633999971</v>
      </c>
      <c r="X220" s="21">
        <f t="shared" si="125"/>
        <v>1.7485960027999996</v>
      </c>
      <c r="Y220" s="21">
        <f t="shared" si="126"/>
        <v>0</v>
      </c>
      <c r="Z220" s="221">
        <f t="shared" si="119"/>
        <v>7</v>
      </c>
      <c r="AA220" s="30">
        <f t="shared" si="107"/>
        <v>6.3140692319120486</v>
      </c>
      <c r="AB220" s="30">
        <f t="shared" si="108"/>
        <v>3.4688739976703165</v>
      </c>
      <c r="AC220" s="30">
        <f t="shared" si="109"/>
        <v>2.4809767459508998</v>
      </c>
      <c r="AD220" s="30">
        <f t="shared" si="110"/>
        <v>0</v>
      </c>
      <c r="AE220" s="32">
        <f t="shared" si="120"/>
        <v>12.263919975533264</v>
      </c>
      <c r="AF220" s="33">
        <f t="shared" si="129"/>
        <v>11.768366547294647</v>
      </c>
      <c r="AG220" s="40">
        <f t="shared" si="121"/>
        <v>0</v>
      </c>
      <c r="AH220" s="224">
        <f>AG220*$P$33</f>
        <v>0</v>
      </c>
      <c r="AI220" s="227">
        <f t="shared" si="122"/>
        <v>28.257025702584748</v>
      </c>
    </row>
    <row r="221" spans="1:35" x14ac:dyDescent="0.35">
      <c r="A221" s="48">
        <v>1602</v>
      </c>
      <c r="B221" s="58">
        <f>SUMIF([2]!Table2_23[ETA],'FIS Current Model'!A221,[2]!Table2_23[FIS PAX])</f>
        <v>0</v>
      </c>
      <c r="C221" s="44">
        <f t="shared" si="123"/>
        <v>18</v>
      </c>
      <c r="D221" s="52">
        <f t="shared" si="127"/>
        <v>386</v>
      </c>
      <c r="E221" s="26">
        <f t="shared" si="111"/>
        <v>9.9503999999999984</v>
      </c>
      <c r="F221" s="26">
        <f t="shared" si="112"/>
        <v>4.2713999999999999</v>
      </c>
      <c r="G221" s="26">
        <f t="shared" si="113"/>
        <v>2.9447999999999999</v>
      </c>
      <c r="H221" s="26">
        <f t="shared" si="124"/>
        <v>0.83340000000000003</v>
      </c>
      <c r="I221" s="27">
        <f t="shared" si="130"/>
        <v>9.9503999999999984</v>
      </c>
      <c r="J221" s="27">
        <f t="shared" si="130"/>
        <v>4.2713999999999999</v>
      </c>
      <c r="K221" s="27">
        <f t="shared" si="130"/>
        <v>2.9447999999999999</v>
      </c>
      <c r="L221" s="27">
        <f t="shared" si="128"/>
        <v>0.83340000000000003</v>
      </c>
      <c r="M221" s="28">
        <f>$M$220</f>
        <v>3</v>
      </c>
      <c r="N221" s="29">
        <f>$N$220</f>
        <v>7</v>
      </c>
      <c r="O221" s="28">
        <f>$O$220</f>
        <v>1</v>
      </c>
      <c r="P221" s="28">
        <f>$P$220</f>
        <v>0</v>
      </c>
      <c r="Q221" s="28">
        <f t="shared" si="114"/>
        <v>11</v>
      </c>
      <c r="R221" s="22">
        <f t="shared" si="115"/>
        <v>84.306269142772379</v>
      </c>
      <c r="S221" s="22">
        <f t="shared" si="116"/>
        <v>10.411368041934301</v>
      </c>
      <c r="T221" s="22">
        <f t="shared" si="117"/>
        <v>5.5676185728837986</v>
      </c>
      <c r="U221" s="22">
        <f t="shared" si="118"/>
        <v>1.6668000000000001</v>
      </c>
      <c r="V221" s="21">
        <f t="shared" si="135"/>
        <v>11.349309952000016</v>
      </c>
      <c r="W221" s="21">
        <f t="shared" si="136"/>
        <v>2.5511629541999969</v>
      </c>
      <c r="X221" s="21">
        <f t="shared" si="125"/>
        <v>1.9075050963999995</v>
      </c>
      <c r="Y221" s="21">
        <f t="shared" si="126"/>
        <v>0</v>
      </c>
      <c r="Z221" s="221">
        <f t="shared" si="119"/>
        <v>8</v>
      </c>
      <c r="AA221" s="30">
        <f t="shared" si="107"/>
        <v>6.3140692319120486</v>
      </c>
      <c r="AB221" s="30">
        <f t="shared" si="108"/>
        <v>3.4688739976703165</v>
      </c>
      <c r="AC221" s="30">
        <f t="shared" si="109"/>
        <v>2.4809767459508998</v>
      </c>
      <c r="AD221" s="30">
        <f t="shared" si="110"/>
        <v>0</v>
      </c>
      <c r="AE221" s="32">
        <f t="shared" si="120"/>
        <v>12.263919975533264</v>
      </c>
      <c r="AF221" s="33">
        <f t="shared" si="129"/>
        <v>11.768366547294647</v>
      </c>
      <c r="AG221" s="40">
        <f t="shared" si="121"/>
        <v>0</v>
      </c>
      <c r="AH221" s="224">
        <f>AG221*$P$33</f>
        <v>0</v>
      </c>
      <c r="AI221" s="227">
        <f t="shared" si="122"/>
        <v>29.31414252538136</v>
      </c>
    </row>
    <row r="222" spans="1:35" x14ac:dyDescent="0.35">
      <c r="A222" s="48">
        <v>1603</v>
      </c>
      <c r="B222" s="58">
        <f>SUMIF([2]!Table2_23[ETA],'FIS Current Model'!A222,[2]!Table2_23[FIS PAX])</f>
        <v>0</v>
      </c>
      <c r="C222" s="44">
        <f t="shared" si="123"/>
        <v>18</v>
      </c>
      <c r="D222" s="52">
        <f t="shared" si="127"/>
        <v>368</v>
      </c>
      <c r="E222" s="26">
        <f t="shared" si="111"/>
        <v>9.9503999999999984</v>
      </c>
      <c r="F222" s="26">
        <f t="shared" si="112"/>
        <v>4.2713999999999999</v>
      </c>
      <c r="G222" s="26">
        <f t="shared" si="113"/>
        <v>2.9447999999999999</v>
      </c>
      <c r="H222" s="26">
        <f t="shared" si="124"/>
        <v>0.83340000000000003</v>
      </c>
      <c r="I222" s="27">
        <f t="shared" si="130"/>
        <v>9.9503999999999984</v>
      </c>
      <c r="J222" s="27">
        <f t="shared" si="130"/>
        <v>4.2713999999999999</v>
      </c>
      <c r="K222" s="27">
        <f t="shared" si="130"/>
        <v>2.9447999999999999</v>
      </c>
      <c r="L222" s="27">
        <f t="shared" si="128"/>
        <v>0.83340000000000003</v>
      </c>
      <c r="M222" s="28">
        <f t="shared" ref="M222:M234" si="145">$M$220</f>
        <v>3</v>
      </c>
      <c r="N222" s="29">
        <f t="shared" ref="N222:N234" si="146">$N$220</f>
        <v>7</v>
      </c>
      <c r="O222" s="28">
        <f t="shared" ref="O222:O234" si="147">$O$220</f>
        <v>1</v>
      </c>
      <c r="P222" s="28">
        <f t="shared" ref="P222:P234" si="148">$P$220</f>
        <v>0</v>
      </c>
      <c r="Q222" s="28">
        <f t="shared" si="114"/>
        <v>11</v>
      </c>
      <c r="R222" s="22">
        <f t="shared" si="115"/>
        <v>87.942599910860338</v>
      </c>
      <c r="S222" s="22">
        <f t="shared" si="116"/>
        <v>11.213894044263984</v>
      </c>
      <c r="T222" s="22">
        <f t="shared" si="117"/>
        <v>6.0314418269328982</v>
      </c>
      <c r="U222" s="22">
        <f t="shared" si="118"/>
        <v>2.5002</v>
      </c>
      <c r="V222" s="21">
        <f t="shared" si="135"/>
        <v>11.838832800000018</v>
      </c>
      <c r="W222" s="21">
        <f t="shared" si="136"/>
        <v>2.7478109449999968</v>
      </c>
      <c r="X222" s="21">
        <f t="shared" si="125"/>
        <v>2.0664141899999993</v>
      </c>
      <c r="Y222" s="21">
        <f t="shared" si="126"/>
        <v>0</v>
      </c>
      <c r="Z222" s="221">
        <f t="shared" si="119"/>
        <v>8</v>
      </c>
      <c r="AA222" s="30">
        <f t="shared" si="107"/>
        <v>6.3140692319120486</v>
      </c>
      <c r="AB222" s="30">
        <f t="shared" si="108"/>
        <v>3.4688739976703165</v>
      </c>
      <c r="AC222" s="30">
        <f t="shared" si="109"/>
        <v>2.4809767459508998</v>
      </c>
      <c r="AD222" s="30">
        <f t="shared" si="110"/>
        <v>0</v>
      </c>
      <c r="AE222" s="32">
        <f t="shared" si="120"/>
        <v>12.263919975533264</v>
      </c>
      <c r="AF222" s="33">
        <f t="shared" si="129"/>
        <v>11.768366547294647</v>
      </c>
      <c r="AG222" s="40">
        <f t="shared" si="121"/>
        <v>0</v>
      </c>
      <c r="AH222" s="224">
        <f>AG222*$P$33</f>
        <v>0</v>
      </c>
      <c r="AI222" s="227">
        <f t="shared" si="122"/>
        <v>29.342700936779664</v>
      </c>
    </row>
    <row r="223" spans="1:35" x14ac:dyDescent="0.35">
      <c r="A223" s="48">
        <v>1604</v>
      </c>
      <c r="B223" s="58">
        <f>SUMIF([2]!Table2_23[ETA],'FIS Current Model'!A223,[2]!Table2_23[FIS PAX])</f>
        <v>0</v>
      </c>
      <c r="C223" s="44">
        <f t="shared" si="123"/>
        <v>18</v>
      </c>
      <c r="D223" s="52">
        <f t="shared" si="127"/>
        <v>350</v>
      </c>
      <c r="E223" s="26">
        <f t="shared" si="111"/>
        <v>9.9503999999999984</v>
      </c>
      <c r="F223" s="26">
        <f t="shared" si="112"/>
        <v>4.2713999999999999</v>
      </c>
      <c r="G223" s="26">
        <f t="shared" si="113"/>
        <v>2.9447999999999999</v>
      </c>
      <c r="H223" s="26">
        <f t="shared" si="124"/>
        <v>0.83340000000000003</v>
      </c>
      <c r="I223" s="27">
        <f t="shared" si="130"/>
        <v>9.9503999999999984</v>
      </c>
      <c r="J223" s="27">
        <f t="shared" si="130"/>
        <v>4.2713999999999999</v>
      </c>
      <c r="K223" s="27">
        <f t="shared" si="130"/>
        <v>2.9447999999999999</v>
      </c>
      <c r="L223" s="27">
        <f t="shared" si="128"/>
        <v>0.83340000000000003</v>
      </c>
      <c r="M223" s="28">
        <f t="shared" si="145"/>
        <v>3</v>
      </c>
      <c r="N223" s="29">
        <f t="shared" si="146"/>
        <v>7</v>
      </c>
      <c r="O223" s="28">
        <f t="shared" si="147"/>
        <v>1</v>
      </c>
      <c r="P223" s="28">
        <f t="shared" si="148"/>
        <v>0</v>
      </c>
      <c r="Q223" s="28">
        <f t="shared" si="114"/>
        <v>11</v>
      </c>
      <c r="R223" s="22">
        <f t="shared" si="115"/>
        <v>91.578930678948296</v>
      </c>
      <c r="S223" s="22">
        <f t="shared" si="116"/>
        <v>12.016420046593668</v>
      </c>
      <c r="T223" s="22">
        <f t="shared" si="117"/>
        <v>6.4952650809819978</v>
      </c>
      <c r="U223" s="22">
        <f t="shared" si="118"/>
        <v>3.3336000000000001</v>
      </c>
      <c r="V223" s="21">
        <f t="shared" si="135"/>
        <v>12.328355648000018</v>
      </c>
      <c r="W223" s="21">
        <f t="shared" si="136"/>
        <v>2.9444589357999966</v>
      </c>
      <c r="X223" s="21">
        <f t="shared" si="125"/>
        <v>2.2253232835999994</v>
      </c>
      <c r="Y223" s="21">
        <f t="shared" si="126"/>
        <v>0</v>
      </c>
      <c r="Z223" s="221">
        <f t="shared" si="119"/>
        <v>8</v>
      </c>
      <c r="AA223" s="30">
        <f t="shared" si="107"/>
        <v>6.3140692319120486</v>
      </c>
      <c r="AB223" s="30">
        <f t="shared" si="108"/>
        <v>3.4688739976703165</v>
      </c>
      <c r="AC223" s="30">
        <f t="shared" si="109"/>
        <v>2.4809767459508998</v>
      </c>
      <c r="AD223" s="30">
        <f t="shared" si="110"/>
        <v>0</v>
      </c>
      <c r="AE223" s="32">
        <f t="shared" si="120"/>
        <v>12.263919975533264</v>
      </c>
      <c r="AF223" s="33">
        <f t="shared" si="129"/>
        <v>11.768366547294647</v>
      </c>
      <c r="AG223" s="40">
        <f t="shared" si="121"/>
        <v>0</v>
      </c>
      <c r="AH223" s="224">
        <f>AG223*$P$33</f>
        <v>0</v>
      </c>
      <c r="AI223" s="227">
        <f t="shared" si="122"/>
        <v>29.371259348177972</v>
      </c>
    </row>
    <row r="224" spans="1:35" x14ac:dyDescent="0.35">
      <c r="A224" s="48">
        <v>1605</v>
      </c>
      <c r="B224" s="58">
        <f>SUMIF([2]!Table2_23[ETA],'FIS Current Model'!A224,[2]!Table2_23[FIS PAX])</f>
        <v>0</v>
      </c>
      <c r="C224" s="44">
        <f t="shared" si="123"/>
        <v>18</v>
      </c>
      <c r="D224" s="52">
        <f t="shared" si="127"/>
        <v>332</v>
      </c>
      <c r="E224" s="26">
        <f t="shared" si="111"/>
        <v>9.9503999999999984</v>
      </c>
      <c r="F224" s="26">
        <f t="shared" si="112"/>
        <v>4.2713999999999999</v>
      </c>
      <c r="G224" s="26">
        <f t="shared" si="113"/>
        <v>2.9447999999999999</v>
      </c>
      <c r="H224" s="26">
        <f t="shared" si="124"/>
        <v>0.83340000000000003</v>
      </c>
      <c r="I224" s="27">
        <f t="shared" si="130"/>
        <v>9.9503999999999984</v>
      </c>
      <c r="J224" s="27">
        <f t="shared" si="130"/>
        <v>4.2713999999999999</v>
      </c>
      <c r="K224" s="27">
        <f t="shared" si="130"/>
        <v>2.9447999999999999</v>
      </c>
      <c r="L224" s="27">
        <f t="shared" si="128"/>
        <v>0.83340000000000003</v>
      </c>
      <c r="M224" s="28">
        <f t="shared" si="145"/>
        <v>3</v>
      </c>
      <c r="N224" s="29">
        <f t="shared" si="146"/>
        <v>7</v>
      </c>
      <c r="O224" s="28">
        <f t="shared" si="147"/>
        <v>1</v>
      </c>
      <c r="P224" s="28">
        <f t="shared" si="148"/>
        <v>0</v>
      </c>
      <c r="Q224" s="28">
        <f t="shared" si="114"/>
        <v>11</v>
      </c>
      <c r="R224" s="22">
        <f t="shared" si="115"/>
        <v>95.215261447036255</v>
      </c>
      <c r="S224" s="22">
        <f t="shared" si="116"/>
        <v>12.818946048923351</v>
      </c>
      <c r="T224" s="22">
        <f t="shared" si="117"/>
        <v>6.9590883350310984</v>
      </c>
      <c r="U224" s="22">
        <f t="shared" si="118"/>
        <v>4.1669999999999998</v>
      </c>
      <c r="V224" s="21">
        <f t="shared" si="135"/>
        <v>12.81787849600002</v>
      </c>
      <c r="W224" s="21">
        <f t="shared" si="136"/>
        <v>3.1411069265999965</v>
      </c>
      <c r="X224" s="21">
        <f t="shared" si="125"/>
        <v>2.3842323771999996</v>
      </c>
      <c r="Y224" s="21">
        <f t="shared" si="126"/>
        <v>0</v>
      </c>
      <c r="Z224" s="221">
        <f t="shared" si="119"/>
        <v>9</v>
      </c>
      <c r="AA224" s="30">
        <f t="shared" si="107"/>
        <v>6.3140692319120486</v>
      </c>
      <c r="AB224" s="30">
        <f t="shared" si="108"/>
        <v>3.4688739976703165</v>
      </c>
      <c r="AC224" s="30">
        <f t="shared" si="109"/>
        <v>2.4809767459508998</v>
      </c>
      <c r="AD224" s="30">
        <f t="shared" si="110"/>
        <v>0</v>
      </c>
      <c r="AE224" s="32">
        <f t="shared" si="120"/>
        <v>12.263919975533264</v>
      </c>
      <c r="AF224" s="33">
        <f t="shared" si="129"/>
        <v>12.263919975533264</v>
      </c>
      <c r="AG224" s="40">
        <f t="shared" si="121"/>
        <v>0.34051354608148365</v>
      </c>
      <c r="AH224" s="224">
        <f>AG224*$P$33</f>
        <v>2.8558411398305405E-2</v>
      </c>
      <c r="AI224" s="227">
        <f t="shared" si="122"/>
        <v>30.42837617097458</v>
      </c>
    </row>
    <row r="225" spans="1:35" x14ac:dyDescent="0.35">
      <c r="A225" s="48">
        <v>1606</v>
      </c>
      <c r="B225" s="58">
        <f>SUMIF([2]!Table2_23[ETA],'FIS Current Model'!A225,[2]!Table2_23[FIS PAX])</f>
        <v>0</v>
      </c>
      <c r="C225" s="44">
        <f t="shared" si="123"/>
        <v>18</v>
      </c>
      <c r="D225" s="52">
        <f t="shared" si="127"/>
        <v>314</v>
      </c>
      <c r="E225" s="26">
        <f t="shared" si="111"/>
        <v>9.9503999999999984</v>
      </c>
      <c r="F225" s="26">
        <f t="shared" si="112"/>
        <v>4.2713999999999999</v>
      </c>
      <c r="G225" s="26">
        <f t="shared" si="113"/>
        <v>2.9447999999999999</v>
      </c>
      <c r="H225" s="26">
        <f t="shared" si="124"/>
        <v>0.83340000000000003</v>
      </c>
      <c r="I225" s="27">
        <f t="shared" si="130"/>
        <v>9.9503999999999984</v>
      </c>
      <c r="J225" s="27">
        <f t="shared" si="130"/>
        <v>4.2713999999999999</v>
      </c>
      <c r="K225" s="27">
        <f t="shared" si="130"/>
        <v>2.9447999999999999</v>
      </c>
      <c r="L225" s="27">
        <f t="shared" si="128"/>
        <v>0.83340000000000003</v>
      </c>
      <c r="M225" s="28">
        <f t="shared" si="145"/>
        <v>3</v>
      </c>
      <c r="N225" s="29">
        <f t="shared" si="146"/>
        <v>7</v>
      </c>
      <c r="O225" s="28">
        <f t="shared" si="147"/>
        <v>1</v>
      </c>
      <c r="P225" s="28">
        <f t="shared" si="148"/>
        <v>0</v>
      </c>
      <c r="Q225" s="28">
        <f t="shared" si="114"/>
        <v>11</v>
      </c>
      <c r="R225" s="22">
        <f t="shared" si="115"/>
        <v>98.851592215124214</v>
      </c>
      <c r="S225" s="22">
        <f t="shared" si="116"/>
        <v>13.621472051253035</v>
      </c>
      <c r="T225" s="22">
        <f t="shared" si="117"/>
        <v>7.422911589080198</v>
      </c>
      <c r="U225" s="22">
        <f t="shared" si="118"/>
        <v>5.0004</v>
      </c>
      <c r="V225" s="21">
        <f t="shared" si="135"/>
        <v>13.30740134400002</v>
      </c>
      <c r="W225" s="21">
        <f t="shared" si="136"/>
        <v>3.3377549173999963</v>
      </c>
      <c r="X225" s="21">
        <f t="shared" si="125"/>
        <v>2.5431414707999993</v>
      </c>
      <c r="Y225" s="21">
        <f t="shared" si="126"/>
        <v>0</v>
      </c>
      <c r="Z225" s="221">
        <f t="shared" si="119"/>
        <v>9</v>
      </c>
      <c r="AA225" s="30">
        <f t="shared" si="107"/>
        <v>6.3140692319120486</v>
      </c>
      <c r="AB225" s="30">
        <f t="shared" si="108"/>
        <v>3.4688739976703165</v>
      </c>
      <c r="AC225" s="30">
        <f t="shared" si="109"/>
        <v>2.4809767459508998</v>
      </c>
      <c r="AD225" s="30">
        <f t="shared" si="110"/>
        <v>0</v>
      </c>
      <c r="AE225" s="32">
        <f t="shared" si="120"/>
        <v>12.263919975533264</v>
      </c>
      <c r="AF225" s="33">
        <f t="shared" si="129"/>
        <v>12.263919975533264</v>
      </c>
      <c r="AG225" s="40">
        <f t="shared" si="121"/>
        <v>0.68102709216296731</v>
      </c>
      <c r="AH225" s="224">
        <f>AG225*$P$33</f>
        <v>5.711682279661081E-2</v>
      </c>
      <c r="AI225" s="227">
        <f t="shared" si="122"/>
        <v>30.56938395806549</v>
      </c>
    </row>
    <row r="226" spans="1:35" x14ac:dyDescent="0.35">
      <c r="A226" s="48">
        <v>1607</v>
      </c>
      <c r="B226" s="58">
        <f>SUMIF([2]!Table2_23[ETA],'FIS Current Model'!A226,[2]!Table2_23[FIS PAX])</f>
        <v>0</v>
      </c>
      <c r="C226" s="44">
        <f t="shared" si="123"/>
        <v>18</v>
      </c>
      <c r="D226" s="52">
        <f t="shared" si="127"/>
        <v>296</v>
      </c>
      <c r="E226" s="26">
        <f t="shared" si="111"/>
        <v>9.9503999999999984</v>
      </c>
      <c r="F226" s="26">
        <f t="shared" si="112"/>
        <v>4.2713999999999999</v>
      </c>
      <c r="G226" s="26">
        <f t="shared" si="113"/>
        <v>2.9447999999999999</v>
      </c>
      <c r="H226" s="26">
        <f t="shared" si="124"/>
        <v>0.83340000000000003</v>
      </c>
      <c r="I226" s="27">
        <f t="shared" si="130"/>
        <v>9.9503999999999984</v>
      </c>
      <c r="J226" s="27">
        <f t="shared" si="130"/>
        <v>4.2713999999999999</v>
      </c>
      <c r="K226" s="27">
        <f t="shared" si="130"/>
        <v>2.9447999999999999</v>
      </c>
      <c r="L226" s="27">
        <f t="shared" si="128"/>
        <v>0.83340000000000003</v>
      </c>
      <c r="M226" s="28">
        <f t="shared" si="145"/>
        <v>3</v>
      </c>
      <c r="N226" s="29">
        <f t="shared" si="146"/>
        <v>7</v>
      </c>
      <c r="O226" s="28">
        <f t="shared" si="147"/>
        <v>1</v>
      </c>
      <c r="P226" s="28">
        <f t="shared" si="148"/>
        <v>0</v>
      </c>
      <c r="Q226" s="28">
        <f t="shared" si="114"/>
        <v>11</v>
      </c>
      <c r="R226" s="22">
        <f t="shared" si="115"/>
        <v>102.48792298321217</v>
      </c>
      <c r="S226" s="22">
        <f t="shared" si="116"/>
        <v>14.423998053582718</v>
      </c>
      <c r="T226" s="22">
        <f t="shared" si="117"/>
        <v>7.8867348431292976</v>
      </c>
      <c r="U226" s="22">
        <f t="shared" si="118"/>
        <v>5.8338000000000001</v>
      </c>
      <c r="V226" s="21">
        <f t="shared" si="135"/>
        <v>13.796924192000022</v>
      </c>
      <c r="W226" s="21">
        <f t="shared" si="136"/>
        <v>3.5344029081999961</v>
      </c>
      <c r="X226" s="21">
        <f t="shared" si="125"/>
        <v>2.702050564399999</v>
      </c>
      <c r="Y226" s="21">
        <f t="shared" si="126"/>
        <v>0</v>
      </c>
      <c r="Z226" s="221">
        <f t="shared" si="119"/>
        <v>9</v>
      </c>
      <c r="AA226" s="30">
        <f t="shared" si="107"/>
        <v>6.3140692319120486</v>
      </c>
      <c r="AB226" s="30">
        <f t="shared" si="108"/>
        <v>3.4688739976703165</v>
      </c>
      <c r="AC226" s="30">
        <f t="shared" si="109"/>
        <v>2.4809767459508998</v>
      </c>
      <c r="AD226" s="30">
        <f t="shared" si="110"/>
        <v>0</v>
      </c>
      <c r="AE226" s="32">
        <f t="shared" si="120"/>
        <v>12.263919975533264</v>
      </c>
      <c r="AF226" s="33">
        <f t="shared" si="129"/>
        <v>12.263919975533264</v>
      </c>
      <c r="AG226" s="40">
        <f t="shared" si="121"/>
        <v>1.021540638244451</v>
      </c>
      <c r="AH226" s="224">
        <f>AG226*$P$33</f>
        <v>8.5675234194916211E-2</v>
      </c>
      <c r="AI226" s="227">
        <f t="shared" si="122"/>
        <v>30.7103917451564</v>
      </c>
    </row>
    <row r="227" spans="1:35" x14ac:dyDescent="0.35">
      <c r="A227" s="48">
        <v>1608</v>
      </c>
      <c r="B227" s="58">
        <f>SUMIF([2]!Table2_23[ETA],'FIS Current Model'!A227,[2]!Table2_23[FIS PAX])</f>
        <v>0</v>
      </c>
      <c r="C227" s="44">
        <f t="shared" si="123"/>
        <v>18</v>
      </c>
      <c r="D227" s="52">
        <f t="shared" si="127"/>
        <v>278</v>
      </c>
      <c r="E227" s="26">
        <f t="shared" si="111"/>
        <v>9.9503999999999984</v>
      </c>
      <c r="F227" s="26">
        <f t="shared" si="112"/>
        <v>4.2713999999999999</v>
      </c>
      <c r="G227" s="26">
        <f t="shared" si="113"/>
        <v>2.9447999999999999</v>
      </c>
      <c r="H227" s="26">
        <f t="shared" si="124"/>
        <v>0.83340000000000003</v>
      </c>
      <c r="I227" s="27">
        <f t="shared" si="130"/>
        <v>9.9503999999999984</v>
      </c>
      <c r="J227" s="27">
        <f t="shared" si="130"/>
        <v>4.2713999999999999</v>
      </c>
      <c r="K227" s="27">
        <f t="shared" si="130"/>
        <v>2.9447999999999999</v>
      </c>
      <c r="L227" s="27">
        <f t="shared" si="128"/>
        <v>0.83340000000000003</v>
      </c>
      <c r="M227" s="28">
        <f t="shared" si="145"/>
        <v>3</v>
      </c>
      <c r="N227" s="29">
        <f t="shared" si="146"/>
        <v>7</v>
      </c>
      <c r="O227" s="28">
        <f t="shared" si="147"/>
        <v>1</v>
      </c>
      <c r="P227" s="28">
        <f t="shared" si="148"/>
        <v>0</v>
      </c>
      <c r="Q227" s="28">
        <f t="shared" si="114"/>
        <v>11</v>
      </c>
      <c r="R227" s="22">
        <f t="shared" si="115"/>
        <v>106.12425375130013</v>
      </c>
      <c r="S227" s="22">
        <f t="shared" si="116"/>
        <v>15.226524055912401</v>
      </c>
      <c r="T227" s="22">
        <f t="shared" si="117"/>
        <v>8.3505580971783964</v>
      </c>
      <c r="U227" s="22">
        <f t="shared" si="118"/>
        <v>6.6672000000000002</v>
      </c>
      <c r="V227" s="21">
        <f t="shared" si="135"/>
        <v>14.286447040000022</v>
      </c>
      <c r="W227" s="21">
        <f t="shared" si="136"/>
        <v>3.731050898999996</v>
      </c>
      <c r="X227" s="21">
        <f t="shared" si="125"/>
        <v>2.8609596579999987</v>
      </c>
      <c r="Y227" s="21">
        <f t="shared" si="126"/>
        <v>0</v>
      </c>
      <c r="Z227" s="221">
        <f t="shared" si="119"/>
        <v>10</v>
      </c>
      <c r="AA227" s="30">
        <f t="shared" si="107"/>
        <v>6.3140692319120486</v>
      </c>
      <c r="AB227" s="30">
        <f t="shared" si="108"/>
        <v>3.4688739976703165</v>
      </c>
      <c r="AC227" s="30">
        <f t="shared" si="109"/>
        <v>2.4809767459508998</v>
      </c>
      <c r="AD227" s="30">
        <f t="shared" si="110"/>
        <v>0</v>
      </c>
      <c r="AE227" s="32">
        <f t="shared" si="120"/>
        <v>12.263919975533264</v>
      </c>
      <c r="AF227" s="33">
        <f t="shared" si="129"/>
        <v>12.263919975533264</v>
      </c>
      <c r="AG227" s="40">
        <f t="shared" si="121"/>
        <v>1.3620541843259346</v>
      </c>
      <c r="AH227" s="224">
        <f>AG227*$P$33</f>
        <v>0.11423364559322162</v>
      </c>
      <c r="AI227" s="227">
        <f t="shared" si="122"/>
        <v>31.99240731933822</v>
      </c>
    </row>
    <row r="228" spans="1:35" x14ac:dyDescent="0.35">
      <c r="A228" s="48">
        <v>1609</v>
      </c>
      <c r="B228" s="58">
        <f>SUMIF([2]!Table2_23[ETA],'FIS Current Model'!A228,[2]!Table2_23[FIS PAX])</f>
        <v>0</v>
      </c>
      <c r="C228" s="44">
        <f t="shared" si="123"/>
        <v>18</v>
      </c>
      <c r="D228" s="52">
        <f t="shared" si="127"/>
        <v>260</v>
      </c>
      <c r="E228" s="26">
        <f t="shared" si="111"/>
        <v>9.9503999999999984</v>
      </c>
      <c r="F228" s="26">
        <f t="shared" si="112"/>
        <v>4.2713999999999999</v>
      </c>
      <c r="G228" s="26">
        <f t="shared" si="113"/>
        <v>2.9447999999999999</v>
      </c>
      <c r="H228" s="26">
        <f t="shared" si="124"/>
        <v>0.83340000000000003</v>
      </c>
      <c r="I228" s="27">
        <f t="shared" si="130"/>
        <v>9.9503999999999984</v>
      </c>
      <c r="J228" s="27">
        <f t="shared" si="130"/>
        <v>4.2713999999999999</v>
      </c>
      <c r="K228" s="27">
        <f t="shared" si="130"/>
        <v>2.9447999999999999</v>
      </c>
      <c r="L228" s="27">
        <f t="shared" si="128"/>
        <v>0.83340000000000003</v>
      </c>
      <c r="M228" s="28">
        <f t="shared" si="145"/>
        <v>3</v>
      </c>
      <c r="N228" s="29">
        <f t="shared" si="146"/>
        <v>7</v>
      </c>
      <c r="O228" s="28">
        <f t="shared" si="147"/>
        <v>1</v>
      </c>
      <c r="P228" s="28">
        <f t="shared" si="148"/>
        <v>0</v>
      </c>
      <c r="Q228" s="28">
        <f t="shared" si="114"/>
        <v>11</v>
      </c>
      <c r="R228" s="22">
        <f t="shared" si="115"/>
        <v>109.76058451938809</v>
      </c>
      <c r="S228" s="22">
        <f t="shared" si="116"/>
        <v>16.029050058242085</v>
      </c>
      <c r="T228" s="22">
        <f t="shared" si="117"/>
        <v>8.814381351227496</v>
      </c>
      <c r="U228" s="22">
        <f t="shared" si="118"/>
        <v>7.5006000000000004</v>
      </c>
      <c r="V228" s="21">
        <f t="shared" si="135"/>
        <v>14.775969888000024</v>
      </c>
      <c r="W228" s="21">
        <f t="shared" si="136"/>
        <v>3.9276988897999958</v>
      </c>
      <c r="X228" s="21">
        <f t="shared" si="125"/>
        <v>3.0198687515999985</v>
      </c>
      <c r="Y228" s="21">
        <f t="shared" si="126"/>
        <v>0</v>
      </c>
      <c r="Z228" s="221">
        <f t="shared" si="119"/>
        <v>10</v>
      </c>
      <c r="AA228" s="30">
        <f t="shared" si="107"/>
        <v>6.3140692319120486</v>
      </c>
      <c r="AB228" s="30">
        <f t="shared" si="108"/>
        <v>3.4688739976703165</v>
      </c>
      <c r="AC228" s="30">
        <f t="shared" si="109"/>
        <v>2.4809767459508998</v>
      </c>
      <c r="AD228" s="30">
        <f t="shared" si="110"/>
        <v>0</v>
      </c>
      <c r="AE228" s="32">
        <f t="shared" si="120"/>
        <v>12.263919975533264</v>
      </c>
      <c r="AF228" s="33">
        <f t="shared" si="129"/>
        <v>12.263919975533264</v>
      </c>
      <c r="AG228" s="40">
        <f t="shared" si="121"/>
        <v>1.7025677304074183</v>
      </c>
      <c r="AH228" s="224">
        <f>AG228*$P$33</f>
        <v>0.14279205699152703</v>
      </c>
      <c r="AI228" s="227">
        <f t="shared" si="122"/>
        <v>32.133415106429126</v>
      </c>
    </row>
    <row r="229" spans="1:35" x14ac:dyDescent="0.35">
      <c r="A229" s="48">
        <v>1610</v>
      </c>
      <c r="B229" s="58">
        <f>SUMIF([2]!Table2_23[ETA],'FIS Current Model'!A229,[2]!Table2_23[FIS PAX])</f>
        <v>0</v>
      </c>
      <c r="C229" s="44">
        <f t="shared" si="123"/>
        <v>18</v>
      </c>
      <c r="D229" s="52">
        <f t="shared" si="127"/>
        <v>242</v>
      </c>
      <c r="E229" s="26">
        <f t="shared" si="111"/>
        <v>9.9503999999999984</v>
      </c>
      <c r="F229" s="26">
        <f t="shared" si="112"/>
        <v>4.2713999999999999</v>
      </c>
      <c r="G229" s="26">
        <f t="shared" si="113"/>
        <v>2.9447999999999999</v>
      </c>
      <c r="H229" s="26">
        <f t="shared" si="124"/>
        <v>0.83340000000000003</v>
      </c>
      <c r="I229" s="27">
        <f t="shared" si="130"/>
        <v>9.9503999999999984</v>
      </c>
      <c r="J229" s="27">
        <f t="shared" si="130"/>
        <v>4.2713999999999999</v>
      </c>
      <c r="K229" s="27">
        <f t="shared" si="130"/>
        <v>2.9447999999999999</v>
      </c>
      <c r="L229" s="27">
        <f t="shared" si="128"/>
        <v>0.83340000000000003</v>
      </c>
      <c r="M229" s="28">
        <f t="shared" si="145"/>
        <v>3</v>
      </c>
      <c r="N229" s="29">
        <f t="shared" si="146"/>
        <v>7</v>
      </c>
      <c r="O229" s="28">
        <f t="shared" si="147"/>
        <v>1</v>
      </c>
      <c r="P229" s="28">
        <f t="shared" si="148"/>
        <v>0</v>
      </c>
      <c r="Q229" s="28">
        <f t="shared" si="114"/>
        <v>11</v>
      </c>
      <c r="R229" s="22">
        <f t="shared" si="115"/>
        <v>113.39691528747605</v>
      </c>
      <c r="S229" s="22">
        <f t="shared" si="116"/>
        <v>16.83157606057177</v>
      </c>
      <c r="T229" s="22">
        <f t="shared" si="117"/>
        <v>9.2782046052765956</v>
      </c>
      <c r="U229" s="22">
        <f t="shared" si="118"/>
        <v>8.3339999999999996</v>
      </c>
      <c r="V229" s="21">
        <f t="shared" si="135"/>
        <v>15.265492736000024</v>
      </c>
      <c r="W229" s="21">
        <f t="shared" si="136"/>
        <v>4.1243468805999965</v>
      </c>
      <c r="X229" s="21">
        <f t="shared" si="125"/>
        <v>3.1787778451999986</v>
      </c>
      <c r="Y229" s="21">
        <f t="shared" si="126"/>
        <v>0</v>
      </c>
      <c r="Z229" s="221">
        <f t="shared" si="119"/>
        <v>10</v>
      </c>
      <c r="AA229" s="30">
        <f t="shared" si="107"/>
        <v>6.3140692319120486</v>
      </c>
      <c r="AB229" s="30">
        <f t="shared" si="108"/>
        <v>3.4688739976703165</v>
      </c>
      <c r="AC229" s="30">
        <f t="shared" si="109"/>
        <v>2.4809767459508998</v>
      </c>
      <c r="AD229" s="30">
        <f t="shared" si="110"/>
        <v>0</v>
      </c>
      <c r="AE229" s="32">
        <f t="shared" si="120"/>
        <v>12.263919975533264</v>
      </c>
      <c r="AF229" s="33">
        <f t="shared" si="129"/>
        <v>12.263919975533264</v>
      </c>
      <c r="AG229" s="40">
        <f t="shared" si="121"/>
        <v>2.0430812764889019</v>
      </c>
      <c r="AH229" s="224">
        <f>AG229*$P$33</f>
        <v>0.17135046838983242</v>
      </c>
      <c r="AI229" s="227">
        <f t="shared" si="122"/>
        <v>32.27442289352004</v>
      </c>
    </row>
    <row r="230" spans="1:35" x14ac:dyDescent="0.35">
      <c r="A230" s="48">
        <v>1611</v>
      </c>
      <c r="B230" s="58">
        <f>SUMIF([2]!Table2_23[ETA],'FIS Current Model'!A230,[2]!Table2_23[FIS PAX])</f>
        <v>0</v>
      </c>
      <c r="C230" s="44">
        <f t="shared" si="123"/>
        <v>18</v>
      </c>
      <c r="D230" s="52">
        <f t="shared" si="127"/>
        <v>224</v>
      </c>
      <c r="E230" s="26">
        <f t="shared" si="111"/>
        <v>9.9503999999999984</v>
      </c>
      <c r="F230" s="26">
        <f t="shared" si="112"/>
        <v>4.2713999999999999</v>
      </c>
      <c r="G230" s="26">
        <f t="shared" si="113"/>
        <v>2.9447999999999999</v>
      </c>
      <c r="H230" s="26">
        <f t="shared" si="124"/>
        <v>0.83340000000000003</v>
      </c>
      <c r="I230" s="27">
        <f t="shared" si="130"/>
        <v>9.9503999999999984</v>
      </c>
      <c r="J230" s="27">
        <f t="shared" si="130"/>
        <v>4.2713999999999999</v>
      </c>
      <c r="K230" s="27">
        <f t="shared" si="130"/>
        <v>2.9447999999999999</v>
      </c>
      <c r="L230" s="27">
        <f t="shared" si="128"/>
        <v>0.83340000000000003</v>
      </c>
      <c r="M230" s="28">
        <f t="shared" si="145"/>
        <v>3</v>
      </c>
      <c r="N230" s="29">
        <f t="shared" si="146"/>
        <v>7</v>
      </c>
      <c r="O230" s="28">
        <f t="shared" si="147"/>
        <v>1</v>
      </c>
      <c r="P230" s="28">
        <f t="shared" si="148"/>
        <v>0</v>
      </c>
      <c r="Q230" s="28">
        <f t="shared" si="114"/>
        <v>11</v>
      </c>
      <c r="R230" s="22">
        <f t="shared" si="115"/>
        <v>117.03324605556401</v>
      </c>
      <c r="S230" s="22">
        <f t="shared" si="116"/>
        <v>17.634102062901455</v>
      </c>
      <c r="T230" s="22">
        <f t="shared" si="117"/>
        <v>9.7420278593256953</v>
      </c>
      <c r="U230" s="22">
        <f t="shared" si="118"/>
        <v>9.1673999999999989</v>
      </c>
      <c r="V230" s="21">
        <f t="shared" si="135"/>
        <v>15.755015584000025</v>
      </c>
      <c r="W230" s="21">
        <f t="shared" si="136"/>
        <v>4.3209948713999964</v>
      </c>
      <c r="X230" s="21">
        <f t="shared" si="125"/>
        <v>3.3376869387999983</v>
      </c>
      <c r="Y230" s="21">
        <f t="shared" si="126"/>
        <v>0</v>
      </c>
      <c r="Z230" s="221">
        <f t="shared" si="119"/>
        <v>11</v>
      </c>
      <c r="AA230" s="30">
        <f t="shared" si="107"/>
        <v>6.3140692319120486</v>
      </c>
      <c r="AB230" s="30">
        <f t="shared" si="108"/>
        <v>3.4688739976703165</v>
      </c>
      <c r="AC230" s="30">
        <f t="shared" si="109"/>
        <v>2.4809767459508998</v>
      </c>
      <c r="AD230" s="30">
        <f t="shared" si="110"/>
        <v>0</v>
      </c>
      <c r="AE230" s="32">
        <f t="shared" si="120"/>
        <v>12.263919975533264</v>
      </c>
      <c r="AF230" s="33">
        <f t="shared" si="129"/>
        <v>12.263919975533264</v>
      </c>
      <c r="AG230" s="40">
        <f t="shared" si="121"/>
        <v>2.3835948225703856</v>
      </c>
      <c r="AH230" s="224">
        <f>AG230*$P$33</f>
        <v>0.19990887978813782</v>
      </c>
      <c r="AI230" s="227">
        <f t="shared" si="122"/>
        <v>33.556438467701859</v>
      </c>
    </row>
    <row r="231" spans="1:35" x14ac:dyDescent="0.35">
      <c r="A231" s="48">
        <v>1612</v>
      </c>
      <c r="B231" s="58">
        <f>SUMIF([2]!Table2_23[ETA],'FIS Current Model'!A231,[2]!Table2_23[FIS PAX])</f>
        <v>0</v>
      </c>
      <c r="C231" s="44">
        <f t="shared" si="123"/>
        <v>18</v>
      </c>
      <c r="D231" s="52">
        <f t="shared" si="127"/>
        <v>206</v>
      </c>
      <c r="E231" s="26">
        <f t="shared" si="111"/>
        <v>9.9503999999999984</v>
      </c>
      <c r="F231" s="26">
        <f t="shared" si="112"/>
        <v>4.2713999999999999</v>
      </c>
      <c r="G231" s="26">
        <f t="shared" si="113"/>
        <v>2.9447999999999999</v>
      </c>
      <c r="H231" s="26">
        <f t="shared" si="124"/>
        <v>0.83340000000000003</v>
      </c>
      <c r="I231" s="27">
        <f t="shared" si="130"/>
        <v>9.9503999999999984</v>
      </c>
      <c r="J231" s="27">
        <f t="shared" si="130"/>
        <v>4.2713999999999999</v>
      </c>
      <c r="K231" s="27">
        <f t="shared" si="130"/>
        <v>2.9447999999999999</v>
      </c>
      <c r="L231" s="27">
        <f t="shared" si="128"/>
        <v>0.83340000000000003</v>
      </c>
      <c r="M231" s="28">
        <f t="shared" si="145"/>
        <v>3</v>
      </c>
      <c r="N231" s="29">
        <f t="shared" si="146"/>
        <v>7</v>
      </c>
      <c r="O231" s="28">
        <f t="shared" si="147"/>
        <v>1</v>
      </c>
      <c r="P231" s="28">
        <f t="shared" si="148"/>
        <v>0</v>
      </c>
      <c r="Q231" s="28">
        <f t="shared" si="114"/>
        <v>11</v>
      </c>
      <c r="R231" s="22">
        <f t="shared" si="115"/>
        <v>120.66957682365197</v>
      </c>
      <c r="S231" s="22">
        <f t="shared" si="116"/>
        <v>18.43662806523114</v>
      </c>
      <c r="T231" s="22">
        <f t="shared" si="117"/>
        <v>10.205851113374795</v>
      </c>
      <c r="U231" s="22">
        <f t="shared" si="118"/>
        <v>10.000799999999998</v>
      </c>
      <c r="V231" s="21">
        <f t="shared" si="135"/>
        <v>16.244538432000027</v>
      </c>
      <c r="W231" s="21">
        <f t="shared" si="136"/>
        <v>4.5176428621999971</v>
      </c>
      <c r="X231" s="21">
        <f t="shared" si="125"/>
        <v>3.4965960323999985</v>
      </c>
      <c r="Y231" s="21">
        <f t="shared" si="126"/>
        <v>0</v>
      </c>
      <c r="Z231" s="221">
        <f t="shared" si="119"/>
        <v>11</v>
      </c>
      <c r="AA231" s="30">
        <f t="shared" ref="AA231:AA294" si="149">IF(R231&lt;&gt;0,($J$30*M231*$L$33),0)</f>
        <v>6.3140692319120486</v>
      </c>
      <c r="AB231" s="30">
        <f t="shared" ref="AB231:AB294" si="150">IF(W231&lt;&gt;0,($J$31*N231*$L$33),0)</f>
        <v>3.4688739976703165</v>
      </c>
      <c r="AC231" s="30">
        <f t="shared" ref="AC231:AC294" si="151">IF(X231&lt;&gt;0,($J$32*O231*$L$33),0)</f>
        <v>2.4809767459508998</v>
      </c>
      <c r="AD231" s="30">
        <f t="shared" ref="AD231:AD294" si="152">IF(Y231&lt;&gt;0,($J$33*P231*$L$33),0)</f>
        <v>0</v>
      </c>
      <c r="AE231" s="32">
        <f t="shared" si="120"/>
        <v>12.263919975533264</v>
      </c>
      <c r="AF231" s="33">
        <f t="shared" si="129"/>
        <v>12.263919975533264</v>
      </c>
      <c r="AG231" s="40">
        <f t="shared" si="121"/>
        <v>2.7241083686518692</v>
      </c>
      <c r="AH231" s="224">
        <f>AG231*$P$33</f>
        <v>0.22846729118644324</v>
      </c>
      <c r="AI231" s="227">
        <f t="shared" si="122"/>
        <v>33.697446254792766</v>
      </c>
    </row>
    <row r="232" spans="1:35" x14ac:dyDescent="0.35">
      <c r="A232" s="48">
        <v>1613</v>
      </c>
      <c r="B232" s="58">
        <f>SUMIF([2]!Table2_23[ETA],'FIS Current Model'!A232,[2]!Table2_23[FIS PAX])</f>
        <v>0</v>
      </c>
      <c r="C232" s="44">
        <f t="shared" si="123"/>
        <v>18</v>
      </c>
      <c r="D232" s="52">
        <f t="shared" si="127"/>
        <v>188</v>
      </c>
      <c r="E232" s="26">
        <f t="shared" ref="E232:E295" si="153">$C$30*C232</f>
        <v>9.9503999999999984</v>
      </c>
      <c r="F232" s="26">
        <f t="shared" ref="F232:F295" si="154">$C$31*C232</f>
        <v>4.2713999999999999</v>
      </c>
      <c r="G232" s="26">
        <f t="shared" ref="G232:G295" si="155">$C$32*C232</f>
        <v>2.9447999999999999</v>
      </c>
      <c r="H232" s="26">
        <f t="shared" si="124"/>
        <v>0.83340000000000003</v>
      </c>
      <c r="I232" s="27">
        <f t="shared" si="130"/>
        <v>9.9503999999999984</v>
      </c>
      <c r="J232" s="27">
        <f t="shared" si="130"/>
        <v>4.2713999999999999</v>
      </c>
      <c r="K232" s="27">
        <f t="shared" si="130"/>
        <v>2.9447999999999999</v>
      </c>
      <c r="L232" s="27">
        <f t="shared" si="128"/>
        <v>0.83340000000000003</v>
      </c>
      <c r="M232" s="28">
        <f t="shared" si="145"/>
        <v>3</v>
      </c>
      <c r="N232" s="29">
        <f t="shared" si="146"/>
        <v>7</v>
      </c>
      <c r="O232" s="28">
        <f t="shared" si="147"/>
        <v>1</v>
      </c>
      <c r="P232" s="28">
        <f t="shared" si="148"/>
        <v>0</v>
      </c>
      <c r="Q232" s="28">
        <f t="shared" ref="Q232:Q295" si="156">SUM(M232:P232)</f>
        <v>11</v>
      </c>
      <c r="R232" s="22">
        <f t="shared" ref="R232:R295" si="157">MAX(R231-($J$30*M232*$L$33)+I232,0)</f>
        <v>124.30590759173992</v>
      </c>
      <c r="S232" s="22">
        <f t="shared" ref="S232:S295" si="158">IF(U232&lt;&gt;0,(MAX(S231-($J$31*N232*$L$33)+J232,0)),(MAX(S231-($J$31*(N232+P232)*$L$33)+J232,0)))</f>
        <v>19.239154067560825</v>
      </c>
      <c r="T232" s="22">
        <f t="shared" ref="T232:T295" si="159">MAX(T231-($J$32*O232*$L$33)+K232,0)</f>
        <v>10.669674367423895</v>
      </c>
      <c r="U232" s="22">
        <f t="shared" ref="U232:U295" si="160">MAX(U231-($J$33*P232*$L$33)+L232,0)</f>
        <v>10.834199999999997</v>
      </c>
      <c r="V232" s="21">
        <f t="shared" si="135"/>
        <v>16.734061280000027</v>
      </c>
      <c r="W232" s="21">
        <f t="shared" si="136"/>
        <v>4.714290852999997</v>
      </c>
      <c r="X232" s="21">
        <f t="shared" si="125"/>
        <v>3.6555051259999982</v>
      </c>
      <c r="Y232" s="21">
        <f t="shared" si="126"/>
        <v>0</v>
      </c>
      <c r="Z232" s="221">
        <f t="shared" ref="Z232:Z295" si="161">ROUNDUP(SUM(V232*$C$30,W232*$C$31,X232*$C$32,Y232*$C$33),0)</f>
        <v>11</v>
      </c>
      <c r="AA232" s="30">
        <f t="shared" si="149"/>
        <v>6.3140692319120486</v>
      </c>
      <c r="AB232" s="30">
        <f t="shared" si="150"/>
        <v>3.4688739976703165</v>
      </c>
      <c r="AC232" s="30">
        <f t="shared" si="151"/>
        <v>2.4809767459508998</v>
      </c>
      <c r="AD232" s="30">
        <f t="shared" si="152"/>
        <v>0</v>
      </c>
      <c r="AE232" s="32">
        <f t="shared" ref="AE232:AE295" si="162">SUM(AA232:AD232)</f>
        <v>12.263919975533264</v>
      </c>
      <c r="AF232" s="33">
        <f t="shared" si="129"/>
        <v>12.263919975533264</v>
      </c>
      <c r="AG232" s="40">
        <f t="shared" ref="AG232:AG295" si="163">MAX(AG231-$Q$33+AF232,0)</f>
        <v>3.0646219147333529</v>
      </c>
      <c r="AH232" s="224">
        <f>AG232*$P$33</f>
        <v>0.25702570258474866</v>
      </c>
      <c r="AI232" s="227">
        <f t="shared" ref="AI232:AI295" si="164">SUM(Z232,IF(Z232&lt;&gt;0,$F$31,0),IF(Z232&lt;&gt;0,$N$33,0),IF(Z232&lt;&gt;0,$T$33,0),IF(Z232=0,AH237,IF(Z232=1,AH238,IF(Z232=2,AH239,IF(Z232=3,AH240,IF(Z232=4,AH241,IF(Z232=5,AH242,IF(Z232=6,AH243,IF(Z232=7,AH244,IF(Z232=8,AH245,IF(Z232=9,AH246,IF(Z232=10,AH247,IF(Z232=11,AH248,IF(Z232=12,AH249,IF(Z232=13,AH250,IF(Z232=14,AH251,IF(Z232=15,AH252,IF(Z232=16,AH253,IF(Z232=17,AH254,IF(Z232=18,AH255,IF(Z232=19,AH256,IF(Z232=20,AH257,IF(Z232=21,AH258,IF(Z232=22,AH259,IF(Z232=23,AH260,IF(Z232=24,AH261,IF(Z232=25,AH262,IF(Z232=26,AH263,IF(Z232=27,AH264,IF(Z232=28,AH265,IF(Z232=29,AH266,IF(Z232=30,AH267))))))))))))))))))))))))))))))))</f>
        <v>33.838454041883679</v>
      </c>
    </row>
    <row r="233" spans="1:35" x14ac:dyDescent="0.35">
      <c r="A233" s="48">
        <v>1614</v>
      </c>
      <c r="B233" s="58">
        <f>SUMIF([2]!Table2_23[ETA],'FIS Current Model'!A233,[2]!Table2_23[FIS PAX])</f>
        <v>0</v>
      </c>
      <c r="C233" s="44">
        <f t="shared" ref="C233:C296" si="165">IF((D232-D233)&gt;-1,(D232-D233),18)</f>
        <v>18</v>
      </c>
      <c r="D233" s="52">
        <f t="shared" si="127"/>
        <v>170</v>
      </c>
      <c r="E233" s="26">
        <f t="shared" si="153"/>
        <v>9.9503999999999984</v>
      </c>
      <c r="F233" s="26">
        <f t="shared" si="154"/>
        <v>4.2713999999999999</v>
      </c>
      <c r="G233" s="26">
        <f t="shared" si="155"/>
        <v>2.9447999999999999</v>
      </c>
      <c r="H233" s="26">
        <f t="shared" ref="H233:H296" si="166">$C$33*C233</f>
        <v>0.83340000000000003</v>
      </c>
      <c r="I233" s="27">
        <f t="shared" si="130"/>
        <v>9.9503999999999984</v>
      </c>
      <c r="J233" s="27">
        <f t="shared" si="130"/>
        <v>4.2713999999999999</v>
      </c>
      <c r="K233" s="27">
        <f t="shared" si="130"/>
        <v>2.9447999999999999</v>
      </c>
      <c r="L233" s="27">
        <f t="shared" si="128"/>
        <v>0.83340000000000003</v>
      </c>
      <c r="M233" s="28">
        <f t="shared" si="145"/>
        <v>3</v>
      </c>
      <c r="N233" s="29">
        <f t="shared" si="146"/>
        <v>7</v>
      </c>
      <c r="O233" s="28">
        <f t="shared" si="147"/>
        <v>1</v>
      </c>
      <c r="P233" s="28">
        <f t="shared" si="148"/>
        <v>0</v>
      </c>
      <c r="Q233" s="28">
        <f t="shared" si="156"/>
        <v>11</v>
      </c>
      <c r="R233" s="22">
        <f t="shared" si="157"/>
        <v>127.94223835982788</v>
      </c>
      <c r="S233" s="22">
        <f t="shared" si="158"/>
        <v>20.041680069890511</v>
      </c>
      <c r="T233" s="22">
        <f t="shared" si="159"/>
        <v>11.133497621472994</v>
      </c>
      <c r="U233" s="22">
        <f t="shared" si="160"/>
        <v>11.667599999999997</v>
      </c>
      <c r="V233" s="21">
        <f t="shared" si="135"/>
        <v>17.223584128000027</v>
      </c>
      <c r="W233" s="21">
        <f t="shared" si="136"/>
        <v>4.9109388437999977</v>
      </c>
      <c r="X233" s="21">
        <f t="shared" ref="X233:X296" si="167">IFERROR(T233*($I$32/O233),0)</f>
        <v>3.8144142195999979</v>
      </c>
      <c r="Y233" s="21">
        <f t="shared" ref="Y233:Y296" si="168">IFERROR(U233*($I$33/P233),0)</f>
        <v>0</v>
      </c>
      <c r="Z233" s="221">
        <f t="shared" si="161"/>
        <v>12</v>
      </c>
      <c r="AA233" s="30">
        <f t="shared" si="149"/>
        <v>6.3140692319120486</v>
      </c>
      <c r="AB233" s="30">
        <f t="shared" si="150"/>
        <v>3.4688739976703165</v>
      </c>
      <c r="AC233" s="30">
        <f t="shared" si="151"/>
        <v>2.4809767459508998</v>
      </c>
      <c r="AD233" s="30">
        <f t="shared" si="152"/>
        <v>0</v>
      </c>
      <c r="AE233" s="32">
        <f t="shared" si="162"/>
        <v>12.263919975533264</v>
      </c>
      <c r="AF233" s="33">
        <f t="shared" si="129"/>
        <v>12.263919975533264</v>
      </c>
      <c r="AG233" s="40">
        <f t="shared" si="163"/>
        <v>3.4051354608148365</v>
      </c>
      <c r="AH233" s="224">
        <f>AG233*$P$33</f>
        <v>0.28558411398305406</v>
      </c>
      <c r="AI233" s="227">
        <f t="shared" si="164"/>
        <v>35.120469616065499</v>
      </c>
    </row>
    <row r="234" spans="1:35" x14ac:dyDescent="0.35">
      <c r="A234" s="48">
        <v>1615</v>
      </c>
      <c r="B234" s="58">
        <f>SUMIF([2]!Table2_23[ETA],'FIS Current Model'!A234,[2]!Table2_23[FIS PAX])</f>
        <v>0</v>
      </c>
      <c r="C234" s="44">
        <f t="shared" si="165"/>
        <v>18</v>
      </c>
      <c r="D234" s="52">
        <f t="shared" ref="D234:D297" si="169">MAX(D233-$E$31+B233,0)</f>
        <v>152</v>
      </c>
      <c r="E234" s="26">
        <f t="shared" si="153"/>
        <v>9.9503999999999984</v>
      </c>
      <c r="F234" s="26">
        <f t="shared" si="154"/>
        <v>4.2713999999999999</v>
      </c>
      <c r="G234" s="26">
        <f t="shared" si="155"/>
        <v>2.9447999999999999</v>
      </c>
      <c r="H234" s="26">
        <f t="shared" si="166"/>
        <v>0.83340000000000003</v>
      </c>
      <c r="I234" s="27">
        <f t="shared" si="130"/>
        <v>9.9503999999999984</v>
      </c>
      <c r="J234" s="27">
        <f t="shared" si="130"/>
        <v>4.2713999999999999</v>
      </c>
      <c r="K234" s="27">
        <f t="shared" si="130"/>
        <v>2.9447999999999999</v>
      </c>
      <c r="L234" s="27">
        <f t="shared" si="128"/>
        <v>0.83340000000000003</v>
      </c>
      <c r="M234" s="28">
        <f t="shared" si="145"/>
        <v>3</v>
      </c>
      <c r="N234" s="29">
        <f t="shared" si="146"/>
        <v>7</v>
      </c>
      <c r="O234" s="28">
        <f t="shared" si="147"/>
        <v>1</v>
      </c>
      <c r="P234" s="28">
        <f t="shared" si="148"/>
        <v>0</v>
      </c>
      <c r="Q234" s="28">
        <f t="shared" si="156"/>
        <v>11</v>
      </c>
      <c r="R234" s="22">
        <f t="shared" si="157"/>
        <v>131.57856912791584</v>
      </c>
      <c r="S234" s="22">
        <f t="shared" si="158"/>
        <v>20.844206072220196</v>
      </c>
      <c r="T234" s="22">
        <f t="shared" si="159"/>
        <v>11.597320875522094</v>
      </c>
      <c r="U234" s="22">
        <f t="shared" si="160"/>
        <v>12.500999999999996</v>
      </c>
      <c r="V234" s="21">
        <f t="shared" si="135"/>
        <v>17.713106976000031</v>
      </c>
      <c r="W234" s="21">
        <f t="shared" si="136"/>
        <v>5.1075868345999975</v>
      </c>
      <c r="X234" s="21">
        <f t="shared" si="167"/>
        <v>3.9733233131999981</v>
      </c>
      <c r="Y234" s="21">
        <f t="shared" si="168"/>
        <v>0</v>
      </c>
      <c r="Z234" s="221">
        <f t="shared" si="161"/>
        <v>12</v>
      </c>
      <c r="AA234" s="30">
        <f t="shared" si="149"/>
        <v>6.3140692319120486</v>
      </c>
      <c r="AB234" s="30">
        <f t="shared" si="150"/>
        <v>3.4688739976703165</v>
      </c>
      <c r="AC234" s="30">
        <f t="shared" si="151"/>
        <v>2.4809767459508998</v>
      </c>
      <c r="AD234" s="30">
        <f t="shared" si="152"/>
        <v>0</v>
      </c>
      <c r="AE234" s="32">
        <f t="shared" si="162"/>
        <v>12.263919975533264</v>
      </c>
      <c r="AF234" s="33">
        <f t="shared" si="129"/>
        <v>12.263919975533264</v>
      </c>
      <c r="AG234" s="40">
        <f t="shared" si="163"/>
        <v>3.7456490068963202</v>
      </c>
      <c r="AH234" s="224">
        <f>AG234*$P$33</f>
        <v>0.31414252538135945</v>
      </c>
      <c r="AI234" s="227">
        <f t="shared" si="164"/>
        <v>35.107466630461133</v>
      </c>
    </row>
    <row r="235" spans="1:35" x14ac:dyDescent="0.35">
      <c r="A235" s="48">
        <v>1616</v>
      </c>
      <c r="B235" s="58">
        <f>SUMIF([2]!Table2_23[ETA],'FIS Current Model'!A235,[2]!Table2_23[FIS PAX])</f>
        <v>0</v>
      </c>
      <c r="C235" s="44">
        <f t="shared" si="165"/>
        <v>18</v>
      </c>
      <c r="D235" s="52">
        <f t="shared" si="169"/>
        <v>134</v>
      </c>
      <c r="E235" s="26">
        <f t="shared" si="153"/>
        <v>9.9503999999999984</v>
      </c>
      <c r="F235" s="26">
        <f t="shared" si="154"/>
        <v>4.2713999999999999</v>
      </c>
      <c r="G235" s="26">
        <f t="shared" si="155"/>
        <v>2.9447999999999999</v>
      </c>
      <c r="H235" s="26">
        <f t="shared" si="166"/>
        <v>0.83340000000000003</v>
      </c>
      <c r="I235" s="27">
        <f t="shared" si="130"/>
        <v>9.9503999999999984</v>
      </c>
      <c r="J235" s="27">
        <f t="shared" si="130"/>
        <v>4.2713999999999999</v>
      </c>
      <c r="K235" s="27">
        <f t="shared" si="130"/>
        <v>2.9447999999999999</v>
      </c>
      <c r="L235" s="27">
        <f t="shared" si="128"/>
        <v>0.83340000000000003</v>
      </c>
      <c r="M235" s="28">
        <f>IF(R234=0,0,$Q$19)</f>
        <v>3</v>
      </c>
      <c r="N235" s="29">
        <f>$U$19-M235-O235-P235</f>
        <v>6</v>
      </c>
      <c r="O235" s="28">
        <f>IF(T234=0,0,$S$19)</f>
        <v>1</v>
      </c>
      <c r="P235" s="28">
        <f>IF(U234=0,0,$T$19)</f>
        <v>1</v>
      </c>
      <c r="Q235" s="28">
        <f t="shared" si="156"/>
        <v>11</v>
      </c>
      <c r="R235" s="22">
        <f t="shared" si="157"/>
        <v>135.2148998960038</v>
      </c>
      <c r="S235" s="22">
        <f t="shared" si="158"/>
        <v>22.142285502788496</v>
      </c>
      <c r="T235" s="22">
        <f t="shared" si="159"/>
        <v>12.061144129571193</v>
      </c>
      <c r="U235" s="22">
        <f t="shared" si="160"/>
        <v>11.49806696264034</v>
      </c>
      <c r="V235" s="21">
        <f t="shared" si="135"/>
        <v>18.202629824000031</v>
      </c>
      <c r="W235" s="21">
        <f t="shared" si="136"/>
        <v>6.3299406296333309</v>
      </c>
      <c r="X235" s="21">
        <f t="shared" si="167"/>
        <v>4.1322324067999974</v>
      </c>
      <c r="Y235" s="21">
        <f t="shared" si="168"/>
        <v>5.3222137375999976</v>
      </c>
      <c r="Z235" s="221">
        <f t="shared" si="161"/>
        <v>13</v>
      </c>
      <c r="AA235" s="30">
        <f t="shared" si="149"/>
        <v>6.3140692319120486</v>
      </c>
      <c r="AB235" s="30">
        <f t="shared" si="150"/>
        <v>2.9733205694316993</v>
      </c>
      <c r="AC235" s="30">
        <f t="shared" si="151"/>
        <v>2.4809767459508998</v>
      </c>
      <c r="AD235" s="30">
        <f t="shared" si="152"/>
        <v>1.8363330373596554</v>
      </c>
      <c r="AE235" s="32">
        <f t="shared" si="162"/>
        <v>13.604699584654302</v>
      </c>
      <c r="AF235" s="33">
        <f t="shared" si="129"/>
        <v>12.263919975533264</v>
      </c>
      <c r="AG235" s="40">
        <f t="shared" si="163"/>
        <v>4.0861625529778038</v>
      </c>
      <c r="AH235" s="224">
        <f>AG235*$P$33</f>
        <v>0.34270093677966484</v>
      </c>
      <c r="AI235" s="227">
        <f t="shared" si="164"/>
        <v>36.081460659252407</v>
      </c>
    </row>
    <row r="236" spans="1:35" x14ac:dyDescent="0.35">
      <c r="A236" s="48">
        <v>1617</v>
      </c>
      <c r="B236" s="58">
        <f>SUMIF([2]!Table2_23[ETA],'FIS Current Model'!A236,[2]!Table2_23[FIS PAX])</f>
        <v>0</v>
      </c>
      <c r="C236" s="44">
        <f t="shared" si="165"/>
        <v>18</v>
      </c>
      <c r="D236" s="52">
        <f t="shared" si="169"/>
        <v>116</v>
      </c>
      <c r="E236" s="26">
        <f t="shared" si="153"/>
        <v>9.9503999999999984</v>
      </c>
      <c r="F236" s="26">
        <f t="shared" si="154"/>
        <v>4.2713999999999999</v>
      </c>
      <c r="G236" s="26">
        <f t="shared" si="155"/>
        <v>2.9447999999999999</v>
      </c>
      <c r="H236" s="26">
        <f t="shared" si="166"/>
        <v>0.83340000000000003</v>
      </c>
      <c r="I236" s="27">
        <f t="shared" si="130"/>
        <v>9.9503999999999984</v>
      </c>
      <c r="J236" s="27">
        <f t="shared" si="130"/>
        <v>4.2713999999999999</v>
      </c>
      <c r="K236" s="27">
        <f t="shared" si="130"/>
        <v>2.9447999999999999</v>
      </c>
      <c r="L236" s="27">
        <f t="shared" si="130"/>
        <v>0.83340000000000003</v>
      </c>
      <c r="M236" s="28">
        <f>$M$235</f>
        <v>3</v>
      </c>
      <c r="N236" s="29">
        <f>$N$235</f>
        <v>6</v>
      </c>
      <c r="O236" s="28">
        <f>$O$235</f>
        <v>1</v>
      </c>
      <c r="P236" s="28">
        <f>$P$235</f>
        <v>1</v>
      </c>
      <c r="Q236" s="28">
        <f t="shared" si="156"/>
        <v>11</v>
      </c>
      <c r="R236" s="22">
        <f t="shared" si="157"/>
        <v>138.85123066409176</v>
      </c>
      <c r="S236" s="22">
        <f t="shared" si="158"/>
        <v>23.440364933356797</v>
      </c>
      <c r="T236" s="22">
        <f t="shared" si="159"/>
        <v>12.524967383620293</v>
      </c>
      <c r="U236" s="22">
        <f t="shared" si="160"/>
        <v>10.495133925280685</v>
      </c>
      <c r="V236" s="21">
        <f t="shared" si="135"/>
        <v>18.692152672000031</v>
      </c>
      <c r="W236" s="21">
        <f t="shared" si="136"/>
        <v>6.7010299522333305</v>
      </c>
      <c r="X236" s="21">
        <f t="shared" si="167"/>
        <v>4.2911415003999975</v>
      </c>
      <c r="Y236" s="21">
        <f t="shared" si="168"/>
        <v>4.8579770961999982</v>
      </c>
      <c r="Z236" s="221">
        <f t="shared" si="161"/>
        <v>13</v>
      </c>
      <c r="AA236" s="30">
        <f t="shared" si="149"/>
        <v>6.3140692319120486</v>
      </c>
      <c r="AB236" s="30">
        <f t="shared" si="150"/>
        <v>2.9733205694316993</v>
      </c>
      <c r="AC236" s="30">
        <f t="shared" si="151"/>
        <v>2.4809767459508998</v>
      </c>
      <c r="AD236" s="30">
        <f t="shared" si="152"/>
        <v>1.8363330373596554</v>
      </c>
      <c r="AE236" s="32">
        <f t="shared" si="162"/>
        <v>13.604699584654302</v>
      </c>
      <c r="AF236" s="33">
        <f t="shared" ref="AF236:AF299" si="170">AE232</f>
        <v>12.263919975533264</v>
      </c>
      <c r="AG236" s="40">
        <f t="shared" si="163"/>
        <v>4.4266760990592875</v>
      </c>
      <c r="AH236" s="224">
        <f>AG236*$P$33</f>
        <v>0.37125934817797024</v>
      </c>
      <c r="AI236" s="227">
        <f t="shared" si="164"/>
        <v>36.110019070650715</v>
      </c>
    </row>
    <row r="237" spans="1:35" x14ac:dyDescent="0.35">
      <c r="A237" s="48">
        <v>1618</v>
      </c>
      <c r="B237" s="58">
        <f>SUMIF([2]!Table2_23[ETA],'FIS Current Model'!A237,[2]!Table2_23[FIS PAX])</f>
        <v>0</v>
      </c>
      <c r="C237" s="44">
        <f t="shared" si="165"/>
        <v>18</v>
      </c>
      <c r="D237" s="52">
        <f t="shared" si="169"/>
        <v>98</v>
      </c>
      <c r="E237" s="26">
        <f t="shared" si="153"/>
        <v>9.9503999999999984</v>
      </c>
      <c r="F237" s="26">
        <f t="shared" si="154"/>
        <v>4.2713999999999999</v>
      </c>
      <c r="G237" s="26">
        <f t="shared" si="155"/>
        <v>2.9447999999999999</v>
      </c>
      <c r="H237" s="26">
        <f t="shared" si="166"/>
        <v>0.83340000000000003</v>
      </c>
      <c r="I237" s="27">
        <f t="shared" ref="I237:L300" si="171">E232</f>
        <v>9.9503999999999984</v>
      </c>
      <c r="J237" s="27">
        <f t="shared" si="171"/>
        <v>4.2713999999999999</v>
      </c>
      <c r="K237" s="27">
        <f t="shared" si="171"/>
        <v>2.9447999999999999</v>
      </c>
      <c r="L237" s="27">
        <f t="shared" si="171"/>
        <v>0.83340000000000003</v>
      </c>
      <c r="M237" s="28">
        <f t="shared" ref="M237:M249" si="172">$M$235</f>
        <v>3</v>
      </c>
      <c r="N237" s="29">
        <f t="shared" ref="N237:N249" si="173">$N$235</f>
        <v>6</v>
      </c>
      <c r="O237" s="28">
        <f t="shared" ref="O237:O249" si="174">$O$235</f>
        <v>1</v>
      </c>
      <c r="P237" s="28">
        <f t="shared" ref="P237:P249" si="175">$P$235</f>
        <v>1</v>
      </c>
      <c r="Q237" s="28">
        <f t="shared" si="156"/>
        <v>11</v>
      </c>
      <c r="R237" s="22">
        <f t="shared" si="157"/>
        <v>142.48756143217972</v>
      </c>
      <c r="S237" s="22">
        <f t="shared" si="158"/>
        <v>24.738444363925097</v>
      </c>
      <c r="T237" s="22">
        <f t="shared" si="159"/>
        <v>12.988790637669393</v>
      </c>
      <c r="U237" s="22">
        <f t="shared" si="160"/>
        <v>9.4922008879210296</v>
      </c>
      <c r="V237" s="21">
        <f t="shared" si="135"/>
        <v>19.181675520000031</v>
      </c>
      <c r="W237" s="21">
        <f t="shared" si="136"/>
        <v>7.0721192748333301</v>
      </c>
      <c r="X237" s="21">
        <f t="shared" si="167"/>
        <v>4.4500505939999977</v>
      </c>
      <c r="Y237" s="21">
        <f t="shared" si="168"/>
        <v>4.3937404547999979</v>
      </c>
      <c r="Z237" s="221">
        <f t="shared" si="161"/>
        <v>14</v>
      </c>
      <c r="AA237" s="30">
        <f t="shared" si="149"/>
        <v>6.3140692319120486</v>
      </c>
      <c r="AB237" s="30">
        <f t="shared" si="150"/>
        <v>2.9733205694316993</v>
      </c>
      <c r="AC237" s="30">
        <f t="shared" si="151"/>
        <v>2.4809767459508998</v>
      </c>
      <c r="AD237" s="30">
        <f t="shared" si="152"/>
        <v>1.8363330373596554</v>
      </c>
      <c r="AE237" s="32">
        <f t="shared" si="162"/>
        <v>13.604699584654302</v>
      </c>
      <c r="AF237" s="33">
        <f t="shared" si="170"/>
        <v>12.263919975533264</v>
      </c>
      <c r="AG237" s="40">
        <f t="shared" si="163"/>
        <v>4.7671896451407711</v>
      </c>
      <c r="AH237" s="224">
        <f>AG237*$P$33</f>
        <v>0.39981775957627563</v>
      </c>
      <c r="AI237" s="227">
        <f t="shared" si="164"/>
        <v>37.167135893447323</v>
      </c>
    </row>
    <row r="238" spans="1:35" x14ac:dyDescent="0.35">
      <c r="A238" s="48">
        <v>1619</v>
      </c>
      <c r="B238" s="58">
        <f>SUMIF([2]!Table2_23[ETA],'FIS Current Model'!A238,[2]!Table2_23[FIS PAX])</f>
        <v>0</v>
      </c>
      <c r="C238" s="44">
        <f t="shared" si="165"/>
        <v>18</v>
      </c>
      <c r="D238" s="52">
        <f t="shared" si="169"/>
        <v>80</v>
      </c>
      <c r="E238" s="26">
        <f t="shared" si="153"/>
        <v>9.9503999999999984</v>
      </c>
      <c r="F238" s="26">
        <f t="shared" si="154"/>
        <v>4.2713999999999999</v>
      </c>
      <c r="G238" s="26">
        <f t="shared" si="155"/>
        <v>2.9447999999999999</v>
      </c>
      <c r="H238" s="26">
        <f t="shared" si="166"/>
        <v>0.83340000000000003</v>
      </c>
      <c r="I238" s="27">
        <f t="shared" si="171"/>
        <v>9.9503999999999984</v>
      </c>
      <c r="J238" s="27">
        <f t="shared" si="171"/>
        <v>4.2713999999999999</v>
      </c>
      <c r="K238" s="27">
        <f t="shared" si="171"/>
        <v>2.9447999999999999</v>
      </c>
      <c r="L238" s="27">
        <f t="shared" si="171"/>
        <v>0.83340000000000003</v>
      </c>
      <c r="M238" s="28">
        <f t="shared" si="172"/>
        <v>3</v>
      </c>
      <c r="N238" s="29">
        <f t="shared" si="173"/>
        <v>6</v>
      </c>
      <c r="O238" s="28">
        <f t="shared" si="174"/>
        <v>1</v>
      </c>
      <c r="P238" s="28">
        <f t="shared" si="175"/>
        <v>1</v>
      </c>
      <c r="Q238" s="28">
        <f t="shared" si="156"/>
        <v>11</v>
      </c>
      <c r="R238" s="22">
        <f t="shared" si="157"/>
        <v>146.12389220026768</v>
      </c>
      <c r="S238" s="22">
        <f t="shared" si="158"/>
        <v>26.036523794493398</v>
      </c>
      <c r="T238" s="22">
        <f t="shared" si="159"/>
        <v>13.452613891718492</v>
      </c>
      <c r="U238" s="22">
        <f t="shared" si="160"/>
        <v>8.4892678505613741</v>
      </c>
      <c r="V238" s="21">
        <f t="shared" si="135"/>
        <v>19.671198368000034</v>
      </c>
      <c r="W238" s="21">
        <f t="shared" si="136"/>
        <v>7.4432085974333306</v>
      </c>
      <c r="X238" s="21">
        <f t="shared" si="167"/>
        <v>4.6089596875999979</v>
      </c>
      <c r="Y238" s="21">
        <f t="shared" si="168"/>
        <v>3.929503813399998</v>
      </c>
      <c r="Z238" s="221">
        <f t="shared" si="161"/>
        <v>14</v>
      </c>
      <c r="AA238" s="30">
        <f t="shared" si="149"/>
        <v>6.3140692319120486</v>
      </c>
      <c r="AB238" s="30">
        <f t="shared" si="150"/>
        <v>2.9733205694316993</v>
      </c>
      <c r="AC238" s="30">
        <f t="shared" si="151"/>
        <v>2.4809767459508998</v>
      </c>
      <c r="AD238" s="30">
        <f t="shared" si="152"/>
        <v>1.8363330373596554</v>
      </c>
      <c r="AE238" s="32">
        <f t="shared" si="162"/>
        <v>13.604699584654302</v>
      </c>
      <c r="AF238" s="33">
        <f t="shared" si="170"/>
        <v>12.263919975533264</v>
      </c>
      <c r="AG238" s="40">
        <f t="shared" si="163"/>
        <v>5.1077031912222548</v>
      </c>
      <c r="AH238" s="224">
        <f>AG238*$P$33</f>
        <v>0.42837617097458108</v>
      </c>
      <c r="AI238" s="227">
        <f t="shared" si="164"/>
        <v>37.195694304845631</v>
      </c>
    </row>
    <row r="239" spans="1:35" x14ac:dyDescent="0.35">
      <c r="A239" s="48">
        <v>1620</v>
      </c>
      <c r="B239" s="58">
        <f>SUMIF([2]!Table2_23[ETA],'FIS Current Model'!A239,[2]!Table2_23[FIS PAX])</f>
        <v>0</v>
      </c>
      <c r="C239" s="44">
        <f t="shared" si="165"/>
        <v>18</v>
      </c>
      <c r="D239" s="52">
        <f t="shared" si="169"/>
        <v>62</v>
      </c>
      <c r="E239" s="26">
        <f t="shared" si="153"/>
        <v>9.9503999999999984</v>
      </c>
      <c r="F239" s="26">
        <f t="shared" si="154"/>
        <v>4.2713999999999999</v>
      </c>
      <c r="G239" s="26">
        <f t="shared" si="155"/>
        <v>2.9447999999999999</v>
      </c>
      <c r="H239" s="26">
        <f t="shared" si="166"/>
        <v>0.83340000000000003</v>
      </c>
      <c r="I239" s="27">
        <f t="shared" si="171"/>
        <v>9.9503999999999984</v>
      </c>
      <c r="J239" s="27">
        <f t="shared" si="171"/>
        <v>4.2713999999999999</v>
      </c>
      <c r="K239" s="27">
        <f t="shared" si="171"/>
        <v>2.9447999999999999</v>
      </c>
      <c r="L239" s="27">
        <f t="shared" si="171"/>
        <v>0.83340000000000003</v>
      </c>
      <c r="M239" s="28">
        <f t="shared" si="172"/>
        <v>3</v>
      </c>
      <c r="N239" s="29">
        <f t="shared" si="173"/>
        <v>6</v>
      </c>
      <c r="O239" s="28">
        <f t="shared" si="174"/>
        <v>1</v>
      </c>
      <c r="P239" s="28">
        <f t="shared" si="175"/>
        <v>1</v>
      </c>
      <c r="Q239" s="28">
        <f t="shared" si="156"/>
        <v>11</v>
      </c>
      <c r="R239" s="22">
        <f t="shared" si="157"/>
        <v>149.76022296835563</v>
      </c>
      <c r="S239" s="22">
        <f t="shared" si="158"/>
        <v>27.334603225061699</v>
      </c>
      <c r="T239" s="22">
        <f t="shared" si="159"/>
        <v>13.916437145767592</v>
      </c>
      <c r="U239" s="22">
        <f t="shared" si="160"/>
        <v>7.4863348132017187</v>
      </c>
      <c r="V239" s="21">
        <f t="shared" si="135"/>
        <v>20.160721216000034</v>
      </c>
      <c r="W239" s="21">
        <f t="shared" si="136"/>
        <v>7.8142979200333302</v>
      </c>
      <c r="X239" s="21">
        <f t="shared" si="167"/>
        <v>4.7678687811999971</v>
      </c>
      <c r="Y239" s="21">
        <f t="shared" si="168"/>
        <v>3.4652671719999981</v>
      </c>
      <c r="Z239" s="221">
        <f t="shared" si="161"/>
        <v>14</v>
      </c>
      <c r="AA239" s="30">
        <f t="shared" si="149"/>
        <v>6.3140692319120486</v>
      </c>
      <c r="AB239" s="30">
        <f t="shared" si="150"/>
        <v>2.9733205694316993</v>
      </c>
      <c r="AC239" s="30">
        <f t="shared" si="151"/>
        <v>2.4809767459508998</v>
      </c>
      <c r="AD239" s="30">
        <f t="shared" si="152"/>
        <v>1.8363330373596554</v>
      </c>
      <c r="AE239" s="32">
        <f t="shared" si="162"/>
        <v>13.604699584654302</v>
      </c>
      <c r="AF239" s="33">
        <f t="shared" si="170"/>
        <v>13.604699584654302</v>
      </c>
      <c r="AG239" s="40">
        <f t="shared" si="163"/>
        <v>6.788996346424776</v>
      </c>
      <c r="AH239" s="224">
        <f>AG239*$P$33</f>
        <v>0.5693839580654908</v>
      </c>
      <c r="AI239" s="227">
        <f t="shared" si="164"/>
        <v>37.224252716243939</v>
      </c>
    </row>
    <row r="240" spans="1:35" x14ac:dyDescent="0.35">
      <c r="A240" s="48">
        <v>1621</v>
      </c>
      <c r="B240" s="58">
        <f>SUMIF([2]!Table2_23[ETA],'FIS Current Model'!A240,[2]!Table2_23[FIS PAX])</f>
        <v>0</v>
      </c>
      <c r="C240" s="44">
        <f t="shared" si="165"/>
        <v>18</v>
      </c>
      <c r="D240" s="52">
        <f t="shared" si="169"/>
        <v>44</v>
      </c>
      <c r="E240" s="26">
        <f t="shared" si="153"/>
        <v>9.9503999999999984</v>
      </c>
      <c r="F240" s="26">
        <f t="shared" si="154"/>
        <v>4.2713999999999999</v>
      </c>
      <c r="G240" s="26">
        <f t="shared" si="155"/>
        <v>2.9447999999999999</v>
      </c>
      <c r="H240" s="26">
        <f t="shared" si="166"/>
        <v>0.83340000000000003</v>
      </c>
      <c r="I240" s="27">
        <f t="shared" si="171"/>
        <v>9.9503999999999984</v>
      </c>
      <c r="J240" s="27">
        <f t="shared" si="171"/>
        <v>4.2713999999999999</v>
      </c>
      <c r="K240" s="27">
        <f t="shared" si="171"/>
        <v>2.9447999999999999</v>
      </c>
      <c r="L240" s="27">
        <f t="shared" si="171"/>
        <v>0.83340000000000003</v>
      </c>
      <c r="M240" s="28">
        <f t="shared" si="172"/>
        <v>3</v>
      </c>
      <c r="N240" s="29">
        <f t="shared" si="173"/>
        <v>6</v>
      </c>
      <c r="O240" s="28">
        <f t="shared" si="174"/>
        <v>1</v>
      </c>
      <c r="P240" s="28">
        <f t="shared" si="175"/>
        <v>1</v>
      </c>
      <c r="Q240" s="28">
        <f t="shared" si="156"/>
        <v>11</v>
      </c>
      <c r="R240" s="22">
        <f t="shared" si="157"/>
        <v>153.39655373644359</v>
      </c>
      <c r="S240" s="22">
        <f t="shared" si="158"/>
        <v>28.632682655629999</v>
      </c>
      <c r="T240" s="22">
        <f t="shared" si="159"/>
        <v>14.380260399816692</v>
      </c>
      <c r="U240" s="22">
        <f t="shared" si="160"/>
        <v>6.4834017758420632</v>
      </c>
      <c r="V240" s="21">
        <f t="shared" si="135"/>
        <v>20.650244064000034</v>
      </c>
      <c r="W240" s="21">
        <f t="shared" si="136"/>
        <v>8.1853872426333307</v>
      </c>
      <c r="X240" s="21">
        <f t="shared" si="167"/>
        <v>4.9267778747999973</v>
      </c>
      <c r="Y240" s="21">
        <f t="shared" si="168"/>
        <v>3.0010305305999982</v>
      </c>
      <c r="Z240" s="221">
        <f t="shared" si="161"/>
        <v>15</v>
      </c>
      <c r="AA240" s="30">
        <f t="shared" si="149"/>
        <v>6.3140692319120486</v>
      </c>
      <c r="AB240" s="30">
        <f t="shared" si="150"/>
        <v>2.9733205694316993</v>
      </c>
      <c r="AC240" s="30">
        <f t="shared" si="151"/>
        <v>2.4809767459508998</v>
      </c>
      <c r="AD240" s="30">
        <f t="shared" si="152"/>
        <v>1.8363330373596554</v>
      </c>
      <c r="AE240" s="32">
        <f t="shared" si="162"/>
        <v>13.604699584654302</v>
      </c>
      <c r="AF240" s="33">
        <f t="shared" si="170"/>
        <v>13.604699584654302</v>
      </c>
      <c r="AG240" s="40">
        <f t="shared" si="163"/>
        <v>8.4702895016272972</v>
      </c>
      <c r="AH240" s="224">
        <f>AG240*$P$33</f>
        <v>0.71039174515640058</v>
      </c>
      <c r="AI240" s="227">
        <f t="shared" si="164"/>
        <v>38.281369539040547</v>
      </c>
    </row>
    <row r="241" spans="1:35" x14ac:dyDescent="0.35">
      <c r="A241" s="48">
        <v>1622</v>
      </c>
      <c r="B241" s="58">
        <f>SUMIF([2]!Table2_23[ETA],'FIS Current Model'!A241,[2]!Table2_23[FIS PAX])</f>
        <v>0</v>
      </c>
      <c r="C241" s="44">
        <f t="shared" si="165"/>
        <v>18</v>
      </c>
      <c r="D241" s="52">
        <f t="shared" si="169"/>
        <v>26</v>
      </c>
      <c r="E241" s="26">
        <f t="shared" si="153"/>
        <v>9.9503999999999984</v>
      </c>
      <c r="F241" s="26">
        <f t="shared" si="154"/>
        <v>4.2713999999999999</v>
      </c>
      <c r="G241" s="26">
        <f t="shared" si="155"/>
        <v>2.9447999999999999</v>
      </c>
      <c r="H241" s="26">
        <f t="shared" si="166"/>
        <v>0.83340000000000003</v>
      </c>
      <c r="I241" s="27">
        <f t="shared" si="171"/>
        <v>9.9503999999999984</v>
      </c>
      <c r="J241" s="27">
        <f t="shared" si="171"/>
        <v>4.2713999999999999</v>
      </c>
      <c r="K241" s="27">
        <f t="shared" si="171"/>
        <v>2.9447999999999999</v>
      </c>
      <c r="L241" s="27">
        <f t="shared" si="171"/>
        <v>0.83340000000000003</v>
      </c>
      <c r="M241" s="28">
        <f t="shared" si="172"/>
        <v>3</v>
      </c>
      <c r="N241" s="29">
        <f t="shared" si="173"/>
        <v>6</v>
      </c>
      <c r="O241" s="28">
        <f t="shared" si="174"/>
        <v>1</v>
      </c>
      <c r="P241" s="28">
        <f t="shared" si="175"/>
        <v>1</v>
      </c>
      <c r="Q241" s="28">
        <f t="shared" si="156"/>
        <v>11</v>
      </c>
      <c r="R241" s="22">
        <f t="shared" si="157"/>
        <v>157.03288450453155</v>
      </c>
      <c r="S241" s="22">
        <f t="shared" si="158"/>
        <v>29.9307620861983</v>
      </c>
      <c r="T241" s="22">
        <f t="shared" si="159"/>
        <v>14.844083653865791</v>
      </c>
      <c r="U241" s="22">
        <f t="shared" si="160"/>
        <v>5.4804687384824078</v>
      </c>
      <c r="V241" s="21">
        <f t="shared" si="135"/>
        <v>21.139766912000034</v>
      </c>
      <c r="W241" s="21">
        <f t="shared" si="136"/>
        <v>8.5564765652333303</v>
      </c>
      <c r="X241" s="21">
        <f t="shared" si="167"/>
        <v>5.0856869683999975</v>
      </c>
      <c r="Y241" s="21">
        <f t="shared" si="168"/>
        <v>2.5367938891999984</v>
      </c>
      <c r="Z241" s="221">
        <f t="shared" si="161"/>
        <v>15</v>
      </c>
      <c r="AA241" s="30">
        <f t="shared" si="149"/>
        <v>6.3140692319120486</v>
      </c>
      <c r="AB241" s="30">
        <f t="shared" si="150"/>
        <v>2.9733205694316993</v>
      </c>
      <c r="AC241" s="30">
        <f t="shared" si="151"/>
        <v>2.4809767459508998</v>
      </c>
      <c r="AD241" s="30">
        <f t="shared" si="152"/>
        <v>1.8363330373596554</v>
      </c>
      <c r="AE241" s="32">
        <f t="shared" si="162"/>
        <v>13.604699584654302</v>
      </c>
      <c r="AF241" s="33">
        <f t="shared" si="170"/>
        <v>13.604699584654302</v>
      </c>
      <c r="AG241" s="40">
        <f t="shared" si="163"/>
        <v>10.151582656829818</v>
      </c>
      <c r="AH241" s="224">
        <f>AG241*$P$33</f>
        <v>0.85139953224731035</v>
      </c>
      <c r="AI241" s="227">
        <f t="shared" si="164"/>
        <v>38.309927950438848</v>
      </c>
    </row>
    <row r="242" spans="1:35" x14ac:dyDescent="0.35">
      <c r="A242" s="48">
        <v>1623</v>
      </c>
      <c r="B242" s="58">
        <f>SUMIF([2]!Table2_23[ETA],'FIS Current Model'!A242,[2]!Table2_23[FIS PAX])</f>
        <v>0</v>
      </c>
      <c r="C242" s="44">
        <f t="shared" si="165"/>
        <v>18</v>
      </c>
      <c r="D242" s="52">
        <f t="shared" si="169"/>
        <v>8</v>
      </c>
      <c r="E242" s="26">
        <f t="shared" si="153"/>
        <v>9.9503999999999984</v>
      </c>
      <c r="F242" s="26">
        <f t="shared" si="154"/>
        <v>4.2713999999999999</v>
      </c>
      <c r="G242" s="26">
        <f t="shared" si="155"/>
        <v>2.9447999999999999</v>
      </c>
      <c r="H242" s="26">
        <f t="shared" si="166"/>
        <v>0.83340000000000003</v>
      </c>
      <c r="I242" s="27">
        <f t="shared" si="171"/>
        <v>9.9503999999999984</v>
      </c>
      <c r="J242" s="27">
        <f t="shared" si="171"/>
        <v>4.2713999999999999</v>
      </c>
      <c r="K242" s="27">
        <f t="shared" si="171"/>
        <v>2.9447999999999999</v>
      </c>
      <c r="L242" s="27">
        <f t="shared" si="171"/>
        <v>0.83340000000000003</v>
      </c>
      <c r="M242" s="28">
        <f t="shared" si="172"/>
        <v>3</v>
      </c>
      <c r="N242" s="29">
        <f t="shared" si="173"/>
        <v>6</v>
      </c>
      <c r="O242" s="28">
        <f t="shared" si="174"/>
        <v>1</v>
      </c>
      <c r="P242" s="28">
        <f t="shared" si="175"/>
        <v>1</v>
      </c>
      <c r="Q242" s="28">
        <f t="shared" si="156"/>
        <v>11</v>
      </c>
      <c r="R242" s="22">
        <f t="shared" si="157"/>
        <v>160.66921527261951</v>
      </c>
      <c r="S242" s="22">
        <f t="shared" si="158"/>
        <v>31.2288415167666</v>
      </c>
      <c r="T242" s="22">
        <f t="shared" si="159"/>
        <v>15.307906907914891</v>
      </c>
      <c r="U242" s="22">
        <f t="shared" si="160"/>
        <v>4.4775357011227523</v>
      </c>
      <c r="V242" s="21">
        <f t="shared" si="135"/>
        <v>21.629289760000038</v>
      </c>
      <c r="W242" s="21">
        <f t="shared" si="136"/>
        <v>8.9275658878333299</v>
      </c>
      <c r="X242" s="21">
        <f t="shared" si="167"/>
        <v>5.2445960619999967</v>
      </c>
      <c r="Y242" s="21">
        <f t="shared" si="168"/>
        <v>2.0725572477999985</v>
      </c>
      <c r="Z242" s="221">
        <f t="shared" si="161"/>
        <v>16</v>
      </c>
      <c r="AA242" s="30">
        <f t="shared" si="149"/>
        <v>6.3140692319120486</v>
      </c>
      <c r="AB242" s="30">
        <f t="shared" si="150"/>
        <v>2.9733205694316993</v>
      </c>
      <c r="AC242" s="30">
        <f t="shared" si="151"/>
        <v>2.4809767459508998</v>
      </c>
      <c r="AD242" s="30">
        <f t="shared" si="152"/>
        <v>1.8363330373596554</v>
      </c>
      <c r="AE242" s="32">
        <f t="shared" si="162"/>
        <v>13.604699584654302</v>
      </c>
      <c r="AF242" s="33">
        <f t="shared" si="170"/>
        <v>13.604699584654302</v>
      </c>
      <c r="AG242" s="40">
        <f t="shared" si="163"/>
        <v>11.83287581203234</v>
      </c>
      <c r="AH242" s="224">
        <f>AG242*$P$33</f>
        <v>0.99240731933822013</v>
      </c>
      <c r="AI242" s="227">
        <f t="shared" si="164"/>
        <v>39.367044773235463</v>
      </c>
    </row>
    <row r="243" spans="1:35" x14ac:dyDescent="0.35">
      <c r="A243" s="48">
        <v>1624</v>
      </c>
      <c r="B243" s="58">
        <f>SUMIF([2]!Table2_23[ETA],'FIS Current Model'!A243,[2]!Table2_23[FIS PAX])</f>
        <v>0</v>
      </c>
      <c r="C243" s="44">
        <f t="shared" si="165"/>
        <v>8</v>
      </c>
      <c r="D243" s="52">
        <f t="shared" si="169"/>
        <v>0</v>
      </c>
      <c r="E243" s="26">
        <f t="shared" si="153"/>
        <v>4.4223999999999997</v>
      </c>
      <c r="F243" s="26">
        <f t="shared" si="154"/>
        <v>1.8984000000000001</v>
      </c>
      <c r="G243" s="26">
        <f t="shared" si="155"/>
        <v>1.3088</v>
      </c>
      <c r="H243" s="26">
        <f t="shared" si="166"/>
        <v>0.37040000000000001</v>
      </c>
      <c r="I243" s="27">
        <f t="shared" si="171"/>
        <v>9.9503999999999984</v>
      </c>
      <c r="J243" s="27">
        <f t="shared" si="171"/>
        <v>4.2713999999999999</v>
      </c>
      <c r="K243" s="27">
        <f t="shared" si="171"/>
        <v>2.9447999999999999</v>
      </c>
      <c r="L243" s="27">
        <f t="shared" si="171"/>
        <v>0.83340000000000003</v>
      </c>
      <c r="M243" s="28">
        <f t="shared" si="172"/>
        <v>3</v>
      </c>
      <c r="N243" s="29">
        <f t="shared" si="173"/>
        <v>6</v>
      </c>
      <c r="O243" s="28">
        <f t="shared" si="174"/>
        <v>1</v>
      </c>
      <c r="P243" s="28">
        <f t="shared" si="175"/>
        <v>1</v>
      </c>
      <c r="Q243" s="28">
        <f t="shared" si="156"/>
        <v>11</v>
      </c>
      <c r="R243" s="22">
        <f t="shared" si="157"/>
        <v>164.30554604070747</v>
      </c>
      <c r="S243" s="22">
        <f t="shared" si="158"/>
        <v>32.526920947334901</v>
      </c>
      <c r="T243" s="22">
        <f t="shared" si="159"/>
        <v>15.77173016196399</v>
      </c>
      <c r="U243" s="22">
        <f t="shared" si="160"/>
        <v>3.4746026637630969</v>
      </c>
      <c r="V243" s="21">
        <f t="shared" si="135"/>
        <v>22.118812608000038</v>
      </c>
      <c r="W243" s="21">
        <f t="shared" si="136"/>
        <v>9.2986552104333313</v>
      </c>
      <c r="X243" s="21">
        <f t="shared" si="167"/>
        <v>5.4035051555999969</v>
      </c>
      <c r="Y243" s="21">
        <f t="shared" si="168"/>
        <v>1.6083206063999984</v>
      </c>
      <c r="Z243" s="221">
        <f t="shared" si="161"/>
        <v>16</v>
      </c>
      <c r="AA243" s="30">
        <f t="shared" si="149"/>
        <v>6.3140692319120486</v>
      </c>
      <c r="AB243" s="30">
        <f t="shared" si="150"/>
        <v>2.9733205694316993</v>
      </c>
      <c r="AC243" s="30">
        <f t="shared" si="151"/>
        <v>2.4809767459508998</v>
      </c>
      <c r="AD243" s="30">
        <f t="shared" si="152"/>
        <v>1.8363330373596554</v>
      </c>
      <c r="AE243" s="32">
        <f t="shared" si="162"/>
        <v>13.604699584654302</v>
      </c>
      <c r="AF243" s="33">
        <f t="shared" si="170"/>
        <v>13.604699584654302</v>
      </c>
      <c r="AG243" s="40">
        <f t="shared" si="163"/>
        <v>13.514168967234861</v>
      </c>
      <c r="AH243" s="224">
        <f>AG243*$P$33</f>
        <v>1.1334151064291298</v>
      </c>
      <c r="AI243" s="227">
        <f t="shared" si="164"/>
        <v>39.395603184633764</v>
      </c>
    </row>
    <row r="244" spans="1:35" x14ac:dyDescent="0.35">
      <c r="A244" s="48">
        <v>1625</v>
      </c>
      <c r="B244" s="58">
        <f>SUMIF([2]!Table2_23[ETA],'FIS Current Model'!A244,[2]!Table2_23[FIS PAX])</f>
        <v>0</v>
      </c>
      <c r="C244" s="44">
        <f t="shared" si="165"/>
        <v>0</v>
      </c>
      <c r="D244" s="52">
        <f t="shared" si="169"/>
        <v>0</v>
      </c>
      <c r="E244" s="26">
        <f t="shared" si="153"/>
        <v>0</v>
      </c>
      <c r="F244" s="26">
        <f t="shared" si="154"/>
        <v>0</v>
      </c>
      <c r="G244" s="26">
        <f t="shared" si="155"/>
        <v>0</v>
      </c>
      <c r="H244" s="26">
        <f t="shared" si="166"/>
        <v>0</v>
      </c>
      <c r="I244" s="27">
        <f t="shared" si="171"/>
        <v>9.9503999999999984</v>
      </c>
      <c r="J244" s="27">
        <f t="shared" si="171"/>
        <v>4.2713999999999999</v>
      </c>
      <c r="K244" s="27">
        <f t="shared" si="171"/>
        <v>2.9447999999999999</v>
      </c>
      <c r="L244" s="27">
        <f t="shared" si="171"/>
        <v>0.83340000000000003</v>
      </c>
      <c r="M244" s="28">
        <f t="shared" si="172"/>
        <v>3</v>
      </c>
      <c r="N244" s="29">
        <f t="shared" si="173"/>
        <v>6</v>
      </c>
      <c r="O244" s="28">
        <f t="shared" si="174"/>
        <v>1</v>
      </c>
      <c r="P244" s="28">
        <f t="shared" si="175"/>
        <v>1</v>
      </c>
      <c r="Q244" s="28">
        <f t="shared" si="156"/>
        <v>11</v>
      </c>
      <c r="R244" s="22">
        <f t="shared" si="157"/>
        <v>167.94187680879543</v>
      </c>
      <c r="S244" s="22">
        <f t="shared" si="158"/>
        <v>33.825000377903201</v>
      </c>
      <c r="T244" s="22">
        <f t="shared" si="159"/>
        <v>16.23555341601309</v>
      </c>
      <c r="U244" s="22">
        <f t="shared" si="160"/>
        <v>2.4716696264034415</v>
      </c>
      <c r="V244" s="21">
        <f t="shared" ref="V244:V307" si="176">IFERROR(R244*($I$30/M244),0)</f>
        <v>22.608335456000038</v>
      </c>
      <c r="W244" s="21">
        <f t="shared" si="136"/>
        <v>9.6697445330333309</v>
      </c>
      <c r="X244" s="21">
        <f t="shared" si="167"/>
        <v>5.5624142491999971</v>
      </c>
      <c r="Y244" s="21">
        <f t="shared" si="168"/>
        <v>1.1440839649999985</v>
      </c>
      <c r="Z244" s="221">
        <f t="shared" si="161"/>
        <v>16</v>
      </c>
      <c r="AA244" s="30">
        <f t="shared" si="149"/>
        <v>6.3140692319120486</v>
      </c>
      <c r="AB244" s="30">
        <f t="shared" si="150"/>
        <v>2.9733205694316993</v>
      </c>
      <c r="AC244" s="30">
        <f t="shared" si="151"/>
        <v>2.4809767459508998</v>
      </c>
      <c r="AD244" s="30">
        <f t="shared" si="152"/>
        <v>1.8363330373596554</v>
      </c>
      <c r="AE244" s="32">
        <f t="shared" si="162"/>
        <v>13.604699584654302</v>
      </c>
      <c r="AF244" s="33">
        <f t="shared" si="170"/>
        <v>13.604699584654302</v>
      </c>
      <c r="AG244" s="40">
        <f t="shared" si="163"/>
        <v>15.195462122437382</v>
      </c>
      <c r="AH244" s="224">
        <f>AG244*$P$33</f>
        <v>1.2744228935200397</v>
      </c>
      <c r="AI244" s="227">
        <f t="shared" si="164"/>
        <v>39.424161596032071</v>
      </c>
    </row>
    <row r="245" spans="1:35" x14ac:dyDescent="0.35">
      <c r="A245" s="48">
        <v>1626</v>
      </c>
      <c r="B245" s="58">
        <f>SUMIF([2]!Table2_23[ETA],'FIS Current Model'!A245,[2]!Table2_23[FIS PAX])</f>
        <v>0</v>
      </c>
      <c r="C245" s="44">
        <f t="shared" si="165"/>
        <v>0</v>
      </c>
      <c r="D245" s="52">
        <f t="shared" si="169"/>
        <v>0</v>
      </c>
      <c r="E245" s="26">
        <f t="shared" si="153"/>
        <v>0</v>
      </c>
      <c r="F245" s="26">
        <f t="shared" si="154"/>
        <v>0</v>
      </c>
      <c r="G245" s="26">
        <f t="shared" si="155"/>
        <v>0</v>
      </c>
      <c r="H245" s="26">
        <f t="shared" si="166"/>
        <v>0</v>
      </c>
      <c r="I245" s="27">
        <f t="shared" si="171"/>
        <v>9.9503999999999984</v>
      </c>
      <c r="J245" s="27">
        <f t="shared" si="171"/>
        <v>4.2713999999999999</v>
      </c>
      <c r="K245" s="27">
        <f t="shared" si="171"/>
        <v>2.9447999999999999</v>
      </c>
      <c r="L245" s="27">
        <f t="shared" si="171"/>
        <v>0.83340000000000003</v>
      </c>
      <c r="M245" s="28">
        <f t="shared" si="172"/>
        <v>3</v>
      </c>
      <c r="N245" s="29">
        <f t="shared" si="173"/>
        <v>6</v>
      </c>
      <c r="O245" s="28">
        <f t="shared" si="174"/>
        <v>1</v>
      </c>
      <c r="P245" s="28">
        <f t="shared" si="175"/>
        <v>1</v>
      </c>
      <c r="Q245" s="28">
        <f t="shared" si="156"/>
        <v>11</v>
      </c>
      <c r="R245" s="22">
        <f t="shared" si="157"/>
        <v>171.57820757688339</v>
      </c>
      <c r="S245" s="22">
        <f t="shared" si="158"/>
        <v>35.123079808471502</v>
      </c>
      <c r="T245" s="22">
        <f t="shared" si="159"/>
        <v>16.69937667006219</v>
      </c>
      <c r="U245" s="22">
        <f t="shared" si="160"/>
        <v>1.468736589043786</v>
      </c>
      <c r="V245" s="21">
        <f t="shared" si="176"/>
        <v>23.097858304000038</v>
      </c>
      <c r="W245" s="21">
        <f t="shared" ref="W245:W308" si="177">IFERROR(S245*($I$31/N245),0)</f>
        <v>10.040833855633331</v>
      </c>
      <c r="X245" s="21">
        <f t="shared" si="167"/>
        <v>5.7213233427999963</v>
      </c>
      <c r="Y245" s="21">
        <f t="shared" si="168"/>
        <v>0.67984732359999855</v>
      </c>
      <c r="Z245" s="221">
        <f t="shared" si="161"/>
        <v>17</v>
      </c>
      <c r="AA245" s="30">
        <f t="shared" si="149"/>
        <v>6.3140692319120486</v>
      </c>
      <c r="AB245" s="30">
        <f t="shared" si="150"/>
        <v>2.9733205694316993</v>
      </c>
      <c r="AC245" s="30">
        <f t="shared" si="151"/>
        <v>2.4809767459508998</v>
      </c>
      <c r="AD245" s="30">
        <f t="shared" si="152"/>
        <v>1.8363330373596554</v>
      </c>
      <c r="AE245" s="32">
        <f t="shared" si="162"/>
        <v>13.604699584654302</v>
      </c>
      <c r="AF245" s="33">
        <f t="shared" si="170"/>
        <v>13.604699584654302</v>
      </c>
      <c r="AG245" s="40">
        <f t="shared" si="163"/>
        <v>16.876755277639901</v>
      </c>
      <c r="AH245" s="224">
        <f>AG245*$P$33</f>
        <v>1.4154306806109493</v>
      </c>
      <c r="AI245" s="227">
        <f t="shared" si="164"/>
        <v>40.48127841882868</v>
      </c>
    </row>
    <row r="246" spans="1:35" x14ac:dyDescent="0.35">
      <c r="A246" s="48">
        <v>1627</v>
      </c>
      <c r="B246" s="58">
        <f>SUMIF([2]!Table2_23[ETA],'FIS Current Model'!A246,[2]!Table2_23[FIS PAX])</f>
        <v>0</v>
      </c>
      <c r="C246" s="44">
        <f t="shared" si="165"/>
        <v>0</v>
      </c>
      <c r="D246" s="52">
        <f t="shared" si="169"/>
        <v>0</v>
      </c>
      <c r="E246" s="26">
        <f t="shared" si="153"/>
        <v>0</v>
      </c>
      <c r="F246" s="26">
        <f t="shared" si="154"/>
        <v>0</v>
      </c>
      <c r="G246" s="26">
        <f t="shared" si="155"/>
        <v>0</v>
      </c>
      <c r="H246" s="26">
        <f t="shared" si="166"/>
        <v>0</v>
      </c>
      <c r="I246" s="27">
        <f t="shared" si="171"/>
        <v>9.9503999999999984</v>
      </c>
      <c r="J246" s="27">
        <f t="shared" si="171"/>
        <v>4.2713999999999999</v>
      </c>
      <c r="K246" s="27">
        <f t="shared" si="171"/>
        <v>2.9447999999999999</v>
      </c>
      <c r="L246" s="27">
        <f t="shared" si="171"/>
        <v>0.83340000000000003</v>
      </c>
      <c r="M246" s="28">
        <f t="shared" si="172"/>
        <v>3</v>
      </c>
      <c r="N246" s="29">
        <f t="shared" si="173"/>
        <v>6</v>
      </c>
      <c r="O246" s="28">
        <f t="shared" si="174"/>
        <v>1</v>
      </c>
      <c r="P246" s="28">
        <f t="shared" si="175"/>
        <v>1</v>
      </c>
      <c r="Q246" s="28">
        <f t="shared" si="156"/>
        <v>11</v>
      </c>
      <c r="R246" s="22">
        <f t="shared" si="157"/>
        <v>175.21453834497134</v>
      </c>
      <c r="S246" s="22">
        <f t="shared" si="158"/>
        <v>36.421159239039802</v>
      </c>
      <c r="T246" s="22">
        <f t="shared" si="159"/>
        <v>17.163199924111289</v>
      </c>
      <c r="U246" s="22">
        <f t="shared" si="160"/>
        <v>0.46580355168413068</v>
      </c>
      <c r="V246" s="21">
        <f t="shared" si="176"/>
        <v>23.587381152000042</v>
      </c>
      <c r="W246" s="21">
        <f t="shared" si="177"/>
        <v>10.41192317823333</v>
      </c>
      <c r="X246" s="21">
        <f t="shared" si="167"/>
        <v>5.8802324363999965</v>
      </c>
      <c r="Y246" s="21">
        <f t="shared" si="168"/>
        <v>0.21561068219999871</v>
      </c>
      <c r="Z246" s="221">
        <f t="shared" si="161"/>
        <v>17</v>
      </c>
      <c r="AA246" s="30">
        <f t="shared" si="149"/>
        <v>6.3140692319120486</v>
      </c>
      <c r="AB246" s="30">
        <f t="shared" si="150"/>
        <v>2.9733205694316993</v>
      </c>
      <c r="AC246" s="30">
        <f t="shared" si="151"/>
        <v>2.4809767459508998</v>
      </c>
      <c r="AD246" s="30">
        <f t="shared" si="152"/>
        <v>1.8363330373596554</v>
      </c>
      <c r="AE246" s="32">
        <f t="shared" si="162"/>
        <v>13.604699584654302</v>
      </c>
      <c r="AF246" s="33">
        <f t="shared" si="170"/>
        <v>13.604699584654302</v>
      </c>
      <c r="AG246" s="40">
        <f t="shared" si="163"/>
        <v>18.558048432842423</v>
      </c>
      <c r="AH246" s="224">
        <f>AG246*$P$33</f>
        <v>1.556438467701859</v>
      </c>
      <c r="AI246" s="227">
        <f t="shared" si="164"/>
        <v>40.301760659995743</v>
      </c>
    </row>
    <row r="247" spans="1:35" x14ac:dyDescent="0.35">
      <c r="A247" s="48">
        <v>1628</v>
      </c>
      <c r="B247" s="58">
        <f>SUMIF([2]!Table2_23[ETA],'FIS Current Model'!A247,[2]!Table2_23[FIS PAX])</f>
        <v>139</v>
      </c>
      <c r="C247" s="44">
        <f t="shared" si="165"/>
        <v>0</v>
      </c>
      <c r="D247" s="52">
        <f t="shared" si="169"/>
        <v>0</v>
      </c>
      <c r="E247" s="26">
        <f t="shared" si="153"/>
        <v>0</v>
      </c>
      <c r="F247" s="26">
        <f t="shared" si="154"/>
        <v>0</v>
      </c>
      <c r="G247" s="26">
        <f t="shared" si="155"/>
        <v>0</v>
      </c>
      <c r="H247" s="26">
        <f t="shared" si="166"/>
        <v>0</v>
      </c>
      <c r="I247" s="27">
        <f t="shared" si="171"/>
        <v>9.9503999999999984</v>
      </c>
      <c r="J247" s="27">
        <f t="shared" si="171"/>
        <v>4.2713999999999999</v>
      </c>
      <c r="K247" s="27">
        <f t="shared" si="171"/>
        <v>2.9447999999999999</v>
      </c>
      <c r="L247" s="27">
        <f t="shared" si="171"/>
        <v>0.83340000000000003</v>
      </c>
      <c r="M247" s="28">
        <f t="shared" si="172"/>
        <v>3</v>
      </c>
      <c r="N247" s="29">
        <f t="shared" si="173"/>
        <v>6</v>
      </c>
      <c r="O247" s="28">
        <f t="shared" si="174"/>
        <v>1</v>
      </c>
      <c r="P247" s="28">
        <f t="shared" si="175"/>
        <v>1</v>
      </c>
      <c r="Q247" s="28">
        <f t="shared" si="156"/>
        <v>11</v>
      </c>
      <c r="R247" s="22">
        <f t="shared" si="157"/>
        <v>178.8508691130593</v>
      </c>
      <c r="S247" s="22">
        <f t="shared" si="158"/>
        <v>37.223685241369488</v>
      </c>
      <c r="T247" s="22">
        <f t="shared" si="159"/>
        <v>17.627023178160389</v>
      </c>
      <c r="U247" s="22">
        <f t="shared" si="160"/>
        <v>0</v>
      </c>
      <c r="V247" s="21">
        <f t="shared" si="176"/>
        <v>24.076904000000042</v>
      </c>
      <c r="W247" s="21">
        <f t="shared" si="177"/>
        <v>10.641345834166664</v>
      </c>
      <c r="X247" s="21">
        <f t="shared" si="167"/>
        <v>6.0391415299999966</v>
      </c>
      <c r="Y247" s="21">
        <f t="shared" si="168"/>
        <v>0</v>
      </c>
      <c r="Z247" s="221">
        <f t="shared" si="161"/>
        <v>17</v>
      </c>
      <c r="AA247" s="30">
        <f t="shared" si="149"/>
        <v>6.3140692319120486</v>
      </c>
      <c r="AB247" s="30">
        <f t="shared" si="150"/>
        <v>2.9733205694316993</v>
      </c>
      <c r="AC247" s="30">
        <f t="shared" si="151"/>
        <v>2.4809767459508998</v>
      </c>
      <c r="AD247" s="30">
        <f t="shared" si="152"/>
        <v>0</v>
      </c>
      <c r="AE247" s="32">
        <f t="shared" si="162"/>
        <v>11.768366547294647</v>
      </c>
      <c r="AF247" s="33">
        <f t="shared" si="170"/>
        <v>13.604699584654302</v>
      </c>
      <c r="AG247" s="40">
        <f t="shared" si="163"/>
        <v>20.239341588044944</v>
      </c>
      <c r="AH247" s="224">
        <f>AG247*$P$33</f>
        <v>1.6974462547927689</v>
      </c>
      <c r="AI247" s="227">
        <f t="shared" si="164"/>
        <v>40.276253673858079</v>
      </c>
    </row>
    <row r="248" spans="1:35" x14ac:dyDescent="0.35">
      <c r="A248" s="48">
        <v>1629</v>
      </c>
      <c r="B248" s="58">
        <f>SUMIF([2]!Table2_23[ETA],'FIS Current Model'!A248,[2]!Table2_23[FIS PAX])</f>
        <v>0</v>
      </c>
      <c r="C248" s="44">
        <f t="shared" si="165"/>
        <v>18</v>
      </c>
      <c r="D248" s="52">
        <f t="shared" si="169"/>
        <v>121</v>
      </c>
      <c r="E248" s="26">
        <f t="shared" si="153"/>
        <v>9.9503999999999984</v>
      </c>
      <c r="F248" s="26">
        <f t="shared" si="154"/>
        <v>4.2713999999999999</v>
      </c>
      <c r="G248" s="26">
        <f t="shared" si="155"/>
        <v>2.9447999999999999</v>
      </c>
      <c r="H248" s="26">
        <f t="shared" si="166"/>
        <v>0.83340000000000003</v>
      </c>
      <c r="I248" s="27">
        <f t="shared" si="171"/>
        <v>4.4223999999999997</v>
      </c>
      <c r="J248" s="27">
        <f t="shared" si="171"/>
        <v>1.8984000000000001</v>
      </c>
      <c r="K248" s="27">
        <f t="shared" si="171"/>
        <v>1.3088</v>
      </c>
      <c r="L248" s="27">
        <f t="shared" si="171"/>
        <v>0.37040000000000001</v>
      </c>
      <c r="M248" s="28">
        <f t="shared" si="172"/>
        <v>3</v>
      </c>
      <c r="N248" s="29">
        <f t="shared" si="173"/>
        <v>6</v>
      </c>
      <c r="O248" s="28">
        <f t="shared" si="174"/>
        <v>1</v>
      </c>
      <c r="P248" s="28">
        <f t="shared" si="175"/>
        <v>1</v>
      </c>
      <c r="Q248" s="28">
        <f t="shared" si="156"/>
        <v>11</v>
      </c>
      <c r="R248" s="22">
        <f t="shared" si="157"/>
        <v>176.95919988114727</v>
      </c>
      <c r="S248" s="22">
        <f t="shared" si="158"/>
        <v>35.653211243699175</v>
      </c>
      <c r="T248" s="22">
        <f t="shared" si="159"/>
        <v>16.454846432209489</v>
      </c>
      <c r="U248" s="22">
        <f t="shared" si="160"/>
        <v>0</v>
      </c>
      <c r="V248" s="21">
        <f t="shared" si="176"/>
        <v>23.822247488000045</v>
      </c>
      <c r="W248" s="21">
        <f t="shared" si="177"/>
        <v>10.192385533099998</v>
      </c>
      <c r="X248" s="21">
        <f t="shared" si="167"/>
        <v>5.637545571599996</v>
      </c>
      <c r="Y248" s="21">
        <f t="shared" si="168"/>
        <v>0</v>
      </c>
      <c r="Z248" s="221">
        <f t="shared" si="161"/>
        <v>17</v>
      </c>
      <c r="AA248" s="30">
        <f t="shared" si="149"/>
        <v>6.3140692319120486</v>
      </c>
      <c r="AB248" s="30">
        <f t="shared" si="150"/>
        <v>2.9733205694316993</v>
      </c>
      <c r="AC248" s="30">
        <f t="shared" si="151"/>
        <v>2.4809767459508998</v>
      </c>
      <c r="AD248" s="30">
        <f t="shared" si="152"/>
        <v>0</v>
      </c>
      <c r="AE248" s="32">
        <f t="shared" si="162"/>
        <v>11.768366547294647</v>
      </c>
      <c r="AF248" s="33">
        <f t="shared" si="170"/>
        <v>13.604699584654302</v>
      </c>
      <c r="AG248" s="40">
        <f t="shared" si="163"/>
        <v>21.920634743247465</v>
      </c>
      <c r="AH248" s="224">
        <f>AG248*$P$33</f>
        <v>1.8384540418836786</v>
      </c>
      <c r="AI248" s="227">
        <f t="shared" si="164"/>
        <v>40.250746687720415</v>
      </c>
    </row>
    <row r="249" spans="1:35" x14ac:dyDescent="0.35">
      <c r="A249" s="48">
        <v>1630</v>
      </c>
      <c r="B249" s="58">
        <f>SUMIF([2]!Table2_23[ETA],'FIS Current Model'!A249,[2]!Table2_23[FIS PAX])</f>
        <v>0</v>
      </c>
      <c r="C249" s="44">
        <f t="shared" si="165"/>
        <v>18</v>
      </c>
      <c r="D249" s="52">
        <f t="shared" si="169"/>
        <v>103</v>
      </c>
      <c r="E249" s="26">
        <f t="shared" si="153"/>
        <v>9.9503999999999984</v>
      </c>
      <c r="F249" s="26">
        <f t="shared" si="154"/>
        <v>4.2713999999999999</v>
      </c>
      <c r="G249" s="26">
        <f t="shared" si="155"/>
        <v>2.9447999999999999</v>
      </c>
      <c r="H249" s="26">
        <f t="shared" si="166"/>
        <v>0.83340000000000003</v>
      </c>
      <c r="I249" s="27">
        <f t="shared" si="171"/>
        <v>0</v>
      </c>
      <c r="J249" s="27">
        <f t="shared" si="171"/>
        <v>0</v>
      </c>
      <c r="K249" s="27">
        <f t="shared" si="171"/>
        <v>0</v>
      </c>
      <c r="L249" s="27">
        <f t="shared" si="171"/>
        <v>0</v>
      </c>
      <c r="M249" s="28">
        <f t="shared" si="172"/>
        <v>3</v>
      </c>
      <c r="N249" s="29">
        <f t="shared" si="173"/>
        <v>6</v>
      </c>
      <c r="O249" s="28">
        <f t="shared" si="174"/>
        <v>1</v>
      </c>
      <c r="P249" s="28">
        <f t="shared" si="175"/>
        <v>1</v>
      </c>
      <c r="Q249" s="28">
        <f t="shared" si="156"/>
        <v>11</v>
      </c>
      <c r="R249" s="22">
        <f t="shared" si="157"/>
        <v>170.64513064923523</v>
      </c>
      <c r="S249" s="22">
        <f t="shared" si="158"/>
        <v>32.184337246028861</v>
      </c>
      <c r="T249" s="22">
        <f t="shared" si="159"/>
        <v>13.97386968625859</v>
      </c>
      <c r="U249" s="22">
        <f t="shared" si="160"/>
        <v>0</v>
      </c>
      <c r="V249" s="21">
        <f t="shared" si="176"/>
        <v>22.972247488000043</v>
      </c>
      <c r="W249" s="21">
        <f t="shared" si="177"/>
        <v>9.2007188664333324</v>
      </c>
      <c r="X249" s="21">
        <f t="shared" si="167"/>
        <v>4.7875455715999964</v>
      </c>
      <c r="Y249" s="21">
        <f t="shared" si="168"/>
        <v>0</v>
      </c>
      <c r="Z249" s="221">
        <f t="shared" si="161"/>
        <v>16</v>
      </c>
      <c r="AA249" s="30">
        <f t="shared" si="149"/>
        <v>6.3140692319120486</v>
      </c>
      <c r="AB249" s="30">
        <f t="shared" si="150"/>
        <v>2.9733205694316993</v>
      </c>
      <c r="AC249" s="30">
        <f t="shared" si="151"/>
        <v>2.4809767459508998</v>
      </c>
      <c r="AD249" s="30">
        <f t="shared" si="152"/>
        <v>0</v>
      </c>
      <c r="AE249" s="32">
        <f t="shared" si="162"/>
        <v>11.768366547294647</v>
      </c>
      <c r="AF249" s="33">
        <f t="shared" si="170"/>
        <v>13.604699584654302</v>
      </c>
      <c r="AG249" s="40">
        <f t="shared" si="163"/>
        <v>23.601927898449986</v>
      </c>
      <c r="AH249" s="224">
        <f>AG249*$P$33</f>
        <v>1.9794618289745882</v>
      </c>
      <c r="AI249" s="227">
        <f t="shared" si="164"/>
        <v>39.250746687720415</v>
      </c>
    </row>
    <row r="250" spans="1:35" x14ac:dyDescent="0.35">
      <c r="A250" s="48">
        <v>1631</v>
      </c>
      <c r="B250" s="58">
        <f>SUMIF([2]!Table2_23[ETA],'FIS Current Model'!A250,[2]!Table2_23[FIS PAX])</f>
        <v>0</v>
      </c>
      <c r="C250" s="44">
        <f t="shared" si="165"/>
        <v>18</v>
      </c>
      <c r="D250" s="52">
        <f t="shared" si="169"/>
        <v>85</v>
      </c>
      <c r="E250" s="26">
        <f t="shared" si="153"/>
        <v>9.9503999999999984</v>
      </c>
      <c r="F250" s="26">
        <f t="shared" si="154"/>
        <v>4.2713999999999999</v>
      </c>
      <c r="G250" s="26">
        <f t="shared" si="155"/>
        <v>2.9447999999999999</v>
      </c>
      <c r="H250" s="26">
        <f t="shared" si="166"/>
        <v>0.83340000000000003</v>
      </c>
      <c r="I250" s="27">
        <f t="shared" si="171"/>
        <v>0</v>
      </c>
      <c r="J250" s="27">
        <f t="shared" si="171"/>
        <v>0</v>
      </c>
      <c r="K250" s="27">
        <f t="shared" si="171"/>
        <v>0</v>
      </c>
      <c r="L250" s="27">
        <f t="shared" si="171"/>
        <v>0</v>
      </c>
      <c r="M250" s="28">
        <f>IF(R249=0,0,$Q$20)</f>
        <v>3</v>
      </c>
      <c r="N250" s="29">
        <f>$U$20-M250-O250-P250</f>
        <v>7</v>
      </c>
      <c r="O250" s="28">
        <f>IF(T249=0,0,$S$20)</f>
        <v>1</v>
      </c>
      <c r="P250" s="28">
        <f>IF(U249=0,0,$T$20)</f>
        <v>0</v>
      </c>
      <c r="Q250" s="28">
        <f t="shared" si="156"/>
        <v>11</v>
      </c>
      <c r="R250" s="22">
        <f t="shared" si="157"/>
        <v>164.33106141732318</v>
      </c>
      <c r="S250" s="22">
        <f t="shared" si="158"/>
        <v>28.715463248358546</v>
      </c>
      <c r="T250" s="22">
        <f t="shared" si="159"/>
        <v>11.492892940307691</v>
      </c>
      <c r="U250" s="22">
        <f t="shared" si="160"/>
        <v>0</v>
      </c>
      <c r="V250" s="21">
        <f t="shared" si="176"/>
        <v>22.122247488000045</v>
      </c>
      <c r="W250" s="21">
        <f t="shared" si="177"/>
        <v>7.0363304569428564</v>
      </c>
      <c r="X250" s="21">
        <f t="shared" si="167"/>
        <v>3.9375455715999967</v>
      </c>
      <c r="Y250" s="21">
        <f t="shared" si="168"/>
        <v>0</v>
      </c>
      <c r="Z250" s="221">
        <f t="shared" si="161"/>
        <v>15</v>
      </c>
      <c r="AA250" s="30">
        <f t="shared" si="149"/>
        <v>6.3140692319120486</v>
      </c>
      <c r="AB250" s="30">
        <f t="shared" si="150"/>
        <v>3.4688739976703165</v>
      </c>
      <c r="AC250" s="30">
        <f t="shared" si="151"/>
        <v>2.4809767459508998</v>
      </c>
      <c r="AD250" s="30">
        <f t="shared" si="152"/>
        <v>0</v>
      </c>
      <c r="AE250" s="32">
        <f t="shared" si="162"/>
        <v>12.263919975533264</v>
      </c>
      <c r="AF250" s="33">
        <f t="shared" si="170"/>
        <v>13.604699584654302</v>
      </c>
      <c r="AG250" s="40">
        <f t="shared" si="163"/>
        <v>25.283221053652507</v>
      </c>
      <c r="AH250" s="224">
        <f>AG250*$P$33</f>
        <v>2.1204696160654981</v>
      </c>
      <c r="AI250" s="227">
        <f t="shared" si="164"/>
        <v>38.250746687720415</v>
      </c>
    </row>
    <row r="251" spans="1:35" x14ac:dyDescent="0.35">
      <c r="A251" s="48">
        <v>1632</v>
      </c>
      <c r="B251" s="58">
        <f>SUMIF([2]!Table2_23[ETA],'FIS Current Model'!A251,[2]!Table2_23[FIS PAX])</f>
        <v>0</v>
      </c>
      <c r="C251" s="44">
        <f t="shared" si="165"/>
        <v>18</v>
      </c>
      <c r="D251" s="52">
        <f t="shared" si="169"/>
        <v>67</v>
      </c>
      <c r="E251" s="26">
        <f t="shared" si="153"/>
        <v>9.9503999999999984</v>
      </c>
      <c r="F251" s="26">
        <f t="shared" si="154"/>
        <v>4.2713999999999999</v>
      </c>
      <c r="G251" s="26">
        <f t="shared" si="155"/>
        <v>2.9447999999999999</v>
      </c>
      <c r="H251" s="26">
        <f t="shared" si="166"/>
        <v>0.83340000000000003</v>
      </c>
      <c r="I251" s="27">
        <f t="shared" si="171"/>
        <v>0</v>
      </c>
      <c r="J251" s="27">
        <f t="shared" si="171"/>
        <v>0</v>
      </c>
      <c r="K251" s="27">
        <f t="shared" si="171"/>
        <v>0</v>
      </c>
      <c r="L251" s="27">
        <f t="shared" si="171"/>
        <v>0</v>
      </c>
      <c r="M251" s="28">
        <f>$M$250</f>
        <v>3</v>
      </c>
      <c r="N251" s="29">
        <f>$N$250</f>
        <v>7</v>
      </c>
      <c r="O251" s="28">
        <f>$O$250</f>
        <v>1</v>
      </c>
      <c r="P251" s="28">
        <f>$P$250</f>
        <v>0</v>
      </c>
      <c r="Q251" s="28">
        <f t="shared" si="156"/>
        <v>11</v>
      </c>
      <c r="R251" s="22">
        <f t="shared" si="157"/>
        <v>158.01699218541114</v>
      </c>
      <c r="S251" s="22">
        <f t="shared" si="158"/>
        <v>25.246589250688231</v>
      </c>
      <c r="T251" s="22">
        <f t="shared" si="159"/>
        <v>9.0119161943567914</v>
      </c>
      <c r="U251" s="22">
        <f t="shared" si="160"/>
        <v>0</v>
      </c>
      <c r="V251" s="21">
        <f t="shared" si="176"/>
        <v>21.272247488000048</v>
      </c>
      <c r="W251" s="21">
        <f t="shared" si="177"/>
        <v>6.1863304569428568</v>
      </c>
      <c r="X251" s="21">
        <f t="shared" si="167"/>
        <v>3.0875455715999971</v>
      </c>
      <c r="Y251" s="21">
        <f t="shared" si="168"/>
        <v>0</v>
      </c>
      <c r="Z251" s="221">
        <f t="shared" si="161"/>
        <v>14</v>
      </c>
      <c r="AA251" s="30">
        <f t="shared" si="149"/>
        <v>6.3140692319120486</v>
      </c>
      <c r="AB251" s="30">
        <f t="shared" si="150"/>
        <v>3.4688739976703165</v>
      </c>
      <c r="AC251" s="30">
        <f t="shared" si="151"/>
        <v>2.4809767459508998</v>
      </c>
      <c r="AD251" s="30">
        <f t="shared" si="152"/>
        <v>0</v>
      </c>
      <c r="AE251" s="32">
        <f t="shared" si="162"/>
        <v>12.263919975533264</v>
      </c>
      <c r="AF251" s="33">
        <f t="shared" si="170"/>
        <v>11.768366547294647</v>
      </c>
      <c r="AG251" s="40">
        <f t="shared" si="163"/>
        <v>25.128181171495374</v>
      </c>
      <c r="AH251" s="224">
        <f>AG251*$P$33</f>
        <v>2.1074666304611349</v>
      </c>
      <c r="AI251" s="227">
        <f t="shared" si="164"/>
        <v>37.250746687720415</v>
      </c>
    </row>
    <row r="252" spans="1:35" x14ac:dyDescent="0.35">
      <c r="A252" s="48">
        <v>1633</v>
      </c>
      <c r="B252" s="58">
        <f>SUMIF([2]!Table2_23[ETA],'FIS Current Model'!A252,[2]!Table2_23[FIS PAX])</f>
        <v>0</v>
      </c>
      <c r="C252" s="44">
        <f t="shared" si="165"/>
        <v>18</v>
      </c>
      <c r="D252" s="52">
        <f t="shared" si="169"/>
        <v>49</v>
      </c>
      <c r="E252" s="26">
        <f t="shared" si="153"/>
        <v>9.9503999999999984</v>
      </c>
      <c r="F252" s="26">
        <f t="shared" si="154"/>
        <v>4.2713999999999999</v>
      </c>
      <c r="G252" s="26">
        <f t="shared" si="155"/>
        <v>2.9447999999999999</v>
      </c>
      <c r="H252" s="26">
        <f t="shared" si="166"/>
        <v>0.83340000000000003</v>
      </c>
      <c r="I252" s="27">
        <f t="shared" si="171"/>
        <v>0</v>
      </c>
      <c r="J252" s="27">
        <f t="shared" si="171"/>
        <v>0</v>
      </c>
      <c r="K252" s="27">
        <f t="shared" si="171"/>
        <v>0</v>
      </c>
      <c r="L252" s="27">
        <f t="shared" si="171"/>
        <v>0</v>
      </c>
      <c r="M252" s="28">
        <f t="shared" ref="M252:M264" si="178">$M$250</f>
        <v>3</v>
      </c>
      <c r="N252" s="29">
        <f t="shared" ref="N252:N264" si="179">$N$250</f>
        <v>7</v>
      </c>
      <c r="O252" s="28">
        <f t="shared" ref="O252:O264" si="180">$O$250</f>
        <v>1</v>
      </c>
      <c r="P252" s="28">
        <f t="shared" ref="P252:P264" si="181">$P$250</f>
        <v>0</v>
      </c>
      <c r="Q252" s="28">
        <f t="shared" si="156"/>
        <v>11</v>
      </c>
      <c r="R252" s="22">
        <f t="shared" si="157"/>
        <v>151.7029229534991</v>
      </c>
      <c r="S252" s="22">
        <f t="shared" si="158"/>
        <v>21.777715253017917</v>
      </c>
      <c r="T252" s="22">
        <f t="shared" si="159"/>
        <v>6.530939448405892</v>
      </c>
      <c r="U252" s="22">
        <f t="shared" si="160"/>
        <v>0</v>
      </c>
      <c r="V252" s="21">
        <f t="shared" si="176"/>
        <v>20.422247488000046</v>
      </c>
      <c r="W252" s="21">
        <f t="shared" si="177"/>
        <v>5.3363304569428562</v>
      </c>
      <c r="X252" s="21">
        <f t="shared" si="167"/>
        <v>2.2375455715999975</v>
      </c>
      <c r="Y252" s="21">
        <f t="shared" si="168"/>
        <v>0</v>
      </c>
      <c r="Z252" s="221">
        <f t="shared" si="161"/>
        <v>13</v>
      </c>
      <c r="AA252" s="30">
        <f t="shared" si="149"/>
        <v>6.3140692319120486</v>
      </c>
      <c r="AB252" s="30">
        <f t="shared" si="150"/>
        <v>3.4688739976703165</v>
      </c>
      <c r="AC252" s="30">
        <f t="shared" si="151"/>
        <v>2.4809767459508998</v>
      </c>
      <c r="AD252" s="30">
        <f t="shared" si="152"/>
        <v>0</v>
      </c>
      <c r="AE252" s="32">
        <f t="shared" si="162"/>
        <v>12.263919975533264</v>
      </c>
      <c r="AF252" s="33">
        <f t="shared" si="170"/>
        <v>11.768366547294647</v>
      </c>
      <c r="AG252" s="40">
        <f t="shared" si="163"/>
        <v>24.973141289338241</v>
      </c>
      <c r="AH252" s="224">
        <f>AG252*$P$33</f>
        <v>2.0944636448567717</v>
      </c>
      <c r="AI252" s="227">
        <f t="shared" si="164"/>
        <v>36.250746687720415</v>
      </c>
    </row>
    <row r="253" spans="1:35" x14ac:dyDescent="0.35">
      <c r="A253" s="48">
        <v>1634</v>
      </c>
      <c r="B253" s="58">
        <f>SUMIF([2]!Table2_23[ETA],'FIS Current Model'!A253,[2]!Table2_23[FIS PAX])</f>
        <v>0</v>
      </c>
      <c r="C253" s="44">
        <f t="shared" si="165"/>
        <v>18</v>
      </c>
      <c r="D253" s="52">
        <f t="shared" si="169"/>
        <v>31</v>
      </c>
      <c r="E253" s="26">
        <f t="shared" si="153"/>
        <v>9.9503999999999984</v>
      </c>
      <c r="F253" s="26">
        <f t="shared" si="154"/>
        <v>4.2713999999999999</v>
      </c>
      <c r="G253" s="26">
        <f t="shared" si="155"/>
        <v>2.9447999999999999</v>
      </c>
      <c r="H253" s="26">
        <f t="shared" si="166"/>
        <v>0.83340000000000003</v>
      </c>
      <c r="I253" s="27">
        <f t="shared" si="171"/>
        <v>9.9503999999999984</v>
      </c>
      <c r="J253" s="27">
        <f t="shared" si="171"/>
        <v>4.2713999999999999</v>
      </c>
      <c r="K253" s="27">
        <f t="shared" si="171"/>
        <v>2.9447999999999999</v>
      </c>
      <c r="L253" s="27">
        <f t="shared" si="171"/>
        <v>0.83340000000000003</v>
      </c>
      <c r="M253" s="28">
        <f t="shared" si="178"/>
        <v>3</v>
      </c>
      <c r="N253" s="29">
        <f t="shared" si="179"/>
        <v>7</v>
      </c>
      <c r="O253" s="28">
        <f t="shared" si="180"/>
        <v>1</v>
      </c>
      <c r="P253" s="28">
        <f t="shared" si="181"/>
        <v>0</v>
      </c>
      <c r="Q253" s="28">
        <f t="shared" si="156"/>
        <v>11</v>
      </c>
      <c r="R253" s="22">
        <f t="shared" si="157"/>
        <v>155.33925372158706</v>
      </c>
      <c r="S253" s="22">
        <f t="shared" si="158"/>
        <v>22.580241255347602</v>
      </c>
      <c r="T253" s="22">
        <f t="shared" si="159"/>
        <v>6.9947627024549925</v>
      </c>
      <c r="U253" s="22">
        <f t="shared" si="160"/>
        <v>0.83340000000000003</v>
      </c>
      <c r="V253" s="21">
        <f t="shared" si="176"/>
        <v>20.911770336000046</v>
      </c>
      <c r="W253" s="21">
        <f t="shared" si="177"/>
        <v>5.532978447742857</v>
      </c>
      <c r="X253" s="21">
        <f t="shared" si="167"/>
        <v>2.3964546651999976</v>
      </c>
      <c r="Y253" s="21">
        <f t="shared" si="168"/>
        <v>0</v>
      </c>
      <c r="Z253" s="221">
        <f t="shared" si="161"/>
        <v>14</v>
      </c>
      <c r="AA253" s="30">
        <f t="shared" si="149"/>
        <v>6.3140692319120486</v>
      </c>
      <c r="AB253" s="30">
        <f t="shared" si="150"/>
        <v>3.4688739976703165</v>
      </c>
      <c r="AC253" s="30">
        <f t="shared" si="151"/>
        <v>2.4809767459508998</v>
      </c>
      <c r="AD253" s="30">
        <f t="shared" si="152"/>
        <v>0</v>
      </c>
      <c r="AE253" s="32">
        <f t="shared" si="162"/>
        <v>12.263919975533264</v>
      </c>
      <c r="AF253" s="33">
        <f t="shared" si="170"/>
        <v>11.768366547294647</v>
      </c>
      <c r="AG253" s="40">
        <f t="shared" si="163"/>
        <v>24.818101407181107</v>
      </c>
      <c r="AH253" s="224">
        <f>AG253*$P$33</f>
        <v>2.0814606592524085</v>
      </c>
      <c r="AI253" s="227">
        <f t="shared" si="164"/>
        <v>36.754792163731139</v>
      </c>
    </row>
    <row r="254" spans="1:35" x14ac:dyDescent="0.35">
      <c r="A254" s="48">
        <v>1635</v>
      </c>
      <c r="B254" s="58">
        <f>SUMIF([2]!Table2_23[ETA],'FIS Current Model'!A254,[2]!Table2_23[FIS PAX])</f>
        <v>0</v>
      </c>
      <c r="C254" s="44">
        <f t="shared" si="165"/>
        <v>18</v>
      </c>
      <c r="D254" s="52">
        <f t="shared" si="169"/>
        <v>13</v>
      </c>
      <c r="E254" s="26">
        <f t="shared" si="153"/>
        <v>9.9503999999999984</v>
      </c>
      <c r="F254" s="26">
        <f t="shared" si="154"/>
        <v>4.2713999999999999</v>
      </c>
      <c r="G254" s="26">
        <f t="shared" si="155"/>
        <v>2.9447999999999999</v>
      </c>
      <c r="H254" s="26">
        <f t="shared" si="166"/>
        <v>0.83340000000000003</v>
      </c>
      <c r="I254" s="27">
        <f t="shared" si="171"/>
        <v>9.9503999999999984</v>
      </c>
      <c r="J254" s="27">
        <f t="shared" si="171"/>
        <v>4.2713999999999999</v>
      </c>
      <c r="K254" s="27">
        <f t="shared" si="171"/>
        <v>2.9447999999999999</v>
      </c>
      <c r="L254" s="27">
        <f t="shared" si="171"/>
        <v>0.83340000000000003</v>
      </c>
      <c r="M254" s="28">
        <f t="shared" si="178"/>
        <v>3</v>
      </c>
      <c r="N254" s="29">
        <f t="shared" si="179"/>
        <v>7</v>
      </c>
      <c r="O254" s="28">
        <f t="shared" si="180"/>
        <v>1</v>
      </c>
      <c r="P254" s="28">
        <f t="shared" si="181"/>
        <v>0</v>
      </c>
      <c r="Q254" s="28">
        <f t="shared" si="156"/>
        <v>11</v>
      </c>
      <c r="R254" s="22">
        <f t="shared" si="157"/>
        <v>158.97558448967501</v>
      </c>
      <c r="S254" s="22">
        <f t="shared" si="158"/>
        <v>23.382767257677287</v>
      </c>
      <c r="T254" s="22">
        <f t="shared" si="159"/>
        <v>7.4585859565040922</v>
      </c>
      <c r="U254" s="22">
        <f t="shared" si="160"/>
        <v>1.6668000000000001</v>
      </c>
      <c r="V254" s="21">
        <f t="shared" si="176"/>
        <v>21.40129318400005</v>
      </c>
      <c r="W254" s="21">
        <f t="shared" si="177"/>
        <v>5.7296264385428568</v>
      </c>
      <c r="X254" s="21">
        <f t="shared" si="167"/>
        <v>2.5553637587999973</v>
      </c>
      <c r="Y254" s="21">
        <f t="shared" si="168"/>
        <v>0</v>
      </c>
      <c r="Z254" s="221">
        <f t="shared" si="161"/>
        <v>14</v>
      </c>
      <c r="AA254" s="30">
        <f t="shared" si="149"/>
        <v>6.3140692319120486</v>
      </c>
      <c r="AB254" s="30">
        <f t="shared" si="150"/>
        <v>3.4688739976703165</v>
      </c>
      <c r="AC254" s="30">
        <f t="shared" si="151"/>
        <v>2.4809767459508998</v>
      </c>
      <c r="AD254" s="30">
        <f t="shared" si="152"/>
        <v>0</v>
      </c>
      <c r="AE254" s="32">
        <f t="shared" si="162"/>
        <v>12.263919975533264</v>
      </c>
      <c r="AF254" s="33">
        <f t="shared" si="170"/>
        <v>12.263919975533264</v>
      </c>
      <c r="AG254" s="40">
        <f t="shared" si="163"/>
        <v>25.158614953262592</v>
      </c>
      <c r="AH254" s="224">
        <f>AG254*$P$33</f>
        <v>2.110019070650714</v>
      </c>
      <c r="AI254" s="227">
        <f t="shared" si="164"/>
        <v>36.28434462587952</v>
      </c>
    </row>
    <row r="255" spans="1:35" x14ac:dyDescent="0.35">
      <c r="A255" s="48">
        <v>1636</v>
      </c>
      <c r="B255" s="58">
        <f>SUMIF([2]!Table2_23[ETA],'FIS Current Model'!A255,[2]!Table2_23[FIS PAX])</f>
        <v>0</v>
      </c>
      <c r="C255" s="44">
        <f t="shared" si="165"/>
        <v>13</v>
      </c>
      <c r="D255" s="52">
        <f t="shared" si="169"/>
        <v>0</v>
      </c>
      <c r="E255" s="26">
        <f t="shared" si="153"/>
        <v>7.186399999999999</v>
      </c>
      <c r="F255" s="26">
        <f t="shared" si="154"/>
        <v>3.0849000000000002</v>
      </c>
      <c r="G255" s="26">
        <f t="shared" si="155"/>
        <v>2.1267999999999998</v>
      </c>
      <c r="H255" s="26">
        <f t="shared" si="166"/>
        <v>0.60189999999999999</v>
      </c>
      <c r="I255" s="27">
        <f t="shared" si="171"/>
        <v>9.9503999999999984</v>
      </c>
      <c r="J255" s="27">
        <f t="shared" si="171"/>
        <v>4.2713999999999999</v>
      </c>
      <c r="K255" s="27">
        <f t="shared" si="171"/>
        <v>2.9447999999999999</v>
      </c>
      <c r="L255" s="27">
        <f t="shared" si="171"/>
        <v>0.83340000000000003</v>
      </c>
      <c r="M255" s="28">
        <f t="shared" si="178"/>
        <v>3</v>
      </c>
      <c r="N255" s="29">
        <f t="shared" si="179"/>
        <v>7</v>
      </c>
      <c r="O255" s="28">
        <f t="shared" si="180"/>
        <v>1</v>
      </c>
      <c r="P255" s="28">
        <f t="shared" si="181"/>
        <v>0</v>
      </c>
      <c r="Q255" s="28">
        <f t="shared" si="156"/>
        <v>11</v>
      </c>
      <c r="R255" s="22">
        <f t="shared" si="157"/>
        <v>162.61191525776297</v>
      </c>
      <c r="S255" s="22">
        <f t="shared" si="158"/>
        <v>24.185293260006972</v>
      </c>
      <c r="T255" s="22">
        <f t="shared" si="159"/>
        <v>7.9224092105531918</v>
      </c>
      <c r="U255" s="22">
        <f t="shared" si="160"/>
        <v>2.5002</v>
      </c>
      <c r="V255" s="21">
        <f t="shared" si="176"/>
        <v>21.89081603200005</v>
      </c>
      <c r="W255" s="21">
        <f t="shared" si="177"/>
        <v>5.9262744293428575</v>
      </c>
      <c r="X255" s="21">
        <f t="shared" si="167"/>
        <v>2.7142728523999975</v>
      </c>
      <c r="Y255" s="21">
        <f t="shared" si="168"/>
        <v>0</v>
      </c>
      <c r="Z255" s="221">
        <f t="shared" si="161"/>
        <v>14</v>
      </c>
      <c r="AA255" s="30">
        <f t="shared" si="149"/>
        <v>6.3140692319120486</v>
      </c>
      <c r="AB255" s="30">
        <f t="shared" si="150"/>
        <v>3.4688739976703165</v>
      </c>
      <c r="AC255" s="30">
        <f t="shared" si="151"/>
        <v>2.4809767459508998</v>
      </c>
      <c r="AD255" s="30">
        <f t="shared" si="152"/>
        <v>0</v>
      </c>
      <c r="AE255" s="32">
        <f t="shared" si="162"/>
        <v>12.263919975533264</v>
      </c>
      <c r="AF255" s="33">
        <f t="shared" si="170"/>
        <v>12.263919975533264</v>
      </c>
      <c r="AG255" s="40">
        <f t="shared" si="163"/>
        <v>25.499128499344074</v>
      </c>
      <c r="AH255" s="224">
        <f>AG255*$P$33</f>
        <v>2.1385774820490191</v>
      </c>
      <c r="AI255" s="227">
        <f t="shared" si="164"/>
        <v>35.8138970880279</v>
      </c>
    </row>
    <row r="256" spans="1:35" x14ac:dyDescent="0.35">
      <c r="A256" s="48">
        <v>1637</v>
      </c>
      <c r="B256" s="58">
        <f>SUMIF([2]!Table2_23[ETA],'FIS Current Model'!A256,[2]!Table2_23[FIS PAX])</f>
        <v>0</v>
      </c>
      <c r="C256" s="44">
        <f t="shared" si="165"/>
        <v>0</v>
      </c>
      <c r="D256" s="52">
        <f t="shared" si="169"/>
        <v>0</v>
      </c>
      <c r="E256" s="26">
        <f t="shared" si="153"/>
        <v>0</v>
      </c>
      <c r="F256" s="26">
        <f t="shared" si="154"/>
        <v>0</v>
      </c>
      <c r="G256" s="26">
        <f t="shared" si="155"/>
        <v>0</v>
      </c>
      <c r="H256" s="26">
        <f t="shared" si="166"/>
        <v>0</v>
      </c>
      <c r="I256" s="27">
        <f t="shared" si="171"/>
        <v>9.9503999999999984</v>
      </c>
      <c r="J256" s="27">
        <f t="shared" si="171"/>
        <v>4.2713999999999999</v>
      </c>
      <c r="K256" s="27">
        <f t="shared" si="171"/>
        <v>2.9447999999999999</v>
      </c>
      <c r="L256" s="27">
        <f t="shared" si="171"/>
        <v>0.83340000000000003</v>
      </c>
      <c r="M256" s="28">
        <f t="shared" si="178"/>
        <v>3</v>
      </c>
      <c r="N256" s="29">
        <f t="shared" si="179"/>
        <v>7</v>
      </c>
      <c r="O256" s="28">
        <f t="shared" si="180"/>
        <v>1</v>
      </c>
      <c r="P256" s="28">
        <f t="shared" si="181"/>
        <v>0</v>
      </c>
      <c r="Q256" s="28">
        <f t="shared" si="156"/>
        <v>11</v>
      </c>
      <c r="R256" s="22">
        <f t="shared" si="157"/>
        <v>166.24824602585093</v>
      </c>
      <c r="S256" s="22">
        <f t="shared" si="158"/>
        <v>24.987819262336657</v>
      </c>
      <c r="T256" s="22">
        <f t="shared" si="159"/>
        <v>8.3862324646022905</v>
      </c>
      <c r="U256" s="22">
        <f t="shared" si="160"/>
        <v>3.3336000000000001</v>
      </c>
      <c r="V256" s="21">
        <f t="shared" si="176"/>
        <v>22.38033888000005</v>
      </c>
      <c r="W256" s="21">
        <f t="shared" si="177"/>
        <v>6.1229224201428574</v>
      </c>
      <c r="X256" s="21">
        <f t="shared" si="167"/>
        <v>2.8731819459999968</v>
      </c>
      <c r="Y256" s="21">
        <f t="shared" si="168"/>
        <v>0</v>
      </c>
      <c r="Z256" s="221">
        <f t="shared" si="161"/>
        <v>15</v>
      </c>
      <c r="AA256" s="30">
        <f t="shared" si="149"/>
        <v>6.3140692319120486</v>
      </c>
      <c r="AB256" s="30">
        <f t="shared" si="150"/>
        <v>3.4688739976703165</v>
      </c>
      <c r="AC256" s="30">
        <f t="shared" si="151"/>
        <v>2.4809767459508998</v>
      </c>
      <c r="AD256" s="30">
        <f t="shared" si="152"/>
        <v>0</v>
      </c>
      <c r="AE256" s="32">
        <f t="shared" si="162"/>
        <v>12.263919975533264</v>
      </c>
      <c r="AF256" s="33">
        <f t="shared" si="170"/>
        <v>12.263919975533264</v>
      </c>
      <c r="AG256" s="40">
        <f t="shared" si="163"/>
        <v>25.839642045425556</v>
      </c>
      <c r="AH256" s="224">
        <f>AG256*$P$33</f>
        <v>2.1671358934473246</v>
      </c>
      <c r="AI256" s="227">
        <f t="shared" si="164"/>
        <v>36</v>
      </c>
    </row>
    <row r="257" spans="1:35" x14ac:dyDescent="0.35">
      <c r="A257" s="48">
        <v>1638</v>
      </c>
      <c r="B257" s="58">
        <f>SUMIF([2]!Table2_23[ETA],'FIS Current Model'!A257,[2]!Table2_23[FIS PAX])</f>
        <v>0</v>
      </c>
      <c r="C257" s="44">
        <f t="shared" si="165"/>
        <v>0</v>
      </c>
      <c r="D257" s="52">
        <f t="shared" si="169"/>
        <v>0</v>
      </c>
      <c r="E257" s="26">
        <f t="shared" si="153"/>
        <v>0</v>
      </c>
      <c r="F257" s="26">
        <f t="shared" si="154"/>
        <v>0</v>
      </c>
      <c r="G257" s="26">
        <f t="shared" si="155"/>
        <v>0</v>
      </c>
      <c r="H257" s="26">
        <f t="shared" si="166"/>
        <v>0</v>
      </c>
      <c r="I257" s="27">
        <f t="shared" si="171"/>
        <v>9.9503999999999984</v>
      </c>
      <c r="J257" s="27">
        <f t="shared" si="171"/>
        <v>4.2713999999999999</v>
      </c>
      <c r="K257" s="27">
        <f t="shared" si="171"/>
        <v>2.9447999999999999</v>
      </c>
      <c r="L257" s="27">
        <f t="shared" si="171"/>
        <v>0.83340000000000003</v>
      </c>
      <c r="M257" s="28">
        <f t="shared" si="178"/>
        <v>3</v>
      </c>
      <c r="N257" s="29">
        <f t="shared" si="179"/>
        <v>7</v>
      </c>
      <c r="O257" s="28">
        <f t="shared" si="180"/>
        <v>1</v>
      </c>
      <c r="P257" s="28">
        <f t="shared" si="181"/>
        <v>0</v>
      </c>
      <c r="Q257" s="28">
        <f t="shared" si="156"/>
        <v>11</v>
      </c>
      <c r="R257" s="22">
        <f t="shared" si="157"/>
        <v>169.88457679393889</v>
      </c>
      <c r="S257" s="22">
        <f t="shared" si="158"/>
        <v>25.790345264666342</v>
      </c>
      <c r="T257" s="22">
        <f t="shared" si="159"/>
        <v>8.8500557186513902</v>
      </c>
      <c r="U257" s="22">
        <f t="shared" si="160"/>
        <v>4.1669999999999998</v>
      </c>
      <c r="V257" s="21">
        <f t="shared" si="176"/>
        <v>22.869861728000053</v>
      </c>
      <c r="W257" s="21">
        <f t="shared" si="177"/>
        <v>6.3195704109428581</v>
      </c>
      <c r="X257" s="21">
        <f t="shared" si="167"/>
        <v>3.0320910395999969</v>
      </c>
      <c r="Y257" s="21">
        <f t="shared" si="168"/>
        <v>0</v>
      </c>
      <c r="Z257" s="221">
        <f t="shared" si="161"/>
        <v>15</v>
      </c>
      <c r="AA257" s="30">
        <f t="shared" si="149"/>
        <v>6.3140692319120486</v>
      </c>
      <c r="AB257" s="30">
        <f t="shared" si="150"/>
        <v>3.4688739976703165</v>
      </c>
      <c r="AC257" s="30">
        <f t="shared" si="151"/>
        <v>2.4809767459508998</v>
      </c>
      <c r="AD257" s="30">
        <f t="shared" si="152"/>
        <v>0</v>
      </c>
      <c r="AE257" s="32">
        <f t="shared" si="162"/>
        <v>12.263919975533264</v>
      </c>
      <c r="AF257" s="33">
        <f t="shared" si="170"/>
        <v>12.263919975533264</v>
      </c>
      <c r="AG257" s="40">
        <f t="shared" si="163"/>
        <v>26.180155591507038</v>
      </c>
      <c r="AH257" s="224">
        <f>AG257*$P$33</f>
        <v>2.1956943048456297</v>
      </c>
      <c r="AI257" s="227">
        <f t="shared" si="164"/>
        <v>36</v>
      </c>
    </row>
    <row r="258" spans="1:35" x14ac:dyDescent="0.35">
      <c r="A258" s="48">
        <v>1639</v>
      </c>
      <c r="B258" s="58">
        <f>SUMIF([2]!Table2_23[ETA],'FIS Current Model'!A258,[2]!Table2_23[FIS PAX])</f>
        <v>0</v>
      </c>
      <c r="C258" s="44">
        <f t="shared" si="165"/>
        <v>0</v>
      </c>
      <c r="D258" s="52">
        <f t="shared" si="169"/>
        <v>0</v>
      </c>
      <c r="E258" s="26">
        <f t="shared" si="153"/>
        <v>0</v>
      </c>
      <c r="F258" s="26">
        <f t="shared" si="154"/>
        <v>0</v>
      </c>
      <c r="G258" s="26">
        <f t="shared" si="155"/>
        <v>0</v>
      </c>
      <c r="H258" s="26">
        <f t="shared" si="166"/>
        <v>0</v>
      </c>
      <c r="I258" s="27">
        <f t="shared" si="171"/>
        <v>9.9503999999999984</v>
      </c>
      <c r="J258" s="27">
        <f t="shared" si="171"/>
        <v>4.2713999999999999</v>
      </c>
      <c r="K258" s="27">
        <f t="shared" si="171"/>
        <v>2.9447999999999999</v>
      </c>
      <c r="L258" s="27">
        <f t="shared" si="171"/>
        <v>0.83340000000000003</v>
      </c>
      <c r="M258" s="28">
        <f t="shared" si="178"/>
        <v>3</v>
      </c>
      <c r="N258" s="29">
        <f t="shared" si="179"/>
        <v>7</v>
      </c>
      <c r="O258" s="28">
        <f t="shared" si="180"/>
        <v>1</v>
      </c>
      <c r="P258" s="28">
        <f t="shared" si="181"/>
        <v>0</v>
      </c>
      <c r="Q258" s="28">
        <f t="shared" si="156"/>
        <v>11</v>
      </c>
      <c r="R258" s="22">
        <f t="shared" si="157"/>
        <v>173.52090756202685</v>
      </c>
      <c r="S258" s="22">
        <f t="shared" si="158"/>
        <v>26.592871266996028</v>
      </c>
      <c r="T258" s="22">
        <f t="shared" si="159"/>
        <v>9.3138789727004898</v>
      </c>
      <c r="U258" s="22">
        <f t="shared" si="160"/>
        <v>5.0004</v>
      </c>
      <c r="V258" s="21">
        <f t="shared" si="176"/>
        <v>23.359384576000053</v>
      </c>
      <c r="W258" s="21">
        <f t="shared" si="177"/>
        <v>6.5162184017428579</v>
      </c>
      <c r="X258" s="21">
        <f t="shared" si="167"/>
        <v>3.1910001331999966</v>
      </c>
      <c r="Y258" s="21">
        <f t="shared" si="168"/>
        <v>0</v>
      </c>
      <c r="Z258" s="221">
        <f t="shared" si="161"/>
        <v>15</v>
      </c>
      <c r="AA258" s="30">
        <f t="shared" si="149"/>
        <v>6.3140692319120486</v>
      </c>
      <c r="AB258" s="30">
        <f t="shared" si="150"/>
        <v>3.4688739976703165</v>
      </c>
      <c r="AC258" s="30">
        <f t="shared" si="151"/>
        <v>2.4809767459508998</v>
      </c>
      <c r="AD258" s="30">
        <f t="shared" si="152"/>
        <v>0</v>
      </c>
      <c r="AE258" s="32">
        <f t="shared" si="162"/>
        <v>12.263919975533264</v>
      </c>
      <c r="AF258" s="33">
        <f t="shared" si="170"/>
        <v>12.263919975533264</v>
      </c>
      <c r="AG258" s="40">
        <f t="shared" si="163"/>
        <v>26.52066913758852</v>
      </c>
      <c r="AH258" s="224">
        <f>AG258*$P$33</f>
        <v>2.2242527162439352</v>
      </c>
      <c r="AI258" s="227">
        <f t="shared" si="164"/>
        <v>36</v>
      </c>
    </row>
    <row r="259" spans="1:35" x14ac:dyDescent="0.35">
      <c r="A259" s="48">
        <v>1640</v>
      </c>
      <c r="B259" s="58">
        <f>SUMIF([2]!Table2_23[ETA],'FIS Current Model'!A259,[2]!Table2_23[FIS PAX])</f>
        <v>0</v>
      </c>
      <c r="C259" s="44">
        <f t="shared" si="165"/>
        <v>0</v>
      </c>
      <c r="D259" s="52">
        <f t="shared" si="169"/>
        <v>0</v>
      </c>
      <c r="E259" s="26">
        <f t="shared" si="153"/>
        <v>0</v>
      </c>
      <c r="F259" s="26">
        <f t="shared" si="154"/>
        <v>0</v>
      </c>
      <c r="G259" s="26">
        <f t="shared" si="155"/>
        <v>0</v>
      </c>
      <c r="H259" s="26">
        <f t="shared" si="166"/>
        <v>0</v>
      </c>
      <c r="I259" s="27">
        <f t="shared" si="171"/>
        <v>9.9503999999999984</v>
      </c>
      <c r="J259" s="27">
        <f t="shared" si="171"/>
        <v>4.2713999999999999</v>
      </c>
      <c r="K259" s="27">
        <f t="shared" si="171"/>
        <v>2.9447999999999999</v>
      </c>
      <c r="L259" s="27">
        <f t="shared" si="171"/>
        <v>0.83340000000000003</v>
      </c>
      <c r="M259" s="28">
        <f t="shared" si="178"/>
        <v>3</v>
      </c>
      <c r="N259" s="29">
        <f t="shared" si="179"/>
        <v>7</v>
      </c>
      <c r="O259" s="28">
        <f t="shared" si="180"/>
        <v>1</v>
      </c>
      <c r="P259" s="28">
        <f t="shared" si="181"/>
        <v>0</v>
      </c>
      <c r="Q259" s="28">
        <f t="shared" si="156"/>
        <v>11</v>
      </c>
      <c r="R259" s="22">
        <f t="shared" si="157"/>
        <v>177.15723833011481</v>
      </c>
      <c r="S259" s="22">
        <f t="shared" si="158"/>
        <v>27.395397269325713</v>
      </c>
      <c r="T259" s="22">
        <f t="shared" si="159"/>
        <v>9.7777022267495894</v>
      </c>
      <c r="U259" s="22">
        <f t="shared" si="160"/>
        <v>5.8338000000000001</v>
      </c>
      <c r="V259" s="21">
        <f t="shared" si="176"/>
        <v>23.848907424000053</v>
      </c>
      <c r="W259" s="21">
        <f t="shared" si="177"/>
        <v>6.7128663925428587</v>
      </c>
      <c r="X259" s="21">
        <f t="shared" si="167"/>
        <v>3.3499092267999964</v>
      </c>
      <c r="Y259" s="21">
        <f t="shared" si="168"/>
        <v>0</v>
      </c>
      <c r="Z259" s="221">
        <f t="shared" si="161"/>
        <v>16</v>
      </c>
      <c r="AA259" s="30">
        <f t="shared" si="149"/>
        <v>6.3140692319120486</v>
      </c>
      <c r="AB259" s="30">
        <f t="shared" si="150"/>
        <v>3.4688739976703165</v>
      </c>
      <c r="AC259" s="30">
        <f t="shared" si="151"/>
        <v>2.4809767459508998</v>
      </c>
      <c r="AD259" s="30">
        <f t="shared" si="152"/>
        <v>0</v>
      </c>
      <c r="AE259" s="32">
        <f t="shared" si="162"/>
        <v>12.263919975533264</v>
      </c>
      <c r="AF259" s="33">
        <f t="shared" si="170"/>
        <v>12.263919975533264</v>
      </c>
      <c r="AG259" s="40">
        <f t="shared" si="163"/>
        <v>26.861182683670002</v>
      </c>
      <c r="AH259" s="224">
        <f>AG259*$P$33</f>
        <v>2.2528111276422402</v>
      </c>
      <c r="AI259" s="227">
        <f t="shared" si="164"/>
        <v>37</v>
      </c>
    </row>
    <row r="260" spans="1:35" x14ac:dyDescent="0.35">
      <c r="A260" s="48">
        <v>1641</v>
      </c>
      <c r="B260" s="58">
        <f>SUMIF([2]!Table2_23[ETA],'FIS Current Model'!A260,[2]!Table2_23[FIS PAX])</f>
        <v>0</v>
      </c>
      <c r="C260" s="44">
        <f t="shared" si="165"/>
        <v>0</v>
      </c>
      <c r="D260" s="52">
        <f t="shared" si="169"/>
        <v>0</v>
      </c>
      <c r="E260" s="26">
        <f t="shared" si="153"/>
        <v>0</v>
      </c>
      <c r="F260" s="26">
        <f t="shared" si="154"/>
        <v>0</v>
      </c>
      <c r="G260" s="26">
        <f t="shared" si="155"/>
        <v>0</v>
      </c>
      <c r="H260" s="26">
        <f t="shared" si="166"/>
        <v>0</v>
      </c>
      <c r="I260" s="27">
        <f t="shared" si="171"/>
        <v>7.186399999999999</v>
      </c>
      <c r="J260" s="27">
        <f t="shared" si="171"/>
        <v>3.0849000000000002</v>
      </c>
      <c r="K260" s="27">
        <f t="shared" si="171"/>
        <v>2.1267999999999998</v>
      </c>
      <c r="L260" s="27">
        <f t="shared" si="171"/>
        <v>0.60189999999999999</v>
      </c>
      <c r="M260" s="28">
        <f t="shared" si="178"/>
        <v>3</v>
      </c>
      <c r="N260" s="29">
        <f t="shared" si="179"/>
        <v>7</v>
      </c>
      <c r="O260" s="28">
        <f t="shared" si="180"/>
        <v>1</v>
      </c>
      <c r="P260" s="28">
        <f t="shared" si="181"/>
        <v>0</v>
      </c>
      <c r="Q260" s="28">
        <f t="shared" si="156"/>
        <v>11</v>
      </c>
      <c r="R260" s="22">
        <f t="shared" si="157"/>
        <v>178.02956909820276</v>
      </c>
      <c r="S260" s="22">
        <f t="shared" si="158"/>
        <v>27.011423271655399</v>
      </c>
      <c r="T260" s="22">
        <f t="shared" si="159"/>
        <v>9.4235254807986895</v>
      </c>
      <c r="U260" s="22">
        <f t="shared" si="160"/>
        <v>6.4356999999999998</v>
      </c>
      <c r="V260" s="21">
        <f t="shared" si="176"/>
        <v>23.966340592000055</v>
      </c>
      <c r="W260" s="21">
        <f t="shared" si="177"/>
        <v>6.6187788303428592</v>
      </c>
      <c r="X260" s="21">
        <f t="shared" si="167"/>
        <v>3.2285657943999966</v>
      </c>
      <c r="Y260" s="21">
        <f t="shared" si="168"/>
        <v>0</v>
      </c>
      <c r="Z260" s="221">
        <f t="shared" si="161"/>
        <v>16</v>
      </c>
      <c r="AA260" s="30">
        <f t="shared" si="149"/>
        <v>6.3140692319120486</v>
      </c>
      <c r="AB260" s="30">
        <f t="shared" si="150"/>
        <v>3.4688739976703165</v>
      </c>
      <c r="AC260" s="30">
        <f t="shared" si="151"/>
        <v>2.4809767459508998</v>
      </c>
      <c r="AD260" s="30">
        <f t="shared" si="152"/>
        <v>0</v>
      </c>
      <c r="AE260" s="32">
        <f t="shared" si="162"/>
        <v>12.263919975533264</v>
      </c>
      <c r="AF260" s="33">
        <f t="shared" si="170"/>
        <v>12.263919975533264</v>
      </c>
      <c r="AG260" s="40">
        <f t="shared" si="163"/>
        <v>27.201696229751484</v>
      </c>
      <c r="AH260" s="224">
        <f>AG260*$P$33</f>
        <v>2.2813695390405453</v>
      </c>
      <c r="AI260" s="227">
        <f t="shared" si="164"/>
        <v>37</v>
      </c>
    </row>
    <row r="261" spans="1:35" x14ac:dyDescent="0.35">
      <c r="A261" s="48">
        <v>1642</v>
      </c>
      <c r="B261" s="58">
        <f>SUMIF([2]!Table2_23[ETA],'FIS Current Model'!A261,[2]!Table2_23[FIS PAX])</f>
        <v>0</v>
      </c>
      <c r="C261" s="44">
        <f t="shared" si="165"/>
        <v>0</v>
      </c>
      <c r="D261" s="52">
        <f t="shared" si="169"/>
        <v>0</v>
      </c>
      <c r="E261" s="26">
        <f t="shared" si="153"/>
        <v>0</v>
      </c>
      <c r="F261" s="26">
        <f t="shared" si="154"/>
        <v>0</v>
      </c>
      <c r="G261" s="26">
        <f t="shared" si="155"/>
        <v>0</v>
      </c>
      <c r="H261" s="26">
        <f t="shared" si="166"/>
        <v>0</v>
      </c>
      <c r="I261" s="27">
        <f t="shared" si="171"/>
        <v>0</v>
      </c>
      <c r="J261" s="27">
        <f t="shared" si="171"/>
        <v>0</v>
      </c>
      <c r="K261" s="27">
        <f t="shared" si="171"/>
        <v>0</v>
      </c>
      <c r="L261" s="27">
        <f t="shared" si="171"/>
        <v>0</v>
      </c>
      <c r="M261" s="28">
        <f t="shared" si="178"/>
        <v>3</v>
      </c>
      <c r="N261" s="29">
        <f t="shared" si="179"/>
        <v>7</v>
      </c>
      <c r="O261" s="28">
        <f t="shared" si="180"/>
        <v>1</v>
      </c>
      <c r="P261" s="28">
        <f t="shared" si="181"/>
        <v>0</v>
      </c>
      <c r="Q261" s="28">
        <f t="shared" si="156"/>
        <v>11</v>
      </c>
      <c r="R261" s="22">
        <f t="shared" si="157"/>
        <v>171.71549986629071</v>
      </c>
      <c r="S261" s="22">
        <f t="shared" si="158"/>
        <v>23.542549273985081</v>
      </c>
      <c r="T261" s="22">
        <f t="shared" si="159"/>
        <v>6.9425487348477901</v>
      </c>
      <c r="U261" s="22">
        <f t="shared" si="160"/>
        <v>6.4356999999999998</v>
      </c>
      <c r="V261" s="21">
        <f t="shared" si="176"/>
        <v>23.116340592000054</v>
      </c>
      <c r="W261" s="21">
        <f t="shared" si="177"/>
        <v>5.7687788303428587</v>
      </c>
      <c r="X261" s="21">
        <f t="shared" si="167"/>
        <v>2.3785657943999969</v>
      </c>
      <c r="Y261" s="21">
        <f t="shared" si="168"/>
        <v>0</v>
      </c>
      <c r="Z261" s="221">
        <f t="shared" si="161"/>
        <v>15</v>
      </c>
      <c r="AA261" s="30">
        <f t="shared" si="149"/>
        <v>6.3140692319120486</v>
      </c>
      <c r="AB261" s="30">
        <f t="shared" si="150"/>
        <v>3.4688739976703165</v>
      </c>
      <c r="AC261" s="30">
        <f t="shared" si="151"/>
        <v>2.4809767459508998</v>
      </c>
      <c r="AD261" s="30">
        <f t="shared" si="152"/>
        <v>0</v>
      </c>
      <c r="AE261" s="32">
        <f t="shared" si="162"/>
        <v>12.263919975533264</v>
      </c>
      <c r="AF261" s="33">
        <f t="shared" si="170"/>
        <v>12.263919975533264</v>
      </c>
      <c r="AG261" s="40">
        <f t="shared" si="163"/>
        <v>27.542209775832966</v>
      </c>
      <c r="AH261" s="224">
        <f>AG261*$P$33</f>
        <v>2.3099279504388508</v>
      </c>
      <c r="AI261" s="227">
        <f t="shared" si="164"/>
        <v>36</v>
      </c>
    </row>
    <row r="262" spans="1:35" x14ac:dyDescent="0.35">
      <c r="A262" s="48">
        <v>1643</v>
      </c>
      <c r="B262" s="58">
        <f>SUMIF([2]!Table2_23[ETA],'FIS Current Model'!A262,[2]!Table2_23[FIS PAX])</f>
        <v>0</v>
      </c>
      <c r="C262" s="44">
        <f t="shared" si="165"/>
        <v>0</v>
      </c>
      <c r="D262" s="52">
        <f t="shared" si="169"/>
        <v>0</v>
      </c>
      <c r="E262" s="26">
        <f t="shared" si="153"/>
        <v>0</v>
      </c>
      <c r="F262" s="26">
        <f t="shared" si="154"/>
        <v>0</v>
      </c>
      <c r="G262" s="26">
        <f t="shared" si="155"/>
        <v>0</v>
      </c>
      <c r="H262" s="26">
        <f t="shared" si="166"/>
        <v>0</v>
      </c>
      <c r="I262" s="27">
        <f t="shared" si="171"/>
        <v>0</v>
      </c>
      <c r="J262" s="27">
        <f t="shared" si="171"/>
        <v>0</v>
      </c>
      <c r="K262" s="27">
        <f t="shared" si="171"/>
        <v>0</v>
      </c>
      <c r="L262" s="27">
        <f t="shared" si="171"/>
        <v>0</v>
      </c>
      <c r="M262" s="28">
        <f t="shared" si="178"/>
        <v>3</v>
      </c>
      <c r="N262" s="29">
        <f t="shared" si="179"/>
        <v>7</v>
      </c>
      <c r="O262" s="28">
        <f t="shared" si="180"/>
        <v>1</v>
      </c>
      <c r="P262" s="28">
        <f t="shared" si="181"/>
        <v>0</v>
      </c>
      <c r="Q262" s="28">
        <f t="shared" si="156"/>
        <v>11</v>
      </c>
      <c r="R262" s="22">
        <f t="shared" si="157"/>
        <v>165.40143063437867</v>
      </c>
      <c r="S262" s="22">
        <f t="shared" si="158"/>
        <v>20.073675276314766</v>
      </c>
      <c r="T262" s="22">
        <f t="shared" si="159"/>
        <v>4.4615719888968908</v>
      </c>
      <c r="U262" s="22">
        <f t="shared" si="160"/>
        <v>6.4356999999999998</v>
      </c>
      <c r="V262" s="21">
        <f t="shared" si="176"/>
        <v>22.266340592000056</v>
      </c>
      <c r="W262" s="21">
        <f t="shared" si="177"/>
        <v>4.918778830342859</v>
      </c>
      <c r="X262" s="21">
        <f t="shared" si="167"/>
        <v>1.5285657943999971</v>
      </c>
      <c r="Y262" s="21">
        <f t="shared" si="168"/>
        <v>0</v>
      </c>
      <c r="Z262" s="221">
        <f t="shared" si="161"/>
        <v>14</v>
      </c>
      <c r="AA262" s="30">
        <f t="shared" si="149"/>
        <v>6.3140692319120486</v>
      </c>
      <c r="AB262" s="30">
        <f t="shared" si="150"/>
        <v>3.4688739976703165</v>
      </c>
      <c r="AC262" s="30">
        <f t="shared" si="151"/>
        <v>2.4809767459508998</v>
      </c>
      <c r="AD262" s="30">
        <f t="shared" si="152"/>
        <v>0</v>
      </c>
      <c r="AE262" s="32">
        <f t="shared" si="162"/>
        <v>12.263919975533264</v>
      </c>
      <c r="AF262" s="33">
        <f t="shared" si="170"/>
        <v>12.263919975533264</v>
      </c>
      <c r="AG262" s="40">
        <f t="shared" si="163"/>
        <v>27.882723321914447</v>
      </c>
      <c r="AH262" s="224">
        <f>AG262*$P$33</f>
        <v>2.3384863618371559</v>
      </c>
      <c r="AI262" s="227">
        <f t="shared" si="164"/>
        <v>35</v>
      </c>
    </row>
    <row r="263" spans="1:35" x14ac:dyDescent="0.35">
      <c r="A263" s="48">
        <v>1644</v>
      </c>
      <c r="B263" s="58">
        <f>SUMIF([2]!Table2_23[ETA],'FIS Current Model'!A263,[2]!Table2_23[FIS PAX])</f>
        <v>0</v>
      </c>
      <c r="C263" s="44">
        <f t="shared" si="165"/>
        <v>0</v>
      </c>
      <c r="D263" s="52">
        <f t="shared" si="169"/>
        <v>0</v>
      </c>
      <c r="E263" s="26">
        <f t="shared" si="153"/>
        <v>0</v>
      </c>
      <c r="F263" s="26">
        <f t="shared" si="154"/>
        <v>0</v>
      </c>
      <c r="G263" s="26">
        <f t="shared" si="155"/>
        <v>0</v>
      </c>
      <c r="H263" s="26">
        <f t="shared" si="166"/>
        <v>0</v>
      </c>
      <c r="I263" s="27">
        <f t="shared" si="171"/>
        <v>0</v>
      </c>
      <c r="J263" s="27">
        <f t="shared" si="171"/>
        <v>0</v>
      </c>
      <c r="K263" s="27">
        <f t="shared" si="171"/>
        <v>0</v>
      </c>
      <c r="L263" s="27">
        <f t="shared" si="171"/>
        <v>0</v>
      </c>
      <c r="M263" s="28">
        <f t="shared" si="178"/>
        <v>3</v>
      </c>
      <c r="N263" s="29">
        <f t="shared" si="179"/>
        <v>7</v>
      </c>
      <c r="O263" s="28">
        <f t="shared" si="180"/>
        <v>1</v>
      </c>
      <c r="P263" s="28">
        <f t="shared" si="181"/>
        <v>0</v>
      </c>
      <c r="Q263" s="28">
        <f t="shared" si="156"/>
        <v>11</v>
      </c>
      <c r="R263" s="22">
        <f t="shared" si="157"/>
        <v>159.08736140246663</v>
      </c>
      <c r="S263" s="22">
        <f t="shared" si="158"/>
        <v>16.604801278644452</v>
      </c>
      <c r="T263" s="22">
        <f t="shared" si="159"/>
        <v>1.980595242945991</v>
      </c>
      <c r="U263" s="22">
        <f t="shared" si="160"/>
        <v>6.4356999999999998</v>
      </c>
      <c r="V263" s="21">
        <f t="shared" si="176"/>
        <v>21.416340592000054</v>
      </c>
      <c r="W263" s="21">
        <f t="shared" si="177"/>
        <v>4.0687788303428594</v>
      </c>
      <c r="X263" s="21">
        <f t="shared" si="167"/>
        <v>0.67856579439999709</v>
      </c>
      <c r="Y263" s="21">
        <f t="shared" si="168"/>
        <v>0</v>
      </c>
      <c r="Z263" s="221">
        <f t="shared" si="161"/>
        <v>13</v>
      </c>
      <c r="AA263" s="30">
        <f t="shared" si="149"/>
        <v>6.3140692319120486</v>
      </c>
      <c r="AB263" s="30">
        <f t="shared" si="150"/>
        <v>3.4688739976703165</v>
      </c>
      <c r="AC263" s="30">
        <f t="shared" si="151"/>
        <v>2.4809767459508998</v>
      </c>
      <c r="AD263" s="30">
        <f t="shared" si="152"/>
        <v>0</v>
      </c>
      <c r="AE263" s="32">
        <f t="shared" si="162"/>
        <v>12.263919975533264</v>
      </c>
      <c r="AF263" s="33">
        <f t="shared" si="170"/>
        <v>12.263919975533264</v>
      </c>
      <c r="AG263" s="40">
        <f t="shared" si="163"/>
        <v>28.223236867995929</v>
      </c>
      <c r="AH263" s="224">
        <f>AG263*$P$33</f>
        <v>2.3670447732354614</v>
      </c>
      <c r="AI263" s="227">
        <f t="shared" si="164"/>
        <v>34</v>
      </c>
    </row>
    <row r="264" spans="1:35" x14ac:dyDescent="0.35">
      <c r="A264" s="48">
        <v>1645</v>
      </c>
      <c r="B264" s="58">
        <f>SUMIF([2]!Table2_23[ETA],'FIS Current Model'!A264,[2]!Table2_23[FIS PAX])</f>
        <v>0</v>
      </c>
      <c r="C264" s="44">
        <f t="shared" si="165"/>
        <v>0</v>
      </c>
      <c r="D264" s="52">
        <f t="shared" si="169"/>
        <v>0</v>
      </c>
      <c r="E264" s="26">
        <f t="shared" si="153"/>
        <v>0</v>
      </c>
      <c r="F264" s="26">
        <f t="shared" si="154"/>
        <v>0</v>
      </c>
      <c r="G264" s="26">
        <f t="shared" si="155"/>
        <v>0</v>
      </c>
      <c r="H264" s="26">
        <f t="shared" si="166"/>
        <v>0</v>
      </c>
      <c r="I264" s="27">
        <f t="shared" si="171"/>
        <v>0</v>
      </c>
      <c r="J264" s="27">
        <f t="shared" si="171"/>
        <v>0</v>
      </c>
      <c r="K264" s="27">
        <f t="shared" si="171"/>
        <v>0</v>
      </c>
      <c r="L264" s="27">
        <f t="shared" si="171"/>
        <v>0</v>
      </c>
      <c r="M264" s="28">
        <f t="shared" si="178"/>
        <v>3</v>
      </c>
      <c r="N264" s="29">
        <f t="shared" si="179"/>
        <v>7</v>
      </c>
      <c r="O264" s="28">
        <f t="shared" si="180"/>
        <v>1</v>
      </c>
      <c r="P264" s="28">
        <f t="shared" si="181"/>
        <v>0</v>
      </c>
      <c r="Q264" s="28">
        <f t="shared" si="156"/>
        <v>11</v>
      </c>
      <c r="R264" s="22">
        <f t="shared" si="157"/>
        <v>152.77329217055458</v>
      </c>
      <c r="S264" s="22">
        <f t="shared" si="158"/>
        <v>13.135927280974135</v>
      </c>
      <c r="T264" s="22">
        <f t="shared" si="159"/>
        <v>0</v>
      </c>
      <c r="U264" s="22">
        <f t="shared" si="160"/>
        <v>6.4356999999999998</v>
      </c>
      <c r="V264" s="21">
        <f t="shared" si="176"/>
        <v>20.566340592000056</v>
      </c>
      <c r="W264" s="21">
        <f t="shared" si="177"/>
        <v>3.2187788303428588</v>
      </c>
      <c r="X264" s="21">
        <f t="shared" si="167"/>
        <v>0</v>
      </c>
      <c r="Y264" s="21">
        <f t="shared" si="168"/>
        <v>0</v>
      </c>
      <c r="Z264" s="221">
        <f t="shared" si="161"/>
        <v>13</v>
      </c>
      <c r="AA264" s="30">
        <f t="shared" si="149"/>
        <v>6.3140692319120486</v>
      </c>
      <c r="AB264" s="30">
        <f t="shared" si="150"/>
        <v>3.4688739976703165</v>
      </c>
      <c r="AC264" s="30">
        <f t="shared" si="151"/>
        <v>0</v>
      </c>
      <c r="AD264" s="30">
        <f t="shared" si="152"/>
        <v>0</v>
      </c>
      <c r="AE264" s="32">
        <f t="shared" si="162"/>
        <v>9.7829432295823651</v>
      </c>
      <c r="AF264" s="33">
        <f t="shared" si="170"/>
        <v>12.263919975533264</v>
      </c>
      <c r="AG264" s="40">
        <f t="shared" si="163"/>
        <v>28.563750414077411</v>
      </c>
      <c r="AH264" s="224">
        <f>AG264*$P$33</f>
        <v>2.3956031846337664</v>
      </c>
      <c r="AI264" s="227">
        <f t="shared" si="164"/>
        <v>34</v>
      </c>
    </row>
    <row r="265" spans="1:35" x14ac:dyDescent="0.35">
      <c r="A265" s="48">
        <v>1646</v>
      </c>
      <c r="B265" s="58">
        <f>SUMIF([2]!Table2_23[ETA],'FIS Current Model'!A265,[2]!Table2_23[FIS PAX])</f>
        <v>0</v>
      </c>
      <c r="C265" s="44">
        <f t="shared" si="165"/>
        <v>0</v>
      </c>
      <c r="D265" s="52">
        <f t="shared" si="169"/>
        <v>0</v>
      </c>
      <c r="E265" s="26">
        <f t="shared" si="153"/>
        <v>0</v>
      </c>
      <c r="F265" s="26">
        <f t="shared" si="154"/>
        <v>0</v>
      </c>
      <c r="G265" s="26">
        <f t="shared" si="155"/>
        <v>0</v>
      </c>
      <c r="H265" s="26">
        <f t="shared" si="166"/>
        <v>0</v>
      </c>
      <c r="I265" s="27">
        <f t="shared" si="171"/>
        <v>0</v>
      </c>
      <c r="J265" s="27">
        <f t="shared" si="171"/>
        <v>0</v>
      </c>
      <c r="K265" s="27">
        <f t="shared" si="171"/>
        <v>0</v>
      </c>
      <c r="L265" s="27">
        <f t="shared" si="171"/>
        <v>0</v>
      </c>
      <c r="M265" s="28">
        <f>IF(R264=0,0,$Q$21)</f>
        <v>3</v>
      </c>
      <c r="N265" s="29">
        <f>$U$21-M265-O265-P265</f>
        <v>7</v>
      </c>
      <c r="O265" s="28">
        <f>IF(T264=0,0,$S$21)</f>
        <v>0</v>
      </c>
      <c r="P265" s="28">
        <f>IF(U264=0,0,$T$21)</f>
        <v>1</v>
      </c>
      <c r="Q265" s="28">
        <f t="shared" si="156"/>
        <v>11</v>
      </c>
      <c r="R265" s="22">
        <f t="shared" si="157"/>
        <v>146.45922293864254</v>
      </c>
      <c r="S265" s="22">
        <f t="shared" si="158"/>
        <v>9.6670532833038187</v>
      </c>
      <c r="T265" s="22">
        <f t="shared" si="159"/>
        <v>0</v>
      </c>
      <c r="U265" s="22">
        <f t="shared" si="160"/>
        <v>4.5993669626403442</v>
      </c>
      <c r="V265" s="21">
        <f t="shared" si="176"/>
        <v>19.716340592000059</v>
      </c>
      <c r="W265" s="21">
        <f t="shared" si="177"/>
        <v>2.3687788303428587</v>
      </c>
      <c r="X265" s="21">
        <f t="shared" si="167"/>
        <v>0</v>
      </c>
      <c r="Y265" s="21">
        <f t="shared" si="168"/>
        <v>2.1289503802999996</v>
      </c>
      <c r="Z265" s="221">
        <f t="shared" si="161"/>
        <v>12</v>
      </c>
      <c r="AA265" s="30">
        <f t="shared" si="149"/>
        <v>6.3140692319120486</v>
      </c>
      <c r="AB265" s="30">
        <f t="shared" si="150"/>
        <v>3.4688739976703165</v>
      </c>
      <c r="AC265" s="30">
        <f t="shared" si="151"/>
        <v>0</v>
      </c>
      <c r="AD265" s="30">
        <f t="shared" si="152"/>
        <v>1.8363330373596554</v>
      </c>
      <c r="AE265" s="32">
        <f t="shared" si="162"/>
        <v>11.61927626694202</v>
      </c>
      <c r="AF265" s="33">
        <f t="shared" si="170"/>
        <v>12.263919975533264</v>
      </c>
      <c r="AG265" s="40">
        <f t="shared" si="163"/>
        <v>28.904263960158893</v>
      </c>
      <c r="AH265" s="224">
        <f>AG265*$P$33</f>
        <v>2.4241615960320719</v>
      </c>
      <c r="AI265" s="227">
        <f t="shared" si="164"/>
        <v>33</v>
      </c>
    </row>
    <row r="266" spans="1:35" x14ac:dyDescent="0.35">
      <c r="A266" s="48">
        <v>1647</v>
      </c>
      <c r="B266" s="58">
        <f>SUMIF([2]!Table2_23[ETA],'FIS Current Model'!A266,[2]!Table2_23[FIS PAX])</f>
        <v>0</v>
      </c>
      <c r="C266" s="44">
        <f t="shared" si="165"/>
        <v>0</v>
      </c>
      <c r="D266" s="52">
        <f t="shared" si="169"/>
        <v>0</v>
      </c>
      <c r="E266" s="26">
        <f t="shared" si="153"/>
        <v>0</v>
      </c>
      <c r="F266" s="26">
        <f t="shared" si="154"/>
        <v>0</v>
      </c>
      <c r="G266" s="26">
        <f t="shared" si="155"/>
        <v>0</v>
      </c>
      <c r="H266" s="26">
        <f t="shared" si="166"/>
        <v>0</v>
      </c>
      <c r="I266" s="27">
        <f t="shared" si="171"/>
        <v>0</v>
      </c>
      <c r="J266" s="27">
        <f t="shared" si="171"/>
        <v>0</v>
      </c>
      <c r="K266" s="27">
        <f t="shared" si="171"/>
        <v>0</v>
      </c>
      <c r="L266" s="27">
        <f t="shared" si="171"/>
        <v>0</v>
      </c>
      <c r="M266" s="28">
        <f>$M$265</f>
        <v>3</v>
      </c>
      <c r="N266" s="29">
        <f>$N$265</f>
        <v>7</v>
      </c>
      <c r="O266" s="28">
        <f>$O$265</f>
        <v>0</v>
      </c>
      <c r="P266" s="28">
        <f>$P$265</f>
        <v>1</v>
      </c>
      <c r="Q266" s="28">
        <f t="shared" si="156"/>
        <v>11</v>
      </c>
      <c r="R266" s="22">
        <f t="shared" si="157"/>
        <v>140.1451537067305</v>
      </c>
      <c r="S266" s="22">
        <f t="shared" si="158"/>
        <v>6.1981792856335023</v>
      </c>
      <c r="T266" s="22">
        <f t="shared" si="159"/>
        <v>0</v>
      </c>
      <c r="U266" s="22">
        <f t="shared" si="160"/>
        <v>2.7630339252806886</v>
      </c>
      <c r="V266" s="21">
        <f t="shared" si="176"/>
        <v>18.866340592000057</v>
      </c>
      <c r="W266" s="21">
        <f t="shared" si="177"/>
        <v>1.5187788303428582</v>
      </c>
      <c r="X266" s="21">
        <f t="shared" si="167"/>
        <v>0</v>
      </c>
      <c r="Y266" s="21">
        <f t="shared" si="168"/>
        <v>1.2789503802999997</v>
      </c>
      <c r="Z266" s="221">
        <f t="shared" si="161"/>
        <v>11</v>
      </c>
      <c r="AA266" s="30">
        <f t="shared" si="149"/>
        <v>6.3140692319120486</v>
      </c>
      <c r="AB266" s="30">
        <f t="shared" si="150"/>
        <v>3.4688739976703165</v>
      </c>
      <c r="AC266" s="30">
        <f t="shared" si="151"/>
        <v>0</v>
      </c>
      <c r="AD266" s="30">
        <f t="shared" si="152"/>
        <v>1.8363330373596554</v>
      </c>
      <c r="AE266" s="32">
        <f t="shared" si="162"/>
        <v>11.61927626694202</v>
      </c>
      <c r="AF266" s="33">
        <f t="shared" si="170"/>
        <v>12.263919975533264</v>
      </c>
      <c r="AG266" s="40">
        <f t="shared" si="163"/>
        <v>29.244777506240375</v>
      </c>
      <c r="AH266" s="224">
        <f>AG266*$P$33</f>
        <v>2.452720007430377</v>
      </c>
      <c r="AI266" s="227">
        <f t="shared" si="164"/>
        <v>32</v>
      </c>
    </row>
    <row r="267" spans="1:35" x14ac:dyDescent="0.35">
      <c r="A267" s="48">
        <v>1648</v>
      </c>
      <c r="B267" s="58">
        <f>SUMIF([2]!Table2_23[ETA],'FIS Current Model'!A267,[2]!Table2_23[FIS PAX])</f>
        <v>0</v>
      </c>
      <c r="C267" s="44">
        <f t="shared" si="165"/>
        <v>0</v>
      </c>
      <c r="D267" s="52">
        <f t="shared" si="169"/>
        <v>0</v>
      </c>
      <c r="E267" s="26">
        <f t="shared" si="153"/>
        <v>0</v>
      </c>
      <c r="F267" s="26">
        <f t="shared" si="154"/>
        <v>0</v>
      </c>
      <c r="G267" s="26">
        <f t="shared" si="155"/>
        <v>0</v>
      </c>
      <c r="H267" s="26">
        <f t="shared" si="166"/>
        <v>0</v>
      </c>
      <c r="I267" s="27">
        <f t="shared" si="171"/>
        <v>0</v>
      </c>
      <c r="J267" s="27">
        <f t="shared" si="171"/>
        <v>0</v>
      </c>
      <c r="K267" s="27">
        <f t="shared" si="171"/>
        <v>0</v>
      </c>
      <c r="L267" s="27">
        <f t="shared" si="171"/>
        <v>0</v>
      </c>
      <c r="M267" s="28">
        <f t="shared" ref="M267:M279" si="182">$M$265</f>
        <v>3</v>
      </c>
      <c r="N267" s="29">
        <f t="shared" ref="N267:N279" si="183">$N$265</f>
        <v>7</v>
      </c>
      <c r="O267" s="28">
        <f t="shared" ref="O267:O279" si="184">$O$265</f>
        <v>0</v>
      </c>
      <c r="P267" s="28">
        <f t="shared" ref="P267:P279" si="185">$P$265</f>
        <v>1</v>
      </c>
      <c r="Q267" s="28">
        <f t="shared" si="156"/>
        <v>11</v>
      </c>
      <c r="R267" s="22">
        <f t="shared" si="157"/>
        <v>133.83108447481845</v>
      </c>
      <c r="S267" s="22">
        <f t="shared" si="158"/>
        <v>2.7293052879631858</v>
      </c>
      <c r="T267" s="22">
        <f t="shared" si="159"/>
        <v>0</v>
      </c>
      <c r="U267" s="22">
        <f t="shared" si="160"/>
        <v>0.92670088792103322</v>
      </c>
      <c r="V267" s="21">
        <f t="shared" si="176"/>
        <v>18.016340592000059</v>
      </c>
      <c r="W267" s="21">
        <f t="shared" si="177"/>
        <v>0.66877883034285812</v>
      </c>
      <c r="X267" s="21">
        <f t="shared" si="167"/>
        <v>0</v>
      </c>
      <c r="Y267" s="21">
        <f t="shared" si="168"/>
        <v>0.42895038029999993</v>
      </c>
      <c r="Z267" s="221">
        <f t="shared" si="161"/>
        <v>11</v>
      </c>
      <c r="AA267" s="30">
        <f t="shared" si="149"/>
        <v>6.3140692319120486</v>
      </c>
      <c r="AB267" s="30">
        <f t="shared" si="150"/>
        <v>3.4688739976703165</v>
      </c>
      <c r="AC267" s="30">
        <f t="shared" si="151"/>
        <v>0</v>
      </c>
      <c r="AD267" s="30">
        <f t="shared" si="152"/>
        <v>1.8363330373596554</v>
      </c>
      <c r="AE267" s="32">
        <f t="shared" si="162"/>
        <v>11.61927626694202</v>
      </c>
      <c r="AF267" s="33">
        <f t="shared" si="170"/>
        <v>12.263919975533264</v>
      </c>
      <c r="AG267" s="40">
        <f t="shared" si="163"/>
        <v>29.585291052321857</v>
      </c>
      <c r="AH267" s="224">
        <f>AG267*$P$33</f>
        <v>2.4812784188286821</v>
      </c>
      <c r="AI267" s="227">
        <f t="shared" si="164"/>
        <v>32</v>
      </c>
    </row>
    <row r="268" spans="1:35" x14ac:dyDescent="0.35">
      <c r="A268" s="48">
        <v>1649</v>
      </c>
      <c r="B268" s="58">
        <f>SUMIF([2]!Table2_23[ETA],'FIS Current Model'!A268,[2]!Table2_23[FIS PAX])</f>
        <v>0</v>
      </c>
      <c r="C268" s="44">
        <f t="shared" si="165"/>
        <v>0</v>
      </c>
      <c r="D268" s="52">
        <f t="shared" si="169"/>
        <v>0</v>
      </c>
      <c r="E268" s="26">
        <f t="shared" si="153"/>
        <v>0</v>
      </c>
      <c r="F268" s="26">
        <f t="shared" si="154"/>
        <v>0</v>
      </c>
      <c r="G268" s="26">
        <f t="shared" si="155"/>
        <v>0</v>
      </c>
      <c r="H268" s="26">
        <f t="shared" si="166"/>
        <v>0</v>
      </c>
      <c r="I268" s="27">
        <f t="shared" si="171"/>
        <v>0</v>
      </c>
      <c r="J268" s="27">
        <f t="shared" si="171"/>
        <v>0</v>
      </c>
      <c r="K268" s="27">
        <f t="shared" si="171"/>
        <v>0</v>
      </c>
      <c r="L268" s="27">
        <f t="shared" si="171"/>
        <v>0</v>
      </c>
      <c r="M268" s="28">
        <f t="shared" si="182"/>
        <v>3</v>
      </c>
      <c r="N268" s="29">
        <f t="shared" si="183"/>
        <v>7</v>
      </c>
      <c r="O268" s="28">
        <f t="shared" si="184"/>
        <v>0</v>
      </c>
      <c r="P268" s="28">
        <f t="shared" si="185"/>
        <v>1</v>
      </c>
      <c r="Q268" s="28">
        <f t="shared" si="156"/>
        <v>11</v>
      </c>
      <c r="R268" s="22">
        <f t="shared" si="157"/>
        <v>127.51701524290641</v>
      </c>
      <c r="S268" s="22">
        <f t="shared" si="158"/>
        <v>0</v>
      </c>
      <c r="T268" s="22">
        <f t="shared" si="159"/>
        <v>0</v>
      </c>
      <c r="U268" s="22">
        <f t="shared" si="160"/>
        <v>0</v>
      </c>
      <c r="V268" s="21">
        <f t="shared" si="176"/>
        <v>17.166340592000061</v>
      </c>
      <c r="W268" s="21">
        <f t="shared" si="177"/>
        <v>0</v>
      </c>
      <c r="X268" s="21">
        <f t="shared" si="167"/>
        <v>0</v>
      </c>
      <c r="Y268" s="21">
        <f t="shared" si="168"/>
        <v>0</v>
      </c>
      <c r="Z268" s="221">
        <f t="shared" si="161"/>
        <v>10</v>
      </c>
      <c r="AA268" s="30">
        <f t="shared" si="149"/>
        <v>6.3140692319120486</v>
      </c>
      <c r="AB268" s="30">
        <f t="shared" si="150"/>
        <v>0</v>
      </c>
      <c r="AC268" s="30">
        <f t="shared" si="151"/>
        <v>0</v>
      </c>
      <c r="AD268" s="30">
        <f t="shared" si="152"/>
        <v>0</v>
      </c>
      <c r="AE268" s="32">
        <f t="shared" si="162"/>
        <v>6.3140692319120486</v>
      </c>
      <c r="AF268" s="33">
        <f t="shared" si="170"/>
        <v>9.7829432295823651</v>
      </c>
      <c r="AG268" s="40">
        <f t="shared" si="163"/>
        <v>27.444827852452441</v>
      </c>
      <c r="AH268" s="224">
        <f>AG268*$P$33</f>
        <v>2.3017606599957454</v>
      </c>
      <c r="AI268" s="227">
        <f t="shared" si="164"/>
        <v>31</v>
      </c>
    </row>
    <row r="269" spans="1:35" x14ac:dyDescent="0.35">
      <c r="A269" s="48">
        <v>1650</v>
      </c>
      <c r="B269" s="58">
        <f>SUMIF([2]!Table2_23[ETA],'FIS Current Model'!A269,[2]!Table2_23[FIS PAX])</f>
        <v>0</v>
      </c>
      <c r="C269" s="44">
        <f t="shared" si="165"/>
        <v>0</v>
      </c>
      <c r="D269" s="52">
        <f t="shared" si="169"/>
        <v>0</v>
      </c>
      <c r="E269" s="26">
        <f t="shared" si="153"/>
        <v>0</v>
      </c>
      <c r="F269" s="26">
        <f t="shared" si="154"/>
        <v>0</v>
      </c>
      <c r="G269" s="26">
        <f t="shared" si="155"/>
        <v>0</v>
      </c>
      <c r="H269" s="26">
        <f t="shared" si="166"/>
        <v>0</v>
      </c>
      <c r="I269" s="27">
        <f t="shared" si="171"/>
        <v>0</v>
      </c>
      <c r="J269" s="27">
        <f t="shared" si="171"/>
        <v>0</v>
      </c>
      <c r="K269" s="27">
        <f t="shared" si="171"/>
        <v>0</v>
      </c>
      <c r="L269" s="27">
        <f t="shared" si="171"/>
        <v>0</v>
      </c>
      <c r="M269" s="28">
        <f t="shared" si="182"/>
        <v>3</v>
      </c>
      <c r="N269" s="29">
        <f t="shared" si="183"/>
        <v>7</v>
      </c>
      <c r="O269" s="28">
        <f t="shared" si="184"/>
        <v>0</v>
      </c>
      <c r="P269" s="28">
        <f t="shared" si="185"/>
        <v>1</v>
      </c>
      <c r="Q269" s="28">
        <f t="shared" si="156"/>
        <v>11</v>
      </c>
      <c r="R269" s="22">
        <f t="shared" si="157"/>
        <v>121.20294601099437</v>
      </c>
      <c r="S269" s="22">
        <f t="shared" si="158"/>
        <v>0</v>
      </c>
      <c r="T269" s="22">
        <f t="shared" si="159"/>
        <v>0</v>
      </c>
      <c r="U269" s="22">
        <f t="shared" si="160"/>
        <v>0</v>
      </c>
      <c r="V269" s="21">
        <f t="shared" si="176"/>
        <v>16.31634059200006</v>
      </c>
      <c r="W269" s="21">
        <f t="shared" si="177"/>
        <v>0</v>
      </c>
      <c r="X269" s="21">
        <f t="shared" si="167"/>
        <v>0</v>
      </c>
      <c r="Y269" s="21">
        <f t="shared" si="168"/>
        <v>0</v>
      </c>
      <c r="Z269" s="221">
        <f t="shared" si="161"/>
        <v>10</v>
      </c>
      <c r="AA269" s="30">
        <f t="shared" si="149"/>
        <v>6.3140692319120486</v>
      </c>
      <c r="AB269" s="30">
        <f t="shared" si="150"/>
        <v>0</v>
      </c>
      <c r="AC269" s="30">
        <f t="shared" si="151"/>
        <v>0</v>
      </c>
      <c r="AD269" s="30">
        <f t="shared" si="152"/>
        <v>0</v>
      </c>
      <c r="AE269" s="32">
        <f t="shared" si="162"/>
        <v>6.3140692319120486</v>
      </c>
      <c r="AF269" s="33">
        <f t="shared" si="170"/>
        <v>11.61927626694202</v>
      </c>
      <c r="AG269" s="40">
        <f t="shared" si="163"/>
        <v>27.14069768994268</v>
      </c>
      <c r="AH269" s="224">
        <f>AG269*$P$33</f>
        <v>2.276253673858081</v>
      </c>
      <c r="AI269" s="227">
        <f t="shared" si="164"/>
        <v>31.028558411398304</v>
      </c>
    </row>
    <row r="270" spans="1:35" x14ac:dyDescent="0.35">
      <c r="A270" s="48">
        <v>1651</v>
      </c>
      <c r="B270" s="58">
        <f>SUMIF([2]!Table2_23[ETA],'FIS Current Model'!A270,[2]!Table2_23[FIS PAX])</f>
        <v>0</v>
      </c>
      <c r="C270" s="44">
        <f t="shared" si="165"/>
        <v>0</v>
      </c>
      <c r="D270" s="52">
        <f t="shared" si="169"/>
        <v>0</v>
      </c>
      <c r="E270" s="26">
        <f t="shared" si="153"/>
        <v>0</v>
      </c>
      <c r="F270" s="26">
        <f t="shared" si="154"/>
        <v>0</v>
      </c>
      <c r="G270" s="26">
        <f t="shared" si="155"/>
        <v>0</v>
      </c>
      <c r="H270" s="26">
        <f t="shared" si="166"/>
        <v>0</v>
      </c>
      <c r="I270" s="27">
        <f t="shared" si="171"/>
        <v>0</v>
      </c>
      <c r="J270" s="27">
        <f t="shared" si="171"/>
        <v>0</v>
      </c>
      <c r="K270" s="27">
        <f t="shared" si="171"/>
        <v>0</v>
      </c>
      <c r="L270" s="27">
        <f t="shared" si="171"/>
        <v>0</v>
      </c>
      <c r="M270" s="28">
        <f t="shared" si="182"/>
        <v>3</v>
      </c>
      <c r="N270" s="29">
        <f t="shared" si="183"/>
        <v>7</v>
      </c>
      <c r="O270" s="28">
        <f t="shared" si="184"/>
        <v>0</v>
      </c>
      <c r="P270" s="28">
        <f t="shared" si="185"/>
        <v>1</v>
      </c>
      <c r="Q270" s="28">
        <f t="shared" si="156"/>
        <v>11</v>
      </c>
      <c r="R270" s="22">
        <f t="shared" si="157"/>
        <v>114.88887677908232</v>
      </c>
      <c r="S270" s="22">
        <f t="shared" si="158"/>
        <v>0</v>
      </c>
      <c r="T270" s="22">
        <f t="shared" si="159"/>
        <v>0</v>
      </c>
      <c r="U270" s="22">
        <f t="shared" si="160"/>
        <v>0</v>
      </c>
      <c r="V270" s="21">
        <f t="shared" si="176"/>
        <v>15.466340592000062</v>
      </c>
      <c r="W270" s="21">
        <f t="shared" si="177"/>
        <v>0</v>
      </c>
      <c r="X270" s="21">
        <f t="shared" si="167"/>
        <v>0</v>
      </c>
      <c r="Y270" s="21">
        <f t="shared" si="168"/>
        <v>0</v>
      </c>
      <c r="Z270" s="221">
        <f t="shared" si="161"/>
        <v>9</v>
      </c>
      <c r="AA270" s="30">
        <f t="shared" si="149"/>
        <v>6.3140692319120486</v>
      </c>
      <c r="AB270" s="30">
        <f t="shared" si="150"/>
        <v>0</v>
      </c>
      <c r="AC270" s="30">
        <f t="shared" si="151"/>
        <v>0</v>
      </c>
      <c r="AD270" s="30">
        <f t="shared" si="152"/>
        <v>0</v>
      </c>
      <c r="AE270" s="32">
        <f t="shared" si="162"/>
        <v>6.3140692319120486</v>
      </c>
      <c r="AF270" s="33">
        <f t="shared" si="170"/>
        <v>11.61927626694202</v>
      </c>
      <c r="AG270" s="40">
        <f t="shared" si="163"/>
        <v>26.836567527432919</v>
      </c>
      <c r="AH270" s="224">
        <f>AG270*$P$33</f>
        <v>2.250746687720417</v>
      </c>
      <c r="AI270" s="227">
        <f t="shared" si="164"/>
        <v>30.028558411398304</v>
      </c>
    </row>
    <row r="271" spans="1:35" x14ac:dyDescent="0.35">
      <c r="A271" s="48">
        <v>1652</v>
      </c>
      <c r="B271" s="58">
        <f>SUMIF([2]!Table2_23[ETA],'FIS Current Model'!A271,[2]!Table2_23[FIS PAX])</f>
        <v>62</v>
      </c>
      <c r="C271" s="44">
        <f t="shared" si="165"/>
        <v>0</v>
      </c>
      <c r="D271" s="52">
        <f t="shared" si="169"/>
        <v>0</v>
      </c>
      <c r="E271" s="26">
        <f t="shared" si="153"/>
        <v>0</v>
      </c>
      <c r="F271" s="26">
        <f t="shared" si="154"/>
        <v>0</v>
      </c>
      <c r="G271" s="26">
        <f t="shared" si="155"/>
        <v>0</v>
      </c>
      <c r="H271" s="26">
        <f t="shared" si="166"/>
        <v>0</v>
      </c>
      <c r="I271" s="27">
        <f t="shared" si="171"/>
        <v>0</v>
      </c>
      <c r="J271" s="27">
        <f t="shared" si="171"/>
        <v>0</v>
      </c>
      <c r="K271" s="27">
        <f t="shared" si="171"/>
        <v>0</v>
      </c>
      <c r="L271" s="27">
        <f t="shared" si="171"/>
        <v>0</v>
      </c>
      <c r="M271" s="28">
        <f t="shared" si="182"/>
        <v>3</v>
      </c>
      <c r="N271" s="29">
        <f t="shared" si="183"/>
        <v>7</v>
      </c>
      <c r="O271" s="28">
        <f t="shared" si="184"/>
        <v>0</v>
      </c>
      <c r="P271" s="28">
        <f t="shared" si="185"/>
        <v>1</v>
      </c>
      <c r="Q271" s="28">
        <f t="shared" si="156"/>
        <v>11</v>
      </c>
      <c r="R271" s="22">
        <f t="shared" si="157"/>
        <v>108.57480754717028</v>
      </c>
      <c r="S271" s="22">
        <f t="shared" si="158"/>
        <v>0</v>
      </c>
      <c r="T271" s="22">
        <f t="shared" si="159"/>
        <v>0</v>
      </c>
      <c r="U271" s="22">
        <f t="shared" si="160"/>
        <v>0</v>
      </c>
      <c r="V271" s="21">
        <f t="shared" si="176"/>
        <v>14.616340592000062</v>
      </c>
      <c r="W271" s="21">
        <f t="shared" si="177"/>
        <v>0</v>
      </c>
      <c r="X271" s="21">
        <f t="shared" si="167"/>
        <v>0</v>
      </c>
      <c r="Y271" s="21">
        <f t="shared" si="168"/>
        <v>0</v>
      </c>
      <c r="Z271" s="221">
        <f t="shared" si="161"/>
        <v>9</v>
      </c>
      <c r="AA271" s="30">
        <f t="shared" si="149"/>
        <v>6.3140692319120486</v>
      </c>
      <c r="AB271" s="30">
        <f t="shared" si="150"/>
        <v>0</v>
      </c>
      <c r="AC271" s="30">
        <f t="shared" si="151"/>
        <v>0</v>
      </c>
      <c r="AD271" s="30">
        <f t="shared" si="152"/>
        <v>0</v>
      </c>
      <c r="AE271" s="32">
        <f t="shared" si="162"/>
        <v>6.3140692319120486</v>
      </c>
      <c r="AF271" s="33">
        <f t="shared" si="170"/>
        <v>11.61927626694202</v>
      </c>
      <c r="AG271" s="40">
        <f t="shared" si="163"/>
        <v>26.532437364923158</v>
      </c>
      <c r="AH271" s="224">
        <f>AG271*$P$33</f>
        <v>2.225239701582753</v>
      </c>
      <c r="AI271" s="227">
        <f t="shared" si="164"/>
        <v>30.057116822796612</v>
      </c>
    </row>
    <row r="272" spans="1:35" x14ac:dyDescent="0.35">
      <c r="A272" s="48">
        <v>1653</v>
      </c>
      <c r="B272" s="58">
        <f>SUMIF([2]!Table2_23[ETA],'FIS Current Model'!A272,[2]!Table2_23[FIS PAX])</f>
        <v>0</v>
      </c>
      <c r="C272" s="44">
        <f t="shared" si="165"/>
        <v>18</v>
      </c>
      <c r="D272" s="52">
        <f t="shared" si="169"/>
        <v>44</v>
      </c>
      <c r="E272" s="26">
        <f t="shared" si="153"/>
        <v>9.9503999999999984</v>
      </c>
      <c r="F272" s="26">
        <f t="shared" si="154"/>
        <v>4.2713999999999999</v>
      </c>
      <c r="G272" s="26">
        <f t="shared" si="155"/>
        <v>2.9447999999999999</v>
      </c>
      <c r="H272" s="26">
        <f t="shared" si="166"/>
        <v>0.83340000000000003</v>
      </c>
      <c r="I272" s="27">
        <f t="shared" si="171"/>
        <v>0</v>
      </c>
      <c r="J272" s="27">
        <f t="shared" si="171"/>
        <v>0</v>
      </c>
      <c r="K272" s="27">
        <f t="shared" si="171"/>
        <v>0</v>
      </c>
      <c r="L272" s="27">
        <f t="shared" si="171"/>
        <v>0</v>
      </c>
      <c r="M272" s="28">
        <f t="shared" si="182"/>
        <v>3</v>
      </c>
      <c r="N272" s="29">
        <f t="shared" si="183"/>
        <v>7</v>
      </c>
      <c r="O272" s="28">
        <f t="shared" si="184"/>
        <v>0</v>
      </c>
      <c r="P272" s="28">
        <f t="shared" si="185"/>
        <v>1</v>
      </c>
      <c r="Q272" s="28">
        <f t="shared" si="156"/>
        <v>11</v>
      </c>
      <c r="R272" s="22">
        <f t="shared" si="157"/>
        <v>102.26073831525824</v>
      </c>
      <c r="S272" s="22">
        <f t="shared" si="158"/>
        <v>0</v>
      </c>
      <c r="T272" s="22">
        <f t="shared" si="159"/>
        <v>0</v>
      </c>
      <c r="U272" s="22">
        <f t="shared" si="160"/>
        <v>0</v>
      </c>
      <c r="V272" s="21">
        <f t="shared" si="176"/>
        <v>13.766340592000063</v>
      </c>
      <c r="W272" s="21">
        <f t="shared" si="177"/>
        <v>0</v>
      </c>
      <c r="X272" s="21">
        <f t="shared" si="167"/>
        <v>0</v>
      </c>
      <c r="Y272" s="21">
        <f t="shared" si="168"/>
        <v>0</v>
      </c>
      <c r="Z272" s="221">
        <f t="shared" si="161"/>
        <v>8</v>
      </c>
      <c r="AA272" s="30">
        <f t="shared" si="149"/>
        <v>6.3140692319120486</v>
      </c>
      <c r="AB272" s="30">
        <f t="shared" si="150"/>
        <v>0</v>
      </c>
      <c r="AC272" s="30">
        <f t="shared" si="151"/>
        <v>0</v>
      </c>
      <c r="AD272" s="30">
        <f t="shared" si="152"/>
        <v>0</v>
      </c>
      <c r="AE272" s="32">
        <f t="shared" si="162"/>
        <v>6.3140692319120486</v>
      </c>
      <c r="AF272" s="33">
        <f t="shared" si="170"/>
        <v>6.3140692319120486</v>
      </c>
      <c r="AG272" s="40">
        <f t="shared" si="163"/>
        <v>20.923100167383424</v>
      </c>
      <c r="AH272" s="224">
        <f>AG272*$P$33</f>
        <v>1.7547921637311357</v>
      </c>
      <c r="AI272" s="227">
        <f t="shared" si="164"/>
        <v>29.057116822796612</v>
      </c>
    </row>
    <row r="273" spans="1:35" x14ac:dyDescent="0.35">
      <c r="A273" s="48">
        <v>1654</v>
      </c>
      <c r="B273" s="58">
        <f>SUMIF([2]!Table2_23[ETA],'FIS Current Model'!A273,[2]!Table2_23[FIS PAX])</f>
        <v>104</v>
      </c>
      <c r="C273" s="44">
        <f t="shared" si="165"/>
        <v>18</v>
      </c>
      <c r="D273" s="52">
        <f t="shared" si="169"/>
        <v>26</v>
      </c>
      <c r="E273" s="26">
        <f t="shared" si="153"/>
        <v>9.9503999999999984</v>
      </c>
      <c r="F273" s="26">
        <f t="shared" si="154"/>
        <v>4.2713999999999999</v>
      </c>
      <c r="G273" s="26">
        <f t="shared" si="155"/>
        <v>2.9447999999999999</v>
      </c>
      <c r="H273" s="26">
        <f t="shared" si="166"/>
        <v>0.83340000000000003</v>
      </c>
      <c r="I273" s="27">
        <f t="shared" si="171"/>
        <v>0</v>
      </c>
      <c r="J273" s="27">
        <f t="shared" si="171"/>
        <v>0</v>
      </c>
      <c r="K273" s="27">
        <f t="shared" si="171"/>
        <v>0</v>
      </c>
      <c r="L273" s="27">
        <f t="shared" si="171"/>
        <v>0</v>
      </c>
      <c r="M273" s="28">
        <f t="shared" si="182"/>
        <v>3</v>
      </c>
      <c r="N273" s="29">
        <f t="shared" si="183"/>
        <v>7</v>
      </c>
      <c r="O273" s="28">
        <f t="shared" si="184"/>
        <v>0</v>
      </c>
      <c r="P273" s="28">
        <f t="shared" si="185"/>
        <v>1</v>
      </c>
      <c r="Q273" s="28">
        <f t="shared" si="156"/>
        <v>11</v>
      </c>
      <c r="R273" s="22">
        <f t="shared" si="157"/>
        <v>95.946669083346194</v>
      </c>
      <c r="S273" s="22">
        <f t="shared" si="158"/>
        <v>0</v>
      </c>
      <c r="T273" s="22">
        <f t="shared" si="159"/>
        <v>0</v>
      </c>
      <c r="U273" s="22">
        <f t="shared" si="160"/>
        <v>0</v>
      </c>
      <c r="V273" s="21">
        <f t="shared" si="176"/>
        <v>12.916340592000063</v>
      </c>
      <c r="W273" s="21">
        <f t="shared" si="177"/>
        <v>0</v>
      </c>
      <c r="X273" s="21">
        <f t="shared" si="167"/>
        <v>0</v>
      </c>
      <c r="Y273" s="21">
        <f t="shared" si="168"/>
        <v>0</v>
      </c>
      <c r="Z273" s="221">
        <f t="shared" si="161"/>
        <v>8</v>
      </c>
      <c r="AA273" s="30">
        <f t="shared" si="149"/>
        <v>6.3140692319120486</v>
      </c>
      <c r="AB273" s="30">
        <f t="shared" si="150"/>
        <v>0</v>
      </c>
      <c r="AC273" s="30">
        <f t="shared" si="151"/>
        <v>0</v>
      </c>
      <c r="AD273" s="30">
        <f t="shared" si="152"/>
        <v>0</v>
      </c>
      <c r="AE273" s="32">
        <f t="shared" si="162"/>
        <v>6.3140692319120486</v>
      </c>
      <c r="AF273" s="33">
        <f t="shared" si="170"/>
        <v>6.3140692319120486</v>
      </c>
      <c r="AG273" s="40">
        <f t="shared" si="163"/>
        <v>15.313762969843692</v>
      </c>
      <c r="AH273" s="224">
        <f>AG273*$P$33</f>
        <v>1.2843446258795186</v>
      </c>
      <c r="AI273" s="227">
        <f t="shared" si="164"/>
        <v>29.085675234194916</v>
      </c>
    </row>
    <row r="274" spans="1:35" x14ac:dyDescent="0.35">
      <c r="A274" s="48">
        <v>1655</v>
      </c>
      <c r="B274" s="58">
        <f>SUMIF([2]!Table2_23[ETA],'FIS Current Model'!A274,[2]!Table2_23[FIS PAX])</f>
        <v>0</v>
      </c>
      <c r="C274" s="44">
        <f t="shared" si="165"/>
        <v>18</v>
      </c>
      <c r="D274" s="52">
        <f t="shared" si="169"/>
        <v>112</v>
      </c>
      <c r="E274" s="26">
        <f t="shared" si="153"/>
        <v>9.9503999999999984</v>
      </c>
      <c r="F274" s="26">
        <f t="shared" si="154"/>
        <v>4.2713999999999999</v>
      </c>
      <c r="G274" s="26">
        <f t="shared" si="155"/>
        <v>2.9447999999999999</v>
      </c>
      <c r="H274" s="26">
        <f t="shared" si="166"/>
        <v>0.83340000000000003</v>
      </c>
      <c r="I274" s="27">
        <f t="shared" si="171"/>
        <v>0</v>
      </c>
      <c r="J274" s="27">
        <f t="shared" si="171"/>
        <v>0</v>
      </c>
      <c r="K274" s="27">
        <f t="shared" si="171"/>
        <v>0</v>
      </c>
      <c r="L274" s="27">
        <f t="shared" si="171"/>
        <v>0</v>
      </c>
      <c r="M274" s="28">
        <f t="shared" si="182"/>
        <v>3</v>
      </c>
      <c r="N274" s="29">
        <f>$N$265</f>
        <v>7</v>
      </c>
      <c r="O274" s="28">
        <f t="shared" si="184"/>
        <v>0</v>
      </c>
      <c r="P274" s="28">
        <f t="shared" si="185"/>
        <v>1</v>
      </c>
      <c r="Q274" s="28">
        <f t="shared" si="156"/>
        <v>11</v>
      </c>
      <c r="R274" s="22">
        <f t="shared" si="157"/>
        <v>89.632599851434151</v>
      </c>
      <c r="S274" s="22">
        <f t="shared" si="158"/>
        <v>0</v>
      </c>
      <c r="T274" s="22">
        <f t="shared" si="159"/>
        <v>0</v>
      </c>
      <c r="U274" s="22">
        <f t="shared" si="160"/>
        <v>0</v>
      </c>
      <c r="V274" s="21">
        <f t="shared" si="176"/>
        <v>12.066340592000065</v>
      </c>
      <c r="W274" s="21">
        <f t="shared" si="177"/>
        <v>0</v>
      </c>
      <c r="X274" s="21">
        <f t="shared" si="167"/>
        <v>0</v>
      </c>
      <c r="Y274" s="21">
        <f t="shared" si="168"/>
        <v>0</v>
      </c>
      <c r="Z274" s="221">
        <f t="shared" si="161"/>
        <v>7</v>
      </c>
      <c r="AA274" s="30">
        <f t="shared" si="149"/>
        <v>6.3140692319120486</v>
      </c>
      <c r="AB274" s="30">
        <f t="shared" si="150"/>
        <v>0</v>
      </c>
      <c r="AC274" s="30">
        <f t="shared" si="151"/>
        <v>0</v>
      </c>
      <c r="AD274" s="30">
        <f t="shared" si="152"/>
        <v>0</v>
      </c>
      <c r="AE274" s="32">
        <f t="shared" si="162"/>
        <v>6.3140692319120486</v>
      </c>
      <c r="AF274" s="33">
        <f t="shared" si="170"/>
        <v>6.3140692319120486</v>
      </c>
      <c r="AG274" s="40">
        <f t="shared" si="163"/>
        <v>9.70442577230396</v>
      </c>
      <c r="AH274" s="224">
        <f>AG274*$P$33</f>
        <v>0.81389708802790128</v>
      </c>
      <c r="AI274" s="227">
        <f t="shared" si="164"/>
        <v>28.085675234194916</v>
      </c>
    </row>
    <row r="275" spans="1:35" x14ac:dyDescent="0.35">
      <c r="A275" s="48">
        <v>1656</v>
      </c>
      <c r="B275" s="58">
        <f>SUMIF([2]!Table2_23[ETA],'FIS Current Model'!A275,[2]!Table2_23[FIS PAX])</f>
        <v>0</v>
      </c>
      <c r="C275" s="44">
        <f t="shared" si="165"/>
        <v>18</v>
      </c>
      <c r="D275" s="52">
        <f t="shared" si="169"/>
        <v>94</v>
      </c>
      <c r="E275" s="26">
        <f t="shared" si="153"/>
        <v>9.9503999999999984</v>
      </c>
      <c r="F275" s="26">
        <f t="shared" si="154"/>
        <v>4.2713999999999999</v>
      </c>
      <c r="G275" s="26">
        <f t="shared" si="155"/>
        <v>2.9447999999999999</v>
      </c>
      <c r="H275" s="26">
        <f t="shared" si="166"/>
        <v>0.83340000000000003</v>
      </c>
      <c r="I275" s="27">
        <f t="shared" si="171"/>
        <v>0</v>
      </c>
      <c r="J275" s="27">
        <f t="shared" si="171"/>
        <v>0</v>
      </c>
      <c r="K275" s="27">
        <f t="shared" si="171"/>
        <v>0</v>
      </c>
      <c r="L275" s="27">
        <f t="shared" si="171"/>
        <v>0</v>
      </c>
      <c r="M275" s="28">
        <f t="shared" si="182"/>
        <v>3</v>
      </c>
      <c r="N275" s="29">
        <f t="shared" si="183"/>
        <v>7</v>
      </c>
      <c r="O275" s="28">
        <f t="shared" si="184"/>
        <v>0</v>
      </c>
      <c r="P275" s="28">
        <f t="shared" si="185"/>
        <v>1</v>
      </c>
      <c r="Q275" s="28">
        <f t="shared" si="156"/>
        <v>11</v>
      </c>
      <c r="R275" s="22">
        <f t="shared" si="157"/>
        <v>83.318530619522107</v>
      </c>
      <c r="S275" s="22">
        <f t="shared" si="158"/>
        <v>0</v>
      </c>
      <c r="T275" s="22">
        <f t="shared" si="159"/>
        <v>0</v>
      </c>
      <c r="U275" s="22">
        <f t="shared" si="160"/>
        <v>0</v>
      </c>
      <c r="V275" s="21">
        <f t="shared" si="176"/>
        <v>11.216340592000066</v>
      </c>
      <c r="W275" s="21">
        <f t="shared" si="177"/>
        <v>0</v>
      </c>
      <c r="X275" s="21">
        <f t="shared" si="167"/>
        <v>0</v>
      </c>
      <c r="Y275" s="21">
        <f t="shared" si="168"/>
        <v>0</v>
      </c>
      <c r="Z275" s="221">
        <f t="shared" si="161"/>
        <v>7</v>
      </c>
      <c r="AA275" s="30">
        <f t="shared" si="149"/>
        <v>6.3140692319120486</v>
      </c>
      <c r="AB275" s="30">
        <f t="shared" si="150"/>
        <v>0</v>
      </c>
      <c r="AC275" s="30">
        <f t="shared" si="151"/>
        <v>0</v>
      </c>
      <c r="AD275" s="30">
        <f t="shared" si="152"/>
        <v>0</v>
      </c>
      <c r="AE275" s="32">
        <f t="shared" si="162"/>
        <v>6.3140692319120486</v>
      </c>
      <c r="AF275" s="33">
        <f t="shared" si="170"/>
        <v>6.3140692319120486</v>
      </c>
      <c r="AG275" s="40">
        <f t="shared" si="163"/>
        <v>4.0950885747642278</v>
      </c>
      <c r="AH275" s="224">
        <f>AG275*$P$33</f>
        <v>0.34344955017628415</v>
      </c>
      <c r="AI275" s="227">
        <f t="shared" si="164"/>
        <v>28.11423364559322</v>
      </c>
    </row>
    <row r="276" spans="1:35" x14ac:dyDescent="0.35">
      <c r="A276" s="48">
        <v>1657</v>
      </c>
      <c r="B276" s="58">
        <f>SUMIF([2]!Table2_23[ETA],'FIS Current Model'!A276,[2]!Table2_23[FIS PAX])</f>
        <v>0</v>
      </c>
      <c r="C276" s="44">
        <f t="shared" si="165"/>
        <v>18</v>
      </c>
      <c r="D276" s="52">
        <f t="shared" si="169"/>
        <v>76</v>
      </c>
      <c r="E276" s="26">
        <f t="shared" si="153"/>
        <v>9.9503999999999984</v>
      </c>
      <c r="F276" s="26">
        <f t="shared" si="154"/>
        <v>4.2713999999999999</v>
      </c>
      <c r="G276" s="26">
        <f t="shared" si="155"/>
        <v>2.9447999999999999</v>
      </c>
      <c r="H276" s="26">
        <f t="shared" si="166"/>
        <v>0.83340000000000003</v>
      </c>
      <c r="I276" s="27">
        <f t="shared" si="171"/>
        <v>0</v>
      </c>
      <c r="J276" s="27">
        <f t="shared" si="171"/>
        <v>0</v>
      </c>
      <c r="K276" s="27">
        <f t="shared" si="171"/>
        <v>0</v>
      </c>
      <c r="L276" s="27">
        <f t="shared" si="171"/>
        <v>0</v>
      </c>
      <c r="M276" s="28">
        <f t="shared" si="182"/>
        <v>3</v>
      </c>
      <c r="N276" s="29">
        <f t="shared" si="183"/>
        <v>7</v>
      </c>
      <c r="O276" s="28">
        <f t="shared" si="184"/>
        <v>0</v>
      </c>
      <c r="P276" s="28">
        <f t="shared" si="185"/>
        <v>1</v>
      </c>
      <c r="Q276" s="28">
        <f t="shared" si="156"/>
        <v>11</v>
      </c>
      <c r="R276" s="22">
        <f t="shared" si="157"/>
        <v>77.004461387610064</v>
      </c>
      <c r="S276" s="22">
        <f t="shared" si="158"/>
        <v>0</v>
      </c>
      <c r="T276" s="22">
        <f t="shared" si="159"/>
        <v>0</v>
      </c>
      <c r="U276" s="22">
        <f t="shared" si="160"/>
        <v>0</v>
      </c>
      <c r="V276" s="21">
        <f t="shared" si="176"/>
        <v>10.366340592000066</v>
      </c>
      <c r="W276" s="21">
        <f t="shared" si="177"/>
        <v>0</v>
      </c>
      <c r="X276" s="21">
        <f t="shared" si="167"/>
        <v>0</v>
      </c>
      <c r="Y276" s="21">
        <f t="shared" si="168"/>
        <v>0</v>
      </c>
      <c r="Z276" s="221">
        <f t="shared" si="161"/>
        <v>6</v>
      </c>
      <c r="AA276" s="30">
        <f t="shared" si="149"/>
        <v>6.3140692319120486</v>
      </c>
      <c r="AB276" s="30">
        <f t="shared" si="150"/>
        <v>0</v>
      </c>
      <c r="AC276" s="30">
        <f t="shared" si="151"/>
        <v>0</v>
      </c>
      <c r="AD276" s="30">
        <f t="shared" si="152"/>
        <v>0</v>
      </c>
      <c r="AE276" s="32">
        <f t="shared" si="162"/>
        <v>6.3140692319120486</v>
      </c>
      <c r="AF276" s="33">
        <f t="shared" si="170"/>
        <v>6.3140692319120486</v>
      </c>
      <c r="AG276" s="40">
        <f t="shared" si="163"/>
        <v>0</v>
      </c>
      <c r="AH276" s="224">
        <f>AG276*$P$33</f>
        <v>0</v>
      </c>
      <c r="AI276" s="227">
        <f t="shared" si="164"/>
        <v>27.11423364559322</v>
      </c>
    </row>
    <row r="277" spans="1:35" x14ac:dyDescent="0.35">
      <c r="A277" s="48">
        <v>1658</v>
      </c>
      <c r="B277" s="58">
        <f>SUMIF([2]!Table2_23[ETA],'FIS Current Model'!A277,[2]!Table2_23[FIS PAX])</f>
        <v>0</v>
      </c>
      <c r="C277" s="44">
        <f t="shared" si="165"/>
        <v>18</v>
      </c>
      <c r="D277" s="52">
        <f t="shared" si="169"/>
        <v>58</v>
      </c>
      <c r="E277" s="26">
        <f t="shared" si="153"/>
        <v>9.9503999999999984</v>
      </c>
      <c r="F277" s="26">
        <f t="shared" si="154"/>
        <v>4.2713999999999999</v>
      </c>
      <c r="G277" s="26">
        <f t="shared" si="155"/>
        <v>2.9447999999999999</v>
      </c>
      <c r="H277" s="26">
        <f t="shared" si="166"/>
        <v>0.83340000000000003</v>
      </c>
      <c r="I277" s="27">
        <f t="shared" si="171"/>
        <v>9.9503999999999984</v>
      </c>
      <c r="J277" s="27">
        <f t="shared" si="171"/>
        <v>4.2713999999999999</v>
      </c>
      <c r="K277" s="27">
        <f t="shared" si="171"/>
        <v>2.9447999999999999</v>
      </c>
      <c r="L277" s="27">
        <f t="shared" si="171"/>
        <v>0.83340000000000003</v>
      </c>
      <c r="M277" s="28">
        <f t="shared" si="182"/>
        <v>3</v>
      </c>
      <c r="N277" s="29">
        <f t="shared" si="183"/>
        <v>7</v>
      </c>
      <c r="O277" s="28">
        <f t="shared" si="184"/>
        <v>0</v>
      </c>
      <c r="P277" s="28">
        <f t="shared" si="185"/>
        <v>1</v>
      </c>
      <c r="Q277" s="28">
        <f t="shared" si="156"/>
        <v>11</v>
      </c>
      <c r="R277" s="22">
        <f t="shared" si="157"/>
        <v>80.640792155698023</v>
      </c>
      <c r="S277" s="22">
        <f t="shared" si="158"/>
        <v>0.30697257409106715</v>
      </c>
      <c r="T277" s="22">
        <f t="shared" si="159"/>
        <v>2.9447999999999999</v>
      </c>
      <c r="U277" s="22">
        <f t="shared" si="160"/>
        <v>0</v>
      </c>
      <c r="V277" s="21">
        <f t="shared" si="176"/>
        <v>10.855863440000068</v>
      </c>
      <c r="W277" s="21">
        <f t="shared" si="177"/>
        <v>7.5219419371428481E-2</v>
      </c>
      <c r="X277" s="21">
        <f t="shared" si="167"/>
        <v>0</v>
      </c>
      <c r="Y277" s="21">
        <f t="shared" si="168"/>
        <v>0</v>
      </c>
      <c r="Z277" s="221">
        <f t="shared" si="161"/>
        <v>7</v>
      </c>
      <c r="AA277" s="30">
        <f t="shared" si="149"/>
        <v>6.3140692319120486</v>
      </c>
      <c r="AB277" s="30">
        <f t="shared" si="150"/>
        <v>3.4688739976703165</v>
      </c>
      <c r="AC277" s="30">
        <f t="shared" si="151"/>
        <v>0</v>
      </c>
      <c r="AD277" s="30">
        <f t="shared" si="152"/>
        <v>0</v>
      </c>
      <c r="AE277" s="32">
        <f t="shared" si="162"/>
        <v>9.7829432295823651</v>
      </c>
      <c r="AF277" s="33">
        <f t="shared" si="170"/>
        <v>6.3140692319120486</v>
      </c>
      <c r="AG277" s="40">
        <f t="shared" si="163"/>
        <v>0</v>
      </c>
      <c r="AH277" s="224">
        <f>AG277*$P$33</f>
        <v>0</v>
      </c>
      <c r="AI277" s="227">
        <f t="shared" si="164"/>
        <v>28.171350468389832</v>
      </c>
    </row>
    <row r="278" spans="1:35" x14ac:dyDescent="0.35">
      <c r="A278" s="48">
        <v>1659</v>
      </c>
      <c r="B278" s="58">
        <f>SUMIF([2]!Table2_23[ETA],'FIS Current Model'!A278,[2]!Table2_23[FIS PAX])</f>
        <v>106</v>
      </c>
      <c r="C278" s="44">
        <f t="shared" si="165"/>
        <v>18</v>
      </c>
      <c r="D278" s="52">
        <f t="shared" si="169"/>
        <v>40</v>
      </c>
      <c r="E278" s="26">
        <f t="shared" si="153"/>
        <v>9.9503999999999984</v>
      </c>
      <c r="F278" s="26">
        <f t="shared" si="154"/>
        <v>4.2713999999999999</v>
      </c>
      <c r="G278" s="26">
        <f t="shared" si="155"/>
        <v>2.9447999999999999</v>
      </c>
      <c r="H278" s="26">
        <f t="shared" si="166"/>
        <v>0.83340000000000003</v>
      </c>
      <c r="I278" s="27">
        <f t="shared" si="171"/>
        <v>9.9503999999999984</v>
      </c>
      <c r="J278" s="27">
        <f t="shared" si="171"/>
        <v>4.2713999999999999</v>
      </c>
      <c r="K278" s="27">
        <f t="shared" si="171"/>
        <v>2.9447999999999999</v>
      </c>
      <c r="L278" s="27">
        <f t="shared" si="171"/>
        <v>0.83340000000000003</v>
      </c>
      <c r="M278" s="28">
        <f t="shared" si="182"/>
        <v>3</v>
      </c>
      <c r="N278" s="29">
        <f t="shared" si="183"/>
        <v>7</v>
      </c>
      <c r="O278" s="28">
        <f t="shared" si="184"/>
        <v>0</v>
      </c>
      <c r="P278" s="28">
        <f t="shared" si="185"/>
        <v>1</v>
      </c>
      <c r="Q278" s="28">
        <f t="shared" si="156"/>
        <v>11</v>
      </c>
      <c r="R278" s="22">
        <f t="shared" si="157"/>
        <v>84.277122923785981</v>
      </c>
      <c r="S278" s="22">
        <f t="shared" si="158"/>
        <v>0.6139451481821343</v>
      </c>
      <c r="T278" s="22">
        <f t="shared" si="159"/>
        <v>5.8895999999999997</v>
      </c>
      <c r="U278" s="22">
        <f t="shared" si="160"/>
        <v>0</v>
      </c>
      <c r="V278" s="21">
        <f t="shared" si="176"/>
        <v>11.345386288000068</v>
      </c>
      <c r="W278" s="21">
        <f t="shared" si="177"/>
        <v>0.15043883874285696</v>
      </c>
      <c r="X278" s="21">
        <f t="shared" si="167"/>
        <v>0</v>
      </c>
      <c r="Y278" s="21">
        <f t="shared" si="168"/>
        <v>0</v>
      </c>
      <c r="Z278" s="221">
        <f t="shared" si="161"/>
        <v>7</v>
      </c>
      <c r="AA278" s="30">
        <f t="shared" si="149"/>
        <v>6.3140692319120486</v>
      </c>
      <c r="AB278" s="30">
        <f t="shared" si="150"/>
        <v>3.4688739976703165</v>
      </c>
      <c r="AC278" s="30">
        <f t="shared" si="151"/>
        <v>0</v>
      </c>
      <c r="AD278" s="30">
        <f t="shared" si="152"/>
        <v>0</v>
      </c>
      <c r="AE278" s="32">
        <f t="shared" si="162"/>
        <v>9.7829432295823651</v>
      </c>
      <c r="AF278" s="33">
        <f t="shared" si="170"/>
        <v>6.3140692319120486</v>
      </c>
      <c r="AG278" s="40">
        <f t="shared" si="163"/>
        <v>0</v>
      </c>
      <c r="AH278" s="224">
        <f>AG278*$P$33</f>
        <v>0</v>
      </c>
      <c r="AI278" s="227">
        <f t="shared" si="164"/>
        <v>28.199908879788136</v>
      </c>
    </row>
    <row r="279" spans="1:35" x14ac:dyDescent="0.35">
      <c r="A279" s="48">
        <v>1700</v>
      </c>
      <c r="B279" s="58">
        <f>SUMIF([2]!Table2_23[ETA],'FIS Current Model'!A279,[2]!Table2_23[FIS PAX])</f>
        <v>0</v>
      </c>
      <c r="C279" s="44">
        <f t="shared" si="165"/>
        <v>18</v>
      </c>
      <c r="D279" s="52">
        <f t="shared" si="169"/>
        <v>128</v>
      </c>
      <c r="E279" s="26">
        <f t="shared" si="153"/>
        <v>9.9503999999999984</v>
      </c>
      <c r="F279" s="26">
        <f t="shared" si="154"/>
        <v>4.2713999999999999</v>
      </c>
      <c r="G279" s="26">
        <f t="shared" si="155"/>
        <v>2.9447999999999999</v>
      </c>
      <c r="H279" s="26">
        <f t="shared" si="166"/>
        <v>0.83340000000000003</v>
      </c>
      <c r="I279" s="27">
        <f t="shared" si="171"/>
        <v>9.9503999999999984</v>
      </c>
      <c r="J279" s="27">
        <f t="shared" si="171"/>
        <v>4.2713999999999999</v>
      </c>
      <c r="K279" s="27">
        <f t="shared" si="171"/>
        <v>2.9447999999999999</v>
      </c>
      <c r="L279" s="27">
        <f t="shared" si="171"/>
        <v>0.83340000000000003</v>
      </c>
      <c r="M279" s="28">
        <f t="shared" si="182"/>
        <v>3</v>
      </c>
      <c r="N279" s="29">
        <f t="shared" si="183"/>
        <v>7</v>
      </c>
      <c r="O279" s="28">
        <f t="shared" si="184"/>
        <v>0</v>
      </c>
      <c r="P279" s="28">
        <f t="shared" si="185"/>
        <v>1</v>
      </c>
      <c r="Q279" s="28">
        <f t="shared" si="156"/>
        <v>11</v>
      </c>
      <c r="R279" s="22">
        <f t="shared" si="157"/>
        <v>87.91345369187394</v>
      </c>
      <c r="S279" s="22">
        <f t="shared" si="158"/>
        <v>0.92091772227320146</v>
      </c>
      <c r="T279" s="22">
        <f t="shared" si="159"/>
        <v>8.8343999999999987</v>
      </c>
      <c r="U279" s="22">
        <f t="shared" si="160"/>
        <v>0</v>
      </c>
      <c r="V279" s="21">
        <f t="shared" si="176"/>
        <v>11.83490913600007</v>
      </c>
      <c r="W279" s="21">
        <f t="shared" si="177"/>
        <v>0.22565825811428544</v>
      </c>
      <c r="X279" s="21">
        <f t="shared" si="167"/>
        <v>0</v>
      </c>
      <c r="Y279" s="21">
        <f t="shared" si="168"/>
        <v>0</v>
      </c>
      <c r="Z279" s="221">
        <f t="shared" si="161"/>
        <v>7</v>
      </c>
      <c r="AA279" s="30">
        <f t="shared" si="149"/>
        <v>6.3140692319120486</v>
      </c>
      <c r="AB279" s="30">
        <f t="shared" si="150"/>
        <v>3.4688739976703165</v>
      </c>
      <c r="AC279" s="30">
        <f t="shared" si="151"/>
        <v>0</v>
      </c>
      <c r="AD279" s="30">
        <f t="shared" si="152"/>
        <v>0</v>
      </c>
      <c r="AE279" s="32">
        <f t="shared" si="162"/>
        <v>9.7829432295823651</v>
      </c>
      <c r="AF279" s="33">
        <f t="shared" si="170"/>
        <v>6.3140692319120486</v>
      </c>
      <c r="AG279" s="40">
        <f t="shared" si="163"/>
        <v>0</v>
      </c>
      <c r="AH279" s="224">
        <f>AG279*$P$33</f>
        <v>0</v>
      </c>
      <c r="AI279" s="227">
        <f t="shared" si="164"/>
        <v>28.228467291186444</v>
      </c>
    </row>
    <row r="280" spans="1:35" x14ac:dyDescent="0.35">
      <c r="A280" s="48">
        <v>1701</v>
      </c>
      <c r="B280" s="58">
        <f>SUMIF([2]!Table2_23[ETA],'FIS Current Model'!A280,[2]!Table2_23[FIS PAX])</f>
        <v>0</v>
      </c>
      <c r="C280" s="44">
        <f t="shared" si="165"/>
        <v>18</v>
      </c>
      <c r="D280" s="52">
        <f t="shared" si="169"/>
        <v>110</v>
      </c>
      <c r="E280" s="26">
        <f t="shared" si="153"/>
        <v>9.9503999999999984</v>
      </c>
      <c r="F280" s="26">
        <f t="shared" si="154"/>
        <v>4.2713999999999999</v>
      </c>
      <c r="G280" s="26">
        <f t="shared" si="155"/>
        <v>2.9447999999999999</v>
      </c>
      <c r="H280" s="26">
        <f t="shared" si="166"/>
        <v>0.83340000000000003</v>
      </c>
      <c r="I280" s="27">
        <f t="shared" si="171"/>
        <v>9.9503999999999984</v>
      </c>
      <c r="J280" s="27">
        <f t="shared" si="171"/>
        <v>4.2713999999999999</v>
      </c>
      <c r="K280" s="27">
        <f t="shared" si="171"/>
        <v>2.9447999999999999</v>
      </c>
      <c r="L280" s="27">
        <f t="shared" si="171"/>
        <v>0.83340000000000003</v>
      </c>
      <c r="M280" s="28">
        <f>IF(R279=0,0,$Q$22)</f>
        <v>3</v>
      </c>
      <c r="N280" s="29">
        <f>$U$22-M280-O280-P280</f>
        <v>7</v>
      </c>
      <c r="O280" s="28">
        <f>IF(T279=0,0,$S$22)</f>
        <v>1</v>
      </c>
      <c r="P280" s="28">
        <f>IF(U279=0,0,$T$22)</f>
        <v>0</v>
      </c>
      <c r="Q280" s="28">
        <f t="shared" si="156"/>
        <v>11</v>
      </c>
      <c r="R280" s="22">
        <f t="shared" si="157"/>
        <v>91.549784459961899</v>
      </c>
      <c r="S280" s="22">
        <f t="shared" si="158"/>
        <v>1.7234437246028849</v>
      </c>
      <c r="T280" s="22">
        <f t="shared" si="159"/>
        <v>9.2982232540490983</v>
      </c>
      <c r="U280" s="22">
        <f t="shared" si="160"/>
        <v>0.83340000000000003</v>
      </c>
      <c r="V280" s="21">
        <f t="shared" si="176"/>
        <v>12.32443198400007</v>
      </c>
      <c r="W280" s="21">
        <f t="shared" si="177"/>
        <v>0.42230624891428525</v>
      </c>
      <c r="X280" s="21">
        <f t="shared" si="167"/>
        <v>3.1856363743999996</v>
      </c>
      <c r="Y280" s="21">
        <f t="shared" si="168"/>
        <v>0</v>
      </c>
      <c r="Z280" s="221">
        <f t="shared" si="161"/>
        <v>8</v>
      </c>
      <c r="AA280" s="30">
        <f t="shared" si="149"/>
        <v>6.3140692319120486</v>
      </c>
      <c r="AB280" s="30">
        <f t="shared" si="150"/>
        <v>3.4688739976703165</v>
      </c>
      <c r="AC280" s="30">
        <f t="shared" si="151"/>
        <v>2.4809767459508998</v>
      </c>
      <c r="AD280" s="30">
        <f t="shared" si="152"/>
        <v>0</v>
      </c>
      <c r="AE280" s="32">
        <f t="shared" si="162"/>
        <v>12.263919975533264</v>
      </c>
      <c r="AF280" s="33">
        <f t="shared" si="170"/>
        <v>6.3140692319120486</v>
      </c>
      <c r="AG280" s="40">
        <f t="shared" si="163"/>
        <v>0</v>
      </c>
      <c r="AH280" s="224">
        <f>AG280*$P$33</f>
        <v>0</v>
      </c>
      <c r="AI280" s="227">
        <f t="shared" si="164"/>
        <v>29.285584113983052</v>
      </c>
    </row>
    <row r="281" spans="1:35" x14ac:dyDescent="0.35">
      <c r="A281" s="48">
        <v>1702</v>
      </c>
      <c r="B281" s="58">
        <f>SUMIF([2]!Table2_23[ETA],'FIS Current Model'!A281,[2]!Table2_23[FIS PAX])</f>
        <v>0</v>
      </c>
      <c r="C281" s="44">
        <f t="shared" si="165"/>
        <v>18</v>
      </c>
      <c r="D281" s="52">
        <f t="shared" si="169"/>
        <v>92</v>
      </c>
      <c r="E281" s="26">
        <f t="shared" si="153"/>
        <v>9.9503999999999984</v>
      </c>
      <c r="F281" s="26">
        <f t="shared" si="154"/>
        <v>4.2713999999999999</v>
      </c>
      <c r="G281" s="26">
        <f t="shared" si="155"/>
        <v>2.9447999999999999</v>
      </c>
      <c r="H281" s="26">
        <f t="shared" si="166"/>
        <v>0.83340000000000003</v>
      </c>
      <c r="I281" s="27">
        <f t="shared" si="171"/>
        <v>9.9503999999999984</v>
      </c>
      <c r="J281" s="27">
        <f t="shared" si="171"/>
        <v>4.2713999999999999</v>
      </c>
      <c r="K281" s="27">
        <f t="shared" si="171"/>
        <v>2.9447999999999999</v>
      </c>
      <c r="L281" s="27">
        <f t="shared" si="171"/>
        <v>0.83340000000000003</v>
      </c>
      <c r="M281" s="28">
        <f>$M$280</f>
        <v>3</v>
      </c>
      <c r="N281" s="29">
        <f>$N$280</f>
        <v>7</v>
      </c>
      <c r="O281" s="28">
        <f>$O$280</f>
        <v>1</v>
      </c>
      <c r="P281" s="28">
        <f>$P$280</f>
        <v>0</v>
      </c>
      <c r="Q281" s="28">
        <f t="shared" si="156"/>
        <v>11</v>
      </c>
      <c r="R281" s="22">
        <f t="shared" si="157"/>
        <v>95.186115228049857</v>
      </c>
      <c r="S281" s="22">
        <f t="shared" si="158"/>
        <v>2.5259697269325683</v>
      </c>
      <c r="T281" s="22">
        <f t="shared" si="159"/>
        <v>9.762046508098198</v>
      </c>
      <c r="U281" s="22">
        <f t="shared" si="160"/>
        <v>1.6668000000000001</v>
      </c>
      <c r="V281" s="21">
        <f t="shared" si="176"/>
        <v>12.813954832000071</v>
      </c>
      <c r="W281" s="21">
        <f t="shared" si="177"/>
        <v>0.61895423971428509</v>
      </c>
      <c r="X281" s="21">
        <f t="shared" si="167"/>
        <v>3.3445454679999993</v>
      </c>
      <c r="Y281" s="21">
        <f t="shared" si="168"/>
        <v>0</v>
      </c>
      <c r="Z281" s="221">
        <f t="shared" si="161"/>
        <v>8</v>
      </c>
      <c r="AA281" s="30">
        <f t="shared" si="149"/>
        <v>6.3140692319120486</v>
      </c>
      <c r="AB281" s="30">
        <f t="shared" si="150"/>
        <v>3.4688739976703165</v>
      </c>
      <c r="AC281" s="30">
        <f t="shared" si="151"/>
        <v>2.4809767459508998</v>
      </c>
      <c r="AD281" s="30">
        <f t="shared" si="152"/>
        <v>0</v>
      </c>
      <c r="AE281" s="32">
        <f t="shared" si="162"/>
        <v>12.263919975533264</v>
      </c>
      <c r="AF281" s="33">
        <f t="shared" si="170"/>
        <v>9.7829432295823651</v>
      </c>
      <c r="AG281" s="40">
        <f t="shared" si="163"/>
        <v>0</v>
      </c>
      <c r="AH281" s="224">
        <f>AG281*$P$33</f>
        <v>0</v>
      </c>
      <c r="AI281" s="227">
        <f t="shared" si="164"/>
        <v>29.31414252538136</v>
      </c>
    </row>
    <row r="282" spans="1:35" x14ac:dyDescent="0.35">
      <c r="A282" s="48">
        <v>1703</v>
      </c>
      <c r="B282" s="58">
        <f>SUMIF([2]!Table2_23[ETA],'FIS Current Model'!A282,[2]!Table2_23[FIS PAX])</f>
        <v>0</v>
      </c>
      <c r="C282" s="44">
        <f t="shared" si="165"/>
        <v>18</v>
      </c>
      <c r="D282" s="52">
        <f t="shared" si="169"/>
        <v>74</v>
      </c>
      <c r="E282" s="26">
        <f t="shared" si="153"/>
        <v>9.9503999999999984</v>
      </c>
      <c r="F282" s="26">
        <f t="shared" si="154"/>
        <v>4.2713999999999999</v>
      </c>
      <c r="G282" s="26">
        <f t="shared" si="155"/>
        <v>2.9447999999999999</v>
      </c>
      <c r="H282" s="26">
        <f t="shared" si="166"/>
        <v>0.83340000000000003</v>
      </c>
      <c r="I282" s="27">
        <f t="shared" si="171"/>
        <v>9.9503999999999984</v>
      </c>
      <c r="J282" s="27">
        <f t="shared" si="171"/>
        <v>4.2713999999999999</v>
      </c>
      <c r="K282" s="27">
        <f t="shared" si="171"/>
        <v>2.9447999999999999</v>
      </c>
      <c r="L282" s="27">
        <f t="shared" si="171"/>
        <v>0.83340000000000003</v>
      </c>
      <c r="M282" s="28">
        <f t="shared" ref="M282:M294" si="186">$M$280</f>
        <v>3</v>
      </c>
      <c r="N282" s="29">
        <f t="shared" ref="N282:N294" si="187">$N$280</f>
        <v>7</v>
      </c>
      <c r="O282" s="28">
        <f t="shared" ref="O282:O294" si="188">$O$280</f>
        <v>1</v>
      </c>
      <c r="P282" s="28">
        <f t="shared" ref="P282:P294" si="189">$P$280</f>
        <v>0</v>
      </c>
      <c r="Q282" s="28">
        <f t="shared" si="156"/>
        <v>11</v>
      </c>
      <c r="R282" s="22">
        <f t="shared" si="157"/>
        <v>98.822445996137816</v>
      </c>
      <c r="S282" s="22">
        <f t="shared" si="158"/>
        <v>3.3284957292622517</v>
      </c>
      <c r="T282" s="22">
        <f t="shared" si="159"/>
        <v>10.225869762147298</v>
      </c>
      <c r="U282" s="22">
        <f t="shared" si="160"/>
        <v>2.5002</v>
      </c>
      <c r="V282" s="21">
        <f t="shared" si="176"/>
        <v>13.303477680000071</v>
      </c>
      <c r="W282" s="21">
        <f t="shared" si="177"/>
        <v>0.81560223051428493</v>
      </c>
      <c r="X282" s="21">
        <f t="shared" si="167"/>
        <v>3.503454561599999</v>
      </c>
      <c r="Y282" s="21">
        <f t="shared" si="168"/>
        <v>0</v>
      </c>
      <c r="Z282" s="221">
        <f t="shared" si="161"/>
        <v>9</v>
      </c>
      <c r="AA282" s="30">
        <f t="shared" si="149"/>
        <v>6.3140692319120486</v>
      </c>
      <c r="AB282" s="30">
        <f t="shared" si="150"/>
        <v>3.4688739976703165</v>
      </c>
      <c r="AC282" s="30">
        <f t="shared" si="151"/>
        <v>2.4809767459508998</v>
      </c>
      <c r="AD282" s="30">
        <f t="shared" si="152"/>
        <v>0</v>
      </c>
      <c r="AE282" s="32">
        <f t="shared" si="162"/>
        <v>12.263919975533264</v>
      </c>
      <c r="AF282" s="33">
        <f t="shared" si="170"/>
        <v>9.7829432295823651</v>
      </c>
      <c r="AG282" s="40">
        <f t="shared" si="163"/>
        <v>0</v>
      </c>
      <c r="AH282" s="224">
        <f>AG282*$P$33</f>
        <v>0</v>
      </c>
      <c r="AI282" s="227">
        <f t="shared" si="164"/>
        <v>30.371259348177972</v>
      </c>
    </row>
    <row r="283" spans="1:35" x14ac:dyDescent="0.35">
      <c r="A283" s="48">
        <v>1704</v>
      </c>
      <c r="B283" s="58">
        <f>SUMIF([2]!Table2_23[ETA],'FIS Current Model'!A283,[2]!Table2_23[FIS PAX])</f>
        <v>0</v>
      </c>
      <c r="C283" s="44">
        <f t="shared" si="165"/>
        <v>18</v>
      </c>
      <c r="D283" s="52">
        <f t="shared" si="169"/>
        <v>56</v>
      </c>
      <c r="E283" s="26">
        <f t="shared" si="153"/>
        <v>9.9503999999999984</v>
      </c>
      <c r="F283" s="26">
        <f t="shared" si="154"/>
        <v>4.2713999999999999</v>
      </c>
      <c r="G283" s="26">
        <f t="shared" si="155"/>
        <v>2.9447999999999999</v>
      </c>
      <c r="H283" s="26">
        <f t="shared" si="166"/>
        <v>0.83340000000000003</v>
      </c>
      <c r="I283" s="27">
        <f t="shared" si="171"/>
        <v>9.9503999999999984</v>
      </c>
      <c r="J283" s="27">
        <f t="shared" si="171"/>
        <v>4.2713999999999999</v>
      </c>
      <c r="K283" s="27">
        <f t="shared" si="171"/>
        <v>2.9447999999999999</v>
      </c>
      <c r="L283" s="27">
        <f t="shared" si="171"/>
        <v>0.83340000000000003</v>
      </c>
      <c r="M283" s="28">
        <f t="shared" si="186"/>
        <v>3</v>
      </c>
      <c r="N283" s="29">
        <f t="shared" si="187"/>
        <v>7</v>
      </c>
      <c r="O283" s="28">
        <f t="shared" si="188"/>
        <v>1</v>
      </c>
      <c r="P283" s="28">
        <f t="shared" si="189"/>
        <v>0</v>
      </c>
      <c r="Q283" s="28">
        <f t="shared" si="156"/>
        <v>11</v>
      </c>
      <c r="R283" s="22">
        <f t="shared" si="157"/>
        <v>102.45877676422577</v>
      </c>
      <c r="S283" s="22">
        <f t="shared" si="158"/>
        <v>4.1310217315919351</v>
      </c>
      <c r="T283" s="22">
        <f t="shared" si="159"/>
        <v>10.689693016196397</v>
      </c>
      <c r="U283" s="22">
        <f t="shared" si="160"/>
        <v>3.3336000000000001</v>
      </c>
      <c r="V283" s="21">
        <f t="shared" si="176"/>
        <v>13.793000528000073</v>
      </c>
      <c r="W283" s="21">
        <f t="shared" si="177"/>
        <v>1.0122502213142848</v>
      </c>
      <c r="X283" s="21">
        <f t="shared" si="167"/>
        <v>3.6623636551999992</v>
      </c>
      <c r="Y283" s="21">
        <f t="shared" si="168"/>
        <v>0</v>
      </c>
      <c r="Z283" s="221">
        <f t="shared" si="161"/>
        <v>9</v>
      </c>
      <c r="AA283" s="30">
        <f t="shared" si="149"/>
        <v>6.3140692319120486</v>
      </c>
      <c r="AB283" s="30">
        <f t="shared" si="150"/>
        <v>3.4688739976703165</v>
      </c>
      <c r="AC283" s="30">
        <f t="shared" si="151"/>
        <v>2.4809767459508998</v>
      </c>
      <c r="AD283" s="30">
        <f t="shared" si="152"/>
        <v>0</v>
      </c>
      <c r="AE283" s="32">
        <f t="shared" si="162"/>
        <v>12.263919975533264</v>
      </c>
      <c r="AF283" s="33">
        <f t="shared" si="170"/>
        <v>9.7829432295823651</v>
      </c>
      <c r="AG283" s="40">
        <f t="shared" si="163"/>
        <v>0</v>
      </c>
      <c r="AH283" s="224">
        <f>AG283*$P$33</f>
        <v>0</v>
      </c>
      <c r="AI283" s="227">
        <f t="shared" si="164"/>
        <v>30.399817759576276</v>
      </c>
    </row>
    <row r="284" spans="1:35" x14ac:dyDescent="0.35">
      <c r="A284" s="48">
        <v>1705</v>
      </c>
      <c r="B284" s="58">
        <f>SUMIF([2]!Table2_23[ETA],'FIS Current Model'!A284,[2]!Table2_23[FIS PAX])</f>
        <v>0</v>
      </c>
      <c r="C284" s="44">
        <f t="shared" si="165"/>
        <v>18</v>
      </c>
      <c r="D284" s="52">
        <f t="shared" si="169"/>
        <v>38</v>
      </c>
      <c r="E284" s="26">
        <f t="shared" si="153"/>
        <v>9.9503999999999984</v>
      </c>
      <c r="F284" s="26">
        <f t="shared" si="154"/>
        <v>4.2713999999999999</v>
      </c>
      <c r="G284" s="26">
        <f t="shared" si="155"/>
        <v>2.9447999999999999</v>
      </c>
      <c r="H284" s="26">
        <f t="shared" si="166"/>
        <v>0.83340000000000003</v>
      </c>
      <c r="I284" s="27">
        <f t="shared" si="171"/>
        <v>9.9503999999999984</v>
      </c>
      <c r="J284" s="27">
        <f t="shared" si="171"/>
        <v>4.2713999999999999</v>
      </c>
      <c r="K284" s="27">
        <f t="shared" si="171"/>
        <v>2.9447999999999999</v>
      </c>
      <c r="L284" s="27">
        <f t="shared" si="171"/>
        <v>0.83340000000000003</v>
      </c>
      <c r="M284" s="28">
        <f t="shared" si="186"/>
        <v>3</v>
      </c>
      <c r="N284" s="29">
        <f t="shared" si="187"/>
        <v>7</v>
      </c>
      <c r="O284" s="28">
        <f t="shared" si="188"/>
        <v>1</v>
      </c>
      <c r="P284" s="28">
        <f t="shared" si="189"/>
        <v>0</v>
      </c>
      <c r="Q284" s="28">
        <f t="shared" si="156"/>
        <v>11</v>
      </c>
      <c r="R284" s="22">
        <f t="shared" si="157"/>
        <v>106.09510753231373</v>
      </c>
      <c r="S284" s="22">
        <f t="shared" si="158"/>
        <v>4.9335477339216185</v>
      </c>
      <c r="T284" s="22">
        <f t="shared" si="159"/>
        <v>11.153516270245497</v>
      </c>
      <c r="U284" s="22">
        <f t="shared" si="160"/>
        <v>4.1669999999999998</v>
      </c>
      <c r="V284" s="21">
        <f t="shared" si="176"/>
        <v>14.282523376000073</v>
      </c>
      <c r="W284" s="21">
        <f t="shared" si="177"/>
        <v>1.2088982121142846</v>
      </c>
      <c r="X284" s="21">
        <f t="shared" si="167"/>
        <v>3.8212727487999989</v>
      </c>
      <c r="Y284" s="21">
        <f t="shared" si="168"/>
        <v>0</v>
      </c>
      <c r="Z284" s="221">
        <f t="shared" si="161"/>
        <v>9</v>
      </c>
      <c r="AA284" s="30">
        <f t="shared" si="149"/>
        <v>6.3140692319120486</v>
      </c>
      <c r="AB284" s="30">
        <f t="shared" si="150"/>
        <v>3.4688739976703165</v>
      </c>
      <c r="AC284" s="30">
        <f t="shared" si="151"/>
        <v>2.4809767459508998</v>
      </c>
      <c r="AD284" s="30">
        <f t="shared" si="152"/>
        <v>0</v>
      </c>
      <c r="AE284" s="32">
        <f t="shared" si="162"/>
        <v>12.263919975533264</v>
      </c>
      <c r="AF284" s="33">
        <f t="shared" si="170"/>
        <v>12.263919975533264</v>
      </c>
      <c r="AG284" s="40">
        <f t="shared" si="163"/>
        <v>0.34051354608148365</v>
      </c>
      <c r="AH284" s="224">
        <f>AG284*$P$33</f>
        <v>2.8558411398305405E-2</v>
      </c>
      <c r="AI284" s="227">
        <f t="shared" si="164"/>
        <v>30.42837617097458</v>
      </c>
    </row>
    <row r="285" spans="1:35" x14ac:dyDescent="0.35">
      <c r="A285" s="48">
        <v>1706</v>
      </c>
      <c r="B285" s="58">
        <f>SUMIF([2]!Table2_23[ETA],'FIS Current Model'!A285,[2]!Table2_23[FIS PAX])</f>
        <v>0</v>
      </c>
      <c r="C285" s="44">
        <f t="shared" si="165"/>
        <v>18</v>
      </c>
      <c r="D285" s="52">
        <f t="shared" si="169"/>
        <v>20</v>
      </c>
      <c r="E285" s="26">
        <f t="shared" si="153"/>
        <v>9.9503999999999984</v>
      </c>
      <c r="F285" s="26">
        <f t="shared" si="154"/>
        <v>4.2713999999999999</v>
      </c>
      <c r="G285" s="26">
        <f t="shared" si="155"/>
        <v>2.9447999999999999</v>
      </c>
      <c r="H285" s="26">
        <f t="shared" si="166"/>
        <v>0.83340000000000003</v>
      </c>
      <c r="I285" s="27">
        <f t="shared" si="171"/>
        <v>9.9503999999999984</v>
      </c>
      <c r="J285" s="27">
        <f t="shared" si="171"/>
        <v>4.2713999999999999</v>
      </c>
      <c r="K285" s="27">
        <f t="shared" si="171"/>
        <v>2.9447999999999999</v>
      </c>
      <c r="L285" s="27">
        <f t="shared" si="171"/>
        <v>0.83340000000000003</v>
      </c>
      <c r="M285" s="28">
        <f t="shared" si="186"/>
        <v>3</v>
      </c>
      <c r="N285" s="29">
        <f t="shared" si="187"/>
        <v>7</v>
      </c>
      <c r="O285" s="28">
        <f t="shared" si="188"/>
        <v>1</v>
      </c>
      <c r="P285" s="28">
        <f t="shared" si="189"/>
        <v>0</v>
      </c>
      <c r="Q285" s="28">
        <f t="shared" si="156"/>
        <v>11</v>
      </c>
      <c r="R285" s="22">
        <f t="shared" si="157"/>
        <v>109.73143830040169</v>
      </c>
      <c r="S285" s="22">
        <f t="shared" si="158"/>
        <v>5.7360737362513019</v>
      </c>
      <c r="T285" s="22">
        <f t="shared" si="159"/>
        <v>11.617339524294596</v>
      </c>
      <c r="U285" s="22">
        <f t="shared" si="160"/>
        <v>5.0004</v>
      </c>
      <c r="V285" s="21">
        <f t="shared" si="176"/>
        <v>14.772046224000075</v>
      </c>
      <c r="W285" s="21">
        <f t="shared" si="177"/>
        <v>1.4055462029142844</v>
      </c>
      <c r="X285" s="21">
        <f t="shared" si="167"/>
        <v>3.9801818423999986</v>
      </c>
      <c r="Y285" s="21">
        <f t="shared" si="168"/>
        <v>0</v>
      </c>
      <c r="Z285" s="221">
        <f t="shared" si="161"/>
        <v>10</v>
      </c>
      <c r="AA285" s="30">
        <f t="shared" si="149"/>
        <v>6.3140692319120486</v>
      </c>
      <c r="AB285" s="30">
        <f t="shared" si="150"/>
        <v>3.4688739976703165</v>
      </c>
      <c r="AC285" s="30">
        <f t="shared" si="151"/>
        <v>2.4809767459508998</v>
      </c>
      <c r="AD285" s="30">
        <f t="shared" si="152"/>
        <v>0</v>
      </c>
      <c r="AE285" s="32">
        <f t="shared" si="162"/>
        <v>12.263919975533264</v>
      </c>
      <c r="AF285" s="33">
        <f t="shared" si="170"/>
        <v>12.263919975533264</v>
      </c>
      <c r="AG285" s="40">
        <f t="shared" si="163"/>
        <v>0.68102709216296731</v>
      </c>
      <c r="AH285" s="224">
        <f>AG285*$P$33</f>
        <v>5.711682279661081E-2</v>
      </c>
      <c r="AI285" s="227">
        <f t="shared" si="164"/>
        <v>31.461023363140388</v>
      </c>
    </row>
    <row r="286" spans="1:35" x14ac:dyDescent="0.35">
      <c r="A286" s="48">
        <v>1707</v>
      </c>
      <c r="B286" s="58">
        <f>SUMIF([2]!Table2_23[ETA],'FIS Current Model'!A286,[2]!Table2_23[FIS PAX])</f>
        <v>0</v>
      </c>
      <c r="C286" s="44">
        <f t="shared" si="165"/>
        <v>18</v>
      </c>
      <c r="D286" s="52">
        <f t="shared" si="169"/>
        <v>2</v>
      </c>
      <c r="E286" s="26">
        <f t="shared" si="153"/>
        <v>9.9503999999999984</v>
      </c>
      <c r="F286" s="26">
        <f t="shared" si="154"/>
        <v>4.2713999999999999</v>
      </c>
      <c r="G286" s="26">
        <f t="shared" si="155"/>
        <v>2.9447999999999999</v>
      </c>
      <c r="H286" s="26">
        <f t="shared" si="166"/>
        <v>0.83340000000000003</v>
      </c>
      <c r="I286" s="27">
        <f t="shared" si="171"/>
        <v>9.9503999999999984</v>
      </c>
      <c r="J286" s="27">
        <f t="shared" si="171"/>
        <v>4.2713999999999999</v>
      </c>
      <c r="K286" s="27">
        <f t="shared" si="171"/>
        <v>2.9447999999999999</v>
      </c>
      <c r="L286" s="27">
        <f t="shared" si="171"/>
        <v>0.83340000000000003</v>
      </c>
      <c r="M286" s="28">
        <f t="shared" si="186"/>
        <v>3</v>
      </c>
      <c r="N286" s="29">
        <f t="shared" si="187"/>
        <v>7</v>
      </c>
      <c r="O286" s="28">
        <f t="shared" si="188"/>
        <v>1</v>
      </c>
      <c r="P286" s="28">
        <f t="shared" si="189"/>
        <v>0</v>
      </c>
      <c r="Q286" s="28">
        <f t="shared" si="156"/>
        <v>11</v>
      </c>
      <c r="R286" s="22">
        <f t="shared" si="157"/>
        <v>113.36776906848965</v>
      </c>
      <c r="S286" s="22">
        <f t="shared" si="158"/>
        <v>6.5385997385809853</v>
      </c>
      <c r="T286" s="22">
        <f t="shared" si="159"/>
        <v>12.081162778343696</v>
      </c>
      <c r="U286" s="22">
        <f t="shared" si="160"/>
        <v>5.8338000000000001</v>
      </c>
      <c r="V286" s="21">
        <f t="shared" si="176"/>
        <v>15.261569072000075</v>
      </c>
      <c r="W286" s="21">
        <f t="shared" si="177"/>
        <v>1.6021941937142843</v>
      </c>
      <c r="X286" s="21">
        <f t="shared" si="167"/>
        <v>4.1390909359999988</v>
      </c>
      <c r="Y286" s="21">
        <f t="shared" si="168"/>
        <v>0</v>
      </c>
      <c r="Z286" s="221">
        <f t="shared" si="161"/>
        <v>10</v>
      </c>
      <c r="AA286" s="30">
        <f t="shared" si="149"/>
        <v>6.3140692319120486</v>
      </c>
      <c r="AB286" s="30">
        <f t="shared" si="150"/>
        <v>3.4688739976703165</v>
      </c>
      <c r="AC286" s="30">
        <f t="shared" si="151"/>
        <v>2.4809767459508998</v>
      </c>
      <c r="AD286" s="30">
        <f t="shared" si="152"/>
        <v>0</v>
      </c>
      <c r="AE286" s="32">
        <f t="shared" si="162"/>
        <v>12.263919975533264</v>
      </c>
      <c r="AF286" s="33">
        <f t="shared" si="170"/>
        <v>12.263919975533264</v>
      </c>
      <c r="AG286" s="40">
        <f t="shared" si="163"/>
        <v>1.021540638244451</v>
      </c>
      <c r="AH286" s="224">
        <f>AG286*$P$33</f>
        <v>8.5675234194916211E-2</v>
      </c>
      <c r="AI286" s="227">
        <f t="shared" si="164"/>
        <v>31.602031150231298</v>
      </c>
    </row>
    <row r="287" spans="1:35" x14ac:dyDescent="0.35">
      <c r="A287" s="48">
        <v>1708</v>
      </c>
      <c r="B287" s="58">
        <f>SUMIF([2]!Table2_23[ETA],'FIS Current Model'!A287,[2]!Table2_23[FIS PAX])</f>
        <v>0</v>
      </c>
      <c r="C287" s="44">
        <f t="shared" si="165"/>
        <v>2</v>
      </c>
      <c r="D287" s="52">
        <f t="shared" si="169"/>
        <v>0</v>
      </c>
      <c r="E287" s="26">
        <f t="shared" si="153"/>
        <v>1.1055999999999999</v>
      </c>
      <c r="F287" s="26">
        <f t="shared" si="154"/>
        <v>0.47460000000000002</v>
      </c>
      <c r="G287" s="26">
        <f t="shared" si="155"/>
        <v>0.32719999999999999</v>
      </c>
      <c r="H287" s="26">
        <f t="shared" si="166"/>
        <v>9.2600000000000002E-2</v>
      </c>
      <c r="I287" s="27">
        <f t="shared" si="171"/>
        <v>9.9503999999999984</v>
      </c>
      <c r="J287" s="27">
        <f t="shared" si="171"/>
        <v>4.2713999999999999</v>
      </c>
      <c r="K287" s="27">
        <f t="shared" si="171"/>
        <v>2.9447999999999999</v>
      </c>
      <c r="L287" s="27">
        <f t="shared" si="171"/>
        <v>0.83340000000000003</v>
      </c>
      <c r="M287" s="28">
        <f t="shared" si="186"/>
        <v>3</v>
      </c>
      <c r="N287" s="29">
        <f t="shared" si="187"/>
        <v>7</v>
      </c>
      <c r="O287" s="28">
        <f t="shared" si="188"/>
        <v>1</v>
      </c>
      <c r="P287" s="28">
        <f t="shared" si="189"/>
        <v>0</v>
      </c>
      <c r="Q287" s="28">
        <f t="shared" si="156"/>
        <v>11</v>
      </c>
      <c r="R287" s="22">
        <f t="shared" si="157"/>
        <v>117.00409983657761</v>
      </c>
      <c r="S287" s="22">
        <f t="shared" si="158"/>
        <v>7.3411257409106687</v>
      </c>
      <c r="T287" s="22">
        <f t="shared" si="159"/>
        <v>12.544986032392796</v>
      </c>
      <c r="U287" s="22">
        <f t="shared" si="160"/>
        <v>6.6672000000000002</v>
      </c>
      <c r="V287" s="21">
        <f t="shared" si="176"/>
        <v>15.751091920000077</v>
      </c>
      <c r="W287" s="21">
        <f t="shared" si="177"/>
        <v>1.7988421845142841</v>
      </c>
      <c r="X287" s="21">
        <f t="shared" si="167"/>
        <v>4.2980000295999989</v>
      </c>
      <c r="Y287" s="21">
        <f t="shared" si="168"/>
        <v>0</v>
      </c>
      <c r="Z287" s="221">
        <f t="shared" si="161"/>
        <v>10</v>
      </c>
      <c r="AA287" s="30">
        <f t="shared" si="149"/>
        <v>6.3140692319120486</v>
      </c>
      <c r="AB287" s="30">
        <f t="shared" si="150"/>
        <v>3.4688739976703165</v>
      </c>
      <c r="AC287" s="30">
        <f t="shared" si="151"/>
        <v>2.4809767459508998</v>
      </c>
      <c r="AD287" s="30">
        <f t="shared" si="152"/>
        <v>0</v>
      </c>
      <c r="AE287" s="32">
        <f t="shared" si="162"/>
        <v>12.263919975533264</v>
      </c>
      <c r="AF287" s="33">
        <f t="shared" si="170"/>
        <v>12.263919975533264</v>
      </c>
      <c r="AG287" s="40">
        <f t="shared" si="163"/>
        <v>1.3620541843259346</v>
      </c>
      <c r="AH287" s="224">
        <f>AG287*$P$33</f>
        <v>0.11423364559322162</v>
      </c>
      <c r="AI287" s="227">
        <f t="shared" si="164"/>
        <v>31.743038937322208</v>
      </c>
    </row>
    <row r="288" spans="1:35" x14ac:dyDescent="0.35">
      <c r="A288" s="48">
        <v>1709</v>
      </c>
      <c r="B288" s="58">
        <f>SUMIF([2]!Table2_23[ETA],'FIS Current Model'!A288,[2]!Table2_23[FIS PAX])</f>
        <v>0</v>
      </c>
      <c r="C288" s="44">
        <f t="shared" si="165"/>
        <v>0</v>
      </c>
      <c r="D288" s="52">
        <f t="shared" si="169"/>
        <v>0</v>
      </c>
      <c r="E288" s="26">
        <f t="shared" si="153"/>
        <v>0</v>
      </c>
      <c r="F288" s="26">
        <f t="shared" si="154"/>
        <v>0</v>
      </c>
      <c r="G288" s="26">
        <f t="shared" si="155"/>
        <v>0</v>
      </c>
      <c r="H288" s="26">
        <f t="shared" si="166"/>
        <v>0</v>
      </c>
      <c r="I288" s="27">
        <f t="shared" si="171"/>
        <v>9.9503999999999984</v>
      </c>
      <c r="J288" s="27">
        <f t="shared" si="171"/>
        <v>4.2713999999999999</v>
      </c>
      <c r="K288" s="27">
        <f t="shared" si="171"/>
        <v>2.9447999999999999</v>
      </c>
      <c r="L288" s="27">
        <f t="shared" si="171"/>
        <v>0.83340000000000003</v>
      </c>
      <c r="M288" s="28">
        <f t="shared" si="186"/>
        <v>3</v>
      </c>
      <c r="N288" s="29">
        <f t="shared" si="187"/>
        <v>7</v>
      </c>
      <c r="O288" s="28">
        <f t="shared" si="188"/>
        <v>1</v>
      </c>
      <c r="P288" s="28">
        <f t="shared" si="189"/>
        <v>0</v>
      </c>
      <c r="Q288" s="28">
        <f t="shared" si="156"/>
        <v>11</v>
      </c>
      <c r="R288" s="22">
        <f t="shared" si="157"/>
        <v>120.64043060466557</v>
      </c>
      <c r="S288" s="22">
        <f t="shared" si="158"/>
        <v>8.1436517432403512</v>
      </c>
      <c r="T288" s="22">
        <f t="shared" si="159"/>
        <v>13.008809286441895</v>
      </c>
      <c r="U288" s="22">
        <f t="shared" si="160"/>
        <v>7.5006000000000004</v>
      </c>
      <c r="V288" s="21">
        <f t="shared" si="176"/>
        <v>16.240614768000079</v>
      </c>
      <c r="W288" s="21">
        <f t="shared" si="177"/>
        <v>1.9954901753142837</v>
      </c>
      <c r="X288" s="21">
        <f t="shared" si="167"/>
        <v>4.4569091231999982</v>
      </c>
      <c r="Y288" s="21">
        <f t="shared" si="168"/>
        <v>0</v>
      </c>
      <c r="Z288" s="221">
        <f t="shared" si="161"/>
        <v>11</v>
      </c>
      <c r="AA288" s="30">
        <f t="shared" si="149"/>
        <v>6.3140692319120486</v>
      </c>
      <c r="AB288" s="30">
        <f t="shared" si="150"/>
        <v>3.4688739976703165</v>
      </c>
      <c r="AC288" s="30">
        <f t="shared" si="151"/>
        <v>2.4809767459508998</v>
      </c>
      <c r="AD288" s="30">
        <f t="shared" si="152"/>
        <v>0</v>
      </c>
      <c r="AE288" s="32">
        <f t="shared" si="162"/>
        <v>12.263919975533264</v>
      </c>
      <c r="AF288" s="33">
        <f t="shared" si="170"/>
        <v>12.263919975533264</v>
      </c>
      <c r="AG288" s="40">
        <f t="shared" si="163"/>
        <v>1.7025677304074183</v>
      </c>
      <c r="AH288" s="224">
        <f>AG288*$P$33</f>
        <v>0.14279205699152703</v>
      </c>
      <c r="AI288" s="227">
        <f t="shared" si="164"/>
        <v>33.025054511504031</v>
      </c>
    </row>
    <row r="289" spans="1:35" x14ac:dyDescent="0.35">
      <c r="A289" s="48">
        <v>1710</v>
      </c>
      <c r="B289" s="58">
        <f>SUMIF([2]!Table2_23[ETA],'FIS Current Model'!A289,[2]!Table2_23[FIS PAX])</f>
        <v>0</v>
      </c>
      <c r="C289" s="44">
        <f t="shared" si="165"/>
        <v>0</v>
      </c>
      <c r="D289" s="52">
        <f t="shared" si="169"/>
        <v>0</v>
      </c>
      <c r="E289" s="26">
        <f t="shared" si="153"/>
        <v>0</v>
      </c>
      <c r="F289" s="26">
        <f t="shared" si="154"/>
        <v>0</v>
      </c>
      <c r="G289" s="26">
        <f t="shared" si="155"/>
        <v>0</v>
      </c>
      <c r="H289" s="26">
        <f t="shared" si="166"/>
        <v>0</v>
      </c>
      <c r="I289" s="27">
        <f t="shared" si="171"/>
        <v>9.9503999999999984</v>
      </c>
      <c r="J289" s="27">
        <f t="shared" si="171"/>
        <v>4.2713999999999999</v>
      </c>
      <c r="K289" s="27">
        <f t="shared" si="171"/>
        <v>2.9447999999999999</v>
      </c>
      <c r="L289" s="27">
        <f t="shared" si="171"/>
        <v>0.83340000000000003</v>
      </c>
      <c r="M289" s="28">
        <f t="shared" si="186"/>
        <v>3</v>
      </c>
      <c r="N289" s="29">
        <f t="shared" si="187"/>
        <v>7</v>
      </c>
      <c r="O289" s="28">
        <f t="shared" si="188"/>
        <v>1</v>
      </c>
      <c r="P289" s="28">
        <f t="shared" si="189"/>
        <v>0</v>
      </c>
      <c r="Q289" s="28">
        <f t="shared" si="156"/>
        <v>11</v>
      </c>
      <c r="R289" s="22">
        <f t="shared" si="157"/>
        <v>124.27676137275353</v>
      </c>
      <c r="S289" s="22">
        <f t="shared" si="158"/>
        <v>8.9461777455700346</v>
      </c>
      <c r="T289" s="22">
        <f t="shared" si="159"/>
        <v>13.472632540490995</v>
      </c>
      <c r="U289" s="22">
        <f t="shared" si="160"/>
        <v>8.3339999999999996</v>
      </c>
      <c r="V289" s="21">
        <f t="shared" si="176"/>
        <v>16.730137616000079</v>
      </c>
      <c r="W289" s="21">
        <f t="shared" si="177"/>
        <v>2.1921381661142836</v>
      </c>
      <c r="X289" s="21">
        <f t="shared" si="167"/>
        <v>4.6158182167999984</v>
      </c>
      <c r="Y289" s="21">
        <f t="shared" si="168"/>
        <v>0</v>
      </c>
      <c r="Z289" s="221">
        <f t="shared" si="161"/>
        <v>11</v>
      </c>
      <c r="AA289" s="30">
        <f t="shared" si="149"/>
        <v>6.3140692319120486</v>
      </c>
      <c r="AB289" s="30">
        <f t="shared" si="150"/>
        <v>3.4688739976703165</v>
      </c>
      <c r="AC289" s="30">
        <f t="shared" si="151"/>
        <v>2.4809767459508998</v>
      </c>
      <c r="AD289" s="30">
        <f t="shared" si="152"/>
        <v>0</v>
      </c>
      <c r="AE289" s="32">
        <f t="shared" si="162"/>
        <v>12.263919975533264</v>
      </c>
      <c r="AF289" s="33">
        <f t="shared" si="170"/>
        <v>12.263919975533264</v>
      </c>
      <c r="AG289" s="40">
        <f t="shared" si="163"/>
        <v>2.0430812764889019</v>
      </c>
      <c r="AH289" s="224">
        <f>AG289*$P$33</f>
        <v>0.17135046838983242</v>
      </c>
      <c r="AI289" s="227">
        <f t="shared" si="164"/>
        <v>33.166062298594937</v>
      </c>
    </row>
    <row r="290" spans="1:35" x14ac:dyDescent="0.35">
      <c r="A290" s="48">
        <v>1711</v>
      </c>
      <c r="B290" s="58">
        <f>SUMIF([2]!Table2_23[ETA],'FIS Current Model'!A290,[2]!Table2_23[FIS PAX])</f>
        <v>104</v>
      </c>
      <c r="C290" s="44">
        <f t="shared" si="165"/>
        <v>0</v>
      </c>
      <c r="D290" s="52">
        <f t="shared" si="169"/>
        <v>0</v>
      </c>
      <c r="E290" s="26">
        <f t="shared" si="153"/>
        <v>0</v>
      </c>
      <c r="F290" s="26">
        <f t="shared" si="154"/>
        <v>0</v>
      </c>
      <c r="G290" s="26">
        <f t="shared" si="155"/>
        <v>0</v>
      </c>
      <c r="H290" s="26">
        <f t="shared" si="166"/>
        <v>0</v>
      </c>
      <c r="I290" s="27">
        <f t="shared" si="171"/>
        <v>9.9503999999999984</v>
      </c>
      <c r="J290" s="27">
        <f t="shared" si="171"/>
        <v>4.2713999999999999</v>
      </c>
      <c r="K290" s="27">
        <f t="shared" si="171"/>
        <v>2.9447999999999999</v>
      </c>
      <c r="L290" s="27">
        <f t="shared" si="171"/>
        <v>0.83340000000000003</v>
      </c>
      <c r="M290" s="28">
        <f t="shared" si="186"/>
        <v>3</v>
      </c>
      <c r="N290" s="29">
        <f t="shared" si="187"/>
        <v>7</v>
      </c>
      <c r="O290" s="28">
        <f t="shared" si="188"/>
        <v>1</v>
      </c>
      <c r="P290" s="28">
        <f t="shared" si="189"/>
        <v>0</v>
      </c>
      <c r="Q290" s="28">
        <f t="shared" si="156"/>
        <v>11</v>
      </c>
      <c r="R290" s="22">
        <f t="shared" si="157"/>
        <v>127.91309214084148</v>
      </c>
      <c r="S290" s="22">
        <f t="shared" si="158"/>
        <v>9.7487037478997181</v>
      </c>
      <c r="T290" s="22">
        <f t="shared" si="159"/>
        <v>13.936455794540095</v>
      </c>
      <c r="U290" s="22">
        <f t="shared" si="160"/>
        <v>9.1673999999999989</v>
      </c>
      <c r="V290" s="21">
        <f t="shared" si="176"/>
        <v>17.219660464000079</v>
      </c>
      <c r="W290" s="21">
        <f t="shared" si="177"/>
        <v>2.3887861569142834</v>
      </c>
      <c r="X290" s="21">
        <f t="shared" si="167"/>
        <v>4.7747273103999985</v>
      </c>
      <c r="Y290" s="21">
        <f t="shared" si="168"/>
        <v>0</v>
      </c>
      <c r="Z290" s="221">
        <f t="shared" si="161"/>
        <v>11</v>
      </c>
      <c r="AA290" s="30">
        <f t="shared" si="149"/>
        <v>6.3140692319120486</v>
      </c>
      <c r="AB290" s="30">
        <f t="shared" si="150"/>
        <v>3.4688739976703165</v>
      </c>
      <c r="AC290" s="30">
        <f t="shared" si="151"/>
        <v>2.4809767459508998</v>
      </c>
      <c r="AD290" s="30">
        <f t="shared" si="152"/>
        <v>0</v>
      </c>
      <c r="AE290" s="32">
        <f t="shared" si="162"/>
        <v>12.263919975533264</v>
      </c>
      <c r="AF290" s="33">
        <f t="shared" si="170"/>
        <v>12.263919975533264</v>
      </c>
      <c r="AG290" s="40">
        <f t="shared" si="163"/>
        <v>2.3835948225703856</v>
      </c>
      <c r="AH290" s="224">
        <f>AG290*$P$33</f>
        <v>0.19990887978813782</v>
      </c>
      <c r="AI290" s="227">
        <f t="shared" si="164"/>
        <v>33.307070085685851</v>
      </c>
    </row>
    <row r="291" spans="1:35" x14ac:dyDescent="0.35">
      <c r="A291" s="48">
        <v>1712</v>
      </c>
      <c r="B291" s="58">
        <f>SUMIF([2]!Table2_23[ETA],'FIS Current Model'!A291,[2]!Table2_23[FIS PAX])</f>
        <v>0</v>
      </c>
      <c r="C291" s="44">
        <f t="shared" si="165"/>
        <v>18</v>
      </c>
      <c r="D291" s="52">
        <f t="shared" si="169"/>
        <v>86</v>
      </c>
      <c r="E291" s="26">
        <f t="shared" si="153"/>
        <v>9.9503999999999984</v>
      </c>
      <c r="F291" s="26">
        <f t="shared" si="154"/>
        <v>4.2713999999999999</v>
      </c>
      <c r="G291" s="26">
        <f t="shared" si="155"/>
        <v>2.9447999999999999</v>
      </c>
      <c r="H291" s="26">
        <f t="shared" si="166"/>
        <v>0.83340000000000003</v>
      </c>
      <c r="I291" s="27">
        <f t="shared" si="171"/>
        <v>9.9503999999999984</v>
      </c>
      <c r="J291" s="27">
        <f t="shared" si="171"/>
        <v>4.2713999999999999</v>
      </c>
      <c r="K291" s="27">
        <f t="shared" si="171"/>
        <v>2.9447999999999999</v>
      </c>
      <c r="L291" s="27">
        <f t="shared" si="171"/>
        <v>0.83340000000000003</v>
      </c>
      <c r="M291" s="28">
        <f t="shared" si="186"/>
        <v>3</v>
      </c>
      <c r="N291" s="29">
        <f t="shared" si="187"/>
        <v>7</v>
      </c>
      <c r="O291" s="28">
        <f t="shared" si="188"/>
        <v>1</v>
      </c>
      <c r="P291" s="28">
        <f t="shared" si="189"/>
        <v>0</v>
      </c>
      <c r="Q291" s="28">
        <f t="shared" si="156"/>
        <v>11</v>
      </c>
      <c r="R291" s="22">
        <f t="shared" si="157"/>
        <v>131.54942290892944</v>
      </c>
      <c r="S291" s="22">
        <f t="shared" si="158"/>
        <v>10.551229750229401</v>
      </c>
      <c r="T291" s="22">
        <f t="shared" si="159"/>
        <v>14.400279048589194</v>
      </c>
      <c r="U291" s="22">
        <f t="shared" si="160"/>
        <v>10.000799999999998</v>
      </c>
      <c r="V291" s="21">
        <f t="shared" si="176"/>
        <v>17.709183312000079</v>
      </c>
      <c r="W291" s="21">
        <f t="shared" si="177"/>
        <v>2.5854341477142833</v>
      </c>
      <c r="X291" s="21">
        <f t="shared" si="167"/>
        <v>4.9336364039999978</v>
      </c>
      <c r="Y291" s="21">
        <f t="shared" si="168"/>
        <v>0</v>
      </c>
      <c r="Z291" s="221">
        <f t="shared" si="161"/>
        <v>12</v>
      </c>
      <c r="AA291" s="30">
        <f t="shared" si="149"/>
        <v>6.3140692319120486</v>
      </c>
      <c r="AB291" s="30">
        <f t="shared" si="150"/>
        <v>3.4688739976703165</v>
      </c>
      <c r="AC291" s="30">
        <f t="shared" si="151"/>
        <v>2.4809767459508998</v>
      </c>
      <c r="AD291" s="30">
        <f t="shared" si="152"/>
        <v>0</v>
      </c>
      <c r="AE291" s="32">
        <f t="shared" si="162"/>
        <v>12.263919975533264</v>
      </c>
      <c r="AF291" s="33">
        <f t="shared" si="170"/>
        <v>12.263919975533264</v>
      </c>
      <c r="AG291" s="40">
        <f t="shared" si="163"/>
        <v>2.7241083686518692</v>
      </c>
      <c r="AH291" s="224">
        <f>AG291*$P$33</f>
        <v>0.22846729118644324</v>
      </c>
      <c r="AI291" s="227">
        <f t="shared" si="164"/>
        <v>33.823619562229865</v>
      </c>
    </row>
    <row r="292" spans="1:35" x14ac:dyDescent="0.35">
      <c r="A292" s="48">
        <v>1713</v>
      </c>
      <c r="B292" s="58">
        <f>SUMIF([2]!Table2_23[ETA],'FIS Current Model'!A292,[2]!Table2_23[FIS PAX])</f>
        <v>0</v>
      </c>
      <c r="C292" s="44">
        <f t="shared" si="165"/>
        <v>18</v>
      </c>
      <c r="D292" s="52">
        <f t="shared" si="169"/>
        <v>68</v>
      </c>
      <c r="E292" s="26">
        <f t="shared" si="153"/>
        <v>9.9503999999999984</v>
      </c>
      <c r="F292" s="26">
        <f t="shared" si="154"/>
        <v>4.2713999999999999</v>
      </c>
      <c r="G292" s="26">
        <f t="shared" si="155"/>
        <v>2.9447999999999999</v>
      </c>
      <c r="H292" s="26">
        <f t="shared" si="166"/>
        <v>0.83340000000000003</v>
      </c>
      <c r="I292" s="27">
        <f t="shared" si="171"/>
        <v>1.1055999999999999</v>
      </c>
      <c r="J292" s="27">
        <f t="shared" si="171"/>
        <v>0.47460000000000002</v>
      </c>
      <c r="K292" s="27">
        <f t="shared" si="171"/>
        <v>0.32719999999999999</v>
      </c>
      <c r="L292" s="27">
        <f t="shared" si="171"/>
        <v>9.2600000000000002E-2</v>
      </c>
      <c r="M292" s="28">
        <f t="shared" si="186"/>
        <v>3</v>
      </c>
      <c r="N292" s="29">
        <f t="shared" si="187"/>
        <v>7</v>
      </c>
      <c r="O292" s="28">
        <f t="shared" si="188"/>
        <v>1</v>
      </c>
      <c r="P292" s="28">
        <f t="shared" si="189"/>
        <v>0</v>
      </c>
      <c r="Q292" s="28">
        <f t="shared" si="156"/>
        <v>11</v>
      </c>
      <c r="R292" s="22">
        <f t="shared" si="157"/>
        <v>126.3409536770174</v>
      </c>
      <c r="S292" s="22">
        <f t="shared" si="158"/>
        <v>7.5569557525590847</v>
      </c>
      <c r="T292" s="22">
        <f t="shared" si="159"/>
        <v>12.246502302638294</v>
      </c>
      <c r="U292" s="22">
        <f t="shared" si="160"/>
        <v>10.093399999999997</v>
      </c>
      <c r="V292" s="21">
        <f t="shared" si="176"/>
        <v>17.00801918400008</v>
      </c>
      <c r="W292" s="21">
        <f t="shared" si="177"/>
        <v>1.8517283689142829</v>
      </c>
      <c r="X292" s="21">
        <f t="shared" si="167"/>
        <v>4.1957374143999981</v>
      </c>
      <c r="Y292" s="21">
        <f t="shared" si="168"/>
        <v>0</v>
      </c>
      <c r="Z292" s="221">
        <f t="shared" si="161"/>
        <v>11</v>
      </c>
      <c r="AA292" s="30">
        <f t="shared" si="149"/>
        <v>6.3140692319120486</v>
      </c>
      <c r="AB292" s="30">
        <f t="shared" si="150"/>
        <v>3.4688739976703165</v>
      </c>
      <c r="AC292" s="30">
        <f t="shared" si="151"/>
        <v>2.4809767459508998</v>
      </c>
      <c r="AD292" s="30">
        <f t="shared" si="152"/>
        <v>0</v>
      </c>
      <c r="AE292" s="32">
        <f t="shared" si="162"/>
        <v>12.263919975533264</v>
      </c>
      <c r="AF292" s="33">
        <f t="shared" si="170"/>
        <v>12.263919975533264</v>
      </c>
      <c r="AG292" s="40">
        <f t="shared" si="163"/>
        <v>3.0646219147333529</v>
      </c>
      <c r="AH292" s="224">
        <f>AG292*$P$33</f>
        <v>0.25702570258474866</v>
      </c>
      <c r="AI292" s="227">
        <f t="shared" si="164"/>
        <v>32.823619562229865</v>
      </c>
    </row>
    <row r="293" spans="1:35" x14ac:dyDescent="0.35">
      <c r="A293" s="48">
        <v>1714</v>
      </c>
      <c r="B293" s="58">
        <f>SUMIF([2]!Table2_23[ETA],'FIS Current Model'!A293,[2]!Table2_23[FIS PAX])</f>
        <v>0</v>
      </c>
      <c r="C293" s="44">
        <f t="shared" si="165"/>
        <v>18</v>
      </c>
      <c r="D293" s="52">
        <f t="shared" si="169"/>
        <v>50</v>
      </c>
      <c r="E293" s="26">
        <f t="shared" si="153"/>
        <v>9.9503999999999984</v>
      </c>
      <c r="F293" s="26">
        <f t="shared" si="154"/>
        <v>4.2713999999999999</v>
      </c>
      <c r="G293" s="26">
        <f t="shared" si="155"/>
        <v>2.9447999999999999</v>
      </c>
      <c r="H293" s="26">
        <f t="shared" si="166"/>
        <v>0.83340000000000003</v>
      </c>
      <c r="I293" s="27">
        <f t="shared" si="171"/>
        <v>0</v>
      </c>
      <c r="J293" s="27">
        <f t="shared" si="171"/>
        <v>0</v>
      </c>
      <c r="K293" s="27">
        <f t="shared" si="171"/>
        <v>0</v>
      </c>
      <c r="L293" s="27">
        <f t="shared" si="171"/>
        <v>0</v>
      </c>
      <c r="M293" s="28">
        <f t="shared" si="186"/>
        <v>3</v>
      </c>
      <c r="N293" s="29">
        <f t="shared" si="187"/>
        <v>7</v>
      </c>
      <c r="O293" s="28">
        <f t="shared" si="188"/>
        <v>1</v>
      </c>
      <c r="P293" s="28">
        <f t="shared" si="189"/>
        <v>0</v>
      </c>
      <c r="Q293" s="28">
        <f t="shared" si="156"/>
        <v>11</v>
      </c>
      <c r="R293" s="22">
        <f t="shared" si="157"/>
        <v>120.02688444510535</v>
      </c>
      <c r="S293" s="22">
        <f t="shared" si="158"/>
        <v>4.0880817548887682</v>
      </c>
      <c r="T293" s="22">
        <f t="shared" si="159"/>
        <v>9.7655255566873951</v>
      </c>
      <c r="U293" s="22">
        <f t="shared" si="160"/>
        <v>10.093399999999997</v>
      </c>
      <c r="V293" s="21">
        <f t="shared" si="176"/>
        <v>16.158019184000082</v>
      </c>
      <c r="W293" s="21">
        <f t="shared" si="177"/>
        <v>1.0017283689142829</v>
      </c>
      <c r="X293" s="21">
        <f t="shared" si="167"/>
        <v>3.3457374143999985</v>
      </c>
      <c r="Y293" s="21">
        <f t="shared" si="168"/>
        <v>0</v>
      </c>
      <c r="Z293" s="221">
        <f t="shared" si="161"/>
        <v>10</v>
      </c>
      <c r="AA293" s="30">
        <f t="shared" si="149"/>
        <v>6.3140692319120486</v>
      </c>
      <c r="AB293" s="30">
        <f t="shared" si="150"/>
        <v>3.4688739976703165</v>
      </c>
      <c r="AC293" s="30">
        <f t="shared" si="151"/>
        <v>2.4809767459508998</v>
      </c>
      <c r="AD293" s="30">
        <f t="shared" si="152"/>
        <v>0</v>
      </c>
      <c r="AE293" s="32">
        <f t="shared" si="162"/>
        <v>12.263919975533264</v>
      </c>
      <c r="AF293" s="33">
        <f t="shared" si="170"/>
        <v>12.263919975533264</v>
      </c>
      <c r="AG293" s="40">
        <f t="shared" si="163"/>
        <v>3.4051354608148365</v>
      </c>
      <c r="AH293" s="224">
        <f>AG293*$P$33</f>
        <v>0.28558411398305406</v>
      </c>
      <c r="AI293" s="227">
        <f t="shared" si="164"/>
        <v>31.823619562229869</v>
      </c>
    </row>
    <row r="294" spans="1:35" x14ac:dyDescent="0.35">
      <c r="A294" s="48">
        <v>1715</v>
      </c>
      <c r="B294" s="58">
        <f>SUMIF([2]!Table2_23[ETA],'FIS Current Model'!A294,[2]!Table2_23[FIS PAX])</f>
        <v>0</v>
      </c>
      <c r="C294" s="44">
        <f t="shared" si="165"/>
        <v>18</v>
      </c>
      <c r="D294" s="52">
        <f t="shared" si="169"/>
        <v>32</v>
      </c>
      <c r="E294" s="26">
        <f t="shared" si="153"/>
        <v>9.9503999999999984</v>
      </c>
      <c r="F294" s="26">
        <f t="shared" si="154"/>
        <v>4.2713999999999999</v>
      </c>
      <c r="G294" s="26">
        <f t="shared" si="155"/>
        <v>2.9447999999999999</v>
      </c>
      <c r="H294" s="26">
        <f t="shared" si="166"/>
        <v>0.83340000000000003</v>
      </c>
      <c r="I294" s="27">
        <f t="shared" si="171"/>
        <v>0</v>
      </c>
      <c r="J294" s="27">
        <f t="shared" si="171"/>
        <v>0</v>
      </c>
      <c r="K294" s="27">
        <f t="shared" si="171"/>
        <v>0</v>
      </c>
      <c r="L294" s="27">
        <f t="shared" si="171"/>
        <v>0</v>
      </c>
      <c r="M294" s="28">
        <f t="shared" si="186"/>
        <v>3</v>
      </c>
      <c r="N294" s="29">
        <f t="shared" si="187"/>
        <v>7</v>
      </c>
      <c r="O294" s="28">
        <f t="shared" si="188"/>
        <v>1</v>
      </c>
      <c r="P294" s="28">
        <f t="shared" si="189"/>
        <v>0</v>
      </c>
      <c r="Q294" s="28">
        <f t="shared" si="156"/>
        <v>11</v>
      </c>
      <c r="R294" s="22">
        <f t="shared" si="157"/>
        <v>113.71281521319331</v>
      </c>
      <c r="S294" s="22">
        <f t="shared" si="158"/>
        <v>0.61920775721845178</v>
      </c>
      <c r="T294" s="22">
        <f t="shared" si="159"/>
        <v>7.2845488107364957</v>
      </c>
      <c r="U294" s="22">
        <f t="shared" si="160"/>
        <v>10.093399999999997</v>
      </c>
      <c r="V294" s="21">
        <f t="shared" si="176"/>
        <v>15.308019184000083</v>
      </c>
      <c r="W294" s="21">
        <f t="shared" si="177"/>
        <v>0.15172836891428262</v>
      </c>
      <c r="X294" s="21">
        <f t="shared" si="167"/>
        <v>2.4957374143999984</v>
      </c>
      <c r="Y294" s="21">
        <f t="shared" si="168"/>
        <v>0</v>
      </c>
      <c r="Z294" s="221">
        <f t="shared" si="161"/>
        <v>9</v>
      </c>
      <c r="AA294" s="30">
        <f t="shared" si="149"/>
        <v>6.3140692319120486</v>
      </c>
      <c r="AB294" s="30">
        <f t="shared" si="150"/>
        <v>3.4688739976703165</v>
      </c>
      <c r="AC294" s="30">
        <f t="shared" si="151"/>
        <v>2.4809767459508998</v>
      </c>
      <c r="AD294" s="30">
        <f t="shared" si="152"/>
        <v>0</v>
      </c>
      <c r="AE294" s="32">
        <f t="shared" si="162"/>
        <v>12.263919975533264</v>
      </c>
      <c r="AF294" s="33">
        <f t="shared" si="170"/>
        <v>12.263919975533264</v>
      </c>
      <c r="AG294" s="40">
        <f t="shared" si="163"/>
        <v>3.7456490068963202</v>
      </c>
      <c r="AH294" s="224">
        <f>AG294*$P$33</f>
        <v>0.31414252538135945</v>
      </c>
      <c r="AI294" s="227">
        <f t="shared" si="164"/>
        <v>30.823619562229869</v>
      </c>
    </row>
    <row r="295" spans="1:35" x14ac:dyDescent="0.35">
      <c r="A295" s="48">
        <v>1716</v>
      </c>
      <c r="B295" s="58">
        <f>SUMIF([2]!Table2_23[ETA],'FIS Current Model'!A295,[2]!Table2_23[FIS PAX])</f>
        <v>0</v>
      </c>
      <c r="C295" s="44">
        <f t="shared" si="165"/>
        <v>18</v>
      </c>
      <c r="D295" s="52">
        <f t="shared" si="169"/>
        <v>14</v>
      </c>
      <c r="E295" s="26">
        <f t="shared" si="153"/>
        <v>9.9503999999999984</v>
      </c>
      <c r="F295" s="26">
        <f t="shared" si="154"/>
        <v>4.2713999999999999</v>
      </c>
      <c r="G295" s="26">
        <f t="shared" si="155"/>
        <v>2.9447999999999999</v>
      </c>
      <c r="H295" s="26">
        <f t="shared" si="166"/>
        <v>0.83340000000000003</v>
      </c>
      <c r="I295" s="27">
        <f t="shared" si="171"/>
        <v>0</v>
      </c>
      <c r="J295" s="27">
        <f t="shared" si="171"/>
        <v>0</v>
      </c>
      <c r="K295" s="27">
        <f t="shared" si="171"/>
        <v>0</v>
      </c>
      <c r="L295" s="27">
        <f t="shared" si="171"/>
        <v>0</v>
      </c>
      <c r="M295" s="28">
        <f>IF(R294=0,0,$Q$23)</f>
        <v>3</v>
      </c>
      <c r="N295" s="29">
        <f>$U$23-M295-O295-P295</f>
        <v>6</v>
      </c>
      <c r="O295" s="28">
        <f>IF(T294=0,0,$S$23)</f>
        <v>1</v>
      </c>
      <c r="P295" s="28">
        <f>IF(U294=0,0,$T$23)</f>
        <v>1</v>
      </c>
      <c r="Q295" s="28">
        <f t="shared" si="156"/>
        <v>11</v>
      </c>
      <c r="R295" s="22">
        <f t="shared" si="157"/>
        <v>107.39874598128127</v>
      </c>
      <c r="S295" s="22">
        <f t="shared" si="158"/>
        <v>0</v>
      </c>
      <c r="T295" s="22">
        <f t="shared" si="159"/>
        <v>4.8035720647855964</v>
      </c>
      <c r="U295" s="22">
        <f t="shared" si="160"/>
        <v>8.2570669626403426</v>
      </c>
      <c r="V295" s="21">
        <f t="shared" si="176"/>
        <v>14.458019184000083</v>
      </c>
      <c r="W295" s="21">
        <f t="shared" si="177"/>
        <v>0</v>
      </c>
      <c r="X295" s="21">
        <f t="shared" si="167"/>
        <v>1.6457374143999988</v>
      </c>
      <c r="Y295" s="21">
        <f t="shared" si="168"/>
        <v>3.8220228985999989</v>
      </c>
      <c r="Z295" s="221">
        <f t="shared" si="161"/>
        <v>9</v>
      </c>
      <c r="AA295" s="30">
        <f t="shared" ref="AA295:AA339" si="190">IF(R295&lt;&gt;0,($J$30*M295*$L$33),0)</f>
        <v>6.3140692319120486</v>
      </c>
      <c r="AB295" s="30">
        <f t="shared" ref="AB295:AB339" si="191">IF(W295&lt;&gt;0,($J$31*N295*$L$33),0)</f>
        <v>0</v>
      </c>
      <c r="AC295" s="30">
        <f t="shared" ref="AC295:AC339" si="192">IF(X295&lt;&gt;0,($J$32*O295*$L$33),0)</f>
        <v>2.4809767459508998</v>
      </c>
      <c r="AD295" s="30">
        <f t="shared" ref="AD295:AD339" si="193">IF(Y295&lt;&gt;0,($J$33*P295*$L$33),0)</f>
        <v>1.8363330373596554</v>
      </c>
      <c r="AE295" s="32">
        <f t="shared" si="162"/>
        <v>10.631379015222603</v>
      </c>
      <c r="AF295" s="33">
        <f t="shared" si="170"/>
        <v>12.263919975533264</v>
      </c>
      <c r="AG295" s="40">
        <f t="shared" si="163"/>
        <v>4.0861625529778038</v>
      </c>
      <c r="AH295" s="224">
        <f>AG295*$P$33</f>
        <v>0.34270093677966484</v>
      </c>
      <c r="AI295" s="227">
        <f t="shared" si="164"/>
        <v>30.353172024378249</v>
      </c>
    </row>
    <row r="296" spans="1:35" x14ac:dyDescent="0.35">
      <c r="A296" s="48">
        <v>1717</v>
      </c>
      <c r="B296" s="58">
        <f>SUMIF([2]!Table2_23[ETA],'FIS Current Model'!A296,[2]!Table2_23[FIS PAX])</f>
        <v>0</v>
      </c>
      <c r="C296" s="44">
        <f t="shared" si="165"/>
        <v>14</v>
      </c>
      <c r="D296" s="52">
        <f t="shared" si="169"/>
        <v>0</v>
      </c>
      <c r="E296" s="26">
        <f t="shared" ref="E296:E339" si="194">$C$30*C296</f>
        <v>7.7391999999999994</v>
      </c>
      <c r="F296" s="26">
        <f t="shared" ref="F296:F339" si="195">$C$31*C296</f>
        <v>3.3222</v>
      </c>
      <c r="G296" s="26">
        <f t="shared" ref="G296:G339" si="196">$C$32*C296</f>
        <v>2.2904</v>
      </c>
      <c r="H296" s="26">
        <f t="shared" si="166"/>
        <v>0.6482</v>
      </c>
      <c r="I296" s="27">
        <f t="shared" si="171"/>
        <v>9.9503999999999984</v>
      </c>
      <c r="J296" s="27">
        <f t="shared" si="171"/>
        <v>4.2713999999999999</v>
      </c>
      <c r="K296" s="27">
        <f t="shared" si="171"/>
        <v>2.9447999999999999</v>
      </c>
      <c r="L296" s="27">
        <f t="shared" si="171"/>
        <v>0.83340000000000003</v>
      </c>
      <c r="M296" s="28">
        <f>$M$295</f>
        <v>3</v>
      </c>
      <c r="N296" s="29">
        <f>$N$295</f>
        <v>6</v>
      </c>
      <c r="O296" s="28">
        <f>$O$295</f>
        <v>1</v>
      </c>
      <c r="P296" s="28">
        <f>$P$295</f>
        <v>1</v>
      </c>
      <c r="Q296" s="28">
        <f t="shared" ref="Q296:Q339" si="197">SUM(M296:P296)</f>
        <v>11</v>
      </c>
      <c r="R296" s="22">
        <f t="shared" ref="R296:R339" si="198">MAX(R295-($J$30*M296*$L$33)+I296,0)</f>
        <v>111.03507674936922</v>
      </c>
      <c r="S296" s="22">
        <f t="shared" ref="S296:S339" si="199">IF(U296&lt;&gt;0,(MAX(S295-($J$31*N296*$L$33)+J296,0)),(MAX(S295-($J$31*(N296+P296)*$L$33)+J296,0)))</f>
        <v>1.2980794305683006</v>
      </c>
      <c r="T296" s="22">
        <f t="shared" ref="T296:T339" si="200">MAX(T295-($J$32*O296*$L$33)+K296,0)</f>
        <v>5.267395318834696</v>
      </c>
      <c r="U296" s="22">
        <f t="shared" ref="U296:U339" si="201">MAX(U295-($J$33*P296*$L$33)+L296,0)</f>
        <v>7.2541339252806871</v>
      </c>
      <c r="V296" s="21">
        <f t="shared" si="176"/>
        <v>14.947542032000085</v>
      </c>
      <c r="W296" s="21">
        <f t="shared" si="177"/>
        <v>0.37108932259999999</v>
      </c>
      <c r="X296" s="21">
        <f t="shared" si="167"/>
        <v>1.8046465079999987</v>
      </c>
      <c r="Y296" s="21">
        <f t="shared" si="168"/>
        <v>3.357786257199999</v>
      </c>
      <c r="Z296" s="221">
        <f t="shared" ref="Z296:Z339" si="202">ROUNDUP(SUM(V296*$C$30,W296*$C$31,X296*$C$32,Y296*$C$33),0)</f>
        <v>9</v>
      </c>
      <c r="AA296" s="30">
        <f t="shared" si="190"/>
        <v>6.3140692319120486</v>
      </c>
      <c r="AB296" s="30">
        <f t="shared" si="191"/>
        <v>2.9733205694316993</v>
      </c>
      <c r="AC296" s="30">
        <f t="shared" si="192"/>
        <v>2.4809767459508998</v>
      </c>
      <c r="AD296" s="30">
        <f t="shared" si="193"/>
        <v>1.8363330373596554</v>
      </c>
      <c r="AE296" s="32">
        <f t="shared" ref="AE296:AE339" si="203">SUM(AA296:AD296)</f>
        <v>13.604699584654302</v>
      </c>
      <c r="AF296" s="33">
        <f t="shared" si="170"/>
        <v>12.263919975533264</v>
      </c>
      <c r="AG296" s="40">
        <f t="shared" ref="AG296:AG339" si="204">MAX(AG295-$Q$33+AF296,0)</f>
        <v>4.4266760990592875</v>
      </c>
      <c r="AH296" s="224">
        <f>AG296*$P$33</f>
        <v>0.37125934817797024</v>
      </c>
      <c r="AI296" s="227">
        <f t="shared" ref="AI296:AI339" si="205">SUM(Z296,IF(Z296&lt;&gt;0,$F$31,0),IF(Z296&lt;&gt;0,$N$33,0),IF(Z296&lt;&gt;0,$T$33,0),IF(Z296=0,AH301,IF(Z296=1,AH302,IF(Z296=2,AH303,IF(Z296=3,AH304,IF(Z296=4,AH305,IF(Z296=5,AH306,IF(Z296=6,AH307,IF(Z296=7,AH308,IF(Z296=8,AH309,IF(Z296=9,AH310,IF(Z296=10,AH311,IF(Z296=11,AH312,IF(Z296=12,AH313,IF(Z296=13,AH314,IF(Z296=14,AH315,IF(Z296=15,AH316,IF(Z296=16,AH317,IF(Z296=17,AH318,IF(Z296=18,AH319,IF(Z296=19,AH320,IF(Z296=20,AH321,IF(Z296=21,AH322,IF(Z296=22,AH323,IF(Z296=23,AH324,IF(Z296=24,AH325,IF(Z296=25,AH326,IF(Z296=26,AH327,IF(Z296=27,AH328,IF(Z296=28,AH329,IF(Z296=29,AH330,IF(Z296=30,AH331))))))))))))))))))))))))))))))))</f>
        <v>30</v>
      </c>
    </row>
    <row r="297" spans="1:35" x14ac:dyDescent="0.35">
      <c r="A297" s="48">
        <v>1718</v>
      </c>
      <c r="B297" s="58">
        <f>SUMIF([2]!Table2_23[ETA],'FIS Current Model'!A297,[2]!Table2_23[FIS PAX])</f>
        <v>0</v>
      </c>
      <c r="C297" s="44">
        <f t="shared" ref="C297:C339" si="206">IF((D296-D297)&gt;-1,(D296-D297),18)</f>
        <v>0</v>
      </c>
      <c r="D297" s="52">
        <f t="shared" si="169"/>
        <v>0</v>
      </c>
      <c r="E297" s="26">
        <f t="shared" si="194"/>
        <v>0</v>
      </c>
      <c r="F297" s="26">
        <f t="shared" si="195"/>
        <v>0</v>
      </c>
      <c r="G297" s="26">
        <f t="shared" si="196"/>
        <v>0</v>
      </c>
      <c r="H297" s="26">
        <f t="shared" ref="H297:H339" si="207">$C$33*C297</f>
        <v>0</v>
      </c>
      <c r="I297" s="27">
        <f t="shared" si="171"/>
        <v>9.9503999999999984</v>
      </c>
      <c r="J297" s="27">
        <f t="shared" si="171"/>
        <v>4.2713999999999999</v>
      </c>
      <c r="K297" s="27">
        <f t="shared" si="171"/>
        <v>2.9447999999999999</v>
      </c>
      <c r="L297" s="27">
        <f t="shared" si="171"/>
        <v>0.83340000000000003</v>
      </c>
      <c r="M297" s="28">
        <f t="shared" ref="M297:M309" si="208">$M$295</f>
        <v>3</v>
      </c>
      <c r="N297" s="29">
        <f t="shared" ref="N297:N309" si="209">$N$295</f>
        <v>6</v>
      </c>
      <c r="O297" s="28">
        <f t="shared" ref="O297:O309" si="210">$O$295</f>
        <v>1</v>
      </c>
      <c r="P297" s="28">
        <f t="shared" ref="P297:P309" si="211">$P$295</f>
        <v>1</v>
      </c>
      <c r="Q297" s="28">
        <f t="shared" si="197"/>
        <v>11</v>
      </c>
      <c r="R297" s="22">
        <f t="shared" si="198"/>
        <v>114.67140751745718</v>
      </c>
      <c r="S297" s="22">
        <f t="shared" si="199"/>
        <v>2.5961588611366011</v>
      </c>
      <c r="T297" s="22">
        <f t="shared" si="200"/>
        <v>5.7312185728837957</v>
      </c>
      <c r="U297" s="22">
        <f t="shared" si="201"/>
        <v>6.2512008879210317</v>
      </c>
      <c r="V297" s="21">
        <f t="shared" si="176"/>
        <v>15.437064880000085</v>
      </c>
      <c r="W297" s="21">
        <f t="shared" si="177"/>
        <v>0.74217864519999999</v>
      </c>
      <c r="X297" s="21">
        <f t="shared" ref="X297:X339" si="212">IFERROR(T297*($I$32/O297),0)</f>
        <v>1.9635556015999986</v>
      </c>
      <c r="Y297" s="21">
        <f t="shared" ref="Y297:Y339" si="213">IFERROR(U297*($I$33/P297),0)</f>
        <v>2.8935496157999991</v>
      </c>
      <c r="Z297" s="221">
        <f t="shared" si="202"/>
        <v>10</v>
      </c>
      <c r="AA297" s="30">
        <f t="shared" si="190"/>
        <v>6.3140692319120486</v>
      </c>
      <c r="AB297" s="30">
        <f t="shared" si="191"/>
        <v>2.9733205694316993</v>
      </c>
      <c r="AC297" s="30">
        <f t="shared" si="192"/>
        <v>2.4809767459508998</v>
      </c>
      <c r="AD297" s="30">
        <f t="shared" si="193"/>
        <v>1.8363330373596554</v>
      </c>
      <c r="AE297" s="32">
        <f t="shared" si="203"/>
        <v>13.604699584654302</v>
      </c>
      <c r="AF297" s="33">
        <f t="shared" si="170"/>
        <v>12.263919975533264</v>
      </c>
      <c r="AG297" s="40">
        <f t="shared" si="204"/>
        <v>4.7671896451407711</v>
      </c>
      <c r="AH297" s="224">
        <f>AG297*$P$33</f>
        <v>0.39981775957627563</v>
      </c>
      <c r="AI297" s="227">
        <f t="shared" si="205"/>
        <v>31</v>
      </c>
    </row>
    <row r="298" spans="1:35" x14ac:dyDescent="0.35">
      <c r="A298" s="48">
        <v>1719</v>
      </c>
      <c r="B298" s="58">
        <f>SUMIF([2]!Table2_23[ETA],'FIS Current Model'!A298,[2]!Table2_23[FIS PAX])</f>
        <v>0</v>
      </c>
      <c r="C298" s="44">
        <f t="shared" si="206"/>
        <v>0</v>
      </c>
      <c r="D298" s="52">
        <f t="shared" ref="D298:D339" si="214">MAX(D297-$E$31+B297,0)</f>
        <v>0</v>
      </c>
      <c r="E298" s="26">
        <f t="shared" si="194"/>
        <v>0</v>
      </c>
      <c r="F298" s="26">
        <f t="shared" si="195"/>
        <v>0</v>
      </c>
      <c r="G298" s="26">
        <f t="shared" si="196"/>
        <v>0</v>
      </c>
      <c r="H298" s="26">
        <f t="shared" si="207"/>
        <v>0</v>
      </c>
      <c r="I298" s="27">
        <f t="shared" si="171"/>
        <v>9.9503999999999984</v>
      </c>
      <c r="J298" s="27">
        <f t="shared" si="171"/>
        <v>4.2713999999999999</v>
      </c>
      <c r="K298" s="27">
        <f t="shared" si="171"/>
        <v>2.9447999999999999</v>
      </c>
      <c r="L298" s="27">
        <f t="shared" si="171"/>
        <v>0.83340000000000003</v>
      </c>
      <c r="M298" s="28">
        <f t="shared" si="208"/>
        <v>3</v>
      </c>
      <c r="N298" s="29">
        <f t="shared" si="209"/>
        <v>6</v>
      </c>
      <c r="O298" s="28">
        <f t="shared" si="210"/>
        <v>1</v>
      </c>
      <c r="P298" s="28">
        <f t="shared" si="211"/>
        <v>1</v>
      </c>
      <c r="Q298" s="28">
        <f t="shared" si="197"/>
        <v>11</v>
      </c>
      <c r="R298" s="22">
        <f t="shared" si="198"/>
        <v>118.30773828554514</v>
      </c>
      <c r="S298" s="22">
        <f t="shared" si="199"/>
        <v>3.8942382917049017</v>
      </c>
      <c r="T298" s="22">
        <f t="shared" si="200"/>
        <v>6.1950418269328953</v>
      </c>
      <c r="U298" s="22">
        <f t="shared" si="201"/>
        <v>5.2482678505613762</v>
      </c>
      <c r="V298" s="21">
        <f t="shared" si="176"/>
        <v>15.926587728000086</v>
      </c>
      <c r="W298" s="21">
        <f t="shared" si="177"/>
        <v>1.1132679677999999</v>
      </c>
      <c r="X298" s="21">
        <f t="shared" si="212"/>
        <v>2.1224646951999984</v>
      </c>
      <c r="Y298" s="21">
        <f t="shared" si="213"/>
        <v>2.4293129743999993</v>
      </c>
      <c r="Z298" s="221">
        <f t="shared" si="202"/>
        <v>10</v>
      </c>
      <c r="AA298" s="30">
        <f t="shared" si="190"/>
        <v>6.3140692319120486</v>
      </c>
      <c r="AB298" s="30">
        <f t="shared" si="191"/>
        <v>2.9733205694316993</v>
      </c>
      <c r="AC298" s="30">
        <f t="shared" si="192"/>
        <v>2.4809767459508998</v>
      </c>
      <c r="AD298" s="30">
        <f t="shared" si="193"/>
        <v>1.8363330373596554</v>
      </c>
      <c r="AE298" s="32">
        <f t="shared" si="203"/>
        <v>13.604699584654302</v>
      </c>
      <c r="AF298" s="33">
        <f t="shared" si="170"/>
        <v>12.263919975533264</v>
      </c>
      <c r="AG298" s="40">
        <f t="shared" si="204"/>
        <v>5.1077031912222548</v>
      </c>
      <c r="AH298" s="224">
        <f>AG298*$P$33</f>
        <v>0.42837617097458108</v>
      </c>
      <c r="AI298" s="227">
        <f t="shared" si="205"/>
        <v>31</v>
      </c>
    </row>
    <row r="299" spans="1:35" x14ac:dyDescent="0.35">
      <c r="A299" s="48">
        <v>1720</v>
      </c>
      <c r="B299" s="58">
        <f>SUMIF([2]!Table2_23[ETA],'FIS Current Model'!A299,[2]!Table2_23[FIS PAX])</f>
        <v>0</v>
      </c>
      <c r="C299" s="44">
        <f t="shared" si="206"/>
        <v>0</v>
      </c>
      <c r="D299" s="52">
        <f t="shared" si="214"/>
        <v>0</v>
      </c>
      <c r="E299" s="26">
        <f t="shared" si="194"/>
        <v>0</v>
      </c>
      <c r="F299" s="26">
        <f t="shared" si="195"/>
        <v>0</v>
      </c>
      <c r="G299" s="26">
        <f t="shared" si="196"/>
        <v>0</v>
      </c>
      <c r="H299" s="26">
        <f t="shared" si="207"/>
        <v>0</v>
      </c>
      <c r="I299" s="27">
        <f t="shared" si="171"/>
        <v>9.9503999999999984</v>
      </c>
      <c r="J299" s="27">
        <f t="shared" si="171"/>
        <v>4.2713999999999999</v>
      </c>
      <c r="K299" s="27">
        <f t="shared" si="171"/>
        <v>2.9447999999999999</v>
      </c>
      <c r="L299" s="27">
        <f t="shared" si="171"/>
        <v>0.83340000000000003</v>
      </c>
      <c r="M299" s="28">
        <f t="shared" si="208"/>
        <v>3</v>
      </c>
      <c r="N299" s="29">
        <f t="shared" si="209"/>
        <v>6</v>
      </c>
      <c r="O299" s="28">
        <f t="shared" si="210"/>
        <v>1</v>
      </c>
      <c r="P299" s="28">
        <f t="shared" si="211"/>
        <v>1</v>
      </c>
      <c r="Q299" s="28">
        <f t="shared" si="197"/>
        <v>11</v>
      </c>
      <c r="R299" s="22">
        <f t="shared" si="198"/>
        <v>121.9440690536331</v>
      </c>
      <c r="S299" s="22">
        <f t="shared" si="199"/>
        <v>5.1923177222732022</v>
      </c>
      <c r="T299" s="22">
        <f t="shared" si="200"/>
        <v>6.6588650809819949</v>
      </c>
      <c r="U299" s="22">
        <f t="shared" si="201"/>
        <v>4.2453348132017208</v>
      </c>
      <c r="V299" s="21">
        <f t="shared" si="176"/>
        <v>16.416110576000086</v>
      </c>
      <c r="W299" s="21">
        <f t="shared" si="177"/>
        <v>1.4843572904</v>
      </c>
      <c r="X299" s="21">
        <f t="shared" si="212"/>
        <v>2.2813737887999981</v>
      </c>
      <c r="Y299" s="21">
        <f t="shared" si="213"/>
        <v>1.9650763329999992</v>
      </c>
      <c r="Z299" s="221">
        <f t="shared" si="202"/>
        <v>10</v>
      </c>
      <c r="AA299" s="30">
        <f t="shared" si="190"/>
        <v>6.3140692319120486</v>
      </c>
      <c r="AB299" s="30">
        <f t="shared" si="191"/>
        <v>2.9733205694316993</v>
      </c>
      <c r="AC299" s="30">
        <f t="shared" si="192"/>
        <v>2.4809767459508998</v>
      </c>
      <c r="AD299" s="30">
        <f t="shared" si="193"/>
        <v>1.8363330373596554</v>
      </c>
      <c r="AE299" s="32">
        <f t="shared" si="203"/>
        <v>13.604699584654302</v>
      </c>
      <c r="AF299" s="33">
        <f t="shared" si="170"/>
        <v>10.631379015222603</v>
      </c>
      <c r="AG299" s="40">
        <f t="shared" si="204"/>
        <v>3.8156757769930767</v>
      </c>
      <c r="AH299" s="224">
        <f>AG299*$P$33</f>
        <v>0.32001557604947933</v>
      </c>
      <c r="AI299" s="227">
        <f t="shared" si="205"/>
        <v>31</v>
      </c>
    </row>
    <row r="300" spans="1:35" x14ac:dyDescent="0.35">
      <c r="A300" s="48">
        <v>1721</v>
      </c>
      <c r="B300" s="58">
        <f>SUMIF([2]!Table2_23[ETA],'FIS Current Model'!A300,[2]!Table2_23[FIS PAX])</f>
        <v>0</v>
      </c>
      <c r="C300" s="44">
        <f t="shared" si="206"/>
        <v>0</v>
      </c>
      <c r="D300" s="52">
        <f t="shared" si="214"/>
        <v>0</v>
      </c>
      <c r="E300" s="26">
        <f t="shared" si="194"/>
        <v>0</v>
      </c>
      <c r="F300" s="26">
        <f t="shared" si="195"/>
        <v>0</v>
      </c>
      <c r="G300" s="26">
        <f t="shared" si="196"/>
        <v>0</v>
      </c>
      <c r="H300" s="26">
        <f t="shared" si="207"/>
        <v>0</v>
      </c>
      <c r="I300" s="27">
        <f t="shared" si="171"/>
        <v>9.9503999999999984</v>
      </c>
      <c r="J300" s="27">
        <f t="shared" si="171"/>
        <v>4.2713999999999999</v>
      </c>
      <c r="K300" s="27">
        <f t="shared" si="171"/>
        <v>2.9447999999999999</v>
      </c>
      <c r="L300" s="27">
        <f t="shared" ref="L300:L339" si="215">H295</f>
        <v>0.83340000000000003</v>
      </c>
      <c r="M300" s="28">
        <f t="shared" si="208"/>
        <v>3</v>
      </c>
      <c r="N300" s="29">
        <f t="shared" si="209"/>
        <v>6</v>
      </c>
      <c r="O300" s="28">
        <f t="shared" si="210"/>
        <v>1</v>
      </c>
      <c r="P300" s="28">
        <f t="shared" si="211"/>
        <v>1</v>
      </c>
      <c r="Q300" s="28">
        <f t="shared" si="197"/>
        <v>11</v>
      </c>
      <c r="R300" s="22">
        <f t="shared" si="198"/>
        <v>125.58039982172106</v>
      </c>
      <c r="S300" s="22">
        <f t="shared" si="199"/>
        <v>6.4903971528415028</v>
      </c>
      <c r="T300" s="22">
        <f t="shared" si="200"/>
        <v>7.1226883350310954</v>
      </c>
      <c r="U300" s="22">
        <f t="shared" si="201"/>
        <v>3.2424017758420653</v>
      </c>
      <c r="V300" s="21">
        <f t="shared" si="176"/>
        <v>16.905633424000087</v>
      </c>
      <c r="W300" s="21">
        <f t="shared" si="177"/>
        <v>1.855446613</v>
      </c>
      <c r="X300" s="21">
        <f t="shared" si="212"/>
        <v>2.4402828823999987</v>
      </c>
      <c r="Y300" s="21">
        <f t="shared" si="213"/>
        <v>1.5008396915999993</v>
      </c>
      <c r="Z300" s="221">
        <f t="shared" si="202"/>
        <v>11</v>
      </c>
      <c r="AA300" s="30">
        <f t="shared" si="190"/>
        <v>6.3140692319120486</v>
      </c>
      <c r="AB300" s="30">
        <f t="shared" si="191"/>
        <v>2.9733205694316993</v>
      </c>
      <c r="AC300" s="30">
        <f t="shared" si="192"/>
        <v>2.4809767459508998</v>
      </c>
      <c r="AD300" s="30">
        <f t="shared" si="193"/>
        <v>1.8363330373596554</v>
      </c>
      <c r="AE300" s="32">
        <f t="shared" si="203"/>
        <v>13.604699584654302</v>
      </c>
      <c r="AF300" s="33">
        <f t="shared" ref="AF300:AF339" si="216">AE296</f>
        <v>13.604699584654302</v>
      </c>
      <c r="AG300" s="40">
        <f t="shared" si="204"/>
        <v>5.4969689321955979</v>
      </c>
      <c r="AH300" s="224">
        <f>AG300*$P$33</f>
        <v>0.46102336314038905</v>
      </c>
      <c r="AI300" s="227">
        <f t="shared" si="205"/>
        <v>32</v>
      </c>
    </row>
    <row r="301" spans="1:35" x14ac:dyDescent="0.35">
      <c r="A301" s="48">
        <v>1722</v>
      </c>
      <c r="B301" s="58">
        <f>SUMIF([2]!Table2_23[ETA],'FIS Current Model'!A301,[2]!Table2_23[FIS PAX])</f>
        <v>0</v>
      </c>
      <c r="C301" s="44">
        <f t="shared" si="206"/>
        <v>0</v>
      </c>
      <c r="D301" s="52">
        <f t="shared" si="214"/>
        <v>0</v>
      </c>
      <c r="E301" s="26">
        <f t="shared" si="194"/>
        <v>0</v>
      </c>
      <c r="F301" s="26">
        <f t="shared" si="195"/>
        <v>0</v>
      </c>
      <c r="G301" s="26">
        <f t="shared" si="196"/>
        <v>0</v>
      </c>
      <c r="H301" s="26">
        <f t="shared" si="207"/>
        <v>0</v>
      </c>
      <c r="I301" s="27">
        <f t="shared" ref="I301:K339" si="217">E296</f>
        <v>7.7391999999999994</v>
      </c>
      <c r="J301" s="27">
        <f t="shared" si="217"/>
        <v>3.3222</v>
      </c>
      <c r="K301" s="27">
        <f t="shared" si="217"/>
        <v>2.2904</v>
      </c>
      <c r="L301" s="27">
        <f t="shared" si="215"/>
        <v>0.6482</v>
      </c>
      <c r="M301" s="28">
        <f t="shared" si="208"/>
        <v>3</v>
      </c>
      <c r="N301" s="29">
        <f t="shared" si="209"/>
        <v>6</v>
      </c>
      <c r="O301" s="28">
        <f t="shared" si="210"/>
        <v>1</v>
      </c>
      <c r="P301" s="28">
        <f t="shared" si="211"/>
        <v>1</v>
      </c>
      <c r="Q301" s="28">
        <f t="shared" si="197"/>
        <v>11</v>
      </c>
      <c r="R301" s="22">
        <f t="shared" si="198"/>
        <v>127.00553058980901</v>
      </c>
      <c r="S301" s="22">
        <f t="shared" si="199"/>
        <v>6.8392765834098039</v>
      </c>
      <c r="T301" s="22">
        <f t="shared" si="200"/>
        <v>6.9321115890801952</v>
      </c>
      <c r="U301" s="22">
        <f t="shared" si="201"/>
        <v>2.0542687384824099</v>
      </c>
      <c r="V301" s="21">
        <f t="shared" si="176"/>
        <v>17.097484528000088</v>
      </c>
      <c r="W301" s="21">
        <f t="shared" si="177"/>
        <v>1.9551827528000001</v>
      </c>
      <c r="X301" s="21">
        <f t="shared" si="212"/>
        <v>2.3749899551999984</v>
      </c>
      <c r="Y301" s="21">
        <f t="shared" si="213"/>
        <v>0.95087785939999936</v>
      </c>
      <c r="Z301" s="221">
        <f t="shared" si="202"/>
        <v>11</v>
      </c>
      <c r="AA301" s="30">
        <f t="shared" si="190"/>
        <v>6.3140692319120486</v>
      </c>
      <c r="AB301" s="30">
        <f t="shared" si="191"/>
        <v>2.9733205694316993</v>
      </c>
      <c r="AC301" s="30">
        <f t="shared" si="192"/>
        <v>2.4809767459508998</v>
      </c>
      <c r="AD301" s="30">
        <f t="shared" si="193"/>
        <v>1.8363330373596554</v>
      </c>
      <c r="AE301" s="32">
        <f t="shared" si="203"/>
        <v>13.604699584654302</v>
      </c>
      <c r="AF301" s="33">
        <f t="shared" si="216"/>
        <v>13.604699584654302</v>
      </c>
      <c r="AG301" s="40">
        <f t="shared" si="204"/>
        <v>7.1782620873981191</v>
      </c>
      <c r="AH301" s="224">
        <f>AG301*$P$33</f>
        <v>0.60203115023129883</v>
      </c>
      <c r="AI301" s="227">
        <f t="shared" si="205"/>
        <v>32</v>
      </c>
    </row>
    <row r="302" spans="1:35" x14ac:dyDescent="0.35">
      <c r="A302" s="48">
        <v>1723</v>
      </c>
      <c r="B302" s="58">
        <f>SUMIF([2]!Table2_23[ETA],'FIS Current Model'!A302,[2]!Table2_23[FIS PAX])</f>
        <v>0</v>
      </c>
      <c r="C302" s="44">
        <f t="shared" si="206"/>
        <v>0</v>
      </c>
      <c r="D302" s="52">
        <f t="shared" si="214"/>
        <v>0</v>
      </c>
      <c r="E302" s="26">
        <f t="shared" si="194"/>
        <v>0</v>
      </c>
      <c r="F302" s="26">
        <f t="shared" si="195"/>
        <v>0</v>
      </c>
      <c r="G302" s="26">
        <f t="shared" si="196"/>
        <v>0</v>
      </c>
      <c r="H302" s="26">
        <f t="shared" si="207"/>
        <v>0</v>
      </c>
      <c r="I302" s="27">
        <f t="shared" si="217"/>
        <v>0</v>
      </c>
      <c r="J302" s="27">
        <f t="shared" si="217"/>
        <v>0</v>
      </c>
      <c r="K302" s="27">
        <f t="shared" si="217"/>
        <v>0</v>
      </c>
      <c r="L302" s="27">
        <f t="shared" si="215"/>
        <v>0</v>
      </c>
      <c r="M302" s="28">
        <f t="shared" si="208"/>
        <v>3</v>
      </c>
      <c r="N302" s="29">
        <f t="shared" si="209"/>
        <v>6</v>
      </c>
      <c r="O302" s="28">
        <f t="shared" si="210"/>
        <v>1</v>
      </c>
      <c r="P302" s="28">
        <f t="shared" si="211"/>
        <v>1</v>
      </c>
      <c r="Q302" s="28">
        <f t="shared" si="197"/>
        <v>11</v>
      </c>
      <c r="R302" s="22">
        <f t="shared" si="198"/>
        <v>120.69146135789697</v>
      </c>
      <c r="S302" s="22">
        <f t="shared" si="199"/>
        <v>3.8659560139781046</v>
      </c>
      <c r="T302" s="22">
        <f t="shared" si="200"/>
        <v>4.4511348431292959</v>
      </c>
      <c r="U302" s="22">
        <f t="shared" si="201"/>
        <v>0.21793570112275451</v>
      </c>
      <c r="V302" s="21">
        <f t="shared" si="176"/>
        <v>16.24748452800009</v>
      </c>
      <c r="W302" s="21">
        <f t="shared" si="177"/>
        <v>1.1051827528</v>
      </c>
      <c r="X302" s="21">
        <f t="shared" si="212"/>
        <v>1.5249899551999986</v>
      </c>
      <c r="Y302" s="21">
        <f t="shared" si="213"/>
        <v>0.10087785939999948</v>
      </c>
      <c r="Z302" s="221">
        <f t="shared" si="202"/>
        <v>10</v>
      </c>
      <c r="AA302" s="30">
        <f t="shared" si="190"/>
        <v>6.3140692319120486</v>
      </c>
      <c r="AB302" s="30">
        <f t="shared" si="191"/>
        <v>2.9733205694316993</v>
      </c>
      <c r="AC302" s="30">
        <f t="shared" si="192"/>
        <v>2.4809767459508998</v>
      </c>
      <c r="AD302" s="30">
        <f t="shared" si="193"/>
        <v>1.8363330373596554</v>
      </c>
      <c r="AE302" s="32">
        <f t="shared" si="203"/>
        <v>13.604699584654302</v>
      </c>
      <c r="AF302" s="33">
        <f t="shared" si="216"/>
        <v>13.604699584654302</v>
      </c>
      <c r="AG302" s="40">
        <f t="shared" si="204"/>
        <v>8.8595552426006403</v>
      </c>
      <c r="AH302" s="224">
        <f>AG302*$P$33</f>
        <v>0.7430389373222086</v>
      </c>
      <c r="AI302" s="227">
        <f t="shared" si="205"/>
        <v>31</v>
      </c>
    </row>
    <row r="303" spans="1:35" x14ac:dyDescent="0.35">
      <c r="A303" s="48">
        <v>1724</v>
      </c>
      <c r="B303" s="58">
        <f>SUMIF([2]!Table2_23[ETA],'FIS Current Model'!A303,[2]!Table2_23[FIS PAX])</f>
        <v>0</v>
      </c>
      <c r="C303" s="44">
        <f t="shared" si="206"/>
        <v>0</v>
      </c>
      <c r="D303" s="52">
        <f t="shared" si="214"/>
        <v>0</v>
      </c>
      <c r="E303" s="26">
        <f t="shared" si="194"/>
        <v>0</v>
      </c>
      <c r="F303" s="26">
        <f t="shared" si="195"/>
        <v>0</v>
      </c>
      <c r="G303" s="26">
        <f t="shared" si="196"/>
        <v>0</v>
      </c>
      <c r="H303" s="26">
        <f t="shared" si="207"/>
        <v>0</v>
      </c>
      <c r="I303" s="27">
        <f t="shared" si="217"/>
        <v>0</v>
      </c>
      <c r="J303" s="27">
        <f t="shared" si="217"/>
        <v>0</v>
      </c>
      <c r="K303" s="27">
        <f t="shared" si="217"/>
        <v>0</v>
      </c>
      <c r="L303" s="27">
        <f t="shared" si="215"/>
        <v>0</v>
      </c>
      <c r="M303" s="28">
        <f t="shared" si="208"/>
        <v>3</v>
      </c>
      <c r="N303" s="29">
        <f t="shared" si="209"/>
        <v>6</v>
      </c>
      <c r="O303" s="28">
        <f t="shared" si="210"/>
        <v>1</v>
      </c>
      <c r="P303" s="28">
        <f t="shared" si="211"/>
        <v>1</v>
      </c>
      <c r="Q303" s="28">
        <f t="shared" si="197"/>
        <v>11</v>
      </c>
      <c r="R303" s="22">
        <f t="shared" si="198"/>
        <v>114.37739212598493</v>
      </c>
      <c r="S303" s="22">
        <f t="shared" si="199"/>
        <v>0.39708201630778817</v>
      </c>
      <c r="T303" s="22">
        <f t="shared" si="200"/>
        <v>1.9701580971783961</v>
      </c>
      <c r="U303" s="22">
        <f t="shared" si="201"/>
        <v>0</v>
      </c>
      <c r="V303" s="21">
        <f t="shared" si="176"/>
        <v>15.39748452800009</v>
      </c>
      <c r="W303" s="21">
        <f t="shared" si="177"/>
        <v>0.11351608613333315</v>
      </c>
      <c r="X303" s="21">
        <f t="shared" si="212"/>
        <v>0.67498995519999871</v>
      </c>
      <c r="Y303" s="21">
        <f t="shared" si="213"/>
        <v>0</v>
      </c>
      <c r="Z303" s="221">
        <f t="shared" si="202"/>
        <v>9</v>
      </c>
      <c r="AA303" s="30">
        <f t="shared" si="190"/>
        <v>6.3140692319120486</v>
      </c>
      <c r="AB303" s="30">
        <f t="shared" si="191"/>
        <v>2.9733205694316993</v>
      </c>
      <c r="AC303" s="30">
        <f t="shared" si="192"/>
        <v>2.4809767459508998</v>
      </c>
      <c r="AD303" s="30">
        <f t="shared" si="193"/>
        <v>0</v>
      </c>
      <c r="AE303" s="32">
        <f t="shared" si="203"/>
        <v>11.768366547294647</v>
      </c>
      <c r="AF303" s="33">
        <f t="shared" si="216"/>
        <v>13.604699584654302</v>
      </c>
      <c r="AG303" s="40">
        <f t="shared" si="204"/>
        <v>10.540848397803162</v>
      </c>
      <c r="AH303" s="224">
        <f>AG303*$P$33</f>
        <v>0.88404672441311838</v>
      </c>
      <c r="AI303" s="227">
        <f t="shared" si="205"/>
        <v>30</v>
      </c>
    </row>
    <row r="304" spans="1:35" x14ac:dyDescent="0.35">
      <c r="A304" s="48">
        <v>1725</v>
      </c>
      <c r="B304" s="58">
        <f>SUMIF([2]!Table2_23[ETA],'FIS Current Model'!A304,[2]!Table2_23[FIS PAX])</f>
        <v>0</v>
      </c>
      <c r="C304" s="44">
        <f t="shared" si="206"/>
        <v>0</v>
      </c>
      <c r="D304" s="52">
        <f t="shared" si="214"/>
        <v>0</v>
      </c>
      <c r="E304" s="26">
        <f t="shared" si="194"/>
        <v>0</v>
      </c>
      <c r="F304" s="26">
        <f t="shared" si="195"/>
        <v>0</v>
      </c>
      <c r="G304" s="26">
        <f t="shared" si="196"/>
        <v>0</v>
      </c>
      <c r="H304" s="26">
        <f t="shared" si="207"/>
        <v>0</v>
      </c>
      <c r="I304" s="27">
        <f t="shared" si="217"/>
        <v>0</v>
      </c>
      <c r="J304" s="27">
        <f t="shared" si="217"/>
        <v>0</v>
      </c>
      <c r="K304" s="27">
        <f t="shared" si="217"/>
        <v>0</v>
      </c>
      <c r="L304" s="27">
        <f t="shared" si="215"/>
        <v>0</v>
      </c>
      <c r="M304" s="28">
        <f t="shared" si="208"/>
        <v>3</v>
      </c>
      <c r="N304" s="29">
        <f t="shared" si="209"/>
        <v>6</v>
      </c>
      <c r="O304" s="28">
        <f t="shared" si="210"/>
        <v>1</v>
      </c>
      <c r="P304" s="28">
        <f t="shared" si="211"/>
        <v>1</v>
      </c>
      <c r="Q304" s="28">
        <f t="shared" si="197"/>
        <v>11</v>
      </c>
      <c r="R304" s="22">
        <f t="shared" si="198"/>
        <v>108.06332289407288</v>
      </c>
      <c r="S304" s="22">
        <f t="shared" si="199"/>
        <v>0</v>
      </c>
      <c r="T304" s="22">
        <f t="shared" si="200"/>
        <v>0</v>
      </c>
      <c r="U304" s="22">
        <f t="shared" si="201"/>
        <v>0</v>
      </c>
      <c r="V304" s="21">
        <f t="shared" si="176"/>
        <v>14.547484528000091</v>
      </c>
      <c r="W304" s="21">
        <f t="shared" si="177"/>
        <v>0</v>
      </c>
      <c r="X304" s="21">
        <f t="shared" si="212"/>
        <v>0</v>
      </c>
      <c r="Y304" s="21">
        <f t="shared" si="213"/>
        <v>0</v>
      </c>
      <c r="Z304" s="221">
        <f t="shared" si="202"/>
        <v>9</v>
      </c>
      <c r="AA304" s="30">
        <f t="shared" si="190"/>
        <v>6.3140692319120486</v>
      </c>
      <c r="AB304" s="30">
        <f t="shared" si="191"/>
        <v>0</v>
      </c>
      <c r="AC304" s="30">
        <f t="shared" si="192"/>
        <v>0</v>
      </c>
      <c r="AD304" s="30">
        <f t="shared" si="193"/>
        <v>0</v>
      </c>
      <c r="AE304" s="32">
        <f t="shared" si="203"/>
        <v>6.3140692319120486</v>
      </c>
      <c r="AF304" s="33">
        <f t="shared" si="216"/>
        <v>13.604699584654302</v>
      </c>
      <c r="AG304" s="40">
        <f t="shared" si="204"/>
        <v>12.222141553005683</v>
      </c>
      <c r="AH304" s="224">
        <f>AG304*$P$33</f>
        <v>1.0250545115040282</v>
      </c>
      <c r="AI304" s="227">
        <f t="shared" si="205"/>
        <v>30</v>
      </c>
    </row>
    <row r="305" spans="1:35" x14ac:dyDescent="0.35">
      <c r="A305" s="48">
        <v>1726</v>
      </c>
      <c r="B305" s="58">
        <f>SUMIF([2]!Table2_23[ETA],'FIS Current Model'!A305,[2]!Table2_23[FIS PAX])</f>
        <v>0</v>
      </c>
      <c r="C305" s="44">
        <f t="shared" si="206"/>
        <v>0</v>
      </c>
      <c r="D305" s="52">
        <f t="shared" si="214"/>
        <v>0</v>
      </c>
      <c r="E305" s="26">
        <f t="shared" si="194"/>
        <v>0</v>
      </c>
      <c r="F305" s="26">
        <f t="shared" si="195"/>
        <v>0</v>
      </c>
      <c r="G305" s="26">
        <f t="shared" si="196"/>
        <v>0</v>
      </c>
      <c r="H305" s="26">
        <f t="shared" si="207"/>
        <v>0</v>
      </c>
      <c r="I305" s="27">
        <f t="shared" si="217"/>
        <v>0</v>
      </c>
      <c r="J305" s="27">
        <f t="shared" si="217"/>
        <v>0</v>
      </c>
      <c r="K305" s="27">
        <f t="shared" si="217"/>
        <v>0</v>
      </c>
      <c r="L305" s="27">
        <f t="shared" si="215"/>
        <v>0</v>
      </c>
      <c r="M305" s="28">
        <f t="shared" si="208"/>
        <v>3</v>
      </c>
      <c r="N305" s="29">
        <f t="shared" si="209"/>
        <v>6</v>
      </c>
      <c r="O305" s="28">
        <f t="shared" si="210"/>
        <v>1</v>
      </c>
      <c r="P305" s="28">
        <f t="shared" si="211"/>
        <v>1</v>
      </c>
      <c r="Q305" s="28">
        <f t="shared" si="197"/>
        <v>11</v>
      </c>
      <c r="R305" s="22">
        <f t="shared" si="198"/>
        <v>101.74925366216084</v>
      </c>
      <c r="S305" s="22">
        <f t="shared" si="199"/>
        <v>0</v>
      </c>
      <c r="T305" s="22">
        <f t="shared" si="200"/>
        <v>0</v>
      </c>
      <c r="U305" s="22">
        <f t="shared" si="201"/>
        <v>0</v>
      </c>
      <c r="V305" s="21">
        <f t="shared" si="176"/>
        <v>13.697484528000091</v>
      </c>
      <c r="W305" s="21">
        <f t="shared" si="177"/>
        <v>0</v>
      </c>
      <c r="X305" s="21">
        <f t="shared" si="212"/>
        <v>0</v>
      </c>
      <c r="Y305" s="21">
        <f t="shared" si="213"/>
        <v>0</v>
      </c>
      <c r="Z305" s="221">
        <f t="shared" si="202"/>
        <v>8</v>
      </c>
      <c r="AA305" s="30">
        <f t="shared" si="190"/>
        <v>6.3140692319120486</v>
      </c>
      <c r="AB305" s="30">
        <f t="shared" si="191"/>
        <v>0</v>
      </c>
      <c r="AC305" s="30">
        <f t="shared" si="192"/>
        <v>0</v>
      </c>
      <c r="AD305" s="30">
        <f t="shared" si="193"/>
        <v>0</v>
      </c>
      <c r="AE305" s="32">
        <f t="shared" si="203"/>
        <v>6.3140692319120486</v>
      </c>
      <c r="AF305" s="33">
        <f t="shared" si="216"/>
        <v>13.604699584654302</v>
      </c>
      <c r="AG305" s="40">
        <f t="shared" si="204"/>
        <v>13.903434708208204</v>
      </c>
      <c r="AH305" s="224">
        <f>AG305*$P$33</f>
        <v>1.1660622985949378</v>
      </c>
      <c r="AI305" s="227">
        <f t="shared" si="205"/>
        <v>29</v>
      </c>
    </row>
    <row r="306" spans="1:35" x14ac:dyDescent="0.35">
      <c r="A306" s="48">
        <v>1727</v>
      </c>
      <c r="B306" s="58">
        <f>SUMIF([2]!Table2_23[ETA],'FIS Current Model'!A306,[2]!Table2_23[FIS PAX])</f>
        <v>0</v>
      </c>
      <c r="C306" s="44">
        <f t="shared" si="206"/>
        <v>0</v>
      </c>
      <c r="D306" s="52">
        <f t="shared" si="214"/>
        <v>0</v>
      </c>
      <c r="E306" s="26">
        <f t="shared" si="194"/>
        <v>0</v>
      </c>
      <c r="F306" s="26">
        <f t="shared" si="195"/>
        <v>0</v>
      </c>
      <c r="G306" s="26">
        <f t="shared" si="196"/>
        <v>0</v>
      </c>
      <c r="H306" s="26">
        <f t="shared" si="207"/>
        <v>0</v>
      </c>
      <c r="I306" s="27">
        <f t="shared" si="217"/>
        <v>0</v>
      </c>
      <c r="J306" s="27">
        <f t="shared" si="217"/>
        <v>0</v>
      </c>
      <c r="K306" s="27">
        <f t="shared" si="217"/>
        <v>0</v>
      </c>
      <c r="L306" s="27">
        <f t="shared" si="215"/>
        <v>0</v>
      </c>
      <c r="M306" s="28">
        <f t="shared" si="208"/>
        <v>3</v>
      </c>
      <c r="N306" s="29">
        <f t="shared" si="209"/>
        <v>6</v>
      </c>
      <c r="O306" s="28">
        <f t="shared" si="210"/>
        <v>1</v>
      </c>
      <c r="P306" s="28">
        <f t="shared" si="211"/>
        <v>1</v>
      </c>
      <c r="Q306" s="28">
        <f t="shared" si="197"/>
        <v>11</v>
      </c>
      <c r="R306" s="22">
        <f t="shared" si="198"/>
        <v>95.435184430248796</v>
      </c>
      <c r="S306" s="22">
        <f t="shared" si="199"/>
        <v>0</v>
      </c>
      <c r="T306" s="22">
        <f t="shared" si="200"/>
        <v>0</v>
      </c>
      <c r="U306" s="22">
        <f t="shared" si="201"/>
        <v>0</v>
      </c>
      <c r="V306" s="21">
        <f t="shared" si="176"/>
        <v>12.847484528000091</v>
      </c>
      <c r="W306" s="21">
        <f t="shared" si="177"/>
        <v>0</v>
      </c>
      <c r="X306" s="21">
        <f t="shared" si="212"/>
        <v>0</v>
      </c>
      <c r="Y306" s="21">
        <f t="shared" si="213"/>
        <v>0</v>
      </c>
      <c r="Z306" s="221">
        <f t="shared" si="202"/>
        <v>8</v>
      </c>
      <c r="AA306" s="30">
        <f t="shared" si="190"/>
        <v>6.3140692319120486</v>
      </c>
      <c r="AB306" s="30">
        <f t="shared" si="191"/>
        <v>0</v>
      </c>
      <c r="AC306" s="30">
        <f t="shared" si="192"/>
        <v>0</v>
      </c>
      <c r="AD306" s="30">
        <f t="shared" si="193"/>
        <v>0</v>
      </c>
      <c r="AE306" s="32">
        <f t="shared" si="203"/>
        <v>6.3140692319120486</v>
      </c>
      <c r="AF306" s="33">
        <f t="shared" si="216"/>
        <v>13.604699584654302</v>
      </c>
      <c r="AG306" s="40">
        <f t="shared" si="204"/>
        <v>15.584727863410725</v>
      </c>
      <c r="AH306" s="224">
        <f>AG306*$P$33</f>
        <v>1.3070700856858477</v>
      </c>
      <c r="AI306" s="227">
        <f t="shared" si="205"/>
        <v>29</v>
      </c>
    </row>
    <row r="307" spans="1:35" x14ac:dyDescent="0.35">
      <c r="A307" s="48">
        <v>1728</v>
      </c>
      <c r="B307" s="58">
        <f>SUMIF([2]!Table2_23[ETA],'FIS Current Model'!A307,[2]!Table2_23[FIS PAX])</f>
        <v>0</v>
      </c>
      <c r="C307" s="44">
        <f t="shared" si="206"/>
        <v>0</v>
      </c>
      <c r="D307" s="52">
        <f t="shared" si="214"/>
        <v>0</v>
      </c>
      <c r="E307" s="26">
        <f t="shared" si="194"/>
        <v>0</v>
      </c>
      <c r="F307" s="26">
        <f t="shared" si="195"/>
        <v>0</v>
      </c>
      <c r="G307" s="26">
        <f t="shared" si="196"/>
        <v>0</v>
      </c>
      <c r="H307" s="26">
        <f t="shared" si="207"/>
        <v>0</v>
      </c>
      <c r="I307" s="27">
        <f t="shared" si="217"/>
        <v>0</v>
      </c>
      <c r="J307" s="27">
        <f t="shared" si="217"/>
        <v>0</v>
      </c>
      <c r="K307" s="27">
        <f t="shared" si="217"/>
        <v>0</v>
      </c>
      <c r="L307" s="27">
        <f t="shared" si="215"/>
        <v>0</v>
      </c>
      <c r="M307" s="28">
        <f t="shared" si="208"/>
        <v>3</v>
      </c>
      <c r="N307" s="29">
        <f t="shared" si="209"/>
        <v>6</v>
      </c>
      <c r="O307" s="28">
        <f t="shared" si="210"/>
        <v>1</v>
      </c>
      <c r="P307" s="28">
        <f t="shared" si="211"/>
        <v>1</v>
      </c>
      <c r="Q307" s="28">
        <f t="shared" si="197"/>
        <v>11</v>
      </c>
      <c r="R307" s="22">
        <f t="shared" si="198"/>
        <v>89.121115198336753</v>
      </c>
      <c r="S307" s="22">
        <f t="shared" si="199"/>
        <v>0</v>
      </c>
      <c r="T307" s="22">
        <f t="shared" si="200"/>
        <v>0</v>
      </c>
      <c r="U307" s="22">
        <f t="shared" si="201"/>
        <v>0</v>
      </c>
      <c r="V307" s="21">
        <f t="shared" si="176"/>
        <v>11.997484528000093</v>
      </c>
      <c r="W307" s="21">
        <f t="shared" si="177"/>
        <v>0</v>
      </c>
      <c r="X307" s="21">
        <f t="shared" si="212"/>
        <v>0</v>
      </c>
      <c r="Y307" s="21">
        <f t="shared" si="213"/>
        <v>0</v>
      </c>
      <c r="Z307" s="221">
        <f t="shared" si="202"/>
        <v>7</v>
      </c>
      <c r="AA307" s="30">
        <f t="shared" si="190"/>
        <v>6.3140692319120486</v>
      </c>
      <c r="AB307" s="30">
        <f t="shared" si="191"/>
        <v>0</v>
      </c>
      <c r="AC307" s="30">
        <f t="shared" si="192"/>
        <v>0</v>
      </c>
      <c r="AD307" s="30">
        <f t="shared" si="193"/>
        <v>0</v>
      </c>
      <c r="AE307" s="32">
        <f t="shared" si="203"/>
        <v>6.3140692319120486</v>
      </c>
      <c r="AF307" s="33">
        <f t="shared" si="216"/>
        <v>11.768366547294647</v>
      </c>
      <c r="AG307" s="40">
        <f t="shared" si="204"/>
        <v>15.429687981253592</v>
      </c>
      <c r="AH307" s="224">
        <f>AG307*$P$33</f>
        <v>1.2940671000814845</v>
      </c>
      <c r="AI307" s="227">
        <f t="shared" si="205"/>
        <v>28</v>
      </c>
    </row>
    <row r="308" spans="1:35" x14ac:dyDescent="0.35">
      <c r="A308" s="48">
        <v>1729</v>
      </c>
      <c r="B308" s="58">
        <f>SUMIF([2]!Table2_23[ETA],'FIS Current Model'!A308,[2]!Table2_23[FIS PAX])</f>
        <v>0</v>
      </c>
      <c r="C308" s="44">
        <f t="shared" si="206"/>
        <v>0</v>
      </c>
      <c r="D308" s="52">
        <f t="shared" si="214"/>
        <v>0</v>
      </c>
      <c r="E308" s="26">
        <f t="shared" si="194"/>
        <v>0</v>
      </c>
      <c r="F308" s="26">
        <f t="shared" si="195"/>
        <v>0</v>
      </c>
      <c r="G308" s="26">
        <f t="shared" si="196"/>
        <v>0</v>
      </c>
      <c r="H308" s="26">
        <f t="shared" si="207"/>
        <v>0</v>
      </c>
      <c r="I308" s="27">
        <f t="shared" si="217"/>
        <v>0</v>
      </c>
      <c r="J308" s="27">
        <f t="shared" si="217"/>
        <v>0</v>
      </c>
      <c r="K308" s="27">
        <f t="shared" si="217"/>
        <v>0</v>
      </c>
      <c r="L308" s="27">
        <f t="shared" si="215"/>
        <v>0</v>
      </c>
      <c r="M308" s="28">
        <f t="shared" si="208"/>
        <v>3</v>
      </c>
      <c r="N308" s="29">
        <f t="shared" si="209"/>
        <v>6</v>
      </c>
      <c r="O308" s="28">
        <f t="shared" si="210"/>
        <v>1</v>
      </c>
      <c r="P308" s="28">
        <f t="shared" si="211"/>
        <v>1</v>
      </c>
      <c r="Q308" s="28">
        <f t="shared" si="197"/>
        <v>11</v>
      </c>
      <c r="R308" s="22">
        <f t="shared" si="198"/>
        <v>82.80704596642471</v>
      </c>
      <c r="S308" s="22">
        <f t="shared" si="199"/>
        <v>0</v>
      </c>
      <c r="T308" s="22">
        <f t="shared" si="200"/>
        <v>0</v>
      </c>
      <c r="U308" s="22">
        <f t="shared" si="201"/>
        <v>0</v>
      </c>
      <c r="V308" s="21">
        <f t="shared" ref="V308:V339" si="218">IFERROR(R308*($I$30/M308),0)</f>
        <v>11.147484528000094</v>
      </c>
      <c r="W308" s="21">
        <f t="shared" si="177"/>
        <v>0</v>
      </c>
      <c r="X308" s="21">
        <f t="shared" si="212"/>
        <v>0</v>
      </c>
      <c r="Y308" s="21">
        <f t="shared" si="213"/>
        <v>0</v>
      </c>
      <c r="Z308" s="221">
        <f t="shared" si="202"/>
        <v>7</v>
      </c>
      <c r="AA308" s="30">
        <f t="shared" si="190"/>
        <v>6.3140692319120486</v>
      </c>
      <c r="AB308" s="30">
        <f t="shared" si="191"/>
        <v>0</v>
      </c>
      <c r="AC308" s="30">
        <f t="shared" si="192"/>
        <v>0</v>
      </c>
      <c r="AD308" s="30">
        <f t="shared" si="193"/>
        <v>0</v>
      </c>
      <c r="AE308" s="32">
        <f t="shared" si="203"/>
        <v>6.3140692319120486</v>
      </c>
      <c r="AF308" s="33">
        <f t="shared" si="216"/>
        <v>6.3140692319120486</v>
      </c>
      <c r="AG308" s="40">
        <f t="shared" si="204"/>
        <v>9.8203507837138595</v>
      </c>
      <c r="AH308" s="224">
        <f>AG308*$P$33</f>
        <v>0.82361956222986721</v>
      </c>
      <c r="AI308" s="227">
        <f t="shared" si="205"/>
        <v>28</v>
      </c>
    </row>
    <row r="309" spans="1:35" x14ac:dyDescent="0.35">
      <c r="A309" s="48">
        <v>1730</v>
      </c>
      <c r="B309" s="58">
        <f>SUMIF([2]!Table2_23[ETA],'FIS Current Model'!A309,[2]!Table2_23[FIS PAX])</f>
        <v>0</v>
      </c>
      <c r="C309" s="44">
        <f t="shared" si="206"/>
        <v>0</v>
      </c>
      <c r="D309" s="52">
        <f t="shared" si="214"/>
        <v>0</v>
      </c>
      <c r="E309" s="26">
        <f t="shared" si="194"/>
        <v>0</v>
      </c>
      <c r="F309" s="26">
        <f t="shared" si="195"/>
        <v>0</v>
      </c>
      <c r="G309" s="26">
        <f t="shared" si="196"/>
        <v>0</v>
      </c>
      <c r="H309" s="26">
        <f t="shared" si="207"/>
        <v>0</v>
      </c>
      <c r="I309" s="27">
        <f t="shared" si="217"/>
        <v>0</v>
      </c>
      <c r="J309" s="27">
        <f t="shared" si="217"/>
        <v>0</v>
      </c>
      <c r="K309" s="27">
        <f t="shared" si="217"/>
        <v>0</v>
      </c>
      <c r="L309" s="27">
        <f t="shared" si="215"/>
        <v>0</v>
      </c>
      <c r="M309" s="28">
        <f t="shared" si="208"/>
        <v>3</v>
      </c>
      <c r="N309" s="29">
        <f t="shared" si="209"/>
        <v>6</v>
      </c>
      <c r="O309" s="28">
        <f t="shared" si="210"/>
        <v>1</v>
      </c>
      <c r="P309" s="28">
        <f t="shared" si="211"/>
        <v>1</v>
      </c>
      <c r="Q309" s="28">
        <f t="shared" si="197"/>
        <v>11</v>
      </c>
      <c r="R309" s="22">
        <f t="shared" si="198"/>
        <v>76.492976734512666</v>
      </c>
      <c r="S309" s="22">
        <f t="shared" si="199"/>
        <v>0</v>
      </c>
      <c r="T309" s="22">
        <f t="shared" si="200"/>
        <v>0</v>
      </c>
      <c r="U309" s="22">
        <f t="shared" si="201"/>
        <v>0</v>
      </c>
      <c r="V309" s="21">
        <f t="shared" si="218"/>
        <v>10.297484528000094</v>
      </c>
      <c r="W309" s="21">
        <f t="shared" ref="W309:W339" si="219">IFERROR(S309*($I$31/N309),0)</f>
        <v>0</v>
      </c>
      <c r="X309" s="21">
        <f t="shared" si="212"/>
        <v>0</v>
      </c>
      <c r="Y309" s="21">
        <f t="shared" si="213"/>
        <v>0</v>
      </c>
      <c r="Z309" s="221">
        <f t="shared" si="202"/>
        <v>6</v>
      </c>
      <c r="AA309" s="30">
        <f t="shared" si="190"/>
        <v>6.3140692319120486</v>
      </c>
      <c r="AB309" s="30">
        <f t="shared" si="191"/>
        <v>0</v>
      </c>
      <c r="AC309" s="30">
        <f t="shared" si="192"/>
        <v>0</v>
      </c>
      <c r="AD309" s="30">
        <f t="shared" si="193"/>
        <v>0</v>
      </c>
      <c r="AE309" s="32">
        <f t="shared" si="203"/>
        <v>6.3140692319120486</v>
      </c>
      <c r="AF309" s="33">
        <f t="shared" si="216"/>
        <v>6.3140692319120486</v>
      </c>
      <c r="AG309" s="40">
        <f t="shared" si="204"/>
        <v>4.2110135861741274</v>
      </c>
      <c r="AH309" s="224">
        <f>AG309*$P$33</f>
        <v>0.35317202437825002</v>
      </c>
      <c r="AI309" s="227">
        <f t="shared" si="205"/>
        <v>27</v>
      </c>
    </row>
    <row r="310" spans="1:35" x14ac:dyDescent="0.35">
      <c r="A310" s="48">
        <v>1731</v>
      </c>
      <c r="B310" s="58">
        <f>SUMIF([2]!Table2_23[ETA],'FIS Current Model'!A310,[2]!Table2_23[FIS PAX])</f>
        <v>0</v>
      </c>
      <c r="C310" s="44">
        <f t="shared" si="206"/>
        <v>0</v>
      </c>
      <c r="D310" s="52">
        <f t="shared" si="214"/>
        <v>0</v>
      </c>
      <c r="E310" s="26">
        <f t="shared" si="194"/>
        <v>0</v>
      </c>
      <c r="F310" s="26">
        <f t="shared" si="195"/>
        <v>0</v>
      </c>
      <c r="G310" s="26">
        <f t="shared" si="196"/>
        <v>0</v>
      </c>
      <c r="H310" s="26">
        <f t="shared" si="207"/>
        <v>0</v>
      </c>
      <c r="I310" s="27">
        <f t="shared" si="217"/>
        <v>0</v>
      </c>
      <c r="J310" s="27">
        <f t="shared" si="217"/>
        <v>0</v>
      </c>
      <c r="K310" s="27">
        <f t="shared" si="217"/>
        <v>0</v>
      </c>
      <c r="L310" s="27">
        <f t="shared" si="215"/>
        <v>0</v>
      </c>
      <c r="M310" s="28">
        <f>IF(R309=0,0,$Q$24)</f>
        <v>3</v>
      </c>
      <c r="N310" s="29">
        <f>$U$24-M310-O310-P310</f>
        <v>8</v>
      </c>
      <c r="O310" s="28">
        <f>IF(T309=0,0,$S$24)</f>
        <v>0</v>
      </c>
      <c r="P310" s="28">
        <f>IF(U309=0,0,$T$24)</f>
        <v>0</v>
      </c>
      <c r="Q310" s="28">
        <f t="shared" si="197"/>
        <v>11</v>
      </c>
      <c r="R310" s="22">
        <f t="shared" si="198"/>
        <v>70.178907502600623</v>
      </c>
      <c r="S310" s="22">
        <f t="shared" si="199"/>
        <v>0</v>
      </c>
      <c r="T310" s="22">
        <f t="shared" si="200"/>
        <v>0</v>
      </c>
      <c r="U310" s="22">
        <f t="shared" si="201"/>
        <v>0</v>
      </c>
      <c r="V310" s="21">
        <f t="shared" si="218"/>
        <v>9.4474845280000945</v>
      </c>
      <c r="W310" s="21">
        <f t="shared" si="219"/>
        <v>0</v>
      </c>
      <c r="X310" s="21">
        <f t="shared" si="212"/>
        <v>0</v>
      </c>
      <c r="Y310" s="21">
        <f t="shared" si="213"/>
        <v>0</v>
      </c>
      <c r="Z310" s="221">
        <f t="shared" si="202"/>
        <v>6</v>
      </c>
      <c r="AA310" s="30">
        <f t="shared" si="190"/>
        <v>6.3140692319120486</v>
      </c>
      <c r="AB310" s="30">
        <f t="shared" si="191"/>
        <v>0</v>
      </c>
      <c r="AC310" s="30">
        <f t="shared" si="192"/>
        <v>0</v>
      </c>
      <c r="AD310" s="30">
        <f t="shared" si="193"/>
        <v>0</v>
      </c>
      <c r="AE310" s="32">
        <f t="shared" si="203"/>
        <v>6.3140692319120486</v>
      </c>
      <c r="AF310" s="33">
        <f t="shared" si="216"/>
        <v>6.3140692319120486</v>
      </c>
      <c r="AG310" s="40">
        <f t="shared" si="204"/>
        <v>0</v>
      </c>
      <c r="AH310" s="224">
        <f>AG310*$P$33</f>
        <v>0</v>
      </c>
      <c r="AI310" s="227">
        <f t="shared" si="205"/>
        <v>27</v>
      </c>
    </row>
    <row r="311" spans="1:35" x14ac:dyDescent="0.35">
      <c r="A311" s="48">
        <v>1732</v>
      </c>
      <c r="B311" s="58">
        <f>SUMIF([2]!Table2_23[ETA],'FIS Current Model'!A311,[2]!Table2_23[FIS PAX])</f>
        <v>0</v>
      </c>
      <c r="C311" s="44">
        <f t="shared" si="206"/>
        <v>0</v>
      </c>
      <c r="D311" s="52">
        <f t="shared" si="214"/>
        <v>0</v>
      </c>
      <c r="E311" s="26">
        <f t="shared" si="194"/>
        <v>0</v>
      </c>
      <c r="F311" s="26">
        <f t="shared" si="195"/>
        <v>0</v>
      </c>
      <c r="G311" s="26">
        <f t="shared" si="196"/>
        <v>0</v>
      </c>
      <c r="H311" s="26">
        <f t="shared" si="207"/>
        <v>0</v>
      </c>
      <c r="I311" s="27">
        <f t="shared" si="217"/>
        <v>0</v>
      </c>
      <c r="J311" s="27">
        <f t="shared" si="217"/>
        <v>0</v>
      </c>
      <c r="K311" s="27">
        <f t="shared" si="217"/>
        <v>0</v>
      </c>
      <c r="L311" s="27">
        <f t="shared" si="215"/>
        <v>0</v>
      </c>
      <c r="M311" s="28">
        <f>$M$310</f>
        <v>3</v>
      </c>
      <c r="N311" s="29">
        <f>$N$310</f>
        <v>8</v>
      </c>
      <c r="O311" s="28">
        <f>$O$310</f>
        <v>0</v>
      </c>
      <c r="P311" s="28">
        <f>$P$310</f>
        <v>0</v>
      </c>
      <c r="Q311" s="28">
        <f t="shared" si="197"/>
        <v>11</v>
      </c>
      <c r="R311" s="22">
        <f t="shared" si="198"/>
        <v>63.864838270688573</v>
      </c>
      <c r="S311" s="22">
        <f t="shared" si="199"/>
        <v>0</v>
      </c>
      <c r="T311" s="22">
        <f t="shared" si="200"/>
        <v>0</v>
      </c>
      <c r="U311" s="22">
        <f t="shared" si="201"/>
        <v>0</v>
      </c>
      <c r="V311" s="21">
        <f t="shared" si="218"/>
        <v>8.5974845280000949</v>
      </c>
      <c r="W311" s="21">
        <f t="shared" si="219"/>
        <v>0</v>
      </c>
      <c r="X311" s="21">
        <f t="shared" si="212"/>
        <v>0</v>
      </c>
      <c r="Y311" s="21">
        <f t="shared" si="213"/>
        <v>0</v>
      </c>
      <c r="Z311" s="221">
        <f t="shared" si="202"/>
        <v>5</v>
      </c>
      <c r="AA311" s="30">
        <f t="shared" si="190"/>
        <v>6.3140692319120486</v>
      </c>
      <c r="AB311" s="30">
        <f t="shared" si="191"/>
        <v>0</v>
      </c>
      <c r="AC311" s="30">
        <f t="shared" si="192"/>
        <v>0</v>
      </c>
      <c r="AD311" s="30">
        <f t="shared" si="193"/>
        <v>0</v>
      </c>
      <c r="AE311" s="32">
        <f t="shared" si="203"/>
        <v>6.3140692319120486</v>
      </c>
      <c r="AF311" s="33">
        <f t="shared" si="216"/>
        <v>6.3140692319120486</v>
      </c>
      <c r="AG311" s="40">
        <f t="shared" si="204"/>
        <v>0</v>
      </c>
      <c r="AH311" s="224">
        <f>AG311*$P$33</f>
        <v>0</v>
      </c>
      <c r="AI311" s="227">
        <f t="shared" si="205"/>
        <v>26</v>
      </c>
    </row>
    <row r="312" spans="1:35" x14ac:dyDescent="0.35">
      <c r="A312" s="48">
        <v>1733</v>
      </c>
      <c r="B312" s="58">
        <f>SUMIF([2]!Table2_23[ETA],'FIS Current Model'!A312,[2]!Table2_23[FIS PAX])</f>
        <v>0</v>
      </c>
      <c r="C312" s="44">
        <f t="shared" si="206"/>
        <v>0</v>
      </c>
      <c r="D312" s="52">
        <f t="shared" si="214"/>
        <v>0</v>
      </c>
      <c r="E312" s="26">
        <f t="shared" si="194"/>
        <v>0</v>
      </c>
      <c r="F312" s="26">
        <f t="shared" si="195"/>
        <v>0</v>
      </c>
      <c r="G312" s="26">
        <f t="shared" si="196"/>
        <v>0</v>
      </c>
      <c r="H312" s="26">
        <f t="shared" si="207"/>
        <v>0</v>
      </c>
      <c r="I312" s="27">
        <f t="shared" si="217"/>
        <v>0</v>
      </c>
      <c r="J312" s="27">
        <f t="shared" si="217"/>
        <v>0</v>
      </c>
      <c r="K312" s="27">
        <f t="shared" si="217"/>
        <v>0</v>
      </c>
      <c r="L312" s="27">
        <f t="shared" si="215"/>
        <v>0</v>
      </c>
      <c r="M312" s="28">
        <f t="shared" ref="M312:M324" si="220">$M$310</f>
        <v>3</v>
      </c>
      <c r="N312" s="29">
        <f t="shared" ref="N312:N324" si="221">$N$310</f>
        <v>8</v>
      </c>
      <c r="O312" s="28">
        <f t="shared" ref="O312:O324" si="222">$O$310</f>
        <v>0</v>
      </c>
      <c r="P312" s="28">
        <f t="shared" ref="P312:P324" si="223">$P$310</f>
        <v>0</v>
      </c>
      <c r="Q312" s="28">
        <f t="shared" si="197"/>
        <v>11</v>
      </c>
      <c r="R312" s="22">
        <f t="shared" si="198"/>
        <v>57.550769038776522</v>
      </c>
      <c r="S312" s="22">
        <f t="shared" si="199"/>
        <v>0</v>
      </c>
      <c r="T312" s="22">
        <f t="shared" si="200"/>
        <v>0</v>
      </c>
      <c r="U312" s="22">
        <f t="shared" si="201"/>
        <v>0</v>
      </c>
      <c r="V312" s="21">
        <f t="shared" si="218"/>
        <v>7.7474845280000952</v>
      </c>
      <c r="W312" s="21">
        <f t="shared" si="219"/>
        <v>0</v>
      </c>
      <c r="X312" s="21">
        <f t="shared" si="212"/>
        <v>0</v>
      </c>
      <c r="Y312" s="21">
        <f t="shared" si="213"/>
        <v>0</v>
      </c>
      <c r="Z312" s="221">
        <f t="shared" si="202"/>
        <v>5</v>
      </c>
      <c r="AA312" s="30">
        <f t="shared" si="190"/>
        <v>6.3140692319120486</v>
      </c>
      <c r="AB312" s="30">
        <f t="shared" si="191"/>
        <v>0</v>
      </c>
      <c r="AC312" s="30">
        <f t="shared" si="192"/>
        <v>0</v>
      </c>
      <c r="AD312" s="30">
        <f t="shared" si="193"/>
        <v>0</v>
      </c>
      <c r="AE312" s="32">
        <f t="shared" si="203"/>
        <v>6.3140692319120486</v>
      </c>
      <c r="AF312" s="33">
        <f t="shared" si="216"/>
        <v>6.3140692319120486</v>
      </c>
      <c r="AG312" s="40">
        <f t="shared" si="204"/>
        <v>0</v>
      </c>
      <c r="AH312" s="224">
        <f>AG312*$P$33</f>
        <v>0</v>
      </c>
      <c r="AI312" s="227">
        <f t="shared" si="205"/>
        <v>26</v>
      </c>
    </row>
    <row r="313" spans="1:35" x14ac:dyDescent="0.35">
      <c r="A313" s="48">
        <v>1734</v>
      </c>
      <c r="B313" s="58">
        <f>SUMIF([2]!Table2_23[ETA],'FIS Current Model'!A313,[2]!Table2_23[FIS PAX])</f>
        <v>0</v>
      </c>
      <c r="C313" s="44">
        <f t="shared" si="206"/>
        <v>0</v>
      </c>
      <c r="D313" s="52">
        <f t="shared" si="214"/>
        <v>0</v>
      </c>
      <c r="E313" s="26">
        <f t="shared" si="194"/>
        <v>0</v>
      </c>
      <c r="F313" s="26">
        <f t="shared" si="195"/>
        <v>0</v>
      </c>
      <c r="G313" s="26">
        <f t="shared" si="196"/>
        <v>0</v>
      </c>
      <c r="H313" s="26">
        <f t="shared" si="207"/>
        <v>0</v>
      </c>
      <c r="I313" s="27">
        <f t="shared" si="217"/>
        <v>0</v>
      </c>
      <c r="J313" s="27">
        <f t="shared" si="217"/>
        <v>0</v>
      </c>
      <c r="K313" s="27">
        <f t="shared" si="217"/>
        <v>0</v>
      </c>
      <c r="L313" s="27">
        <f t="shared" si="215"/>
        <v>0</v>
      </c>
      <c r="M313" s="28">
        <f t="shared" si="220"/>
        <v>3</v>
      </c>
      <c r="N313" s="29">
        <f t="shared" si="221"/>
        <v>8</v>
      </c>
      <c r="O313" s="28">
        <f t="shared" si="222"/>
        <v>0</v>
      </c>
      <c r="P313" s="28">
        <f t="shared" si="223"/>
        <v>0</v>
      </c>
      <c r="Q313" s="28">
        <f t="shared" si="197"/>
        <v>11</v>
      </c>
      <c r="R313" s="22">
        <f t="shared" si="198"/>
        <v>51.236699806864472</v>
      </c>
      <c r="S313" s="22">
        <f t="shared" si="199"/>
        <v>0</v>
      </c>
      <c r="T313" s="22">
        <f t="shared" si="200"/>
        <v>0</v>
      </c>
      <c r="U313" s="22">
        <f t="shared" si="201"/>
        <v>0</v>
      </c>
      <c r="V313" s="21">
        <f t="shared" si="218"/>
        <v>6.8974845280000947</v>
      </c>
      <c r="W313" s="21">
        <f t="shared" si="219"/>
        <v>0</v>
      </c>
      <c r="X313" s="21">
        <f t="shared" si="212"/>
        <v>0</v>
      </c>
      <c r="Y313" s="21">
        <f t="shared" si="213"/>
        <v>0</v>
      </c>
      <c r="Z313" s="221">
        <f t="shared" si="202"/>
        <v>4</v>
      </c>
      <c r="AA313" s="30">
        <f t="shared" si="190"/>
        <v>6.3140692319120486</v>
      </c>
      <c r="AB313" s="30">
        <f t="shared" si="191"/>
        <v>0</v>
      </c>
      <c r="AC313" s="30">
        <f t="shared" si="192"/>
        <v>0</v>
      </c>
      <c r="AD313" s="30">
        <f t="shared" si="193"/>
        <v>0</v>
      </c>
      <c r="AE313" s="32">
        <f t="shared" si="203"/>
        <v>6.3140692319120486</v>
      </c>
      <c r="AF313" s="33">
        <f t="shared" si="216"/>
        <v>6.3140692319120486</v>
      </c>
      <c r="AG313" s="40">
        <f t="shared" si="204"/>
        <v>0</v>
      </c>
      <c r="AH313" s="224">
        <f>AG313*$P$33</f>
        <v>0</v>
      </c>
      <c r="AI313" s="227">
        <f t="shared" si="205"/>
        <v>25</v>
      </c>
    </row>
    <row r="314" spans="1:35" x14ac:dyDescent="0.35">
      <c r="A314" s="48">
        <v>1735</v>
      </c>
      <c r="B314" s="58">
        <f>SUMIF([2]!Table2_23[ETA],'FIS Current Model'!A314,[2]!Table2_23[FIS PAX])</f>
        <v>0</v>
      </c>
      <c r="C314" s="44">
        <f t="shared" si="206"/>
        <v>0</v>
      </c>
      <c r="D314" s="52">
        <f t="shared" si="214"/>
        <v>0</v>
      </c>
      <c r="E314" s="26">
        <f t="shared" si="194"/>
        <v>0</v>
      </c>
      <c r="F314" s="26">
        <f t="shared" si="195"/>
        <v>0</v>
      </c>
      <c r="G314" s="26">
        <f t="shared" si="196"/>
        <v>0</v>
      </c>
      <c r="H314" s="26">
        <f t="shared" si="207"/>
        <v>0</v>
      </c>
      <c r="I314" s="27">
        <f t="shared" si="217"/>
        <v>0</v>
      </c>
      <c r="J314" s="27">
        <f t="shared" si="217"/>
        <v>0</v>
      </c>
      <c r="K314" s="27">
        <f t="shared" si="217"/>
        <v>0</v>
      </c>
      <c r="L314" s="27">
        <f t="shared" si="215"/>
        <v>0</v>
      </c>
      <c r="M314" s="28">
        <f t="shared" si="220"/>
        <v>3</v>
      </c>
      <c r="N314" s="29">
        <f t="shared" si="221"/>
        <v>8</v>
      </c>
      <c r="O314" s="28">
        <f t="shared" si="222"/>
        <v>0</v>
      </c>
      <c r="P314" s="28">
        <f t="shared" si="223"/>
        <v>0</v>
      </c>
      <c r="Q314" s="28">
        <f t="shared" si="197"/>
        <v>11</v>
      </c>
      <c r="R314" s="22">
        <f t="shared" si="198"/>
        <v>44.922630574952422</v>
      </c>
      <c r="S314" s="22">
        <f t="shared" si="199"/>
        <v>0</v>
      </c>
      <c r="T314" s="22">
        <f t="shared" si="200"/>
        <v>0</v>
      </c>
      <c r="U314" s="22">
        <f t="shared" si="201"/>
        <v>0</v>
      </c>
      <c r="V314" s="21">
        <f t="shared" si="218"/>
        <v>6.0474845280000942</v>
      </c>
      <c r="W314" s="21">
        <f t="shared" si="219"/>
        <v>0</v>
      </c>
      <c r="X314" s="21">
        <f t="shared" si="212"/>
        <v>0</v>
      </c>
      <c r="Y314" s="21">
        <f t="shared" si="213"/>
        <v>0</v>
      </c>
      <c r="Z314" s="221">
        <f t="shared" si="202"/>
        <v>4</v>
      </c>
      <c r="AA314" s="30">
        <f t="shared" si="190"/>
        <v>6.3140692319120486</v>
      </c>
      <c r="AB314" s="30">
        <f t="shared" si="191"/>
        <v>0</v>
      </c>
      <c r="AC314" s="30">
        <f t="shared" si="192"/>
        <v>0</v>
      </c>
      <c r="AD314" s="30">
        <f t="shared" si="193"/>
        <v>0</v>
      </c>
      <c r="AE314" s="32">
        <f t="shared" si="203"/>
        <v>6.3140692319120486</v>
      </c>
      <c r="AF314" s="33">
        <f t="shared" si="216"/>
        <v>6.3140692319120486</v>
      </c>
      <c r="AG314" s="40">
        <f t="shared" si="204"/>
        <v>0</v>
      </c>
      <c r="AH314" s="224">
        <f>AG314*$P$33</f>
        <v>0</v>
      </c>
      <c r="AI314" s="227">
        <f t="shared" si="205"/>
        <v>25</v>
      </c>
    </row>
    <row r="315" spans="1:35" x14ac:dyDescent="0.35">
      <c r="A315" s="48">
        <v>1736</v>
      </c>
      <c r="B315" s="58">
        <f>SUMIF([2]!Table2_23[ETA],'FIS Current Model'!A315,[2]!Table2_23[FIS PAX])</f>
        <v>0</v>
      </c>
      <c r="C315" s="44">
        <f t="shared" si="206"/>
        <v>0</v>
      </c>
      <c r="D315" s="52">
        <f t="shared" si="214"/>
        <v>0</v>
      </c>
      <c r="E315" s="26">
        <f t="shared" si="194"/>
        <v>0</v>
      </c>
      <c r="F315" s="26">
        <f t="shared" si="195"/>
        <v>0</v>
      </c>
      <c r="G315" s="26">
        <f t="shared" si="196"/>
        <v>0</v>
      </c>
      <c r="H315" s="26">
        <f t="shared" si="207"/>
        <v>0</v>
      </c>
      <c r="I315" s="27">
        <f t="shared" si="217"/>
        <v>0</v>
      </c>
      <c r="J315" s="27">
        <f t="shared" si="217"/>
        <v>0</v>
      </c>
      <c r="K315" s="27">
        <f t="shared" si="217"/>
        <v>0</v>
      </c>
      <c r="L315" s="27">
        <f t="shared" si="215"/>
        <v>0</v>
      </c>
      <c r="M315" s="28">
        <f t="shared" si="220"/>
        <v>3</v>
      </c>
      <c r="N315" s="29">
        <f t="shared" si="221"/>
        <v>8</v>
      </c>
      <c r="O315" s="28">
        <f t="shared" si="222"/>
        <v>0</v>
      </c>
      <c r="P315" s="28">
        <f t="shared" si="223"/>
        <v>0</v>
      </c>
      <c r="Q315" s="28">
        <f t="shared" si="197"/>
        <v>11</v>
      </c>
      <c r="R315" s="22">
        <f t="shared" si="198"/>
        <v>38.608561343040371</v>
      </c>
      <c r="S315" s="22">
        <f t="shared" si="199"/>
        <v>0</v>
      </c>
      <c r="T315" s="22">
        <f t="shared" si="200"/>
        <v>0</v>
      </c>
      <c r="U315" s="22">
        <f t="shared" si="201"/>
        <v>0</v>
      </c>
      <c r="V315" s="21">
        <f t="shared" si="218"/>
        <v>5.1974845280000945</v>
      </c>
      <c r="W315" s="21">
        <f t="shared" si="219"/>
        <v>0</v>
      </c>
      <c r="X315" s="21">
        <f t="shared" si="212"/>
        <v>0</v>
      </c>
      <c r="Y315" s="21">
        <f t="shared" si="213"/>
        <v>0</v>
      </c>
      <c r="Z315" s="221">
        <f t="shared" si="202"/>
        <v>3</v>
      </c>
      <c r="AA315" s="30">
        <f t="shared" si="190"/>
        <v>6.3140692319120486</v>
      </c>
      <c r="AB315" s="30">
        <f t="shared" si="191"/>
        <v>0</v>
      </c>
      <c r="AC315" s="30">
        <f t="shared" si="192"/>
        <v>0</v>
      </c>
      <c r="AD315" s="30">
        <f t="shared" si="193"/>
        <v>0</v>
      </c>
      <c r="AE315" s="32">
        <f t="shared" si="203"/>
        <v>6.3140692319120486</v>
      </c>
      <c r="AF315" s="33">
        <f t="shared" si="216"/>
        <v>6.3140692319120486</v>
      </c>
      <c r="AG315" s="40">
        <f t="shared" si="204"/>
        <v>0</v>
      </c>
      <c r="AH315" s="224">
        <f>AG315*$P$33</f>
        <v>0</v>
      </c>
      <c r="AI315" s="227">
        <f t="shared" si="205"/>
        <v>24</v>
      </c>
    </row>
    <row r="316" spans="1:35" x14ac:dyDescent="0.35">
      <c r="A316" s="48">
        <v>1737</v>
      </c>
      <c r="B316" s="58">
        <f>SUMIF([2]!Table2_23[ETA],'FIS Current Model'!A316,[2]!Table2_23[FIS PAX])</f>
        <v>0</v>
      </c>
      <c r="C316" s="44">
        <f t="shared" si="206"/>
        <v>0</v>
      </c>
      <c r="D316" s="52">
        <f t="shared" si="214"/>
        <v>0</v>
      </c>
      <c r="E316" s="26">
        <f t="shared" si="194"/>
        <v>0</v>
      </c>
      <c r="F316" s="26">
        <f t="shared" si="195"/>
        <v>0</v>
      </c>
      <c r="G316" s="26">
        <f t="shared" si="196"/>
        <v>0</v>
      </c>
      <c r="H316" s="26">
        <f t="shared" si="207"/>
        <v>0</v>
      </c>
      <c r="I316" s="27">
        <f t="shared" si="217"/>
        <v>0</v>
      </c>
      <c r="J316" s="27">
        <f t="shared" si="217"/>
        <v>0</v>
      </c>
      <c r="K316" s="27">
        <f t="shared" si="217"/>
        <v>0</v>
      </c>
      <c r="L316" s="27">
        <f t="shared" si="215"/>
        <v>0</v>
      </c>
      <c r="M316" s="28">
        <f t="shared" si="220"/>
        <v>3</v>
      </c>
      <c r="N316" s="29">
        <f t="shared" si="221"/>
        <v>8</v>
      </c>
      <c r="O316" s="28">
        <f t="shared" si="222"/>
        <v>0</v>
      </c>
      <c r="P316" s="28">
        <f t="shared" si="223"/>
        <v>0</v>
      </c>
      <c r="Q316" s="28">
        <f t="shared" si="197"/>
        <v>11</v>
      </c>
      <c r="R316" s="22">
        <f t="shared" si="198"/>
        <v>32.294492111128321</v>
      </c>
      <c r="S316" s="22">
        <f t="shared" si="199"/>
        <v>0</v>
      </c>
      <c r="T316" s="22">
        <f t="shared" si="200"/>
        <v>0</v>
      </c>
      <c r="U316" s="22">
        <f t="shared" si="201"/>
        <v>0</v>
      </c>
      <c r="V316" s="21">
        <f t="shared" si="218"/>
        <v>4.347484528000094</v>
      </c>
      <c r="W316" s="21">
        <f t="shared" si="219"/>
        <v>0</v>
      </c>
      <c r="X316" s="21">
        <f t="shared" si="212"/>
        <v>0</v>
      </c>
      <c r="Y316" s="21">
        <f t="shared" si="213"/>
        <v>0</v>
      </c>
      <c r="Z316" s="221">
        <f t="shared" si="202"/>
        <v>3</v>
      </c>
      <c r="AA316" s="30">
        <f t="shared" si="190"/>
        <v>6.3140692319120486</v>
      </c>
      <c r="AB316" s="30">
        <f t="shared" si="191"/>
        <v>0</v>
      </c>
      <c r="AC316" s="30">
        <f t="shared" si="192"/>
        <v>0</v>
      </c>
      <c r="AD316" s="30">
        <f t="shared" si="193"/>
        <v>0</v>
      </c>
      <c r="AE316" s="32">
        <f t="shared" si="203"/>
        <v>6.3140692319120486</v>
      </c>
      <c r="AF316" s="33">
        <f t="shared" si="216"/>
        <v>6.3140692319120486</v>
      </c>
      <c r="AG316" s="40">
        <f t="shared" si="204"/>
        <v>0</v>
      </c>
      <c r="AH316" s="224">
        <f>AG316*$P$33</f>
        <v>0</v>
      </c>
      <c r="AI316" s="227">
        <f t="shared" si="205"/>
        <v>24</v>
      </c>
    </row>
    <row r="317" spans="1:35" x14ac:dyDescent="0.35">
      <c r="A317" s="48">
        <v>1738</v>
      </c>
      <c r="B317" s="58">
        <f>SUMIF([2]!Table2_23[ETA],'FIS Current Model'!A317,[2]!Table2_23[FIS PAX])</f>
        <v>0</v>
      </c>
      <c r="C317" s="44">
        <f t="shared" si="206"/>
        <v>0</v>
      </c>
      <c r="D317" s="52">
        <f t="shared" si="214"/>
        <v>0</v>
      </c>
      <c r="E317" s="26">
        <f t="shared" si="194"/>
        <v>0</v>
      </c>
      <c r="F317" s="26">
        <f t="shared" si="195"/>
        <v>0</v>
      </c>
      <c r="G317" s="26">
        <f t="shared" si="196"/>
        <v>0</v>
      </c>
      <c r="H317" s="26">
        <f t="shared" si="207"/>
        <v>0</v>
      </c>
      <c r="I317" s="27">
        <f t="shared" si="217"/>
        <v>0</v>
      </c>
      <c r="J317" s="27">
        <f t="shared" si="217"/>
        <v>0</v>
      </c>
      <c r="K317" s="27">
        <f t="shared" si="217"/>
        <v>0</v>
      </c>
      <c r="L317" s="27">
        <f t="shared" si="215"/>
        <v>0</v>
      </c>
      <c r="M317" s="28">
        <f t="shared" si="220"/>
        <v>3</v>
      </c>
      <c r="N317" s="29">
        <f t="shared" si="221"/>
        <v>8</v>
      </c>
      <c r="O317" s="28">
        <f t="shared" si="222"/>
        <v>0</v>
      </c>
      <c r="P317" s="28">
        <f t="shared" si="223"/>
        <v>0</v>
      </c>
      <c r="Q317" s="28">
        <f t="shared" si="197"/>
        <v>11</v>
      </c>
      <c r="R317" s="22">
        <f t="shared" si="198"/>
        <v>25.98042287921627</v>
      </c>
      <c r="S317" s="22">
        <f t="shared" si="199"/>
        <v>0</v>
      </c>
      <c r="T317" s="22">
        <f t="shared" si="200"/>
        <v>0</v>
      </c>
      <c r="U317" s="22">
        <f t="shared" si="201"/>
        <v>0</v>
      </c>
      <c r="V317" s="21">
        <f t="shared" si="218"/>
        <v>3.4974845280000939</v>
      </c>
      <c r="W317" s="21">
        <f t="shared" si="219"/>
        <v>0</v>
      </c>
      <c r="X317" s="21">
        <f t="shared" si="212"/>
        <v>0</v>
      </c>
      <c r="Y317" s="21">
        <f t="shared" si="213"/>
        <v>0</v>
      </c>
      <c r="Z317" s="221">
        <f t="shared" si="202"/>
        <v>2</v>
      </c>
      <c r="AA317" s="30">
        <f t="shared" si="190"/>
        <v>6.3140692319120486</v>
      </c>
      <c r="AB317" s="30">
        <f t="shared" si="191"/>
        <v>0</v>
      </c>
      <c r="AC317" s="30">
        <f t="shared" si="192"/>
        <v>0</v>
      </c>
      <c r="AD317" s="30">
        <f t="shared" si="193"/>
        <v>0</v>
      </c>
      <c r="AE317" s="32">
        <f t="shared" si="203"/>
        <v>6.3140692319120486</v>
      </c>
      <c r="AF317" s="33">
        <f t="shared" si="216"/>
        <v>6.3140692319120486</v>
      </c>
      <c r="AG317" s="40">
        <f t="shared" si="204"/>
        <v>0</v>
      </c>
      <c r="AH317" s="224">
        <f>AG317*$P$33</f>
        <v>0</v>
      </c>
      <c r="AI317" s="227">
        <f t="shared" si="205"/>
        <v>23</v>
      </c>
    </row>
    <row r="318" spans="1:35" x14ac:dyDescent="0.35">
      <c r="A318" s="48">
        <v>1739</v>
      </c>
      <c r="B318" s="58">
        <f>SUMIF([2]!Table2_23[ETA],'FIS Current Model'!A318,[2]!Table2_23[FIS PAX])</f>
        <v>0</v>
      </c>
      <c r="C318" s="44">
        <f t="shared" si="206"/>
        <v>0</v>
      </c>
      <c r="D318" s="52">
        <f t="shared" si="214"/>
        <v>0</v>
      </c>
      <c r="E318" s="26">
        <f t="shared" si="194"/>
        <v>0</v>
      </c>
      <c r="F318" s="26">
        <f t="shared" si="195"/>
        <v>0</v>
      </c>
      <c r="G318" s="26">
        <f t="shared" si="196"/>
        <v>0</v>
      </c>
      <c r="H318" s="26">
        <f t="shared" si="207"/>
        <v>0</v>
      </c>
      <c r="I318" s="27">
        <f t="shared" si="217"/>
        <v>0</v>
      </c>
      <c r="J318" s="27">
        <f t="shared" si="217"/>
        <v>0</v>
      </c>
      <c r="K318" s="27">
        <f t="shared" si="217"/>
        <v>0</v>
      </c>
      <c r="L318" s="27">
        <f t="shared" si="215"/>
        <v>0</v>
      </c>
      <c r="M318" s="28">
        <f t="shared" si="220"/>
        <v>3</v>
      </c>
      <c r="N318" s="29">
        <f t="shared" si="221"/>
        <v>8</v>
      </c>
      <c r="O318" s="28">
        <f t="shared" si="222"/>
        <v>0</v>
      </c>
      <c r="P318" s="28">
        <f t="shared" si="223"/>
        <v>0</v>
      </c>
      <c r="Q318" s="28">
        <f t="shared" si="197"/>
        <v>11</v>
      </c>
      <c r="R318" s="22">
        <f t="shared" si="198"/>
        <v>19.66635364730422</v>
      </c>
      <c r="S318" s="22">
        <f t="shared" si="199"/>
        <v>0</v>
      </c>
      <c r="T318" s="22">
        <f t="shared" si="200"/>
        <v>0</v>
      </c>
      <c r="U318" s="22">
        <f t="shared" si="201"/>
        <v>0</v>
      </c>
      <c r="V318" s="21">
        <f t="shared" si="218"/>
        <v>2.6474845280000938</v>
      </c>
      <c r="W318" s="21">
        <f t="shared" si="219"/>
        <v>0</v>
      </c>
      <c r="X318" s="21">
        <f t="shared" si="212"/>
        <v>0</v>
      </c>
      <c r="Y318" s="21">
        <f t="shared" si="213"/>
        <v>0</v>
      </c>
      <c r="Z318" s="221">
        <f t="shared" si="202"/>
        <v>2</v>
      </c>
      <c r="AA318" s="30">
        <f t="shared" si="190"/>
        <v>6.3140692319120486</v>
      </c>
      <c r="AB318" s="30">
        <f t="shared" si="191"/>
        <v>0</v>
      </c>
      <c r="AC318" s="30">
        <f t="shared" si="192"/>
        <v>0</v>
      </c>
      <c r="AD318" s="30">
        <f t="shared" si="193"/>
        <v>0</v>
      </c>
      <c r="AE318" s="32">
        <f t="shared" si="203"/>
        <v>6.3140692319120486</v>
      </c>
      <c r="AF318" s="33">
        <f t="shared" si="216"/>
        <v>6.3140692319120486</v>
      </c>
      <c r="AG318" s="40">
        <f t="shared" si="204"/>
        <v>0</v>
      </c>
      <c r="AH318" s="224">
        <f>AG318*$P$33</f>
        <v>0</v>
      </c>
      <c r="AI318" s="227">
        <f t="shared" si="205"/>
        <v>23</v>
      </c>
    </row>
    <row r="319" spans="1:35" x14ac:dyDescent="0.35">
      <c r="A319" s="48">
        <v>1740</v>
      </c>
      <c r="B319" s="58">
        <f>SUMIF([2]!Table2_23[ETA],'FIS Current Model'!A319,[2]!Table2_23[FIS PAX])</f>
        <v>0</v>
      </c>
      <c r="C319" s="44">
        <f t="shared" si="206"/>
        <v>0</v>
      </c>
      <c r="D319" s="52">
        <f t="shared" si="214"/>
        <v>0</v>
      </c>
      <c r="E319" s="26">
        <f t="shared" si="194"/>
        <v>0</v>
      </c>
      <c r="F319" s="26">
        <f t="shared" si="195"/>
        <v>0</v>
      </c>
      <c r="G319" s="26">
        <f t="shared" si="196"/>
        <v>0</v>
      </c>
      <c r="H319" s="26">
        <f t="shared" si="207"/>
        <v>0</v>
      </c>
      <c r="I319" s="27">
        <f t="shared" si="217"/>
        <v>0</v>
      </c>
      <c r="J319" s="27">
        <f t="shared" si="217"/>
        <v>0</v>
      </c>
      <c r="K319" s="27">
        <f t="shared" si="217"/>
        <v>0</v>
      </c>
      <c r="L319" s="27">
        <f t="shared" si="215"/>
        <v>0</v>
      </c>
      <c r="M319" s="28">
        <f t="shared" si="220"/>
        <v>3</v>
      </c>
      <c r="N319" s="29">
        <f t="shared" si="221"/>
        <v>8</v>
      </c>
      <c r="O319" s="28">
        <f t="shared" si="222"/>
        <v>0</v>
      </c>
      <c r="P319" s="28">
        <f t="shared" si="223"/>
        <v>0</v>
      </c>
      <c r="Q319" s="28">
        <f t="shared" si="197"/>
        <v>11</v>
      </c>
      <c r="R319" s="22">
        <f t="shared" si="198"/>
        <v>13.352284415392171</v>
      </c>
      <c r="S319" s="22">
        <f t="shared" si="199"/>
        <v>0</v>
      </c>
      <c r="T319" s="22">
        <f t="shared" si="200"/>
        <v>0</v>
      </c>
      <c r="U319" s="22">
        <f t="shared" si="201"/>
        <v>0</v>
      </c>
      <c r="V319" s="21">
        <f t="shared" si="218"/>
        <v>1.797484528000094</v>
      </c>
      <c r="W319" s="21">
        <f t="shared" si="219"/>
        <v>0</v>
      </c>
      <c r="X319" s="21">
        <f t="shared" si="212"/>
        <v>0</v>
      </c>
      <c r="Y319" s="21">
        <f t="shared" si="213"/>
        <v>0</v>
      </c>
      <c r="Z319" s="221">
        <f t="shared" si="202"/>
        <v>1</v>
      </c>
      <c r="AA319" s="30">
        <f t="shared" si="190"/>
        <v>6.3140692319120486</v>
      </c>
      <c r="AB319" s="30">
        <f t="shared" si="191"/>
        <v>0</v>
      </c>
      <c r="AC319" s="30">
        <f t="shared" si="192"/>
        <v>0</v>
      </c>
      <c r="AD319" s="30">
        <f t="shared" si="193"/>
        <v>0</v>
      </c>
      <c r="AE319" s="32">
        <f t="shared" si="203"/>
        <v>6.3140692319120486</v>
      </c>
      <c r="AF319" s="33">
        <f t="shared" si="216"/>
        <v>6.3140692319120486</v>
      </c>
      <c r="AG319" s="40">
        <f t="shared" si="204"/>
        <v>0</v>
      </c>
      <c r="AH319" s="224">
        <f>AG319*$P$33</f>
        <v>0</v>
      </c>
      <c r="AI319" s="227">
        <f t="shared" si="205"/>
        <v>22</v>
      </c>
    </row>
    <row r="320" spans="1:35" x14ac:dyDescent="0.35">
      <c r="A320" s="48">
        <v>1741</v>
      </c>
      <c r="B320" s="58">
        <f>SUMIF([2]!Table2_23[ETA],'FIS Current Model'!A320,[2]!Table2_23[FIS PAX])</f>
        <v>0</v>
      </c>
      <c r="C320" s="44">
        <f t="shared" si="206"/>
        <v>0</v>
      </c>
      <c r="D320" s="52">
        <f t="shared" si="214"/>
        <v>0</v>
      </c>
      <c r="E320" s="26">
        <f t="shared" si="194"/>
        <v>0</v>
      </c>
      <c r="F320" s="26">
        <f t="shared" si="195"/>
        <v>0</v>
      </c>
      <c r="G320" s="26">
        <f t="shared" si="196"/>
        <v>0</v>
      </c>
      <c r="H320" s="26">
        <f t="shared" si="207"/>
        <v>0</v>
      </c>
      <c r="I320" s="27">
        <f t="shared" si="217"/>
        <v>0</v>
      </c>
      <c r="J320" s="27">
        <f t="shared" si="217"/>
        <v>0</v>
      </c>
      <c r="K320" s="27">
        <f t="shared" si="217"/>
        <v>0</v>
      </c>
      <c r="L320" s="27">
        <f t="shared" si="215"/>
        <v>0</v>
      </c>
      <c r="M320" s="28">
        <f t="shared" si="220"/>
        <v>3</v>
      </c>
      <c r="N320" s="29">
        <f t="shared" si="221"/>
        <v>8</v>
      </c>
      <c r="O320" s="28">
        <f t="shared" si="222"/>
        <v>0</v>
      </c>
      <c r="P320" s="28">
        <f t="shared" si="223"/>
        <v>0</v>
      </c>
      <c r="Q320" s="28">
        <f t="shared" si="197"/>
        <v>11</v>
      </c>
      <c r="R320" s="22">
        <f t="shared" si="198"/>
        <v>7.0382151834801228</v>
      </c>
      <c r="S320" s="22">
        <f t="shared" si="199"/>
        <v>0</v>
      </c>
      <c r="T320" s="22">
        <f t="shared" si="200"/>
        <v>0</v>
      </c>
      <c r="U320" s="22">
        <f t="shared" si="201"/>
        <v>0</v>
      </c>
      <c r="V320" s="21">
        <f t="shared" si="218"/>
        <v>0.94748452800009408</v>
      </c>
      <c r="W320" s="21">
        <f t="shared" si="219"/>
        <v>0</v>
      </c>
      <c r="X320" s="21">
        <f t="shared" si="212"/>
        <v>0</v>
      </c>
      <c r="Y320" s="21">
        <f t="shared" si="213"/>
        <v>0</v>
      </c>
      <c r="Z320" s="221">
        <f t="shared" si="202"/>
        <v>1</v>
      </c>
      <c r="AA320" s="30">
        <f t="shared" si="190"/>
        <v>6.3140692319120486</v>
      </c>
      <c r="AB320" s="30">
        <f t="shared" si="191"/>
        <v>0</v>
      </c>
      <c r="AC320" s="30">
        <f t="shared" si="192"/>
        <v>0</v>
      </c>
      <c r="AD320" s="30">
        <f t="shared" si="193"/>
        <v>0</v>
      </c>
      <c r="AE320" s="32">
        <f t="shared" si="203"/>
        <v>6.3140692319120486</v>
      </c>
      <c r="AF320" s="33">
        <f t="shared" si="216"/>
        <v>6.3140692319120486</v>
      </c>
      <c r="AG320" s="40">
        <f t="shared" si="204"/>
        <v>0</v>
      </c>
      <c r="AH320" s="224">
        <f>AG320*$P$33</f>
        <v>0</v>
      </c>
      <c r="AI320" s="227">
        <f t="shared" si="205"/>
        <v>22</v>
      </c>
    </row>
    <row r="321" spans="1:35" x14ac:dyDescent="0.35">
      <c r="A321" s="48">
        <v>1742</v>
      </c>
      <c r="B321" s="58">
        <f>SUMIF([2]!Table2_23[ETA],'FIS Current Model'!A321,[2]!Table2_23[FIS PAX])</f>
        <v>0</v>
      </c>
      <c r="C321" s="44">
        <f t="shared" si="206"/>
        <v>0</v>
      </c>
      <c r="D321" s="52">
        <f t="shared" si="214"/>
        <v>0</v>
      </c>
      <c r="E321" s="26">
        <f t="shared" si="194"/>
        <v>0</v>
      </c>
      <c r="F321" s="26">
        <f t="shared" si="195"/>
        <v>0</v>
      </c>
      <c r="G321" s="26">
        <f t="shared" si="196"/>
        <v>0</v>
      </c>
      <c r="H321" s="26">
        <f t="shared" si="207"/>
        <v>0</v>
      </c>
      <c r="I321" s="27">
        <f t="shared" si="217"/>
        <v>0</v>
      </c>
      <c r="J321" s="27">
        <f t="shared" si="217"/>
        <v>0</v>
      </c>
      <c r="K321" s="27">
        <f t="shared" si="217"/>
        <v>0</v>
      </c>
      <c r="L321" s="27">
        <f t="shared" si="215"/>
        <v>0</v>
      </c>
      <c r="M321" s="28">
        <f t="shared" si="220"/>
        <v>3</v>
      </c>
      <c r="N321" s="29">
        <f t="shared" si="221"/>
        <v>8</v>
      </c>
      <c r="O321" s="28">
        <f t="shared" si="222"/>
        <v>0</v>
      </c>
      <c r="P321" s="28">
        <f t="shared" si="223"/>
        <v>0</v>
      </c>
      <c r="Q321" s="28">
        <f t="shared" si="197"/>
        <v>11</v>
      </c>
      <c r="R321" s="22">
        <f t="shared" si="198"/>
        <v>0.72414595156807415</v>
      </c>
      <c r="S321" s="22">
        <f t="shared" si="199"/>
        <v>0</v>
      </c>
      <c r="T321" s="22">
        <f t="shared" si="200"/>
        <v>0</v>
      </c>
      <c r="U321" s="22">
        <f t="shared" si="201"/>
        <v>0</v>
      </c>
      <c r="V321" s="21">
        <f t="shared" si="218"/>
        <v>9.7484528000094134E-2</v>
      </c>
      <c r="W321" s="21">
        <f t="shared" si="219"/>
        <v>0</v>
      </c>
      <c r="X321" s="21">
        <f t="shared" si="212"/>
        <v>0</v>
      </c>
      <c r="Y321" s="21">
        <f t="shared" si="213"/>
        <v>0</v>
      </c>
      <c r="Z321" s="221">
        <f t="shared" si="202"/>
        <v>1</v>
      </c>
      <c r="AA321" s="30">
        <f t="shared" si="190"/>
        <v>6.3140692319120486</v>
      </c>
      <c r="AB321" s="30">
        <f t="shared" si="191"/>
        <v>0</v>
      </c>
      <c r="AC321" s="30">
        <f t="shared" si="192"/>
        <v>0</v>
      </c>
      <c r="AD321" s="30">
        <f t="shared" si="193"/>
        <v>0</v>
      </c>
      <c r="AE321" s="32">
        <f t="shared" si="203"/>
        <v>6.3140692319120486</v>
      </c>
      <c r="AF321" s="33">
        <f t="shared" si="216"/>
        <v>6.3140692319120486</v>
      </c>
      <c r="AG321" s="40">
        <f t="shared" si="204"/>
        <v>0</v>
      </c>
      <c r="AH321" s="224">
        <f>AG321*$P$33</f>
        <v>0</v>
      </c>
      <c r="AI321" s="227">
        <f t="shared" si="205"/>
        <v>22</v>
      </c>
    </row>
    <row r="322" spans="1:35" x14ac:dyDescent="0.35">
      <c r="A322" s="48">
        <v>1743</v>
      </c>
      <c r="B322" s="58">
        <f>SUMIF([2]!Table2_23[ETA],'FIS Current Model'!A322,[2]!Table2_23[FIS PAX])</f>
        <v>0</v>
      </c>
      <c r="C322" s="44">
        <f t="shared" si="206"/>
        <v>0</v>
      </c>
      <c r="D322" s="52">
        <f t="shared" si="214"/>
        <v>0</v>
      </c>
      <c r="E322" s="26">
        <f t="shared" si="194"/>
        <v>0</v>
      </c>
      <c r="F322" s="26">
        <f t="shared" si="195"/>
        <v>0</v>
      </c>
      <c r="G322" s="26">
        <f t="shared" si="196"/>
        <v>0</v>
      </c>
      <c r="H322" s="26">
        <f t="shared" si="207"/>
        <v>0</v>
      </c>
      <c r="I322" s="27">
        <f t="shared" si="217"/>
        <v>0</v>
      </c>
      <c r="J322" s="27">
        <f t="shared" si="217"/>
        <v>0</v>
      </c>
      <c r="K322" s="27">
        <f t="shared" si="217"/>
        <v>0</v>
      </c>
      <c r="L322" s="27">
        <f t="shared" si="215"/>
        <v>0</v>
      </c>
      <c r="M322" s="28">
        <f t="shared" si="220"/>
        <v>3</v>
      </c>
      <c r="N322" s="29">
        <f t="shared" si="221"/>
        <v>8</v>
      </c>
      <c r="O322" s="28">
        <f t="shared" si="222"/>
        <v>0</v>
      </c>
      <c r="P322" s="28">
        <f t="shared" si="223"/>
        <v>0</v>
      </c>
      <c r="Q322" s="28">
        <f t="shared" si="197"/>
        <v>11</v>
      </c>
      <c r="R322" s="22">
        <f t="shared" si="198"/>
        <v>0</v>
      </c>
      <c r="S322" s="22">
        <f t="shared" si="199"/>
        <v>0</v>
      </c>
      <c r="T322" s="22">
        <f t="shared" si="200"/>
        <v>0</v>
      </c>
      <c r="U322" s="22">
        <f t="shared" si="201"/>
        <v>0</v>
      </c>
      <c r="V322" s="21">
        <f t="shared" si="218"/>
        <v>0</v>
      </c>
      <c r="W322" s="21">
        <f t="shared" si="219"/>
        <v>0</v>
      </c>
      <c r="X322" s="21">
        <f t="shared" si="212"/>
        <v>0</v>
      </c>
      <c r="Y322" s="21">
        <f t="shared" si="213"/>
        <v>0</v>
      </c>
      <c r="Z322" s="221">
        <f t="shared" si="202"/>
        <v>0</v>
      </c>
      <c r="AA322" s="30">
        <f t="shared" si="190"/>
        <v>0</v>
      </c>
      <c r="AB322" s="30">
        <f t="shared" si="191"/>
        <v>0</v>
      </c>
      <c r="AC322" s="30">
        <f t="shared" si="192"/>
        <v>0</v>
      </c>
      <c r="AD322" s="30">
        <f t="shared" si="193"/>
        <v>0</v>
      </c>
      <c r="AE322" s="32">
        <f t="shared" si="203"/>
        <v>0</v>
      </c>
      <c r="AF322" s="33">
        <f t="shared" si="216"/>
        <v>6.3140692319120486</v>
      </c>
      <c r="AG322" s="40">
        <f t="shared" si="204"/>
        <v>0</v>
      </c>
      <c r="AH322" s="224">
        <f>AG322*$P$33</f>
        <v>0</v>
      </c>
      <c r="AI322" s="227">
        <f t="shared" si="205"/>
        <v>0</v>
      </c>
    </row>
    <row r="323" spans="1:35" x14ac:dyDescent="0.35">
      <c r="A323" s="48">
        <v>1744</v>
      </c>
      <c r="B323" s="58">
        <f>SUMIF([2]!Table2_23[ETA],'FIS Current Model'!A323,[2]!Table2_23[FIS PAX])</f>
        <v>0</v>
      </c>
      <c r="C323" s="44">
        <f t="shared" si="206"/>
        <v>0</v>
      </c>
      <c r="D323" s="52">
        <f t="shared" si="214"/>
        <v>0</v>
      </c>
      <c r="E323" s="26">
        <f t="shared" si="194"/>
        <v>0</v>
      </c>
      <c r="F323" s="26">
        <f t="shared" si="195"/>
        <v>0</v>
      </c>
      <c r="G323" s="26">
        <f t="shared" si="196"/>
        <v>0</v>
      </c>
      <c r="H323" s="26">
        <f t="shared" si="207"/>
        <v>0</v>
      </c>
      <c r="I323" s="27">
        <f t="shared" si="217"/>
        <v>0</v>
      </c>
      <c r="J323" s="27">
        <f t="shared" si="217"/>
        <v>0</v>
      </c>
      <c r="K323" s="27">
        <f t="shared" si="217"/>
        <v>0</v>
      </c>
      <c r="L323" s="27">
        <f t="shared" si="215"/>
        <v>0</v>
      </c>
      <c r="M323" s="28">
        <f t="shared" si="220"/>
        <v>3</v>
      </c>
      <c r="N323" s="29">
        <f t="shared" si="221"/>
        <v>8</v>
      </c>
      <c r="O323" s="28">
        <f t="shared" si="222"/>
        <v>0</v>
      </c>
      <c r="P323" s="28">
        <f t="shared" si="223"/>
        <v>0</v>
      </c>
      <c r="Q323" s="28">
        <f t="shared" si="197"/>
        <v>11</v>
      </c>
      <c r="R323" s="22">
        <f t="shared" si="198"/>
        <v>0</v>
      </c>
      <c r="S323" s="22">
        <f t="shared" si="199"/>
        <v>0</v>
      </c>
      <c r="T323" s="22">
        <f t="shared" si="200"/>
        <v>0</v>
      </c>
      <c r="U323" s="22">
        <f t="shared" si="201"/>
        <v>0</v>
      </c>
      <c r="V323" s="21">
        <f t="shared" si="218"/>
        <v>0</v>
      </c>
      <c r="W323" s="21">
        <f t="shared" si="219"/>
        <v>0</v>
      </c>
      <c r="X323" s="21">
        <f t="shared" si="212"/>
        <v>0</v>
      </c>
      <c r="Y323" s="21">
        <f t="shared" si="213"/>
        <v>0</v>
      </c>
      <c r="Z323" s="221">
        <f t="shared" si="202"/>
        <v>0</v>
      </c>
      <c r="AA323" s="30">
        <f t="shared" si="190"/>
        <v>0</v>
      </c>
      <c r="AB323" s="30">
        <f t="shared" si="191"/>
        <v>0</v>
      </c>
      <c r="AC323" s="30">
        <f t="shared" si="192"/>
        <v>0</v>
      </c>
      <c r="AD323" s="30">
        <f t="shared" si="193"/>
        <v>0</v>
      </c>
      <c r="AE323" s="32">
        <f t="shared" si="203"/>
        <v>0</v>
      </c>
      <c r="AF323" s="33">
        <f t="shared" si="216"/>
        <v>6.3140692319120486</v>
      </c>
      <c r="AG323" s="40">
        <f t="shared" si="204"/>
        <v>0</v>
      </c>
      <c r="AH323" s="224">
        <f>AG323*$P$33</f>
        <v>0</v>
      </c>
      <c r="AI323" s="227">
        <f t="shared" si="205"/>
        <v>0</v>
      </c>
    </row>
    <row r="324" spans="1:35" x14ac:dyDescent="0.35">
      <c r="A324" s="48">
        <v>1745</v>
      </c>
      <c r="B324" s="58">
        <f>SUMIF([2]!Table2_23[ETA],'FIS Current Model'!A324,[2]!Table2_23[FIS PAX])</f>
        <v>0</v>
      </c>
      <c r="C324" s="44">
        <f t="shared" si="206"/>
        <v>0</v>
      </c>
      <c r="D324" s="52">
        <f t="shared" si="214"/>
        <v>0</v>
      </c>
      <c r="E324" s="26">
        <f t="shared" si="194"/>
        <v>0</v>
      </c>
      <c r="F324" s="26">
        <f t="shared" si="195"/>
        <v>0</v>
      </c>
      <c r="G324" s="26">
        <f t="shared" si="196"/>
        <v>0</v>
      </c>
      <c r="H324" s="26">
        <f t="shared" si="207"/>
        <v>0</v>
      </c>
      <c r="I324" s="27">
        <f t="shared" si="217"/>
        <v>0</v>
      </c>
      <c r="J324" s="27">
        <f t="shared" si="217"/>
        <v>0</v>
      </c>
      <c r="K324" s="27">
        <f t="shared" si="217"/>
        <v>0</v>
      </c>
      <c r="L324" s="27">
        <f t="shared" si="215"/>
        <v>0</v>
      </c>
      <c r="M324" s="28">
        <f t="shared" si="220"/>
        <v>3</v>
      </c>
      <c r="N324" s="29">
        <f t="shared" si="221"/>
        <v>8</v>
      </c>
      <c r="O324" s="28">
        <f t="shared" si="222"/>
        <v>0</v>
      </c>
      <c r="P324" s="28">
        <f t="shared" si="223"/>
        <v>0</v>
      </c>
      <c r="Q324" s="28">
        <f t="shared" si="197"/>
        <v>11</v>
      </c>
      <c r="R324" s="22">
        <f t="shared" si="198"/>
        <v>0</v>
      </c>
      <c r="S324" s="22">
        <f t="shared" si="199"/>
        <v>0</v>
      </c>
      <c r="T324" s="22">
        <f t="shared" si="200"/>
        <v>0</v>
      </c>
      <c r="U324" s="22">
        <f t="shared" si="201"/>
        <v>0</v>
      </c>
      <c r="V324" s="21">
        <f t="shared" si="218"/>
        <v>0</v>
      </c>
      <c r="W324" s="21">
        <f t="shared" si="219"/>
        <v>0</v>
      </c>
      <c r="X324" s="21">
        <f t="shared" si="212"/>
        <v>0</v>
      </c>
      <c r="Y324" s="21">
        <f t="shared" si="213"/>
        <v>0</v>
      </c>
      <c r="Z324" s="221">
        <f t="shared" si="202"/>
        <v>0</v>
      </c>
      <c r="AA324" s="30">
        <f t="shared" si="190"/>
        <v>0</v>
      </c>
      <c r="AB324" s="30">
        <f t="shared" si="191"/>
        <v>0</v>
      </c>
      <c r="AC324" s="30">
        <f t="shared" si="192"/>
        <v>0</v>
      </c>
      <c r="AD324" s="30">
        <f t="shared" si="193"/>
        <v>0</v>
      </c>
      <c r="AE324" s="32">
        <f t="shared" si="203"/>
        <v>0</v>
      </c>
      <c r="AF324" s="33">
        <f t="shared" si="216"/>
        <v>6.3140692319120486</v>
      </c>
      <c r="AG324" s="40">
        <f t="shared" si="204"/>
        <v>0</v>
      </c>
      <c r="AH324" s="224">
        <f>AG324*$P$33</f>
        <v>0</v>
      </c>
      <c r="AI324" s="227">
        <f t="shared" si="205"/>
        <v>0</v>
      </c>
    </row>
    <row r="325" spans="1:35" x14ac:dyDescent="0.35">
      <c r="A325" s="48">
        <v>1746</v>
      </c>
      <c r="B325" s="58">
        <f>SUMIF([2]!Table2_23[ETA],'FIS Current Model'!A325,[2]!Table2_23[FIS PAX])</f>
        <v>0</v>
      </c>
      <c r="C325" s="44">
        <f t="shared" si="206"/>
        <v>0</v>
      </c>
      <c r="D325" s="52">
        <f t="shared" si="214"/>
        <v>0</v>
      </c>
      <c r="E325" s="26">
        <f t="shared" si="194"/>
        <v>0</v>
      </c>
      <c r="F325" s="26">
        <f t="shared" si="195"/>
        <v>0</v>
      </c>
      <c r="G325" s="26">
        <f t="shared" si="196"/>
        <v>0</v>
      </c>
      <c r="H325" s="26">
        <f t="shared" si="207"/>
        <v>0</v>
      </c>
      <c r="I325" s="27">
        <f t="shared" si="217"/>
        <v>0</v>
      </c>
      <c r="J325" s="27">
        <f t="shared" si="217"/>
        <v>0</v>
      </c>
      <c r="K325" s="27">
        <f t="shared" si="217"/>
        <v>0</v>
      </c>
      <c r="L325" s="27">
        <f t="shared" si="215"/>
        <v>0</v>
      </c>
      <c r="M325" s="28">
        <f>IF(R324=0,0,$Q$25)</f>
        <v>0</v>
      </c>
      <c r="N325" s="29">
        <f>$U$25-M325-O325-P325</f>
        <v>11</v>
      </c>
      <c r="O325" s="28">
        <f>IF(T324=0,0,$S$25)</f>
        <v>0</v>
      </c>
      <c r="P325" s="28">
        <f>IF(U324=0,0,$T$25)</f>
        <v>0</v>
      </c>
      <c r="Q325" s="28">
        <f t="shared" si="197"/>
        <v>11</v>
      </c>
      <c r="R325" s="22">
        <f t="shared" si="198"/>
        <v>0</v>
      </c>
      <c r="S325" s="22">
        <f t="shared" si="199"/>
        <v>0</v>
      </c>
      <c r="T325" s="22">
        <f t="shared" si="200"/>
        <v>0</v>
      </c>
      <c r="U325" s="22">
        <f t="shared" si="201"/>
        <v>0</v>
      </c>
      <c r="V325" s="21">
        <f t="shared" si="218"/>
        <v>0</v>
      </c>
      <c r="W325" s="21">
        <f t="shared" si="219"/>
        <v>0</v>
      </c>
      <c r="X325" s="21">
        <f t="shared" si="212"/>
        <v>0</v>
      </c>
      <c r="Y325" s="21">
        <f t="shared" si="213"/>
        <v>0</v>
      </c>
      <c r="Z325" s="221">
        <f t="shared" si="202"/>
        <v>0</v>
      </c>
      <c r="AA325" s="30">
        <f t="shared" si="190"/>
        <v>0</v>
      </c>
      <c r="AB325" s="30">
        <f t="shared" si="191"/>
        <v>0</v>
      </c>
      <c r="AC325" s="30">
        <f t="shared" si="192"/>
        <v>0</v>
      </c>
      <c r="AD325" s="30">
        <f t="shared" si="193"/>
        <v>0</v>
      </c>
      <c r="AE325" s="32">
        <f t="shared" si="203"/>
        <v>0</v>
      </c>
      <c r="AF325" s="33">
        <f t="shared" si="216"/>
        <v>6.3140692319120486</v>
      </c>
      <c r="AG325" s="40">
        <f t="shared" si="204"/>
        <v>0</v>
      </c>
      <c r="AH325" s="224">
        <f>AG325*$P$33</f>
        <v>0</v>
      </c>
      <c r="AI325" s="227">
        <f t="shared" si="205"/>
        <v>0</v>
      </c>
    </row>
    <row r="326" spans="1:35" x14ac:dyDescent="0.35">
      <c r="A326" s="48">
        <v>1747</v>
      </c>
      <c r="B326" s="58">
        <f>SUMIF([2]!Table2_23[ETA],'FIS Current Model'!A326,[2]!Table2_23[FIS PAX])</f>
        <v>0</v>
      </c>
      <c r="C326" s="44">
        <f t="shared" si="206"/>
        <v>0</v>
      </c>
      <c r="D326" s="52">
        <f t="shared" si="214"/>
        <v>0</v>
      </c>
      <c r="E326" s="26">
        <f t="shared" si="194"/>
        <v>0</v>
      </c>
      <c r="F326" s="26">
        <f t="shared" si="195"/>
        <v>0</v>
      </c>
      <c r="G326" s="26">
        <f t="shared" si="196"/>
        <v>0</v>
      </c>
      <c r="H326" s="26">
        <f t="shared" si="207"/>
        <v>0</v>
      </c>
      <c r="I326" s="27">
        <f t="shared" si="217"/>
        <v>0</v>
      </c>
      <c r="J326" s="27">
        <f t="shared" si="217"/>
        <v>0</v>
      </c>
      <c r="K326" s="27">
        <f t="shared" si="217"/>
        <v>0</v>
      </c>
      <c r="L326" s="27">
        <f t="shared" si="215"/>
        <v>0</v>
      </c>
      <c r="M326" s="28">
        <f>M325</f>
        <v>0</v>
      </c>
      <c r="N326" s="29">
        <f>$N$325</f>
        <v>11</v>
      </c>
      <c r="O326" s="28">
        <f>$O$325</f>
        <v>0</v>
      </c>
      <c r="P326" s="28">
        <f>$P$325</f>
        <v>0</v>
      </c>
      <c r="Q326" s="28">
        <f t="shared" si="197"/>
        <v>11</v>
      </c>
      <c r="R326" s="22">
        <f t="shared" si="198"/>
        <v>0</v>
      </c>
      <c r="S326" s="22">
        <f t="shared" si="199"/>
        <v>0</v>
      </c>
      <c r="T326" s="22">
        <f t="shared" si="200"/>
        <v>0</v>
      </c>
      <c r="U326" s="22">
        <f t="shared" si="201"/>
        <v>0</v>
      </c>
      <c r="V326" s="21">
        <f t="shared" si="218"/>
        <v>0</v>
      </c>
      <c r="W326" s="21">
        <f t="shared" si="219"/>
        <v>0</v>
      </c>
      <c r="X326" s="21">
        <f t="shared" si="212"/>
        <v>0</v>
      </c>
      <c r="Y326" s="21">
        <f t="shared" si="213"/>
        <v>0</v>
      </c>
      <c r="Z326" s="221">
        <f t="shared" si="202"/>
        <v>0</v>
      </c>
      <c r="AA326" s="30">
        <f t="shared" si="190"/>
        <v>0</v>
      </c>
      <c r="AB326" s="30">
        <f t="shared" si="191"/>
        <v>0</v>
      </c>
      <c r="AC326" s="30">
        <f t="shared" si="192"/>
        <v>0</v>
      </c>
      <c r="AD326" s="30">
        <f t="shared" si="193"/>
        <v>0</v>
      </c>
      <c r="AE326" s="32">
        <f t="shared" si="203"/>
        <v>0</v>
      </c>
      <c r="AF326" s="33">
        <f t="shared" si="216"/>
        <v>0</v>
      </c>
      <c r="AG326" s="40">
        <f t="shared" si="204"/>
        <v>0</v>
      </c>
      <c r="AH326" s="224">
        <f>AG326*$P$33</f>
        <v>0</v>
      </c>
      <c r="AI326" s="227">
        <f t="shared" si="205"/>
        <v>0</v>
      </c>
    </row>
    <row r="327" spans="1:35" x14ac:dyDescent="0.35">
      <c r="A327" s="48">
        <v>1748</v>
      </c>
      <c r="B327" s="58">
        <f>SUMIF([2]!Table2_23[ETA],'FIS Current Model'!A327,[2]!Table2_23[FIS PAX])</f>
        <v>0</v>
      </c>
      <c r="C327" s="44">
        <f t="shared" si="206"/>
        <v>0</v>
      </c>
      <c r="D327" s="52">
        <f t="shared" si="214"/>
        <v>0</v>
      </c>
      <c r="E327" s="26">
        <f t="shared" si="194"/>
        <v>0</v>
      </c>
      <c r="F327" s="26">
        <f t="shared" si="195"/>
        <v>0</v>
      </c>
      <c r="G327" s="26">
        <f t="shared" si="196"/>
        <v>0</v>
      </c>
      <c r="H327" s="26">
        <f t="shared" si="207"/>
        <v>0</v>
      </c>
      <c r="I327" s="27">
        <f t="shared" si="217"/>
        <v>0</v>
      </c>
      <c r="J327" s="27">
        <f t="shared" si="217"/>
        <v>0</v>
      </c>
      <c r="K327" s="27">
        <f t="shared" si="217"/>
        <v>0</v>
      </c>
      <c r="L327" s="27">
        <f t="shared" si="215"/>
        <v>0</v>
      </c>
      <c r="M327" s="28">
        <f t="shared" ref="M327:M339" si="224">M326</f>
        <v>0</v>
      </c>
      <c r="N327" s="29">
        <f t="shared" ref="N327:N339" si="225">$N$325</f>
        <v>11</v>
      </c>
      <c r="O327" s="28">
        <f t="shared" ref="O327:O339" si="226">$O$325</f>
        <v>0</v>
      </c>
      <c r="P327" s="28">
        <f t="shared" ref="P327:P339" si="227">$P$325</f>
        <v>0</v>
      </c>
      <c r="Q327" s="28">
        <f t="shared" si="197"/>
        <v>11</v>
      </c>
      <c r="R327" s="22">
        <f t="shared" si="198"/>
        <v>0</v>
      </c>
      <c r="S327" s="22">
        <f t="shared" si="199"/>
        <v>0</v>
      </c>
      <c r="T327" s="22">
        <f t="shared" si="200"/>
        <v>0</v>
      </c>
      <c r="U327" s="22">
        <f t="shared" si="201"/>
        <v>0</v>
      </c>
      <c r="V327" s="21">
        <f t="shared" si="218"/>
        <v>0</v>
      </c>
      <c r="W327" s="21">
        <f t="shared" si="219"/>
        <v>0</v>
      </c>
      <c r="X327" s="21">
        <f t="shared" si="212"/>
        <v>0</v>
      </c>
      <c r="Y327" s="21">
        <f t="shared" si="213"/>
        <v>0</v>
      </c>
      <c r="Z327" s="221">
        <f t="shared" si="202"/>
        <v>0</v>
      </c>
      <c r="AA327" s="30">
        <f t="shared" si="190"/>
        <v>0</v>
      </c>
      <c r="AB327" s="30">
        <f t="shared" si="191"/>
        <v>0</v>
      </c>
      <c r="AC327" s="30">
        <f t="shared" si="192"/>
        <v>0</v>
      </c>
      <c r="AD327" s="30">
        <f t="shared" si="193"/>
        <v>0</v>
      </c>
      <c r="AE327" s="32">
        <f t="shared" si="203"/>
        <v>0</v>
      </c>
      <c r="AF327" s="33">
        <f t="shared" si="216"/>
        <v>0</v>
      </c>
      <c r="AG327" s="40">
        <f t="shared" si="204"/>
        <v>0</v>
      </c>
      <c r="AH327" s="224">
        <f>AG327*$P$33</f>
        <v>0</v>
      </c>
      <c r="AI327" s="227">
        <f t="shared" si="205"/>
        <v>0</v>
      </c>
    </row>
    <row r="328" spans="1:35" x14ac:dyDescent="0.35">
      <c r="A328" s="48">
        <v>1749</v>
      </c>
      <c r="B328" s="58">
        <f>SUMIF([2]!Table2_23[ETA],'FIS Current Model'!A328,[2]!Table2_23[FIS PAX])</f>
        <v>0</v>
      </c>
      <c r="C328" s="44">
        <f t="shared" si="206"/>
        <v>0</v>
      </c>
      <c r="D328" s="52">
        <f t="shared" si="214"/>
        <v>0</v>
      </c>
      <c r="E328" s="26">
        <f t="shared" si="194"/>
        <v>0</v>
      </c>
      <c r="F328" s="26">
        <f t="shared" si="195"/>
        <v>0</v>
      </c>
      <c r="G328" s="26">
        <f t="shared" si="196"/>
        <v>0</v>
      </c>
      <c r="H328" s="26">
        <f t="shared" si="207"/>
        <v>0</v>
      </c>
      <c r="I328" s="27">
        <f t="shared" si="217"/>
        <v>0</v>
      </c>
      <c r="J328" s="27">
        <f t="shared" si="217"/>
        <v>0</v>
      </c>
      <c r="K328" s="27">
        <f t="shared" si="217"/>
        <v>0</v>
      </c>
      <c r="L328" s="27">
        <f t="shared" si="215"/>
        <v>0</v>
      </c>
      <c r="M328" s="28">
        <f t="shared" si="224"/>
        <v>0</v>
      </c>
      <c r="N328" s="29">
        <f t="shared" si="225"/>
        <v>11</v>
      </c>
      <c r="O328" s="28">
        <f t="shared" si="226"/>
        <v>0</v>
      </c>
      <c r="P328" s="28">
        <f t="shared" si="227"/>
        <v>0</v>
      </c>
      <c r="Q328" s="28">
        <f t="shared" si="197"/>
        <v>11</v>
      </c>
      <c r="R328" s="22">
        <f t="shared" si="198"/>
        <v>0</v>
      </c>
      <c r="S328" s="22">
        <f t="shared" si="199"/>
        <v>0</v>
      </c>
      <c r="T328" s="22">
        <f t="shared" si="200"/>
        <v>0</v>
      </c>
      <c r="U328" s="22">
        <f t="shared" si="201"/>
        <v>0</v>
      </c>
      <c r="V328" s="21">
        <f t="shared" si="218"/>
        <v>0</v>
      </c>
      <c r="W328" s="21">
        <f t="shared" si="219"/>
        <v>0</v>
      </c>
      <c r="X328" s="21">
        <f t="shared" si="212"/>
        <v>0</v>
      </c>
      <c r="Y328" s="21">
        <f t="shared" si="213"/>
        <v>0</v>
      </c>
      <c r="Z328" s="221">
        <f t="shared" si="202"/>
        <v>0</v>
      </c>
      <c r="AA328" s="30">
        <f t="shared" si="190"/>
        <v>0</v>
      </c>
      <c r="AB328" s="30">
        <f t="shared" si="191"/>
        <v>0</v>
      </c>
      <c r="AC328" s="30">
        <f t="shared" si="192"/>
        <v>0</v>
      </c>
      <c r="AD328" s="30">
        <f t="shared" si="193"/>
        <v>0</v>
      </c>
      <c r="AE328" s="32">
        <f t="shared" si="203"/>
        <v>0</v>
      </c>
      <c r="AF328" s="33">
        <f t="shared" si="216"/>
        <v>0</v>
      </c>
      <c r="AG328" s="40">
        <f t="shared" si="204"/>
        <v>0</v>
      </c>
      <c r="AH328" s="224">
        <f>AG328*$P$33</f>
        <v>0</v>
      </c>
      <c r="AI328" s="227">
        <f t="shared" si="205"/>
        <v>0</v>
      </c>
    </row>
    <row r="329" spans="1:35" x14ac:dyDescent="0.35">
      <c r="A329" s="48">
        <v>1750</v>
      </c>
      <c r="B329" s="58">
        <f>SUMIF([2]!Table2_23[ETA],'FIS Current Model'!A329,[2]!Table2_23[FIS PAX])</f>
        <v>0</v>
      </c>
      <c r="C329" s="44">
        <f t="shared" si="206"/>
        <v>0</v>
      </c>
      <c r="D329" s="52">
        <f t="shared" si="214"/>
        <v>0</v>
      </c>
      <c r="E329" s="26">
        <f t="shared" si="194"/>
        <v>0</v>
      </c>
      <c r="F329" s="26">
        <f t="shared" si="195"/>
        <v>0</v>
      </c>
      <c r="G329" s="26">
        <f t="shared" si="196"/>
        <v>0</v>
      </c>
      <c r="H329" s="26">
        <f t="shared" si="207"/>
        <v>0</v>
      </c>
      <c r="I329" s="27">
        <f t="shared" si="217"/>
        <v>0</v>
      </c>
      <c r="J329" s="27">
        <f t="shared" si="217"/>
        <v>0</v>
      </c>
      <c r="K329" s="27">
        <f t="shared" si="217"/>
        <v>0</v>
      </c>
      <c r="L329" s="27">
        <f t="shared" si="215"/>
        <v>0</v>
      </c>
      <c r="M329" s="28">
        <f t="shared" si="224"/>
        <v>0</v>
      </c>
      <c r="N329" s="29">
        <f t="shared" si="225"/>
        <v>11</v>
      </c>
      <c r="O329" s="28">
        <f t="shared" si="226"/>
        <v>0</v>
      </c>
      <c r="P329" s="28">
        <f t="shared" si="227"/>
        <v>0</v>
      </c>
      <c r="Q329" s="28">
        <f t="shared" si="197"/>
        <v>11</v>
      </c>
      <c r="R329" s="22">
        <f t="shared" si="198"/>
        <v>0</v>
      </c>
      <c r="S329" s="22">
        <f t="shared" si="199"/>
        <v>0</v>
      </c>
      <c r="T329" s="22">
        <f t="shared" si="200"/>
        <v>0</v>
      </c>
      <c r="U329" s="22">
        <f t="shared" si="201"/>
        <v>0</v>
      </c>
      <c r="V329" s="21">
        <f t="shared" si="218"/>
        <v>0</v>
      </c>
      <c r="W329" s="21">
        <f t="shared" si="219"/>
        <v>0</v>
      </c>
      <c r="X329" s="21">
        <f t="shared" si="212"/>
        <v>0</v>
      </c>
      <c r="Y329" s="21">
        <f t="shared" si="213"/>
        <v>0</v>
      </c>
      <c r="Z329" s="221">
        <f t="shared" si="202"/>
        <v>0</v>
      </c>
      <c r="AA329" s="30">
        <f t="shared" si="190"/>
        <v>0</v>
      </c>
      <c r="AB329" s="30">
        <f t="shared" si="191"/>
        <v>0</v>
      </c>
      <c r="AC329" s="30">
        <f t="shared" si="192"/>
        <v>0</v>
      </c>
      <c r="AD329" s="30">
        <f t="shared" si="193"/>
        <v>0</v>
      </c>
      <c r="AE329" s="32">
        <f t="shared" si="203"/>
        <v>0</v>
      </c>
      <c r="AF329" s="33">
        <f t="shared" si="216"/>
        <v>0</v>
      </c>
      <c r="AG329" s="40">
        <f t="shared" si="204"/>
        <v>0</v>
      </c>
      <c r="AH329" s="224">
        <f>AG329*$P$33</f>
        <v>0</v>
      </c>
      <c r="AI329" s="227">
        <f t="shared" si="205"/>
        <v>0</v>
      </c>
    </row>
    <row r="330" spans="1:35" x14ac:dyDescent="0.35">
      <c r="A330" s="48">
        <v>1751</v>
      </c>
      <c r="B330" s="58">
        <f>SUMIF([2]!Table2_23[ETA],'FIS Current Model'!A330,[2]!Table2_23[FIS PAX])</f>
        <v>0</v>
      </c>
      <c r="C330" s="44">
        <f t="shared" si="206"/>
        <v>0</v>
      </c>
      <c r="D330" s="52">
        <f t="shared" si="214"/>
        <v>0</v>
      </c>
      <c r="E330" s="26">
        <f t="shared" si="194"/>
        <v>0</v>
      </c>
      <c r="F330" s="26">
        <f t="shared" si="195"/>
        <v>0</v>
      </c>
      <c r="G330" s="26">
        <f t="shared" si="196"/>
        <v>0</v>
      </c>
      <c r="H330" s="26">
        <f t="shared" si="207"/>
        <v>0</v>
      </c>
      <c r="I330" s="27">
        <f t="shared" si="217"/>
        <v>0</v>
      </c>
      <c r="J330" s="27">
        <f t="shared" si="217"/>
        <v>0</v>
      </c>
      <c r="K330" s="27">
        <f t="shared" si="217"/>
        <v>0</v>
      </c>
      <c r="L330" s="27">
        <f t="shared" si="215"/>
        <v>0</v>
      </c>
      <c r="M330" s="28">
        <f t="shared" si="224"/>
        <v>0</v>
      </c>
      <c r="N330" s="29">
        <f t="shared" si="225"/>
        <v>11</v>
      </c>
      <c r="O330" s="28">
        <f t="shared" si="226"/>
        <v>0</v>
      </c>
      <c r="P330" s="28">
        <f t="shared" si="227"/>
        <v>0</v>
      </c>
      <c r="Q330" s="28">
        <f t="shared" si="197"/>
        <v>11</v>
      </c>
      <c r="R330" s="22">
        <f t="shared" si="198"/>
        <v>0</v>
      </c>
      <c r="S330" s="22">
        <f t="shared" si="199"/>
        <v>0</v>
      </c>
      <c r="T330" s="22">
        <f t="shared" si="200"/>
        <v>0</v>
      </c>
      <c r="U330" s="22">
        <f t="shared" si="201"/>
        <v>0</v>
      </c>
      <c r="V330" s="21">
        <f t="shared" si="218"/>
        <v>0</v>
      </c>
      <c r="W330" s="21">
        <f t="shared" si="219"/>
        <v>0</v>
      </c>
      <c r="X330" s="21">
        <f t="shared" si="212"/>
        <v>0</v>
      </c>
      <c r="Y330" s="21">
        <f t="shared" si="213"/>
        <v>0</v>
      </c>
      <c r="Z330" s="221">
        <f t="shared" si="202"/>
        <v>0</v>
      </c>
      <c r="AA330" s="30">
        <f t="shared" si="190"/>
        <v>0</v>
      </c>
      <c r="AB330" s="30">
        <f t="shared" si="191"/>
        <v>0</v>
      </c>
      <c r="AC330" s="30">
        <f t="shared" si="192"/>
        <v>0</v>
      </c>
      <c r="AD330" s="30">
        <f t="shared" si="193"/>
        <v>0</v>
      </c>
      <c r="AE330" s="32">
        <f t="shared" si="203"/>
        <v>0</v>
      </c>
      <c r="AF330" s="33">
        <f t="shared" si="216"/>
        <v>0</v>
      </c>
      <c r="AG330" s="40">
        <f t="shared" si="204"/>
        <v>0</v>
      </c>
      <c r="AH330" s="224">
        <f>AG330*$P$33</f>
        <v>0</v>
      </c>
      <c r="AI330" s="227">
        <f t="shared" si="205"/>
        <v>0</v>
      </c>
    </row>
    <row r="331" spans="1:35" x14ac:dyDescent="0.35">
      <c r="A331" s="48">
        <v>1752</v>
      </c>
      <c r="B331" s="58">
        <f>SUMIF([2]!Table2_23[ETA],'FIS Current Model'!A331,[2]!Table2_23[FIS PAX])</f>
        <v>0</v>
      </c>
      <c r="C331" s="44">
        <f t="shared" si="206"/>
        <v>0</v>
      </c>
      <c r="D331" s="52">
        <f t="shared" si="214"/>
        <v>0</v>
      </c>
      <c r="E331" s="26">
        <f t="shared" si="194"/>
        <v>0</v>
      </c>
      <c r="F331" s="26">
        <f t="shared" si="195"/>
        <v>0</v>
      </c>
      <c r="G331" s="26">
        <f t="shared" si="196"/>
        <v>0</v>
      </c>
      <c r="H331" s="26">
        <f t="shared" si="207"/>
        <v>0</v>
      </c>
      <c r="I331" s="27">
        <f t="shared" si="217"/>
        <v>0</v>
      </c>
      <c r="J331" s="27">
        <f t="shared" si="217"/>
        <v>0</v>
      </c>
      <c r="K331" s="27">
        <f t="shared" si="217"/>
        <v>0</v>
      </c>
      <c r="L331" s="27">
        <f t="shared" si="215"/>
        <v>0</v>
      </c>
      <c r="M331" s="28">
        <f t="shared" si="224"/>
        <v>0</v>
      </c>
      <c r="N331" s="29">
        <f t="shared" si="225"/>
        <v>11</v>
      </c>
      <c r="O331" s="28">
        <f t="shared" si="226"/>
        <v>0</v>
      </c>
      <c r="P331" s="28">
        <f t="shared" si="227"/>
        <v>0</v>
      </c>
      <c r="Q331" s="28">
        <f t="shared" si="197"/>
        <v>11</v>
      </c>
      <c r="R331" s="22">
        <f t="shared" si="198"/>
        <v>0</v>
      </c>
      <c r="S331" s="22">
        <f t="shared" si="199"/>
        <v>0</v>
      </c>
      <c r="T331" s="22">
        <f t="shared" si="200"/>
        <v>0</v>
      </c>
      <c r="U331" s="22">
        <f t="shared" si="201"/>
        <v>0</v>
      </c>
      <c r="V331" s="21">
        <f t="shared" si="218"/>
        <v>0</v>
      </c>
      <c r="W331" s="21">
        <f t="shared" si="219"/>
        <v>0</v>
      </c>
      <c r="X331" s="21">
        <f t="shared" si="212"/>
        <v>0</v>
      </c>
      <c r="Y331" s="21">
        <f t="shared" si="213"/>
        <v>0</v>
      </c>
      <c r="Z331" s="221">
        <f t="shared" si="202"/>
        <v>0</v>
      </c>
      <c r="AA331" s="30">
        <f t="shared" si="190"/>
        <v>0</v>
      </c>
      <c r="AB331" s="30">
        <f t="shared" si="191"/>
        <v>0</v>
      </c>
      <c r="AC331" s="30">
        <f t="shared" si="192"/>
        <v>0</v>
      </c>
      <c r="AD331" s="30">
        <f t="shared" si="193"/>
        <v>0</v>
      </c>
      <c r="AE331" s="32">
        <f t="shared" si="203"/>
        <v>0</v>
      </c>
      <c r="AF331" s="33">
        <f t="shared" si="216"/>
        <v>0</v>
      </c>
      <c r="AG331" s="40">
        <f t="shared" si="204"/>
        <v>0</v>
      </c>
      <c r="AH331" s="224">
        <f>AG331*$P$33</f>
        <v>0</v>
      </c>
      <c r="AI331" s="227">
        <f t="shared" si="205"/>
        <v>0</v>
      </c>
    </row>
    <row r="332" spans="1:35" x14ac:dyDescent="0.35">
      <c r="A332" s="48">
        <v>1753</v>
      </c>
      <c r="B332" s="58">
        <f>SUMIF([2]!Table2_23[ETA],'FIS Current Model'!A332,[2]!Table2_23[FIS PAX])</f>
        <v>0</v>
      </c>
      <c r="C332" s="44">
        <f t="shared" si="206"/>
        <v>0</v>
      </c>
      <c r="D332" s="52">
        <f t="shared" si="214"/>
        <v>0</v>
      </c>
      <c r="E332" s="26">
        <f t="shared" si="194"/>
        <v>0</v>
      </c>
      <c r="F332" s="26">
        <f t="shared" si="195"/>
        <v>0</v>
      </c>
      <c r="G332" s="26">
        <f t="shared" si="196"/>
        <v>0</v>
      </c>
      <c r="H332" s="26">
        <f t="shared" si="207"/>
        <v>0</v>
      </c>
      <c r="I332" s="27">
        <f t="shared" si="217"/>
        <v>0</v>
      </c>
      <c r="J332" s="27">
        <f t="shared" si="217"/>
        <v>0</v>
      </c>
      <c r="K332" s="27">
        <f t="shared" si="217"/>
        <v>0</v>
      </c>
      <c r="L332" s="27">
        <f t="shared" si="215"/>
        <v>0</v>
      </c>
      <c r="M332" s="28">
        <f t="shared" si="224"/>
        <v>0</v>
      </c>
      <c r="N332" s="29">
        <f t="shared" si="225"/>
        <v>11</v>
      </c>
      <c r="O332" s="28">
        <f t="shared" si="226"/>
        <v>0</v>
      </c>
      <c r="P332" s="28">
        <f t="shared" si="227"/>
        <v>0</v>
      </c>
      <c r="Q332" s="28">
        <f t="shared" si="197"/>
        <v>11</v>
      </c>
      <c r="R332" s="22">
        <f t="shared" si="198"/>
        <v>0</v>
      </c>
      <c r="S332" s="22">
        <f t="shared" si="199"/>
        <v>0</v>
      </c>
      <c r="T332" s="22">
        <f t="shared" si="200"/>
        <v>0</v>
      </c>
      <c r="U332" s="22">
        <f t="shared" si="201"/>
        <v>0</v>
      </c>
      <c r="V332" s="21">
        <f t="shared" si="218"/>
        <v>0</v>
      </c>
      <c r="W332" s="21">
        <f t="shared" si="219"/>
        <v>0</v>
      </c>
      <c r="X332" s="21">
        <f t="shared" si="212"/>
        <v>0</v>
      </c>
      <c r="Y332" s="21">
        <f t="shared" si="213"/>
        <v>0</v>
      </c>
      <c r="Z332" s="221">
        <f t="shared" si="202"/>
        <v>0</v>
      </c>
      <c r="AA332" s="30">
        <f t="shared" si="190"/>
        <v>0</v>
      </c>
      <c r="AB332" s="30">
        <f t="shared" si="191"/>
        <v>0</v>
      </c>
      <c r="AC332" s="30">
        <f t="shared" si="192"/>
        <v>0</v>
      </c>
      <c r="AD332" s="30">
        <f t="shared" si="193"/>
        <v>0</v>
      </c>
      <c r="AE332" s="32">
        <f t="shared" si="203"/>
        <v>0</v>
      </c>
      <c r="AF332" s="33">
        <f t="shared" si="216"/>
        <v>0</v>
      </c>
      <c r="AG332" s="40">
        <f t="shared" si="204"/>
        <v>0</v>
      </c>
      <c r="AH332" s="224">
        <f>AG332*$P$33</f>
        <v>0</v>
      </c>
      <c r="AI332" s="227">
        <f t="shared" si="205"/>
        <v>0</v>
      </c>
    </row>
    <row r="333" spans="1:35" x14ac:dyDescent="0.35">
      <c r="A333" s="48">
        <v>1754</v>
      </c>
      <c r="B333" s="58">
        <f>SUMIF([2]!Table2_23[ETA],'FIS Current Model'!A333,[2]!Table2_23[FIS PAX])</f>
        <v>0</v>
      </c>
      <c r="C333" s="44">
        <f t="shared" si="206"/>
        <v>0</v>
      </c>
      <c r="D333" s="52">
        <f t="shared" si="214"/>
        <v>0</v>
      </c>
      <c r="E333" s="26">
        <f t="shared" si="194"/>
        <v>0</v>
      </c>
      <c r="F333" s="26">
        <f t="shared" si="195"/>
        <v>0</v>
      </c>
      <c r="G333" s="26">
        <f t="shared" si="196"/>
        <v>0</v>
      </c>
      <c r="H333" s="26">
        <f t="shared" si="207"/>
        <v>0</v>
      </c>
      <c r="I333" s="27">
        <f t="shared" si="217"/>
        <v>0</v>
      </c>
      <c r="J333" s="27">
        <f t="shared" si="217"/>
        <v>0</v>
      </c>
      <c r="K333" s="27">
        <f t="shared" si="217"/>
        <v>0</v>
      </c>
      <c r="L333" s="27">
        <f t="shared" si="215"/>
        <v>0</v>
      </c>
      <c r="M333" s="28">
        <f t="shared" si="224"/>
        <v>0</v>
      </c>
      <c r="N333" s="29">
        <f t="shared" si="225"/>
        <v>11</v>
      </c>
      <c r="O333" s="28">
        <f t="shared" si="226"/>
        <v>0</v>
      </c>
      <c r="P333" s="28">
        <f t="shared" si="227"/>
        <v>0</v>
      </c>
      <c r="Q333" s="28">
        <f t="shared" si="197"/>
        <v>11</v>
      </c>
      <c r="R333" s="22">
        <f t="shared" si="198"/>
        <v>0</v>
      </c>
      <c r="S333" s="22">
        <f t="shared" si="199"/>
        <v>0</v>
      </c>
      <c r="T333" s="22">
        <f t="shared" si="200"/>
        <v>0</v>
      </c>
      <c r="U333" s="22">
        <f t="shared" si="201"/>
        <v>0</v>
      </c>
      <c r="V333" s="21">
        <f t="shared" si="218"/>
        <v>0</v>
      </c>
      <c r="W333" s="21">
        <f t="shared" si="219"/>
        <v>0</v>
      </c>
      <c r="X333" s="21">
        <f t="shared" si="212"/>
        <v>0</v>
      </c>
      <c r="Y333" s="21">
        <f t="shared" si="213"/>
        <v>0</v>
      </c>
      <c r="Z333" s="221">
        <f t="shared" si="202"/>
        <v>0</v>
      </c>
      <c r="AA333" s="30">
        <f t="shared" si="190"/>
        <v>0</v>
      </c>
      <c r="AB333" s="30">
        <f t="shared" si="191"/>
        <v>0</v>
      </c>
      <c r="AC333" s="30">
        <f t="shared" si="192"/>
        <v>0</v>
      </c>
      <c r="AD333" s="30">
        <f t="shared" si="193"/>
        <v>0</v>
      </c>
      <c r="AE333" s="32">
        <f t="shared" si="203"/>
        <v>0</v>
      </c>
      <c r="AF333" s="33">
        <f t="shared" si="216"/>
        <v>0</v>
      </c>
      <c r="AG333" s="40">
        <f t="shared" si="204"/>
        <v>0</v>
      </c>
      <c r="AH333" s="224">
        <f>AG333*$P$33</f>
        <v>0</v>
      </c>
      <c r="AI333" s="227">
        <f t="shared" si="205"/>
        <v>0</v>
      </c>
    </row>
    <row r="334" spans="1:35" x14ac:dyDescent="0.35">
      <c r="A334" s="48">
        <v>1755</v>
      </c>
      <c r="B334" s="58">
        <f>SUMIF([2]!Table2_23[ETA],'FIS Current Model'!A334,[2]!Table2_23[FIS PAX])</f>
        <v>0</v>
      </c>
      <c r="C334" s="44">
        <f t="shared" si="206"/>
        <v>0</v>
      </c>
      <c r="D334" s="52">
        <f t="shared" si="214"/>
        <v>0</v>
      </c>
      <c r="E334" s="26">
        <f t="shared" si="194"/>
        <v>0</v>
      </c>
      <c r="F334" s="26">
        <f t="shared" si="195"/>
        <v>0</v>
      </c>
      <c r="G334" s="26">
        <f t="shared" si="196"/>
        <v>0</v>
      </c>
      <c r="H334" s="26">
        <f t="shared" si="207"/>
        <v>0</v>
      </c>
      <c r="I334" s="27">
        <f t="shared" si="217"/>
        <v>0</v>
      </c>
      <c r="J334" s="27">
        <f t="shared" si="217"/>
        <v>0</v>
      </c>
      <c r="K334" s="27">
        <f t="shared" si="217"/>
        <v>0</v>
      </c>
      <c r="L334" s="27">
        <f t="shared" si="215"/>
        <v>0</v>
      </c>
      <c r="M334" s="28">
        <f t="shared" si="224"/>
        <v>0</v>
      </c>
      <c r="N334" s="29">
        <f t="shared" si="225"/>
        <v>11</v>
      </c>
      <c r="O334" s="28">
        <f t="shared" si="226"/>
        <v>0</v>
      </c>
      <c r="P334" s="28">
        <f t="shared" si="227"/>
        <v>0</v>
      </c>
      <c r="Q334" s="28">
        <f t="shared" si="197"/>
        <v>11</v>
      </c>
      <c r="R334" s="22">
        <f t="shared" si="198"/>
        <v>0</v>
      </c>
      <c r="S334" s="22">
        <f t="shared" si="199"/>
        <v>0</v>
      </c>
      <c r="T334" s="22">
        <f t="shared" si="200"/>
        <v>0</v>
      </c>
      <c r="U334" s="22">
        <f t="shared" si="201"/>
        <v>0</v>
      </c>
      <c r="V334" s="21">
        <f t="shared" si="218"/>
        <v>0</v>
      </c>
      <c r="W334" s="21">
        <f t="shared" si="219"/>
        <v>0</v>
      </c>
      <c r="X334" s="21">
        <f t="shared" si="212"/>
        <v>0</v>
      </c>
      <c r="Y334" s="21">
        <f t="shared" si="213"/>
        <v>0</v>
      </c>
      <c r="Z334" s="221">
        <f t="shared" si="202"/>
        <v>0</v>
      </c>
      <c r="AA334" s="30">
        <f t="shared" si="190"/>
        <v>0</v>
      </c>
      <c r="AB334" s="30">
        <f t="shared" si="191"/>
        <v>0</v>
      </c>
      <c r="AC334" s="30">
        <f t="shared" si="192"/>
        <v>0</v>
      </c>
      <c r="AD334" s="30">
        <f t="shared" si="193"/>
        <v>0</v>
      </c>
      <c r="AE334" s="32">
        <f t="shared" si="203"/>
        <v>0</v>
      </c>
      <c r="AF334" s="33">
        <f t="shared" si="216"/>
        <v>0</v>
      </c>
      <c r="AG334" s="40">
        <f t="shared" si="204"/>
        <v>0</v>
      </c>
      <c r="AH334" s="224">
        <f>AG334*$P$33</f>
        <v>0</v>
      </c>
      <c r="AI334" s="227">
        <f t="shared" si="205"/>
        <v>0</v>
      </c>
    </row>
    <row r="335" spans="1:35" x14ac:dyDescent="0.35">
      <c r="A335" s="48">
        <v>1756</v>
      </c>
      <c r="B335" s="58">
        <f>SUMIF([2]!Table2_23[ETA],'FIS Current Model'!A335,[2]!Table2_23[FIS PAX])</f>
        <v>0</v>
      </c>
      <c r="C335" s="44">
        <f t="shared" si="206"/>
        <v>0</v>
      </c>
      <c r="D335" s="52">
        <f t="shared" si="214"/>
        <v>0</v>
      </c>
      <c r="E335" s="26">
        <f t="shared" si="194"/>
        <v>0</v>
      </c>
      <c r="F335" s="26">
        <f t="shared" si="195"/>
        <v>0</v>
      </c>
      <c r="G335" s="26">
        <f t="shared" si="196"/>
        <v>0</v>
      </c>
      <c r="H335" s="26">
        <f t="shared" si="207"/>
        <v>0</v>
      </c>
      <c r="I335" s="27">
        <f t="shared" si="217"/>
        <v>0</v>
      </c>
      <c r="J335" s="27">
        <f t="shared" si="217"/>
        <v>0</v>
      </c>
      <c r="K335" s="27">
        <f t="shared" si="217"/>
        <v>0</v>
      </c>
      <c r="L335" s="27">
        <f t="shared" si="215"/>
        <v>0</v>
      </c>
      <c r="M335" s="28">
        <f t="shared" si="224"/>
        <v>0</v>
      </c>
      <c r="N335" s="29">
        <f t="shared" si="225"/>
        <v>11</v>
      </c>
      <c r="O335" s="28">
        <f t="shared" si="226"/>
        <v>0</v>
      </c>
      <c r="P335" s="28">
        <f t="shared" si="227"/>
        <v>0</v>
      </c>
      <c r="Q335" s="28">
        <f t="shared" si="197"/>
        <v>11</v>
      </c>
      <c r="R335" s="22">
        <f t="shared" si="198"/>
        <v>0</v>
      </c>
      <c r="S335" s="22">
        <f t="shared" si="199"/>
        <v>0</v>
      </c>
      <c r="T335" s="22">
        <f t="shared" si="200"/>
        <v>0</v>
      </c>
      <c r="U335" s="22">
        <f t="shared" si="201"/>
        <v>0</v>
      </c>
      <c r="V335" s="21">
        <f t="shared" si="218"/>
        <v>0</v>
      </c>
      <c r="W335" s="21">
        <f t="shared" si="219"/>
        <v>0</v>
      </c>
      <c r="X335" s="21">
        <f t="shared" si="212"/>
        <v>0</v>
      </c>
      <c r="Y335" s="21">
        <f t="shared" si="213"/>
        <v>0</v>
      </c>
      <c r="Z335" s="221">
        <f t="shared" si="202"/>
        <v>0</v>
      </c>
      <c r="AA335" s="30">
        <f t="shared" si="190"/>
        <v>0</v>
      </c>
      <c r="AB335" s="30">
        <f t="shared" si="191"/>
        <v>0</v>
      </c>
      <c r="AC335" s="30">
        <f t="shared" si="192"/>
        <v>0</v>
      </c>
      <c r="AD335" s="30">
        <f t="shared" si="193"/>
        <v>0</v>
      </c>
      <c r="AE335" s="32">
        <f t="shared" si="203"/>
        <v>0</v>
      </c>
      <c r="AF335" s="33">
        <f t="shared" si="216"/>
        <v>0</v>
      </c>
      <c r="AG335" s="40">
        <f t="shared" si="204"/>
        <v>0</v>
      </c>
      <c r="AH335" s="224">
        <f>AG335*$P$33</f>
        <v>0</v>
      </c>
      <c r="AI335" s="227">
        <f t="shared" si="205"/>
        <v>0</v>
      </c>
    </row>
    <row r="336" spans="1:35" x14ac:dyDescent="0.35">
      <c r="A336" s="48">
        <v>1757</v>
      </c>
      <c r="B336" s="58">
        <f>SUMIF([2]!Table2_23[ETA],'FIS Current Model'!A336,[2]!Table2_23[FIS PAX])</f>
        <v>0</v>
      </c>
      <c r="C336" s="44">
        <f t="shared" si="206"/>
        <v>0</v>
      </c>
      <c r="D336" s="52">
        <f t="shared" si="214"/>
        <v>0</v>
      </c>
      <c r="E336" s="26">
        <f t="shared" si="194"/>
        <v>0</v>
      </c>
      <c r="F336" s="26">
        <f t="shared" si="195"/>
        <v>0</v>
      </c>
      <c r="G336" s="26">
        <f t="shared" si="196"/>
        <v>0</v>
      </c>
      <c r="H336" s="26">
        <f t="shared" si="207"/>
        <v>0</v>
      </c>
      <c r="I336" s="27">
        <f t="shared" si="217"/>
        <v>0</v>
      </c>
      <c r="J336" s="27">
        <f t="shared" si="217"/>
        <v>0</v>
      </c>
      <c r="K336" s="27">
        <f t="shared" si="217"/>
        <v>0</v>
      </c>
      <c r="L336" s="27">
        <f t="shared" si="215"/>
        <v>0</v>
      </c>
      <c r="M336" s="28">
        <f t="shared" si="224"/>
        <v>0</v>
      </c>
      <c r="N336" s="29">
        <f t="shared" si="225"/>
        <v>11</v>
      </c>
      <c r="O336" s="28">
        <f t="shared" si="226"/>
        <v>0</v>
      </c>
      <c r="P336" s="28">
        <f t="shared" si="227"/>
        <v>0</v>
      </c>
      <c r="Q336" s="28">
        <f t="shared" si="197"/>
        <v>11</v>
      </c>
      <c r="R336" s="22">
        <f t="shared" si="198"/>
        <v>0</v>
      </c>
      <c r="S336" s="22">
        <f t="shared" si="199"/>
        <v>0</v>
      </c>
      <c r="T336" s="22">
        <f t="shared" si="200"/>
        <v>0</v>
      </c>
      <c r="U336" s="22">
        <f t="shared" si="201"/>
        <v>0</v>
      </c>
      <c r="V336" s="21">
        <f t="shared" si="218"/>
        <v>0</v>
      </c>
      <c r="W336" s="21">
        <f t="shared" si="219"/>
        <v>0</v>
      </c>
      <c r="X336" s="21">
        <f t="shared" si="212"/>
        <v>0</v>
      </c>
      <c r="Y336" s="21">
        <f t="shared" si="213"/>
        <v>0</v>
      </c>
      <c r="Z336" s="221">
        <f t="shared" si="202"/>
        <v>0</v>
      </c>
      <c r="AA336" s="30">
        <f t="shared" si="190"/>
        <v>0</v>
      </c>
      <c r="AB336" s="30">
        <f t="shared" si="191"/>
        <v>0</v>
      </c>
      <c r="AC336" s="30">
        <f t="shared" si="192"/>
        <v>0</v>
      </c>
      <c r="AD336" s="30">
        <f t="shared" si="193"/>
        <v>0</v>
      </c>
      <c r="AE336" s="32">
        <f t="shared" si="203"/>
        <v>0</v>
      </c>
      <c r="AF336" s="33">
        <f t="shared" si="216"/>
        <v>0</v>
      </c>
      <c r="AG336" s="40">
        <f t="shared" si="204"/>
        <v>0</v>
      </c>
      <c r="AH336" s="224">
        <f>AG336*$P$33</f>
        <v>0</v>
      </c>
      <c r="AI336" s="227">
        <f t="shared" si="205"/>
        <v>0</v>
      </c>
    </row>
    <row r="337" spans="1:35" x14ac:dyDescent="0.35">
      <c r="A337" s="48">
        <v>1758</v>
      </c>
      <c r="B337" s="58">
        <f>SUMIF([2]!Table2_23[ETA],'FIS Current Model'!A337,[2]!Table2_23[FIS PAX])</f>
        <v>0</v>
      </c>
      <c r="C337" s="44">
        <f t="shared" si="206"/>
        <v>0</v>
      </c>
      <c r="D337" s="52">
        <f t="shared" si="214"/>
        <v>0</v>
      </c>
      <c r="E337" s="26">
        <f t="shared" si="194"/>
        <v>0</v>
      </c>
      <c r="F337" s="26">
        <f t="shared" si="195"/>
        <v>0</v>
      </c>
      <c r="G337" s="26">
        <f t="shared" si="196"/>
        <v>0</v>
      </c>
      <c r="H337" s="26">
        <f t="shared" si="207"/>
        <v>0</v>
      </c>
      <c r="I337" s="27">
        <f t="shared" si="217"/>
        <v>0</v>
      </c>
      <c r="J337" s="27">
        <f t="shared" si="217"/>
        <v>0</v>
      </c>
      <c r="K337" s="27">
        <f t="shared" si="217"/>
        <v>0</v>
      </c>
      <c r="L337" s="27">
        <f t="shared" si="215"/>
        <v>0</v>
      </c>
      <c r="M337" s="28">
        <f t="shared" si="224"/>
        <v>0</v>
      </c>
      <c r="N337" s="29">
        <f t="shared" si="225"/>
        <v>11</v>
      </c>
      <c r="O337" s="28">
        <f t="shared" si="226"/>
        <v>0</v>
      </c>
      <c r="P337" s="28">
        <f t="shared" si="227"/>
        <v>0</v>
      </c>
      <c r="Q337" s="28">
        <f t="shared" si="197"/>
        <v>11</v>
      </c>
      <c r="R337" s="22">
        <f t="shared" si="198"/>
        <v>0</v>
      </c>
      <c r="S337" s="22">
        <f t="shared" si="199"/>
        <v>0</v>
      </c>
      <c r="T337" s="22">
        <f t="shared" si="200"/>
        <v>0</v>
      </c>
      <c r="U337" s="22">
        <f t="shared" si="201"/>
        <v>0</v>
      </c>
      <c r="V337" s="21">
        <f t="shared" si="218"/>
        <v>0</v>
      </c>
      <c r="W337" s="21">
        <f t="shared" si="219"/>
        <v>0</v>
      </c>
      <c r="X337" s="21">
        <f t="shared" si="212"/>
        <v>0</v>
      </c>
      <c r="Y337" s="21">
        <f t="shared" si="213"/>
        <v>0</v>
      </c>
      <c r="Z337" s="221">
        <f t="shared" si="202"/>
        <v>0</v>
      </c>
      <c r="AA337" s="30">
        <f t="shared" si="190"/>
        <v>0</v>
      </c>
      <c r="AB337" s="30">
        <f t="shared" si="191"/>
        <v>0</v>
      </c>
      <c r="AC337" s="30">
        <f t="shared" si="192"/>
        <v>0</v>
      </c>
      <c r="AD337" s="30">
        <f t="shared" si="193"/>
        <v>0</v>
      </c>
      <c r="AE337" s="32">
        <f t="shared" si="203"/>
        <v>0</v>
      </c>
      <c r="AF337" s="33">
        <f t="shared" si="216"/>
        <v>0</v>
      </c>
      <c r="AG337" s="40">
        <f t="shared" si="204"/>
        <v>0</v>
      </c>
      <c r="AH337" s="224">
        <f>AG337*$P$33</f>
        <v>0</v>
      </c>
      <c r="AI337" s="227">
        <f t="shared" si="205"/>
        <v>0</v>
      </c>
    </row>
    <row r="338" spans="1:35" x14ac:dyDescent="0.35">
      <c r="A338" s="48">
        <v>1759</v>
      </c>
      <c r="B338" s="58">
        <f>SUMIF([2]!Table2_23[ETA],'FIS Current Model'!A338,[2]!Table2_23[FIS PAX])</f>
        <v>0</v>
      </c>
      <c r="C338" s="44">
        <f t="shared" si="206"/>
        <v>0</v>
      </c>
      <c r="D338" s="52">
        <f t="shared" si="214"/>
        <v>0</v>
      </c>
      <c r="E338" s="26">
        <f t="shared" si="194"/>
        <v>0</v>
      </c>
      <c r="F338" s="26">
        <f t="shared" si="195"/>
        <v>0</v>
      </c>
      <c r="G338" s="26">
        <f t="shared" si="196"/>
        <v>0</v>
      </c>
      <c r="H338" s="26">
        <f t="shared" si="207"/>
        <v>0</v>
      </c>
      <c r="I338" s="27">
        <f t="shared" si="217"/>
        <v>0</v>
      </c>
      <c r="J338" s="27">
        <f t="shared" si="217"/>
        <v>0</v>
      </c>
      <c r="K338" s="27">
        <f t="shared" si="217"/>
        <v>0</v>
      </c>
      <c r="L338" s="27">
        <f t="shared" si="215"/>
        <v>0</v>
      </c>
      <c r="M338" s="28">
        <f t="shared" si="224"/>
        <v>0</v>
      </c>
      <c r="N338" s="29">
        <f t="shared" si="225"/>
        <v>11</v>
      </c>
      <c r="O338" s="28">
        <f t="shared" si="226"/>
        <v>0</v>
      </c>
      <c r="P338" s="28">
        <f t="shared" si="227"/>
        <v>0</v>
      </c>
      <c r="Q338" s="28">
        <f t="shared" si="197"/>
        <v>11</v>
      </c>
      <c r="R338" s="22">
        <f t="shared" si="198"/>
        <v>0</v>
      </c>
      <c r="S338" s="22">
        <f t="shared" si="199"/>
        <v>0</v>
      </c>
      <c r="T338" s="22">
        <f t="shared" si="200"/>
        <v>0</v>
      </c>
      <c r="U338" s="22">
        <f t="shared" si="201"/>
        <v>0</v>
      </c>
      <c r="V338" s="21">
        <f t="shared" si="218"/>
        <v>0</v>
      </c>
      <c r="W338" s="21">
        <f t="shared" si="219"/>
        <v>0</v>
      </c>
      <c r="X338" s="21">
        <f t="shared" si="212"/>
        <v>0</v>
      </c>
      <c r="Y338" s="21">
        <f t="shared" si="213"/>
        <v>0</v>
      </c>
      <c r="Z338" s="221">
        <f t="shared" si="202"/>
        <v>0</v>
      </c>
      <c r="AA338" s="30">
        <f t="shared" si="190"/>
        <v>0</v>
      </c>
      <c r="AB338" s="30">
        <f t="shared" si="191"/>
        <v>0</v>
      </c>
      <c r="AC338" s="30">
        <f t="shared" si="192"/>
        <v>0</v>
      </c>
      <c r="AD338" s="30">
        <f t="shared" si="193"/>
        <v>0</v>
      </c>
      <c r="AE338" s="32">
        <f t="shared" si="203"/>
        <v>0</v>
      </c>
      <c r="AF338" s="33">
        <f t="shared" si="216"/>
        <v>0</v>
      </c>
      <c r="AG338" s="40">
        <f t="shared" si="204"/>
        <v>0</v>
      </c>
      <c r="AH338" s="224">
        <f>AG338*$P$33</f>
        <v>0</v>
      </c>
      <c r="AI338" s="227">
        <f t="shared" si="205"/>
        <v>0</v>
      </c>
    </row>
    <row r="339" spans="1:35" ht="15" thickBot="1" x14ac:dyDescent="0.4">
      <c r="A339" s="48">
        <v>1800</v>
      </c>
      <c r="B339" s="59">
        <f>SUMIF([2]!Table2_23[ETA],'FIS Current Model'!A339,[2]!Table2_23[FIS PAX])</f>
        <v>0</v>
      </c>
      <c r="C339" s="60">
        <f t="shared" si="206"/>
        <v>0</v>
      </c>
      <c r="D339" s="61">
        <f t="shared" si="214"/>
        <v>0</v>
      </c>
      <c r="E339" s="62">
        <f t="shared" si="194"/>
        <v>0</v>
      </c>
      <c r="F339" s="62">
        <f t="shared" si="195"/>
        <v>0</v>
      </c>
      <c r="G339" s="62">
        <f t="shared" si="196"/>
        <v>0</v>
      </c>
      <c r="H339" s="62">
        <f t="shared" si="207"/>
        <v>0</v>
      </c>
      <c r="I339" s="63">
        <f t="shared" si="217"/>
        <v>0</v>
      </c>
      <c r="J339" s="63">
        <f t="shared" si="217"/>
        <v>0</v>
      </c>
      <c r="K339" s="63">
        <f t="shared" si="217"/>
        <v>0</v>
      </c>
      <c r="L339" s="63">
        <f t="shared" si="215"/>
        <v>0</v>
      </c>
      <c r="M339" s="60">
        <f t="shared" si="224"/>
        <v>0</v>
      </c>
      <c r="N339" s="64">
        <f t="shared" si="225"/>
        <v>11</v>
      </c>
      <c r="O339" s="60">
        <f t="shared" si="226"/>
        <v>0</v>
      </c>
      <c r="P339" s="60">
        <f t="shared" si="227"/>
        <v>0</v>
      </c>
      <c r="Q339" s="60">
        <f t="shared" si="197"/>
        <v>11</v>
      </c>
      <c r="R339" s="65">
        <f t="shared" si="198"/>
        <v>0</v>
      </c>
      <c r="S339" s="65">
        <f t="shared" si="199"/>
        <v>0</v>
      </c>
      <c r="T339" s="65">
        <f t="shared" si="200"/>
        <v>0</v>
      </c>
      <c r="U339" s="65">
        <f t="shared" si="201"/>
        <v>0</v>
      </c>
      <c r="V339" s="66">
        <f t="shared" si="218"/>
        <v>0</v>
      </c>
      <c r="W339" s="66">
        <f t="shared" si="219"/>
        <v>0</v>
      </c>
      <c r="X339" s="66">
        <f t="shared" si="212"/>
        <v>0</v>
      </c>
      <c r="Y339" s="66">
        <f t="shared" si="213"/>
        <v>0</v>
      </c>
      <c r="Z339" s="228">
        <f t="shared" si="202"/>
        <v>0</v>
      </c>
      <c r="AA339" s="67">
        <f t="shared" si="190"/>
        <v>0</v>
      </c>
      <c r="AB339" s="67">
        <f t="shared" si="191"/>
        <v>0</v>
      </c>
      <c r="AC339" s="67">
        <f t="shared" si="192"/>
        <v>0</v>
      </c>
      <c r="AD339" s="67">
        <f t="shared" si="193"/>
        <v>0</v>
      </c>
      <c r="AE339" s="68">
        <f t="shared" si="203"/>
        <v>0</v>
      </c>
      <c r="AF339" s="69">
        <f t="shared" si="216"/>
        <v>0</v>
      </c>
      <c r="AG339" s="70">
        <f t="shared" si="204"/>
        <v>0</v>
      </c>
      <c r="AH339" s="225">
        <f>AG339*$P$33</f>
        <v>0</v>
      </c>
      <c r="AI339" s="227">
        <f t="shared" si="205"/>
        <v>0</v>
      </c>
    </row>
  </sheetData>
  <mergeCells count="39">
    <mergeCell ref="AA37:AE37"/>
    <mergeCell ref="L15:L18"/>
    <mergeCell ref="M15:M18"/>
    <mergeCell ref="C37:D37"/>
    <mergeCell ref="E37:H37"/>
    <mergeCell ref="I37:L37"/>
    <mergeCell ref="M37:Q37"/>
    <mergeCell ref="R37:U37"/>
    <mergeCell ref="V37:Y37"/>
    <mergeCell ref="P29:P32"/>
    <mergeCell ref="Q29:Q32"/>
    <mergeCell ref="E31:E33"/>
    <mergeCell ref="F31:F33"/>
    <mergeCell ref="B35:AI35"/>
    <mergeCell ref="B36:AI36"/>
    <mergeCell ref="L13:L14"/>
    <mergeCell ref="M13:M14"/>
    <mergeCell ref="B27:T27"/>
    <mergeCell ref="H28:J28"/>
    <mergeCell ref="S28:T28"/>
    <mergeCell ref="B29:C29"/>
    <mergeCell ref="E29:E30"/>
    <mergeCell ref="F29:F30"/>
    <mergeCell ref="L29:L32"/>
    <mergeCell ref="N29:N32"/>
    <mergeCell ref="W5:Z7"/>
    <mergeCell ref="L6:L7"/>
    <mergeCell ref="M6:M7"/>
    <mergeCell ref="L8:L10"/>
    <mergeCell ref="M8:M10"/>
    <mergeCell ref="L11:L12"/>
    <mergeCell ref="M11:M12"/>
    <mergeCell ref="B1:T2"/>
    <mergeCell ref="B3:N3"/>
    <mergeCell ref="P3:V3"/>
    <mergeCell ref="B4:B5"/>
    <mergeCell ref="D4:H4"/>
    <mergeCell ref="I4:J4"/>
    <mergeCell ref="Q4:V4"/>
  </mergeCells>
  <conditionalFormatting sqref="V39:Z339">
    <cfRule type="top10" dxfId="18" priority="2" rank="10"/>
    <cfRule type="top10" dxfId="17" priority="3" rank="3"/>
  </conditionalFormatting>
  <conditionalFormatting sqref="AH39:AH339">
    <cfRule type="top10" dxfId="16" priority="1" rank="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E3A8-6F5A-4870-BD45-6E3CFE70B411}">
  <dimension ref="A1:AI339"/>
  <sheetViews>
    <sheetView zoomScale="70" zoomScaleNormal="70" workbookViewId="0">
      <pane xSplit="1" topLeftCell="B1" activePane="topRight" state="frozen"/>
      <selection activeCell="A19" sqref="A19"/>
      <selection pane="topRight" activeCell="K22" sqref="K22"/>
    </sheetView>
  </sheetViews>
  <sheetFormatPr defaultColWidth="8.81640625" defaultRowHeight="14.5" x14ac:dyDescent="0.35"/>
  <cols>
    <col min="1" max="1" width="4.90625" bestFit="1" customWidth="1"/>
    <col min="2" max="2" width="14.6328125" bestFit="1" customWidth="1"/>
    <col min="3" max="3" width="21.1796875" bestFit="1" customWidth="1"/>
    <col min="4" max="4" width="12.1796875" bestFit="1" customWidth="1"/>
    <col min="5" max="5" width="13.54296875" customWidth="1"/>
    <col min="6" max="6" width="12.1796875" customWidth="1"/>
    <col min="7" max="7" width="11" bestFit="1" customWidth="1"/>
    <col min="8" max="8" width="13.1796875" bestFit="1" customWidth="1"/>
    <col min="9" max="9" width="21.1796875" bestFit="1" customWidth="1"/>
    <col min="10" max="10" width="22.54296875" bestFit="1" customWidth="1"/>
    <col min="11" max="11" width="11" bestFit="1" customWidth="1"/>
    <col min="12" max="12" width="17.08984375" customWidth="1"/>
    <col min="13" max="13" width="11.81640625" bestFit="1" customWidth="1"/>
    <col min="14" max="14" width="10.453125" bestFit="1" customWidth="1"/>
    <col min="15" max="15" width="10.6328125" customWidth="1"/>
    <col min="16" max="17" width="13.7265625" bestFit="1" customWidth="1"/>
    <col min="18" max="18" width="11.81640625" bestFit="1" customWidth="1"/>
    <col min="19" max="19" width="13.36328125" bestFit="1" customWidth="1"/>
    <col min="20" max="20" width="11.81640625" bestFit="1" customWidth="1"/>
    <col min="21" max="21" width="7.26953125" bestFit="1" customWidth="1"/>
    <col min="22" max="24" width="11.81640625" bestFit="1" customWidth="1"/>
    <col min="25" max="25" width="4.6328125" bestFit="1" customWidth="1"/>
    <col min="26" max="26" width="17.6328125" bestFit="1" customWidth="1"/>
    <col min="27" max="29" width="11.81640625" bestFit="1" customWidth="1"/>
    <col min="30" max="30" width="4.6328125" bestFit="1" customWidth="1"/>
    <col min="31" max="31" width="11.81640625" bestFit="1" customWidth="1"/>
    <col min="32" max="32" width="20.36328125" bestFit="1" customWidth="1"/>
    <col min="33" max="33" width="18.1796875" bestFit="1" customWidth="1"/>
    <col min="34" max="34" width="20" bestFit="1" customWidth="1"/>
    <col min="35" max="35" width="49.7265625" bestFit="1" customWidth="1"/>
    <col min="36" max="36" width="22.7265625" bestFit="1" customWidth="1"/>
  </cols>
  <sheetData>
    <row r="1" spans="1:29" x14ac:dyDescent="0.35">
      <c r="B1" s="162" t="s">
        <v>190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17"/>
      <c r="V1" s="117"/>
      <c r="W1" s="117"/>
      <c r="X1" s="117"/>
      <c r="Y1" s="117"/>
      <c r="Z1" s="117"/>
      <c r="AA1" s="117"/>
    </row>
    <row r="2" spans="1:29" ht="15" thickBot="1" x14ac:dyDescent="0.4">
      <c r="A2" s="117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17"/>
      <c r="V2" s="117"/>
      <c r="W2" s="117"/>
      <c r="X2" s="117"/>
      <c r="Y2" s="117"/>
      <c r="Z2" s="117"/>
      <c r="AA2" s="117"/>
    </row>
    <row r="3" spans="1:29" ht="18.5" x14ac:dyDescent="0.45">
      <c r="A3" s="117"/>
      <c r="B3" s="159" t="s">
        <v>140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1"/>
      <c r="O3" s="214"/>
      <c r="P3" s="191" t="s">
        <v>184</v>
      </c>
      <c r="Q3" s="192"/>
      <c r="R3" s="192"/>
      <c r="S3" s="192"/>
      <c r="T3" s="192"/>
      <c r="U3" s="192"/>
      <c r="V3" s="193"/>
      <c r="W3" s="117"/>
      <c r="X3" s="117"/>
      <c r="Y3" s="117"/>
      <c r="Z3" s="117"/>
      <c r="AA3" s="117"/>
      <c r="AB3" s="117"/>
      <c r="AC3" s="117"/>
    </row>
    <row r="4" spans="1:29" x14ac:dyDescent="0.35">
      <c r="A4" s="117"/>
      <c r="B4" s="194" t="s">
        <v>180</v>
      </c>
      <c r="C4" s="125" t="s">
        <v>177</v>
      </c>
      <c r="D4" s="195" t="s">
        <v>179</v>
      </c>
      <c r="E4" s="195"/>
      <c r="F4" s="195"/>
      <c r="G4" s="195"/>
      <c r="H4" s="195"/>
      <c r="I4" s="195" t="s">
        <v>209</v>
      </c>
      <c r="J4" s="195"/>
      <c r="K4" s="212"/>
      <c r="L4" s="212"/>
      <c r="M4" s="212"/>
      <c r="N4" s="76"/>
      <c r="O4" s="212"/>
      <c r="P4" s="71"/>
      <c r="Q4" s="213" t="s">
        <v>178</v>
      </c>
      <c r="R4" s="213"/>
      <c r="S4" s="213"/>
      <c r="T4" s="213"/>
      <c r="U4" s="213"/>
      <c r="V4" s="197"/>
      <c r="W4" s="117"/>
      <c r="X4" s="117"/>
      <c r="Y4" s="117"/>
      <c r="Z4" s="117"/>
      <c r="AA4" s="117"/>
      <c r="AB4" s="117"/>
      <c r="AC4" s="117"/>
    </row>
    <row r="5" spans="1:29" x14ac:dyDescent="0.35">
      <c r="A5" s="117"/>
      <c r="B5" s="194"/>
      <c r="C5" s="79" t="s">
        <v>143</v>
      </c>
      <c r="D5" s="79" t="s">
        <v>127</v>
      </c>
      <c r="E5" s="80" t="s">
        <v>128</v>
      </c>
      <c r="F5" s="80" t="s">
        <v>129</v>
      </c>
      <c r="G5" s="80" t="s">
        <v>4</v>
      </c>
      <c r="H5" s="80" t="s">
        <v>94</v>
      </c>
      <c r="I5" s="80" t="s">
        <v>206</v>
      </c>
      <c r="J5" s="80" t="s">
        <v>204</v>
      </c>
      <c r="K5" s="212"/>
      <c r="L5" s="117"/>
      <c r="M5" s="117"/>
      <c r="N5" s="89"/>
      <c r="O5" s="117"/>
      <c r="P5" s="71"/>
      <c r="Q5" s="210" t="s">
        <v>127</v>
      </c>
      <c r="R5" s="212" t="s">
        <v>128</v>
      </c>
      <c r="S5" s="212" t="s">
        <v>129</v>
      </c>
      <c r="T5" s="212" t="s">
        <v>4</v>
      </c>
      <c r="U5" s="212" t="s">
        <v>94</v>
      </c>
      <c r="V5" s="76" t="s">
        <v>130</v>
      </c>
      <c r="W5" s="199" t="s">
        <v>181</v>
      </c>
      <c r="X5" s="199"/>
      <c r="Y5" s="199"/>
      <c r="Z5" s="199"/>
      <c r="AA5" s="117"/>
      <c r="AB5" s="117"/>
      <c r="AC5" s="117"/>
    </row>
    <row r="6" spans="1:29" x14ac:dyDescent="0.35">
      <c r="A6" s="117"/>
      <c r="B6" s="77" t="s">
        <v>0</v>
      </c>
      <c r="C6" s="47">
        <f>SUMIFS([2]!Table2_23[FIS PAX],[2]!Table2_23[ETA],"&gt;1300",[2]!Table2_23[ETA],"&lt;1316")</f>
        <v>0</v>
      </c>
      <c r="D6" s="119">
        <f>M40</f>
        <v>0</v>
      </c>
      <c r="E6" s="119">
        <f>N40</f>
        <v>6</v>
      </c>
      <c r="F6" s="119">
        <f>O40</f>
        <v>0</v>
      </c>
      <c r="G6" s="119">
        <f>P40</f>
        <v>0</v>
      </c>
      <c r="H6" s="46">
        <f>U6</f>
        <v>6</v>
      </c>
      <c r="I6" s="51">
        <f>IF(SUM(Z39:Z54)&gt;0,AVERAGEIF(Z39:Z54,"&lt;&gt;0"),0)</f>
        <v>0</v>
      </c>
      <c r="J6" s="51">
        <f>IF(SUM(AI39:AI54)&gt;0,AVERAGEIF(AI39:AI54,"&lt;&gt;0"),0)</f>
        <v>0</v>
      </c>
      <c r="K6" s="212"/>
      <c r="L6" s="188" t="s">
        <v>138</v>
      </c>
      <c r="M6" s="190">
        <f>ROUNDUP(MAX(V39:Y339),0)</f>
        <v>15</v>
      </c>
      <c r="N6" s="130"/>
      <c r="O6" s="207"/>
      <c r="P6" s="133" t="s">
        <v>0</v>
      </c>
      <c r="Q6" s="207">
        <v>2</v>
      </c>
      <c r="R6" s="207">
        <v>2</v>
      </c>
      <c r="S6" s="117">
        <v>1</v>
      </c>
      <c r="T6" s="117">
        <v>1</v>
      </c>
      <c r="U6" s="208">
        <v>6</v>
      </c>
      <c r="V6" s="141">
        <v>16</v>
      </c>
      <c r="W6" s="199"/>
      <c r="X6" s="199"/>
      <c r="Y6" s="199"/>
      <c r="Z6" s="199"/>
      <c r="AA6" s="117"/>
      <c r="AB6" s="117"/>
      <c r="AC6" s="117"/>
    </row>
    <row r="7" spans="1:29" ht="14.5" customHeight="1" x14ac:dyDescent="0.35">
      <c r="A7" s="117"/>
      <c r="B7" s="81" t="s">
        <v>96</v>
      </c>
      <c r="C7" s="47">
        <f>SUMIFS([2]!Table2_23[FIS PAX],[2]!Table2_23[ETA],"&gt;1315",[2]!Table2_23[ETA],"&lt;1331")</f>
        <v>0</v>
      </c>
      <c r="D7" s="119">
        <f>M40</f>
        <v>0</v>
      </c>
      <c r="E7" s="119">
        <f>N40</f>
        <v>6</v>
      </c>
      <c r="F7" s="119">
        <f>O40</f>
        <v>0</v>
      </c>
      <c r="G7" s="119">
        <f>P40</f>
        <v>0</v>
      </c>
      <c r="H7" s="46">
        <f>U7</f>
        <v>6</v>
      </c>
      <c r="I7" s="51">
        <f>IF(SUM($Z$55:$Z$69)&gt;0,AVERAGEIF($Z$55:$Z$69,"&lt;&gt;0"),0)</f>
        <v>0</v>
      </c>
      <c r="J7" s="51">
        <f>IF(SUM($AI$55:$AI$69)&gt;0,AVERAGEIF($AI$55:$AI$69,"&lt;&gt;0"),0)</f>
        <v>0</v>
      </c>
      <c r="K7" s="117"/>
      <c r="L7" s="188"/>
      <c r="M7" s="190"/>
      <c r="N7" s="130"/>
      <c r="O7" s="207"/>
      <c r="P7" s="134" t="s">
        <v>96</v>
      </c>
      <c r="Q7" s="207">
        <v>2</v>
      </c>
      <c r="R7" s="207">
        <v>2</v>
      </c>
      <c r="S7" s="117">
        <v>1</v>
      </c>
      <c r="T7" s="117">
        <v>1</v>
      </c>
      <c r="U7" s="208">
        <v>6</v>
      </c>
      <c r="V7" s="141">
        <v>16</v>
      </c>
      <c r="W7" s="199"/>
      <c r="X7" s="199"/>
      <c r="Y7" s="199"/>
      <c r="Z7" s="199"/>
      <c r="AA7" s="117"/>
      <c r="AB7" s="117"/>
      <c r="AC7" s="117"/>
    </row>
    <row r="8" spans="1:29" ht="14.5" customHeight="1" x14ac:dyDescent="0.35">
      <c r="A8" s="117"/>
      <c r="B8" s="77" t="s">
        <v>97</v>
      </c>
      <c r="C8" s="47">
        <f>SUMIFS([2]!Table2_23[FIS PAX],[2]!Table2_23[ETA],"&gt;1330",[2]!Table2_23[ETA],"&lt;1346")</f>
        <v>152</v>
      </c>
      <c r="D8" s="119">
        <f>M70</f>
        <v>0</v>
      </c>
      <c r="E8" s="119">
        <f>N70</f>
        <v>6</v>
      </c>
      <c r="F8" s="119">
        <f>O70</f>
        <v>0</v>
      </c>
      <c r="G8" s="119">
        <f>P70</f>
        <v>0</v>
      </c>
      <c r="H8" s="46">
        <f>U8</f>
        <v>6</v>
      </c>
      <c r="I8" s="51">
        <f>IF(SUM($Z$70:$Z$84)&gt;0,AVERAGEIF($Z$70:$Z$84,"&lt;&gt;0"),0)</f>
        <v>1</v>
      </c>
      <c r="J8" s="51">
        <f>IF(SUM($AI$70:$AI$84)&gt;0,AVERAGEIF($AI$70:AIZ$84,"&lt;&gt;0"),0)</f>
        <v>22</v>
      </c>
      <c r="K8" s="117"/>
      <c r="L8" s="188" t="s">
        <v>182</v>
      </c>
      <c r="M8" s="190">
        <f>ROUNDUP(SUM(F31,M6,N33,MAX(AH39:AH339),MAX(T29:T32)),0)</f>
        <v>56</v>
      </c>
      <c r="N8" s="140"/>
      <c r="O8" s="211"/>
      <c r="P8" s="133" t="s">
        <v>97</v>
      </c>
      <c r="Q8" s="207">
        <v>2</v>
      </c>
      <c r="R8" s="207">
        <v>2</v>
      </c>
      <c r="S8" s="117">
        <v>1</v>
      </c>
      <c r="T8" s="117">
        <v>1</v>
      </c>
      <c r="U8" s="208">
        <v>6</v>
      </c>
      <c r="V8" s="141">
        <v>16</v>
      </c>
      <c r="W8" s="117"/>
      <c r="X8" s="117"/>
      <c r="Y8" s="117"/>
      <c r="Z8" s="117"/>
      <c r="AA8" s="117"/>
      <c r="AB8" s="117"/>
      <c r="AC8" s="117"/>
    </row>
    <row r="9" spans="1:29" x14ac:dyDescent="0.35">
      <c r="A9" s="117"/>
      <c r="B9" s="81" t="s">
        <v>98</v>
      </c>
      <c r="C9" s="47">
        <f>SUMIFS([2]!Table2_23[FIS PAX],[2]!Table2_23[ETA],"&gt;1345",[2]!Table2_23[ETA],"&lt;1401")</f>
        <v>0</v>
      </c>
      <c r="D9" s="119">
        <f>M85</f>
        <v>2</v>
      </c>
      <c r="E9" s="119">
        <f>N85</f>
        <v>2</v>
      </c>
      <c r="F9" s="119">
        <f>O85</f>
        <v>1</v>
      </c>
      <c r="G9" s="119">
        <f>P85</f>
        <v>1</v>
      </c>
      <c r="H9" s="46">
        <f>U9</f>
        <v>6</v>
      </c>
      <c r="I9" s="51">
        <f>IF(SUM($Z$85:$Z$99)&gt;0,AVERAGEIF($Z$85:$Z$99,"&lt;&gt;0"),0)</f>
        <v>7.9333333333333336</v>
      </c>
      <c r="J9" s="51">
        <f>IF(SUM($AI$85:$AI$99)&gt;0,AVERAGEIF($AI$85:$AI$99,"&lt;&gt;0"),0)</f>
        <v>28.933333333333334</v>
      </c>
      <c r="K9" s="117"/>
      <c r="L9" s="188"/>
      <c r="M9" s="190"/>
      <c r="N9" s="140"/>
      <c r="O9" s="211"/>
      <c r="P9" s="134" t="s">
        <v>98</v>
      </c>
      <c r="Q9" s="207">
        <v>2</v>
      </c>
      <c r="R9" s="207">
        <v>2</v>
      </c>
      <c r="S9" s="117">
        <v>1</v>
      </c>
      <c r="T9" s="117">
        <v>1</v>
      </c>
      <c r="U9" s="208">
        <v>6</v>
      </c>
      <c r="V9" s="141">
        <v>16</v>
      </c>
      <c r="W9" s="117"/>
      <c r="X9" s="117"/>
      <c r="Y9" s="117"/>
      <c r="Z9" s="117"/>
      <c r="AA9" s="117"/>
      <c r="AB9" s="117"/>
      <c r="AC9" s="117"/>
    </row>
    <row r="10" spans="1:29" x14ac:dyDescent="0.35">
      <c r="A10" s="117"/>
      <c r="B10" s="77" t="s">
        <v>99</v>
      </c>
      <c r="C10" s="47">
        <f>SUMIFS([2]!Table2_23[FIS PAX],[2]!Table2_23[ETA],"&gt;1400",[2]!Table2_23[ETA],"&lt;1416")</f>
        <v>0</v>
      </c>
      <c r="D10" s="119">
        <f>M100</f>
        <v>2</v>
      </c>
      <c r="E10" s="119">
        <f>N100</f>
        <v>4</v>
      </c>
      <c r="F10" s="119">
        <f>O100</f>
        <v>0</v>
      </c>
      <c r="G10" s="119">
        <f>P100</f>
        <v>0</v>
      </c>
      <c r="H10" s="46">
        <f>U10</f>
        <v>6</v>
      </c>
      <c r="I10" s="51">
        <f>IF(SUM($Z$100:$Z$114)&gt;0,AVERAGEIF($Z$100:$Z$114,"&lt;&gt;0"),0)</f>
        <v>1.5</v>
      </c>
      <c r="J10" s="51">
        <f>IF(SUM($AI$100:$AI$114)&gt;0,AVERAGEIF($AI$100:$AI$114,"&lt;&gt;0"),0)</f>
        <v>22.5</v>
      </c>
      <c r="K10" s="117"/>
      <c r="L10" s="188"/>
      <c r="M10" s="190"/>
      <c r="N10" s="140"/>
      <c r="O10" s="209"/>
      <c r="P10" s="133" t="s">
        <v>99</v>
      </c>
      <c r="Q10" s="207">
        <v>2</v>
      </c>
      <c r="R10" s="207">
        <v>2</v>
      </c>
      <c r="S10" s="117">
        <v>1</v>
      </c>
      <c r="T10" s="117">
        <v>1</v>
      </c>
      <c r="U10" s="208">
        <v>6</v>
      </c>
      <c r="V10" s="141">
        <v>16</v>
      </c>
      <c r="W10" s="117"/>
      <c r="X10" s="117"/>
      <c r="Y10" s="117"/>
      <c r="Z10" s="117"/>
      <c r="AA10" s="117"/>
      <c r="AB10" s="117"/>
      <c r="AC10" s="117"/>
    </row>
    <row r="11" spans="1:29" x14ac:dyDescent="0.35">
      <c r="A11" s="117"/>
      <c r="B11" s="81" t="s">
        <v>100</v>
      </c>
      <c r="C11" s="47">
        <f>SUMIFS([2]!Table2_23[FIS PAX],[2]!Table2_23[ETA],"&gt;1415",[2]!Table2_23[ETA],"&lt;1431")</f>
        <v>11</v>
      </c>
      <c r="D11" s="119">
        <f>M115</f>
        <v>0</v>
      </c>
      <c r="E11" s="119">
        <f>N115</f>
        <v>6</v>
      </c>
      <c r="F11" s="119">
        <f>O115</f>
        <v>0</v>
      </c>
      <c r="G11" s="119">
        <f>P115</f>
        <v>0</v>
      </c>
      <c r="H11" s="46">
        <f>U11</f>
        <v>6</v>
      </c>
      <c r="I11" s="51">
        <f>IF(SUM($Z$115:$Z$129)&gt;0,AVERAGEIF($Z$115:$Z$129,"&lt;&gt;0"),0)</f>
        <v>0</v>
      </c>
      <c r="J11" s="51">
        <f>IF(SUM($AI$115:$AI$129)&gt;0,AVERAGEIF($AI$115:$AI$129,"&lt;&gt;0"),0)</f>
        <v>0</v>
      </c>
      <c r="K11" s="117"/>
      <c r="L11" s="188" t="s">
        <v>207</v>
      </c>
      <c r="M11" s="190">
        <f>ROUNDUP(AVERAGEIF(Z39:Z339,"&lt;&gt;0"),0)</f>
        <v>4</v>
      </c>
      <c r="N11" s="130"/>
      <c r="O11" s="117"/>
      <c r="P11" s="134" t="s">
        <v>100</v>
      </c>
      <c r="Q11" s="207">
        <v>2</v>
      </c>
      <c r="R11" s="207">
        <v>2</v>
      </c>
      <c r="S11" s="117">
        <v>1</v>
      </c>
      <c r="T11" s="117">
        <v>1</v>
      </c>
      <c r="U11" s="208">
        <v>6</v>
      </c>
      <c r="V11" s="141">
        <v>16</v>
      </c>
      <c r="W11" s="117"/>
      <c r="X11" s="117"/>
      <c r="Y11" s="117"/>
      <c r="Z11" s="117"/>
      <c r="AA11" s="117"/>
      <c r="AB11" s="117"/>
      <c r="AC11" s="117"/>
    </row>
    <row r="12" spans="1:29" x14ac:dyDescent="0.35">
      <c r="A12" s="117"/>
      <c r="B12" s="77" t="s">
        <v>101</v>
      </c>
      <c r="C12" s="47">
        <f>SUMIFS([2]!Table2_23[FIS PAX],[2]!Table2_23[ETA],"&gt;1430",[2]!Table2_23[ETA],"&lt;1446")</f>
        <v>453</v>
      </c>
      <c r="D12" s="119">
        <v>3</v>
      </c>
      <c r="E12" s="119">
        <v>6</v>
      </c>
      <c r="F12" s="119">
        <v>1</v>
      </c>
      <c r="G12" s="119">
        <v>1</v>
      </c>
      <c r="H12" s="46">
        <f>U12</f>
        <v>16</v>
      </c>
      <c r="I12" s="51">
        <f>IF(SUM($Z$130:$Z$144)&gt;0,AVERAGEIF($Z$130:$Z$144,"&lt;&gt;0"),0)</f>
        <v>0</v>
      </c>
      <c r="J12" s="51">
        <f>IF(SUM($AI$130:$AI$144)&gt;0,AVERAGEIF($AI$130:$AI$144,"&lt;&gt;0"),0)</f>
        <v>0.72462564677526209</v>
      </c>
      <c r="K12" s="117"/>
      <c r="L12" s="188"/>
      <c r="M12" s="190"/>
      <c r="N12" s="130"/>
      <c r="O12" s="210"/>
      <c r="P12" s="133" t="s">
        <v>101</v>
      </c>
      <c r="Q12" s="207">
        <v>6</v>
      </c>
      <c r="R12" s="207">
        <v>6</v>
      </c>
      <c r="S12" s="117">
        <v>2</v>
      </c>
      <c r="T12" s="117">
        <v>2</v>
      </c>
      <c r="U12" s="208">
        <v>16</v>
      </c>
      <c r="V12" s="141">
        <v>16</v>
      </c>
      <c r="W12" s="117"/>
      <c r="X12" s="117" t="s">
        <v>211</v>
      </c>
      <c r="Y12" s="117"/>
      <c r="Z12" s="117"/>
      <c r="AA12" s="117"/>
      <c r="AB12" s="117"/>
      <c r="AC12" s="117"/>
    </row>
    <row r="13" spans="1:29" x14ac:dyDescent="0.35">
      <c r="A13" s="117"/>
      <c r="B13" s="77" t="s">
        <v>102</v>
      </c>
      <c r="C13" s="47">
        <f>SUMIFS([2]!Table2_23[FIS PAX],[2]!Table2_23[ETA],"&gt;1445",[2]!Table2_23[ETA],"&lt;1501")</f>
        <v>186</v>
      </c>
      <c r="D13" s="119">
        <f>M145</f>
        <v>6</v>
      </c>
      <c r="E13" s="119">
        <f>N145</f>
        <v>6</v>
      </c>
      <c r="F13" s="119">
        <f>O145</f>
        <v>2</v>
      </c>
      <c r="G13" s="119">
        <f>P145</f>
        <v>2</v>
      </c>
      <c r="H13" s="46">
        <f>U13</f>
        <v>16</v>
      </c>
      <c r="I13" s="51">
        <f>IF(SUM($Z$145:$Z$159)&gt;0,AVERAGEIF($Z$145:$Z$159,"&lt;&gt;0"),0)</f>
        <v>1.1333333333333333</v>
      </c>
      <c r="J13" s="51">
        <f>IF(SUM($AI$145:$AI$159)&gt;0,AVERAGEIF($AI$145:$AI$159,"&lt;&gt;0"),0)</f>
        <v>25.479849275673097</v>
      </c>
      <c r="K13" s="117"/>
      <c r="L13" s="188" t="s">
        <v>208</v>
      </c>
      <c r="M13" s="190">
        <f>ROUNDUP(AVERAGEIF(AI39:AI339,"&lt;&gt;0"),0)</f>
        <v>26</v>
      </c>
      <c r="N13" s="130"/>
      <c r="O13" s="117"/>
      <c r="P13" s="133" t="s">
        <v>102</v>
      </c>
      <c r="Q13" s="207">
        <v>6</v>
      </c>
      <c r="R13" s="207">
        <v>6</v>
      </c>
      <c r="S13" s="117">
        <v>2</v>
      </c>
      <c r="T13" s="117">
        <v>2</v>
      </c>
      <c r="U13" s="208">
        <v>16</v>
      </c>
      <c r="V13" s="141">
        <v>16</v>
      </c>
      <c r="W13" s="117"/>
      <c r="X13" s="243">
        <v>30</v>
      </c>
      <c r="Y13" s="243"/>
      <c r="Z13" s="243"/>
      <c r="AA13" s="117"/>
      <c r="AB13" s="117"/>
      <c r="AC13" s="117"/>
    </row>
    <row r="14" spans="1:29" x14ac:dyDescent="0.35">
      <c r="A14" s="117"/>
      <c r="B14" s="81" t="s">
        <v>103</v>
      </c>
      <c r="C14" s="47">
        <f>SUMIFS([2]!Table2_23[FIS PAX],[2]!Table2_23[ETA],"&gt;1500",[2]!Table2_23[ETA],"&lt;1516")</f>
        <v>86</v>
      </c>
      <c r="D14" s="119">
        <f>M160</f>
        <v>0</v>
      </c>
      <c r="E14" s="119">
        <f>N160</f>
        <v>16</v>
      </c>
      <c r="F14" s="119">
        <f>O160</f>
        <v>0</v>
      </c>
      <c r="G14" s="119">
        <f>P160</f>
        <v>0</v>
      </c>
      <c r="H14" s="46">
        <f>U14</f>
        <v>16</v>
      </c>
      <c r="I14" s="51">
        <f>IF(SUM($Z$160:$Z$174)&gt;0,AVERAGEIF($Z$160:$Z$174,"&lt;&gt;0"),0)</f>
        <v>1</v>
      </c>
      <c r="J14" s="51">
        <f>IF(SUM($AI$160:$AI$174)&gt;0,AVERAGEIF($AI$160:$AI$174,"&lt;&gt;0"),0)</f>
        <v>11.516323596082904</v>
      </c>
      <c r="K14" s="117"/>
      <c r="L14" s="188"/>
      <c r="M14" s="190"/>
      <c r="N14" s="130"/>
      <c r="O14" s="117"/>
      <c r="P14" s="134" t="s">
        <v>103</v>
      </c>
      <c r="Q14" s="207">
        <v>6</v>
      </c>
      <c r="R14" s="207">
        <v>6</v>
      </c>
      <c r="S14" s="117">
        <v>2</v>
      </c>
      <c r="T14" s="117">
        <v>2</v>
      </c>
      <c r="U14" s="208">
        <v>16</v>
      </c>
      <c r="V14" s="141">
        <v>16</v>
      </c>
      <c r="W14" s="117"/>
      <c r="X14" s="117"/>
      <c r="Y14" s="117"/>
      <c r="Z14" s="117"/>
      <c r="AA14" s="117"/>
      <c r="AB14" s="117"/>
      <c r="AC14" s="117"/>
    </row>
    <row r="15" spans="1:29" ht="14.5" customHeight="1" x14ac:dyDescent="0.35">
      <c r="A15" s="117"/>
      <c r="B15" s="77" t="s">
        <v>104</v>
      </c>
      <c r="C15" s="47">
        <f>SUMIFS([2]!Table2_23[FIS PAX],[2]!Table2_23[ETA],"&gt;1515",[2]!Table2_23[ETA],"&lt;1531")</f>
        <v>0</v>
      </c>
      <c r="D15" s="119">
        <f>M175</f>
        <v>6</v>
      </c>
      <c r="E15" s="119">
        <f>N175</f>
        <v>6</v>
      </c>
      <c r="F15" s="119">
        <f>O175</f>
        <v>2</v>
      </c>
      <c r="G15" s="119">
        <f>P175</f>
        <v>2</v>
      </c>
      <c r="H15" s="46">
        <f>U15</f>
        <v>16</v>
      </c>
      <c r="I15" s="51">
        <f>IF(SUM($Z$175:$Z$189)&gt;0,AVERAGEIF($Z$175:$Z$189,"&lt;&gt;0"),0)</f>
        <v>5.2</v>
      </c>
      <c r="J15" s="51">
        <f>IF(SUM($AI$175:$AI$189)&gt;0,AVERAGEIF($AI$175:$AI$189,"&lt;&gt;0"),0)</f>
        <v>35.328261700121871</v>
      </c>
      <c r="K15" s="117"/>
      <c r="L15" s="188" t="s">
        <v>210</v>
      </c>
      <c r="M15" s="189">
        <f>(COUNTIFS(Z39:Z339,"&gt;0",Z39:Z339,"&lt;=8"))/(COUNTIF(Z39:Z339,"&gt;0"))*100</f>
        <v>94.214876033057848</v>
      </c>
      <c r="N15" s="129"/>
      <c r="O15" s="209"/>
      <c r="P15" s="133" t="s">
        <v>104</v>
      </c>
      <c r="Q15" s="207">
        <v>6</v>
      </c>
      <c r="R15" s="207">
        <v>6</v>
      </c>
      <c r="S15" s="117">
        <v>2</v>
      </c>
      <c r="T15" s="117">
        <v>2</v>
      </c>
      <c r="U15" s="208">
        <v>16</v>
      </c>
      <c r="V15" s="141">
        <v>16</v>
      </c>
      <c r="W15" s="117"/>
      <c r="X15" s="117"/>
      <c r="Y15" s="117"/>
      <c r="Z15" s="117"/>
      <c r="AA15" s="117"/>
      <c r="AB15" s="117"/>
      <c r="AC15" s="117"/>
    </row>
    <row r="16" spans="1:29" x14ac:dyDescent="0.35">
      <c r="A16" s="117"/>
      <c r="B16" s="81" t="s">
        <v>105</v>
      </c>
      <c r="C16" s="47">
        <f>SUMIFS([2]!Table2_23[FIS PAX],[2]!Table2_23[ETA],"&gt;1530",[2]!Table2_23[ETA],"&lt;1546")</f>
        <v>185</v>
      </c>
      <c r="D16" s="119">
        <f>M190</f>
        <v>6</v>
      </c>
      <c r="E16" s="119">
        <f>N190</f>
        <v>10</v>
      </c>
      <c r="F16" s="119">
        <f>O190</f>
        <v>0</v>
      </c>
      <c r="G16" s="119">
        <f>P190</f>
        <v>0</v>
      </c>
      <c r="H16" s="46">
        <f>U16</f>
        <v>16</v>
      </c>
      <c r="I16" s="51">
        <f>IF(SUM($Z$190:$Z$204)&gt;0,AVERAGEIF($Z$190:$Z$204,"&lt;&gt;0"),0)</f>
        <v>1</v>
      </c>
      <c r="J16" s="51">
        <f>IF(SUM($AI$190:$AI$204)&gt;0,AVERAGEIF($AI$190:$AI$204,"&lt;&gt;0"),0)</f>
        <v>9.3417973767475893</v>
      </c>
      <c r="K16" s="117"/>
      <c r="L16" s="188"/>
      <c r="M16" s="189"/>
      <c r="N16" s="89"/>
      <c r="O16" s="117"/>
      <c r="P16" s="134" t="s">
        <v>105</v>
      </c>
      <c r="Q16" s="207">
        <v>6</v>
      </c>
      <c r="R16" s="207">
        <v>6</v>
      </c>
      <c r="S16" s="117">
        <v>2</v>
      </c>
      <c r="T16" s="117">
        <v>2</v>
      </c>
      <c r="U16" s="208">
        <v>16</v>
      </c>
      <c r="V16" s="141">
        <v>16</v>
      </c>
      <c r="W16" s="117"/>
      <c r="X16" s="117"/>
      <c r="Y16" s="117"/>
      <c r="Z16" s="117"/>
      <c r="AA16" s="117"/>
      <c r="AB16" s="117"/>
      <c r="AC16" s="117"/>
    </row>
    <row r="17" spans="1:29" x14ac:dyDescent="0.35">
      <c r="A17" s="117"/>
      <c r="B17" s="81" t="s">
        <v>106</v>
      </c>
      <c r="C17" s="47">
        <f>SUMIFS([2]!Table2_23[FIS PAX],[2]!Table2_23[ETA],"&gt;1545",[2]!Table2_23[ETA],"&lt;1601")</f>
        <v>615</v>
      </c>
      <c r="D17" s="119">
        <f>M205</f>
        <v>0</v>
      </c>
      <c r="E17" s="119">
        <f>N205</f>
        <v>12</v>
      </c>
      <c r="F17" s="119">
        <f>O205</f>
        <v>2</v>
      </c>
      <c r="G17" s="119">
        <f>P205</f>
        <v>2</v>
      </c>
      <c r="H17" s="46">
        <f>U17</f>
        <v>16</v>
      </c>
      <c r="I17" s="51">
        <f>IF(SUM($Z$205:$Z$219)&gt;0,AVERAGEIF($Z$205:$Z$219,"&lt;&gt;0"),0)</f>
        <v>1</v>
      </c>
      <c r="J17" s="51">
        <f>IF(SUM($AI$205:$AI$219)&gt;0,AVERAGEIF($AI$205:$AI$219,"&lt;&gt;0"),0)</f>
        <v>11.029552462148382</v>
      </c>
      <c r="K17" s="117"/>
      <c r="L17" s="188"/>
      <c r="M17" s="189"/>
      <c r="N17" s="89"/>
      <c r="O17" s="117"/>
      <c r="P17" s="134" t="s">
        <v>106</v>
      </c>
      <c r="Q17" s="207">
        <v>6</v>
      </c>
      <c r="R17" s="207">
        <v>6</v>
      </c>
      <c r="S17" s="117">
        <v>2</v>
      </c>
      <c r="T17" s="117">
        <v>2</v>
      </c>
      <c r="U17" s="208">
        <v>16</v>
      </c>
      <c r="V17" s="141">
        <v>16</v>
      </c>
      <c r="W17" s="117"/>
      <c r="X17" s="117"/>
      <c r="Y17" s="117"/>
      <c r="Z17" s="117"/>
      <c r="AA17" s="117"/>
      <c r="AB17" s="117"/>
      <c r="AC17" s="117"/>
    </row>
    <row r="18" spans="1:29" x14ac:dyDescent="0.35">
      <c r="A18" s="117"/>
      <c r="B18" s="81" t="s">
        <v>107</v>
      </c>
      <c r="C18" s="47">
        <f>SUMIFS([2]!Table2_23[FIS PAX],[2]!Table2_23[ETA],"&gt;1600",[2]!Table2_23[ETA],"&lt;1616")</f>
        <v>0</v>
      </c>
      <c r="D18" s="119">
        <f>M220</f>
        <v>6</v>
      </c>
      <c r="E18" s="119">
        <f>N220</f>
        <v>10</v>
      </c>
      <c r="F18" s="119">
        <f>O220</f>
        <v>0</v>
      </c>
      <c r="G18" s="119">
        <f>P220</f>
        <v>0</v>
      </c>
      <c r="H18" s="46">
        <f>U18</f>
        <v>16</v>
      </c>
      <c r="I18" s="51">
        <f>IF(SUM($Z$220:$Z$234)&gt;0,AVERAGEIF($Z$220:$Z$234,"&lt;&gt;0"),0)</f>
        <v>4.9333333333333336</v>
      </c>
      <c r="J18" s="51">
        <f>IF(SUM($AI$220:$AI$234)&gt;0,AVERAGEIF($AI$220:$AI$234,"&lt;&gt;0"),0)</f>
        <v>27.904577896951757</v>
      </c>
      <c r="K18" s="117"/>
      <c r="L18" s="188"/>
      <c r="M18" s="189"/>
      <c r="N18" s="89"/>
      <c r="O18" s="117"/>
      <c r="P18" s="134" t="s">
        <v>107</v>
      </c>
      <c r="Q18" s="207">
        <v>6</v>
      </c>
      <c r="R18" s="207">
        <v>6</v>
      </c>
      <c r="S18" s="117">
        <v>2</v>
      </c>
      <c r="T18" s="117">
        <v>2</v>
      </c>
      <c r="U18" s="208">
        <v>16</v>
      </c>
      <c r="V18" s="141">
        <v>16</v>
      </c>
      <c r="W18" s="117"/>
      <c r="X18" s="117"/>
      <c r="Y18" s="117"/>
      <c r="Z18" s="117"/>
      <c r="AA18" s="117"/>
      <c r="AB18" s="117"/>
      <c r="AC18" s="117"/>
    </row>
    <row r="19" spans="1:29" x14ac:dyDescent="0.35">
      <c r="A19" s="117"/>
      <c r="B19" s="81" t="s">
        <v>108</v>
      </c>
      <c r="C19" s="47">
        <f>SUMIFS([2]!Table2_23[FIS PAX],[2]!Table2_23[ETA],"&gt;1615",[2]!Table2_23[ETA],"&lt;1631")</f>
        <v>139</v>
      </c>
      <c r="D19" s="119">
        <f>M235</f>
        <v>6</v>
      </c>
      <c r="E19" s="119">
        <f>N235</f>
        <v>6</v>
      </c>
      <c r="F19" s="119">
        <f>O235</f>
        <v>2</v>
      </c>
      <c r="G19" s="119">
        <f>P235</f>
        <v>2</v>
      </c>
      <c r="H19" s="46">
        <f>U19</f>
        <v>16</v>
      </c>
      <c r="I19" s="51">
        <f>IF(SUM($Z$235:$Z$249)&gt;0,AVERAGEIF($Z$235:$Z$249,"&lt;&gt;0"),0)</f>
        <v>4.4000000000000004</v>
      </c>
      <c r="J19" s="51">
        <f>IF(SUM($AI$235:$AI$249)&gt;0,AVERAGEIF($AI$235:$AI$249,"&lt;&gt;0"),0)</f>
        <v>36.812742611876402</v>
      </c>
      <c r="K19" s="117"/>
      <c r="L19" s="207"/>
      <c r="M19" s="117"/>
      <c r="N19" s="89"/>
      <c r="O19" s="117"/>
      <c r="P19" s="134" t="s">
        <v>108</v>
      </c>
      <c r="Q19" s="207">
        <v>6</v>
      </c>
      <c r="R19" s="207">
        <v>6</v>
      </c>
      <c r="S19" s="117">
        <v>2</v>
      </c>
      <c r="T19" s="117">
        <v>2</v>
      </c>
      <c r="U19" s="208">
        <v>16</v>
      </c>
      <c r="V19" s="141">
        <v>16</v>
      </c>
      <c r="W19" s="117"/>
      <c r="X19" s="117"/>
      <c r="Y19" s="117"/>
      <c r="Z19" s="117"/>
      <c r="AA19" s="117"/>
      <c r="AB19" s="117"/>
      <c r="AC19" s="117"/>
    </row>
    <row r="20" spans="1:29" x14ac:dyDescent="0.35">
      <c r="A20" s="117"/>
      <c r="B20" s="81" t="s">
        <v>109</v>
      </c>
      <c r="C20" s="47">
        <f>SUMIFS([2]!Table2_23[FIS PAX],[2]!Table2_23[ETA],"&gt;1630",[2]!Table2_23[ETA],"&lt;1646")</f>
        <v>0</v>
      </c>
      <c r="D20" s="119">
        <f>M250</f>
        <v>6</v>
      </c>
      <c r="E20" s="119">
        <f>N250</f>
        <v>8</v>
      </c>
      <c r="F20" s="119">
        <f>O250</f>
        <v>2</v>
      </c>
      <c r="G20" s="119">
        <f>P250</f>
        <v>0</v>
      </c>
      <c r="H20" s="46">
        <f>U20</f>
        <v>16</v>
      </c>
      <c r="I20" s="51">
        <f>IF(SUM($Z$250:$Z$264)&gt;0,AVERAGEIF($Z$250:$Z$264,"&lt;&gt;0"),0)</f>
        <v>1.0909090909090908</v>
      </c>
      <c r="J20" s="51">
        <f>IF(SUM($AI$250:$AI$264)&gt;0,AVERAGEIF($AI$250:$AI$264,"&lt;&gt;0"),0)</f>
        <v>26.863159153496362</v>
      </c>
      <c r="K20" s="117"/>
      <c r="L20" s="117"/>
      <c r="M20" s="117"/>
      <c r="N20" s="89"/>
      <c r="O20" s="117"/>
      <c r="P20" s="134" t="s">
        <v>109</v>
      </c>
      <c r="Q20" s="207">
        <v>6</v>
      </c>
      <c r="R20" s="207">
        <v>6</v>
      </c>
      <c r="S20" s="117">
        <v>2</v>
      </c>
      <c r="T20" s="117">
        <v>2</v>
      </c>
      <c r="U20" s="208">
        <v>16</v>
      </c>
      <c r="V20" s="141">
        <v>16</v>
      </c>
      <c r="W20" s="117"/>
      <c r="X20" s="117"/>
      <c r="Y20" s="117"/>
      <c r="Z20" s="117"/>
      <c r="AA20" s="117"/>
      <c r="AB20" s="117"/>
      <c r="AC20" s="117"/>
    </row>
    <row r="21" spans="1:29" x14ac:dyDescent="0.35">
      <c r="A21" s="117"/>
      <c r="B21" s="81" t="s">
        <v>110</v>
      </c>
      <c r="C21" s="47">
        <f>SUMIFS([2]!Table2_23[FIS PAX],[2]!Table2_23[ETA],"&gt;1645",[2]!Table2_23[ETA],"&lt;1701")</f>
        <v>272</v>
      </c>
      <c r="D21" s="119">
        <f>M265</f>
        <v>0</v>
      </c>
      <c r="E21" s="119">
        <f>N265</f>
        <v>14</v>
      </c>
      <c r="F21" s="119">
        <f>O265</f>
        <v>0</v>
      </c>
      <c r="G21" s="119">
        <f>P265</f>
        <v>2</v>
      </c>
      <c r="H21" s="46">
        <f>U21</f>
        <v>16</v>
      </c>
      <c r="I21" s="51">
        <f>IF(SUM($Z$265:$Z$279)&gt;0,AVERAGEIF($Z$265:$Z$279,"&lt;&gt;0"),0)</f>
        <v>1</v>
      </c>
      <c r="J21" s="51">
        <f>IF(SUM($AI$265:$AI$279)&gt;0,AVERAGEIF($AI$265:$AI$279,"&lt;&gt;0"),0)</f>
        <v>5.8576852927553125</v>
      </c>
      <c r="K21" s="117"/>
      <c r="L21" s="117"/>
      <c r="M21" s="117"/>
      <c r="N21" s="89"/>
      <c r="O21" s="117"/>
      <c r="P21" s="134" t="s">
        <v>110</v>
      </c>
      <c r="Q21" s="207">
        <v>6</v>
      </c>
      <c r="R21" s="207">
        <v>6</v>
      </c>
      <c r="S21" s="117">
        <v>2</v>
      </c>
      <c r="T21" s="117">
        <v>2</v>
      </c>
      <c r="U21" s="208">
        <v>16</v>
      </c>
      <c r="V21" s="141">
        <v>16</v>
      </c>
      <c r="W21" s="117"/>
      <c r="X21" s="117"/>
      <c r="Y21" s="117"/>
      <c r="Z21" s="117"/>
      <c r="AA21" s="117"/>
      <c r="AB21" s="117"/>
      <c r="AC21" s="117"/>
    </row>
    <row r="22" spans="1:29" x14ac:dyDescent="0.35">
      <c r="A22" s="117"/>
      <c r="B22" s="81" t="s">
        <v>111</v>
      </c>
      <c r="C22" s="47">
        <f>SUMIFS([2]!Table2_23[FIS PAX],[2]!Table2_23[ETA],"&gt;1700",[2]!Table2_23[ETA],"&lt;1716")</f>
        <v>104</v>
      </c>
      <c r="D22" s="119">
        <f>M280</f>
        <v>6</v>
      </c>
      <c r="E22" s="119">
        <f>N280</f>
        <v>8</v>
      </c>
      <c r="F22" s="119">
        <f>O280</f>
        <v>2</v>
      </c>
      <c r="G22" s="119">
        <f>P280</f>
        <v>0</v>
      </c>
      <c r="H22" s="46">
        <f>U22</f>
        <v>16</v>
      </c>
      <c r="I22" s="51">
        <f>IF(SUM($Z$280:$Z$294)&gt;0,AVERAGEIF($Z$280:$Z$294,"&lt;&gt;0"),0)</f>
        <v>1.1538461538461537</v>
      </c>
      <c r="J22" s="51">
        <f>IF(SUM($AI$280:$AI$294)&gt;0,AVERAGEIF($AI$280:$AI$294,"&lt;&gt;0"),0)</f>
        <v>23.282243603403167</v>
      </c>
      <c r="K22" s="117"/>
      <c r="L22" s="117"/>
      <c r="M22" s="117"/>
      <c r="N22" s="89"/>
      <c r="O22" s="117"/>
      <c r="P22" s="134" t="s">
        <v>111</v>
      </c>
      <c r="Q22" s="207">
        <v>6</v>
      </c>
      <c r="R22" s="207">
        <v>6</v>
      </c>
      <c r="S22" s="117">
        <v>2</v>
      </c>
      <c r="T22" s="117">
        <v>2</v>
      </c>
      <c r="U22" s="208">
        <v>16</v>
      </c>
      <c r="V22" s="141">
        <v>16</v>
      </c>
      <c r="W22" s="117"/>
      <c r="X22" s="117"/>
      <c r="Y22" s="117"/>
      <c r="Z22" s="117"/>
      <c r="AA22" s="117"/>
      <c r="AB22" s="117"/>
      <c r="AC22" s="117"/>
    </row>
    <row r="23" spans="1:29" x14ac:dyDescent="0.35">
      <c r="A23" s="117"/>
      <c r="B23" s="81" t="s">
        <v>112</v>
      </c>
      <c r="C23" s="47">
        <f>SUMIFS([2]!Table2_23[FIS PAX],[2]!Table2_23[ETA],"&gt;1715",[2]!Table2_23[ETA],"&lt;1731")</f>
        <v>0</v>
      </c>
      <c r="D23" s="119">
        <f>M295</f>
        <v>0</v>
      </c>
      <c r="E23" s="119">
        <f>N295</f>
        <v>14</v>
      </c>
      <c r="F23" s="119">
        <f>O295</f>
        <v>0</v>
      </c>
      <c r="G23" s="119">
        <f>P295</f>
        <v>2</v>
      </c>
      <c r="H23" s="46">
        <f>U23</f>
        <v>16</v>
      </c>
      <c r="I23" s="51">
        <f>IF(SUM($Z$295:$Z$309)&gt;0,AVERAGEIF($Z$295:$Z$309,"&lt;&gt;0"),0)</f>
        <v>1</v>
      </c>
      <c r="J23" s="51">
        <f>IF(SUM($AI$295:$AI$309)&gt;0,AVERAGEIF($AI$295:$AI$309,"&lt;&gt;0"),0)</f>
        <v>16.759117679580697</v>
      </c>
      <c r="K23" s="117"/>
      <c r="L23" s="117"/>
      <c r="M23" s="117"/>
      <c r="N23" s="89"/>
      <c r="O23" s="117"/>
      <c r="P23" s="134" t="s">
        <v>112</v>
      </c>
      <c r="Q23" s="207">
        <v>6</v>
      </c>
      <c r="R23" s="207">
        <v>6</v>
      </c>
      <c r="S23" s="117">
        <v>2</v>
      </c>
      <c r="T23" s="117">
        <v>2</v>
      </c>
      <c r="U23" s="208">
        <v>16</v>
      </c>
      <c r="V23" s="141">
        <v>16</v>
      </c>
      <c r="W23" s="117"/>
      <c r="X23" s="117"/>
      <c r="Y23" s="117"/>
      <c r="Z23" s="117"/>
      <c r="AA23" s="117"/>
      <c r="AB23" s="117"/>
      <c r="AC23" s="117"/>
    </row>
    <row r="24" spans="1:29" x14ac:dyDescent="0.35">
      <c r="A24" s="117"/>
      <c r="B24" s="77" t="s">
        <v>113</v>
      </c>
      <c r="C24" s="47">
        <f>SUMIFS([2]!Table2_23[FIS PAX],[2]!Table2_23[ETA],"&gt;1730",[2]!Table2_23[ETA],"&lt;1746")</f>
        <v>0</v>
      </c>
      <c r="D24" s="119">
        <f>M310</f>
        <v>6</v>
      </c>
      <c r="E24" s="119">
        <f>N310</f>
        <v>8</v>
      </c>
      <c r="F24" s="119">
        <f>O310</f>
        <v>2</v>
      </c>
      <c r="G24" s="119">
        <f>P310</f>
        <v>0</v>
      </c>
      <c r="H24" s="46">
        <f>U24</f>
        <v>16</v>
      </c>
      <c r="I24" s="51">
        <f>IF(SUM($Z$310:$Z$324)&gt;0,AVERAGEIF($Z$310:$Z$324,"&lt;&gt;0"),0)</f>
        <v>1.75</v>
      </c>
      <c r="J24" s="51">
        <f>IF(SUM($AI$310:$AI$324)&gt;0,AVERAGEIF($AI$310:$AI$324,"&lt;&gt;0"),0)</f>
        <v>23.113657538930887</v>
      </c>
      <c r="K24" s="207"/>
      <c r="L24" s="207"/>
      <c r="M24" s="207"/>
      <c r="N24" s="130"/>
      <c r="O24" s="207"/>
      <c r="P24" s="133" t="s">
        <v>113</v>
      </c>
      <c r="Q24" s="207">
        <v>6</v>
      </c>
      <c r="R24" s="207">
        <v>6</v>
      </c>
      <c r="S24" s="117">
        <v>2</v>
      </c>
      <c r="T24" s="117">
        <v>2</v>
      </c>
      <c r="U24" s="208">
        <v>16</v>
      </c>
      <c r="V24" s="141">
        <v>16</v>
      </c>
      <c r="W24" s="117"/>
      <c r="X24" s="117"/>
      <c r="Y24" s="117"/>
      <c r="Z24" s="117"/>
      <c r="AA24" s="117"/>
      <c r="AB24" s="117"/>
      <c r="AC24" s="117"/>
    </row>
    <row r="25" spans="1:29" ht="15" thickBot="1" x14ac:dyDescent="0.4">
      <c r="A25" s="117"/>
      <c r="B25" s="84" t="s">
        <v>114</v>
      </c>
      <c r="C25" s="53">
        <f>SUMIFS([2]!Table2_23[FIS PAX],[2]!Table2_23[ETA],"&gt;1745",[2]!Table2_23[ETA],"&lt;1801")</f>
        <v>0</v>
      </c>
      <c r="D25" s="131">
        <f>M325</f>
        <v>0</v>
      </c>
      <c r="E25" s="131">
        <f>N325</f>
        <v>16</v>
      </c>
      <c r="F25" s="131">
        <f>O325</f>
        <v>0</v>
      </c>
      <c r="G25" s="131">
        <f>P325</f>
        <v>0</v>
      </c>
      <c r="H25" s="54">
        <f>U25</f>
        <v>16</v>
      </c>
      <c r="I25" s="51">
        <f>IF(SUM($Z$325:$Z$339)&gt;0,AVERAGEIF($Z$325:$Z$339,"&lt;&gt;0"),0)</f>
        <v>0</v>
      </c>
      <c r="J25" s="51">
        <f>IF(SUM($AI$325:$AI$339)&gt;0,AVERAGEIF($AI$325:$AI$339,"&lt;&gt;0"),0)</f>
        <v>0</v>
      </c>
      <c r="K25" s="86"/>
      <c r="L25" s="86"/>
      <c r="M25" s="86"/>
      <c r="N25" s="132"/>
      <c r="O25" s="207"/>
      <c r="P25" s="136" t="s">
        <v>114</v>
      </c>
      <c r="Q25" s="207">
        <v>6</v>
      </c>
      <c r="R25" s="207">
        <v>6</v>
      </c>
      <c r="S25" s="117">
        <v>2</v>
      </c>
      <c r="T25" s="117">
        <v>2</v>
      </c>
      <c r="U25" s="208">
        <v>16</v>
      </c>
      <c r="V25" s="141">
        <v>16</v>
      </c>
      <c r="W25" s="117"/>
      <c r="X25" s="117"/>
      <c r="Y25" s="117"/>
      <c r="Z25" s="117"/>
      <c r="AA25" s="117"/>
      <c r="AB25" s="117"/>
      <c r="AC25" s="117"/>
    </row>
    <row r="26" spans="1:29" ht="15" thickBot="1" x14ac:dyDescent="0.4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</row>
    <row r="27" spans="1:29" ht="21" x14ac:dyDescent="0.5">
      <c r="A27" s="117"/>
      <c r="B27" s="167" t="s">
        <v>141</v>
      </c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7"/>
      <c r="U27" s="242"/>
      <c r="V27" s="242"/>
      <c r="W27" s="242"/>
      <c r="X27" s="242"/>
      <c r="Y27" s="117"/>
      <c r="Z27" s="117"/>
      <c r="AA27" s="117"/>
    </row>
    <row r="28" spans="1:29" x14ac:dyDescent="0.35">
      <c r="A28" s="117"/>
      <c r="B28" s="88"/>
      <c r="C28" s="117"/>
      <c r="D28" s="117"/>
      <c r="E28" s="117"/>
      <c r="F28" s="117"/>
      <c r="G28" s="241"/>
      <c r="H28" s="178" t="s">
        <v>144</v>
      </c>
      <c r="I28" s="178"/>
      <c r="J28" s="178"/>
      <c r="K28" s="117"/>
      <c r="L28" s="117"/>
      <c r="M28" s="117"/>
      <c r="N28" s="117"/>
      <c r="O28" s="117"/>
      <c r="P28" s="117"/>
      <c r="Q28" s="117"/>
      <c r="R28" s="117"/>
      <c r="S28" s="179" t="s">
        <v>174</v>
      </c>
      <c r="T28" s="180"/>
      <c r="U28" s="117"/>
      <c r="V28" s="117"/>
      <c r="W28" s="117"/>
      <c r="X28" s="117"/>
      <c r="Y28" s="117"/>
      <c r="Z28" s="117"/>
      <c r="AA28" s="117"/>
    </row>
    <row r="29" spans="1:29" ht="29" customHeight="1" x14ac:dyDescent="0.35">
      <c r="A29" s="117"/>
      <c r="B29" s="181" t="s">
        <v>1</v>
      </c>
      <c r="C29" s="182"/>
      <c r="D29" s="117"/>
      <c r="E29" s="183" t="s">
        <v>133</v>
      </c>
      <c r="F29" s="183" t="s">
        <v>175</v>
      </c>
      <c r="G29" s="145"/>
      <c r="H29" s="25"/>
      <c r="I29" s="97" t="s">
        <v>146</v>
      </c>
      <c r="J29" s="97" t="s">
        <v>145</v>
      </c>
      <c r="K29" s="117"/>
      <c r="L29" s="183" t="s">
        <v>137</v>
      </c>
      <c r="M29" s="117"/>
      <c r="N29" s="183" t="s">
        <v>84</v>
      </c>
      <c r="O29" s="117"/>
      <c r="P29" s="186" t="s">
        <v>88</v>
      </c>
      <c r="Q29" s="183" t="s">
        <v>115</v>
      </c>
      <c r="R29" s="117"/>
      <c r="S29" s="80" t="s">
        <v>85</v>
      </c>
      <c r="T29" s="239">
        <v>16</v>
      </c>
      <c r="U29" s="117"/>
      <c r="V29" s="117"/>
      <c r="W29" s="117"/>
      <c r="X29" s="117"/>
      <c r="Y29" s="117"/>
      <c r="Z29" s="117"/>
      <c r="AA29" s="117"/>
    </row>
    <row r="30" spans="1:29" x14ac:dyDescent="0.35">
      <c r="A30" s="117"/>
      <c r="B30" s="98" t="s">
        <v>2</v>
      </c>
      <c r="C30" s="94">
        <v>0.55279999999999996</v>
      </c>
      <c r="D30" s="117"/>
      <c r="E30" s="184"/>
      <c r="F30" s="184"/>
      <c r="G30" s="240"/>
      <c r="H30" s="80" t="s">
        <v>2</v>
      </c>
      <c r="I30" s="80">
        <v>0.40386</v>
      </c>
      <c r="J30" s="80">
        <f>1/I30</f>
        <v>2.4761055811419799</v>
      </c>
      <c r="K30" s="117"/>
      <c r="L30" s="184"/>
      <c r="M30" s="117"/>
      <c r="N30" s="184"/>
      <c r="O30" s="117"/>
      <c r="P30" s="187"/>
      <c r="Q30" s="184"/>
      <c r="R30" s="117"/>
      <c r="S30" s="80" t="s">
        <v>39</v>
      </c>
      <c r="T30" s="239">
        <v>3</v>
      </c>
      <c r="U30" s="117"/>
      <c r="V30" s="117"/>
      <c r="W30" s="117"/>
      <c r="X30" s="117"/>
      <c r="Y30" s="117"/>
      <c r="Z30" s="117"/>
      <c r="AA30" s="117"/>
    </row>
    <row r="31" spans="1:29" x14ac:dyDescent="0.35">
      <c r="A31" s="117"/>
      <c r="B31" s="98" t="s">
        <v>3</v>
      </c>
      <c r="C31" s="94">
        <v>0.23730000000000001</v>
      </c>
      <c r="D31" s="117"/>
      <c r="E31" s="206">
        <v>18</v>
      </c>
      <c r="F31" s="165">
        <f>ROUNDUP(4.93,0)</f>
        <v>5</v>
      </c>
      <c r="G31" s="145"/>
      <c r="H31" s="80" t="s">
        <v>3</v>
      </c>
      <c r="I31" s="80">
        <v>1.7152540000000001</v>
      </c>
      <c r="J31" s="80">
        <f>1/I31</f>
        <v>0.58300403322190186</v>
      </c>
      <c r="K31" s="117"/>
      <c r="L31" s="184"/>
      <c r="M31" s="117"/>
      <c r="N31" s="184"/>
      <c r="O31" s="117"/>
      <c r="P31" s="187"/>
      <c r="Q31" s="184"/>
      <c r="R31" s="117"/>
      <c r="S31" s="80" t="s">
        <v>87</v>
      </c>
      <c r="T31" s="239">
        <v>10</v>
      </c>
      <c r="U31" s="117"/>
      <c r="V31" s="117"/>
      <c r="W31" s="117"/>
      <c r="X31" s="117"/>
      <c r="Y31" s="117"/>
      <c r="Z31" s="117"/>
      <c r="AA31" s="117"/>
    </row>
    <row r="32" spans="1:29" x14ac:dyDescent="0.35">
      <c r="A32" s="117"/>
      <c r="B32" s="98" t="s">
        <v>5</v>
      </c>
      <c r="C32" s="94">
        <v>0.1636</v>
      </c>
      <c r="D32" s="117"/>
      <c r="E32" s="206"/>
      <c r="F32" s="165"/>
      <c r="G32" s="240"/>
      <c r="H32" s="80" t="s">
        <v>5</v>
      </c>
      <c r="I32" s="80">
        <v>0.34260699999999999</v>
      </c>
      <c r="J32" s="80">
        <f>1/I32</f>
        <v>2.9187961717069411</v>
      </c>
      <c r="K32" s="117"/>
      <c r="L32" s="185"/>
      <c r="M32" s="117"/>
      <c r="N32" s="184"/>
      <c r="O32" s="117"/>
      <c r="P32" s="187"/>
      <c r="Q32" s="184"/>
      <c r="R32" s="117"/>
      <c r="S32" s="80" t="s">
        <v>86</v>
      </c>
      <c r="T32" s="239">
        <v>15</v>
      </c>
      <c r="U32" s="117"/>
      <c r="V32" s="117"/>
      <c r="W32" s="117"/>
      <c r="X32" s="117"/>
      <c r="Y32" s="117"/>
      <c r="Z32" s="117"/>
      <c r="AA32" s="117"/>
    </row>
    <row r="33" spans="1:35" ht="15" thickBot="1" x14ac:dyDescent="0.4">
      <c r="A33" s="117"/>
      <c r="B33" s="99" t="s">
        <v>4</v>
      </c>
      <c r="C33" s="100">
        <v>4.6300000000000001E-2</v>
      </c>
      <c r="D33" s="92"/>
      <c r="E33" s="204"/>
      <c r="F33" s="166"/>
      <c r="G33" s="238"/>
      <c r="H33" s="87" t="s">
        <v>4</v>
      </c>
      <c r="I33" s="87">
        <v>0.46287899999999998</v>
      </c>
      <c r="J33" s="87">
        <f>1/I33</f>
        <v>2.1603918086584182</v>
      </c>
      <c r="K33" s="92"/>
      <c r="L33" s="85">
        <v>0.85</v>
      </c>
      <c r="M33" s="92"/>
      <c r="N33" s="102">
        <f>ROUNDUP(4.05,0)</f>
        <v>5</v>
      </c>
      <c r="O33" s="92"/>
      <c r="P33" s="87">
        <v>8.3868649946370943E-2</v>
      </c>
      <c r="Q33" s="87">
        <f>1/P33</f>
        <v>11.923406429451781</v>
      </c>
      <c r="R33" s="92"/>
      <c r="S33" s="87" t="s">
        <v>126</v>
      </c>
      <c r="T33" s="55">
        <f>AVERAGE(T29:T32)</f>
        <v>11</v>
      </c>
      <c r="U33" s="117"/>
      <c r="V33" s="117"/>
      <c r="W33" s="117"/>
      <c r="X33" s="117"/>
      <c r="Y33" s="117"/>
      <c r="Z33" s="117"/>
      <c r="AA33" s="117"/>
    </row>
    <row r="34" spans="1:35" ht="15" thickBot="1" x14ac:dyDescent="0.4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</row>
    <row r="35" spans="1:35" ht="21" x14ac:dyDescent="0.5">
      <c r="A35" s="117"/>
      <c r="B35" s="167" t="s">
        <v>142</v>
      </c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9"/>
    </row>
    <row r="36" spans="1:35" x14ac:dyDescent="0.35">
      <c r="A36" s="117"/>
      <c r="B36" s="170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2"/>
    </row>
    <row r="37" spans="1:35" ht="14.5" customHeight="1" x14ac:dyDescent="0.35">
      <c r="A37" s="117"/>
      <c r="B37" s="56" t="s">
        <v>147</v>
      </c>
      <c r="C37" s="173" t="s">
        <v>135</v>
      </c>
      <c r="D37" s="174"/>
      <c r="E37" s="173" t="s">
        <v>136</v>
      </c>
      <c r="F37" s="175"/>
      <c r="G37" s="175"/>
      <c r="H37" s="174"/>
      <c r="I37" s="173" t="s">
        <v>91</v>
      </c>
      <c r="J37" s="175"/>
      <c r="K37" s="175"/>
      <c r="L37" s="174"/>
      <c r="M37" s="173" t="s">
        <v>92</v>
      </c>
      <c r="N37" s="175"/>
      <c r="O37" s="175"/>
      <c r="P37" s="175"/>
      <c r="Q37" s="174"/>
      <c r="R37" s="173" t="s">
        <v>93</v>
      </c>
      <c r="S37" s="175"/>
      <c r="T37" s="175"/>
      <c r="U37" s="174"/>
      <c r="V37" s="173" t="s">
        <v>95</v>
      </c>
      <c r="W37" s="175"/>
      <c r="X37" s="175"/>
      <c r="Y37" s="174"/>
      <c r="Z37" s="49" t="s">
        <v>202</v>
      </c>
      <c r="AA37" s="158" t="s">
        <v>116</v>
      </c>
      <c r="AB37" s="158"/>
      <c r="AC37" s="158"/>
      <c r="AD37" s="158"/>
      <c r="AE37" s="158"/>
      <c r="AF37" s="23" t="s">
        <v>117</v>
      </c>
      <c r="AG37" s="23" t="s">
        <v>118</v>
      </c>
      <c r="AH37" s="222" t="s">
        <v>125</v>
      </c>
      <c r="AI37" s="139" t="s">
        <v>205</v>
      </c>
    </row>
    <row r="38" spans="1:35" ht="43.5" x14ac:dyDescent="0.35">
      <c r="A38" s="1" t="s">
        <v>89</v>
      </c>
      <c r="B38" s="56" t="s">
        <v>90</v>
      </c>
      <c r="C38" s="50" t="s">
        <v>139</v>
      </c>
      <c r="D38" s="43" t="s">
        <v>134</v>
      </c>
      <c r="E38" s="24" t="s">
        <v>2</v>
      </c>
      <c r="F38" s="25" t="s">
        <v>6</v>
      </c>
      <c r="G38" s="25" t="s">
        <v>5</v>
      </c>
      <c r="H38" s="24" t="s">
        <v>4</v>
      </c>
      <c r="I38" s="24" t="s">
        <v>2</v>
      </c>
      <c r="J38" s="25" t="s">
        <v>6</v>
      </c>
      <c r="K38" s="25" t="s">
        <v>5</v>
      </c>
      <c r="L38" s="24" t="s">
        <v>4</v>
      </c>
      <c r="M38" s="24" t="s">
        <v>2</v>
      </c>
      <c r="N38" s="25" t="s">
        <v>6</v>
      </c>
      <c r="O38" s="25" t="s">
        <v>5</v>
      </c>
      <c r="P38" s="24" t="s">
        <v>4</v>
      </c>
      <c r="Q38" s="24" t="s">
        <v>94</v>
      </c>
      <c r="R38" s="24" t="s">
        <v>2</v>
      </c>
      <c r="S38" s="25" t="s">
        <v>6</v>
      </c>
      <c r="T38" s="25" t="s">
        <v>5</v>
      </c>
      <c r="U38" s="24" t="s">
        <v>4</v>
      </c>
      <c r="V38" s="24" t="s">
        <v>2</v>
      </c>
      <c r="W38" s="25" t="s">
        <v>6</v>
      </c>
      <c r="X38" s="25" t="s">
        <v>5</v>
      </c>
      <c r="Y38" s="24" t="s">
        <v>4</v>
      </c>
      <c r="Z38" s="24" t="s">
        <v>203</v>
      </c>
      <c r="AA38" s="24" t="s">
        <v>2</v>
      </c>
      <c r="AB38" s="25" t="s">
        <v>6</v>
      </c>
      <c r="AC38" s="25" t="s">
        <v>5</v>
      </c>
      <c r="AD38" s="24" t="s">
        <v>4</v>
      </c>
      <c r="AE38" s="24" t="s">
        <v>94</v>
      </c>
      <c r="AF38" s="24" t="s">
        <v>94</v>
      </c>
      <c r="AG38" s="24" t="s">
        <v>94</v>
      </c>
      <c r="AH38" s="237" t="s">
        <v>94</v>
      </c>
      <c r="AI38" s="203" t="s">
        <v>94</v>
      </c>
    </row>
    <row r="39" spans="1:35" x14ac:dyDescent="0.35">
      <c r="A39" s="48">
        <v>1300</v>
      </c>
      <c r="B39" s="58">
        <f>SUMIF([2]!Table2_23[ETA],'FIS Optimal Model (3)'!A39,[2]!Table2_23[FIS PAX])</f>
        <v>0</v>
      </c>
      <c r="C39" s="44">
        <f>MIN($E$31,D39)</f>
        <v>0</v>
      </c>
      <c r="D39" s="52">
        <f>IF(B39=0,0,18)</f>
        <v>0</v>
      </c>
      <c r="E39" s="26">
        <f>$C$30*C39</f>
        <v>0</v>
      </c>
      <c r="F39" s="26">
        <f>$C$31*C39</f>
        <v>0</v>
      </c>
      <c r="G39" s="26">
        <f>$C$32*C39</f>
        <v>0</v>
      </c>
      <c r="H39" s="26">
        <f>$C$33*C39</f>
        <v>0</v>
      </c>
      <c r="I39" s="27">
        <v>0</v>
      </c>
      <c r="J39" s="27">
        <v>0</v>
      </c>
      <c r="K39" s="27">
        <v>0</v>
      </c>
      <c r="L39" s="27">
        <v>0</v>
      </c>
      <c r="M39" s="28">
        <f>Q6</f>
        <v>2</v>
      </c>
      <c r="N39" s="28">
        <f>R6</f>
        <v>2</v>
      </c>
      <c r="O39" s="28">
        <f>S6</f>
        <v>1</v>
      </c>
      <c r="P39" s="28">
        <f>T6</f>
        <v>1</v>
      </c>
      <c r="Q39" s="28">
        <f>SUM(M39:P39)</f>
        <v>6</v>
      </c>
      <c r="R39" s="22">
        <f>E39</f>
        <v>0</v>
      </c>
      <c r="S39" s="22">
        <f>F39</f>
        <v>0</v>
      </c>
      <c r="T39" s="22">
        <f>G39</f>
        <v>0</v>
      </c>
      <c r="U39" s="22">
        <f>H39</f>
        <v>0</v>
      </c>
      <c r="V39" s="21">
        <f>R39*$I$30</f>
        <v>0</v>
      </c>
      <c r="W39" s="21">
        <f>S39*$I$31</f>
        <v>0</v>
      </c>
      <c r="X39" s="21">
        <f>T39*$I$32</f>
        <v>0</v>
      </c>
      <c r="Y39" s="21">
        <f>U39*$I$33</f>
        <v>0</v>
      </c>
      <c r="Z39" s="221">
        <f>ROUNDUP(SUM(V39*$C$30,W39*$C$31,X39*$C$32,Y39*$C$33),0)</f>
        <v>0</v>
      </c>
      <c r="AA39" s="30">
        <f>IF(R39&lt;&gt;0,($J$30*M39*$L$33),0)</f>
        <v>0</v>
      </c>
      <c r="AB39" s="30">
        <f>IF(W39&lt;&gt;0,($J$31*N39*$L$33),0)</f>
        <v>0</v>
      </c>
      <c r="AC39" s="30">
        <f>IF(X39&lt;&gt;0,($J$32*O39*$L$33),0)</f>
        <v>0</v>
      </c>
      <c r="AD39" s="30">
        <f>IF(Y39&lt;&gt;0,($J$33*P39*$L$33),0)</f>
        <v>0</v>
      </c>
      <c r="AE39" s="32">
        <f>SUM(AA39:AD39)</f>
        <v>0</v>
      </c>
      <c r="AF39" s="33">
        <v>0</v>
      </c>
      <c r="AG39" s="40">
        <v>0</v>
      </c>
      <c r="AH39" s="224">
        <f>AG39*$P$33</f>
        <v>0</v>
      </c>
      <c r="AI39" s="227">
        <f>SUM(Z39,IF(Z39&lt;&gt;0,$F$31,0),IF(Z39&lt;&gt;0,$N$33,0),IF(Z39&lt;&gt;0,$T$33,0),IF(Z39=0,AH44,IF(Z39=1,AH45,IF(Z39=2,AH46,IF(Z39=3,AH47,IF(Z39=4,AH48,IF(Z39=5,AH49,IF(Z39=6,AH50,IF(Z39=7,AH51,IF(Z39=8,AH52,IF(Z39=9,AH53,IF(Z39=10,AH54,IF(Z39=11,AH55,IF(Z39=12,AH56,IF(Z39=13,AH57,IF(Z39=14,AH58,IF(Z39=15,AH59,IF(Z39=16,AH60,IF(Z39=17,AH61,IF(Z39=18,AH62,IF(Z39=19,AH63,IF(Z39=20,AH64,IF(Z39=21,AH65,IF(Z39=22,AH66,IF(Z39=23,AH67,IF(Z39=24,AH68,IF(Z39=25,AH69,IF(Z39=26,AH70,IF(Z39=27,AH71,IF(Z39=28,AH72,IF(Z39=29,AH73,IF(Z39=30,AH74))))))))))))))))))))))))))))))))</f>
        <v>0</v>
      </c>
    </row>
    <row r="40" spans="1:35" x14ac:dyDescent="0.35">
      <c r="A40" s="48">
        <v>1301</v>
      </c>
      <c r="B40" s="58">
        <f>SUMIF([2]!Table2_23[ETA],'FIS Optimal Model (3)'!A40,[2]!Table2_23[FIS PAX])</f>
        <v>0</v>
      </c>
      <c r="C40" s="44">
        <f>IF((D39-D40)&gt;-1,(D39-D40),18)</f>
        <v>0</v>
      </c>
      <c r="D40" s="52">
        <v>0</v>
      </c>
      <c r="E40" s="26">
        <f>$C$30*C40</f>
        <v>0</v>
      </c>
      <c r="F40" s="26">
        <f>$C$31*C40</f>
        <v>0</v>
      </c>
      <c r="G40" s="26">
        <f>$C$32*C40</f>
        <v>0</v>
      </c>
      <c r="H40" s="26">
        <f>$C$33*C40</f>
        <v>0</v>
      </c>
      <c r="I40" s="27">
        <v>0</v>
      </c>
      <c r="J40" s="27">
        <v>0</v>
      </c>
      <c r="K40" s="27">
        <v>0</v>
      </c>
      <c r="L40" s="27">
        <v>0</v>
      </c>
      <c r="M40" s="28">
        <f>IF(R39=0,0,$Q$6)</f>
        <v>0</v>
      </c>
      <c r="N40" s="29">
        <f>$U$6-M40-O40-P40</f>
        <v>6</v>
      </c>
      <c r="O40" s="28">
        <f>IF(T39=0,0,$S$6)</f>
        <v>0</v>
      </c>
      <c r="P40" s="28">
        <f>IF(U39=0,0,$T$6)</f>
        <v>0</v>
      </c>
      <c r="Q40" s="28">
        <f>SUM(M40:P40)</f>
        <v>6</v>
      </c>
      <c r="R40" s="22">
        <f>MAX(R39-($J$30*M40*$L$33)+I40,0)</f>
        <v>0</v>
      </c>
      <c r="S40" s="22">
        <f>IF(U40&lt;&gt;0,(MAX(S39-($J$31*N40*$L$33)+J40,0)),(MAX(S39-($J$31*(N40+P40)*$L$33)+J40,0)))</f>
        <v>0</v>
      </c>
      <c r="T40" s="22">
        <f>MAX(T39-($J$32*O40*$L$33)+K40,0)</f>
        <v>0</v>
      </c>
      <c r="U40" s="22">
        <f>MAX(U39-($J$33*P40*$L$33)+L40,0)</f>
        <v>0</v>
      </c>
      <c r="V40" s="21">
        <f>IFERROR(R40*($I$30/M40),0)</f>
        <v>0</v>
      </c>
      <c r="W40" s="21">
        <f>S40*($I$31/N40)</f>
        <v>0</v>
      </c>
      <c r="X40" s="21">
        <f>IFERROR(T40*($I$32/O40),0)</f>
        <v>0</v>
      </c>
      <c r="Y40" s="21">
        <f>IFERROR(U40*($I$33/P40),0)</f>
        <v>0</v>
      </c>
      <c r="Z40" s="221">
        <f>ROUNDUP(SUM(V40*$C$30,W40*$C$31,X40*$C$32,Y40*$C$33),0)</f>
        <v>0</v>
      </c>
      <c r="AA40" s="30">
        <f>IF(R40&lt;&gt;0,($J$30*M40*$L$33),0)</f>
        <v>0</v>
      </c>
      <c r="AB40" s="30">
        <f>IF(W40&lt;&gt;0,($J$31*N40*$L$33),0)</f>
        <v>0</v>
      </c>
      <c r="AC40" s="30">
        <f>IF(X40&lt;&gt;0,($J$32*O40*$L$33),0)</f>
        <v>0</v>
      </c>
      <c r="AD40" s="30">
        <f>IF(Y40&lt;&gt;0,($J$33*P40*$L$33),0)</f>
        <v>0</v>
      </c>
      <c r="AE40" s="32">
        <f>SUM(AA40:AD40)</f>
        <v>0</v>
      </c>
      <c r="AF40" s="33">
        <v>0</v>
      </c>
      <c r="AG40" s="40">
        <f>MAX(AG39-$Q$33+AF40,0)</f>
        <v>0</v>
      </c>
      <c r="AH40" s="224">
        <f>AG40*$P$33</f>
        <v>0</v>
      </c>
      <c r="AI40" s="227">
        <f>SUM(Z40,IF(Z40&lt;&gt;0,$F$31,0),IF(Z40&lt;&gt;0,$N$33,0),IF(Z40&lt;&gt;0,$T$33,0),IF(Z40=0,AH45,IF(Z40=1,AH46,IF(Z40=2,AH47,IF(Z40=3,AH48,IF(Z40=4,AH49,IF(Z40=5,AH50,IF(Z40=6,AH51,IF(Z40=7,AH52,IF(Z40=8,AH53,IF(Z40=9,AH54,IF(Z40=10,AH55,IF(Z40=11,AH56,IF(Z40=12,AH57,IF(Z40=13,AH58,IF(Z40=14,AH59,IF(Z40=15,AH60,IF(Z40=16,AH61,IF(Z40=17,AH62,IF(Z40=18,AH63,IF(Z40=19,AH64,IF(Z40=20,AH65,IF(Z40=21,AH66,IF(Z40=22,AH67,IF(Z40=23,AH68,IF(Z40=24,AH69,IF(Z40=25,AH70,IF(Z40=26,AH71,IF(Z40=27,AH72,IF(Z40=28,AH73,IF(Z40=29,AH74,IF(Z40=30,AH75))))))))))))))))))))))))))))))))</f>
        <v>0</v>
      </c>
    </row>
    <row r="41" spans="1:35" x14ac:dyDescent="0.35">
      <c r="A41" s="48">
        <v>1302</v>
      </c>
      <c r="B41" s="58">
        <f>SUMIF([2]!Table2_23[ETA],'FIS Optimal Model (3)'!A41,[2]!Table2_23[FIS PAX])</f>
        <v>0</v>
      </c>
      <c r="C41" s="44">
        <f>IF((D40-D41)&gt;-1,(D40-D41),18)</f>
        <v>0</v>
      </c>
      <c r="D41" s="52">
        <f>MAX(D40-$E$31+B40,0)</f>
        <v>0</v>
      </c>
      <c r="E41" s="26">
        <f>$C$30*C41</f>
        <v>0</v>
      </c>
      <c r="F41" s="26">
        <f>$C$31*C41</f>
        <v>0</v>
      </c>
      <c r="G41" s="26">
        <f>$C$32*C41</f>
        <v>0</v>
      </c>
      <c r="H41" s="26">
        <f>$C$33*C41</f>
        <v>0</v>
      </c>
      <c r="I41" s="27">
        <v>0</v>
      </c>
      <c r="J41" s="27">
        <v>0</v>
      </c>
      <c r="K41" s="27">
        <v>0</v>
      </c>
      <c r="L41" s="27">
        <v>0</v>
      </c>
      <c r="M41" s="28">
        <f>$M$40</f>
        <v>0</v>
      </c>
      <c r="N41" s="29">
        <f>$N$40</f>
        <v>6</v>
      </c>
      <c r="O41" s="28">
        <f>$O$40</f>
        <v>0</v>
      </c>
      <c r="P41" s="28">
        <f>$P$40</f>
        <v>0</v>
      </c>
      <c r="Q41" s="28">
        <f>SUM(M41:P41)</f>
        <v>6</v>
      </c>
      <c r="R41" s="22">
        <f>MAX(R40-($J$30*M41*$L$33)+I41,0)</f>
        <v>0</v>
      </c>
      <c r="S41" s="22">
        <f>IF(U41&lt;&gt;0,(MAX(S40-($J$31*N41*$L$33)+J41,0)),(MAX(S40-($J$31*(N41+P41)*$L$33)+J41,0)))</f>
        <v>0</v>
      </c>
      <c r="T41" s="22">
        <f>MAX(T40-($J$32*O41*$L$33)+K41,0)</f>
        <v>0</v>
      </c>
      <c r="U41" s="22">
        <f>MAX(U40-($J$33*P41*$L$33)+L41,0)</f>
        <v>0</v>
      </c>
      <c r="V41" s="21">
        <f>IFERROR(R41*($I$30/M41),0)</f>
        <v>0</v>
      </c>
      <c r="W41" s="21">
        <f>S41*($I$31/N41)</f>
        <v>0</v>
      </c>
      <c r="X41" s="21">
        <f>IFERROR(T41*($I$32/O41),0)</f>
        <v>0</v>
      </c>
      <c r="Y41" s="21">
        <f>IFERROR(U41*($I$33/P41),0)</f>
        <v>0</v>
      </c>
      <c r="Z41" s="221">
        <f>ROUNDUP(SUM(V41*$C$30,W41*$C$31,X41*$C$32,Y41*$C$33),0)</f>
        <v>0</v>
      </c>
      <c r="AA41" s="30">
        <f>IF(R41&lt;&gt;0,($J$30*M41*$L$33),0)</f>
        <v>0</v>
      </c>
      <c r="AB41" s="30">
        <f>IF(W41&lt;&gt;0,($J$31*N41*$L$33),0)</f>
        <v>0</v>
      </c>
      <c r="AC41" s="30">
        <f>IF(X41&lt;&gt;0,($J$32*O41*$L$33),0)</f>
        <v>0</v>
      </c>
      <c r="AD41" s="30">
        <f>IF(Y41&lt;&gt;0,($J$33*P41*$L$33),0)</f>
        <v>0</v>
      </c>
      <c r="AE41" s="32">
        <f>SUM(AA41:AD41)</f>
        <v>0</v>
      </c>
      <c r="AF41" s="33">
        <v>0</v>
      </c>
      <c r="AG41" s="40">
        <f>MAX(AG40-$Q$33+AF41,0)</f>
        <v>0</v>
      </c>
      <c r="AH41" s="224">
        <f>AG41*$P$33</f>
        <v>0</v>
      </c>
      <c r="AI41" s="227">
        <f>SUM(Z41,IF(Z41&lt;&gt;0,$F$31,0),IF(Z41&lt;&gt;0,$N$33,0),IF(Z41&lt;&gt;0,$T$33,0),IF(Z41=0,AH46,IF(Z41=1,AH47,IF(Z41=2,AH48,IF(Z41=3,AH49,IF(Z41=4,AH50,IF(Z41=5,AH51,IF(Z41=6,AH52,IF(Z41=7,AH53,IF(Z41=8,AH54,IF(Z41=9,AH55,IF(Z41=10,AH56,IF(Z41=11,AH57,IF(Z41=12,AH58,IF(Z41=13,AH59,IF(Z41=14,AH60,IF(Z41=15,AH61,IF(Z41=16,AH62,IF(Z41=17,AH63,IF(Z41=18,AH64,IF(Z41=19,AH65,IF(Z41=20,AH66,IF(Z41=21,AH67,IF(Z41=22,AH68,IF(Z41=23,AH69,IF(Z41=24,AH70,IF(Z41=25,AH71,IF(Z41=26,AH72,IF(Z41=27,AH73,IF(Z41=28,AH74,IF(Z41=29,AH75,IF(Z41=30,AH76))))))))))))))))))))))))))))))))</f>
        <v>0</v>
      </c>
    </row>
    <row r="42" spans="1:35" x14ac:dyDescent="0.35">
      <c r="A42" s="48">
        <v>1303</v>
      </c>
      <c r="B42" s="58">
        <f>SUMIF([2]!Table2_23[ETA],'FIS Optimal Model (3)'!A42,[2]!Table2_23[FIS PAX])</f>
        <v>0</v>
      </c>
      <c r="C42" s="44">
        <f>IF((D41-D42)&gt;-1,(D41-D42),18)</f>
        <v>0</v>
      </c>
      <c r="D42" s="52">
        <f>MAX(D41-$E$31+B41,0)</f>
        <v>0</v>
      </c>
      <c r="E42" s="26">
        <f>$C$30*C42</f>
        <v>0</v>
      </c>
      <c r="F42" s="26">
        <f>$C$31*C42</f>
        <v>0</v>
      </c>
      <c r="G42" s="26">
        <f>$C$32*C42</f>
        <v>0</v>
      </c>
      <c r="H42" s="26">
        <f>$C$33*C42</f>
        <v>0</v>
      </c>
      <c r="I42" s="27">
        <v>0</v>
      </c>
      <c r="J42" s="27">
        <v>0</v>
      </c>
      <c r="K42" s="27">
        <v>0</v>
      </c>
      <c r="L42" s="27">
        <v>0</v>
      </c>
      <c r="M42" s="28">
        <f>$M$40</f>
        <v>0</v>
      </c>
      <c r="N42" s="29">
        <f>$N$40</f>
        <v>6</v>
      </c>
      <c r="O42" s="28">
        <f>$O$40</f>
        <v>0</v>
      </c>
      <c r="P42" s="28">
        <f>$P$40</f>
        <v>0</v>
      </c>
      <c r="Q42" s="28">
        <f>SUM(M42:P42)</f>
        <v>6</v>
      </c>
      <c r="R42" s="22">
        <f>MAX(R41-($J$30*M42*$L$33)+I42,0)</f>
        <v>0</v>
      </c>
      <c r="S42" s="22">
        <f>IF(U42&lt;&gt;0,(MAX(S41-($J$31*N42*$L$33)+J42,0)),(MAX(S41-($J$31*(N42+P42)*$L$33)+J42,0)))</f>
        <v>0</v>
      </c>
      <c r="T42" s="22">
        <f>MAX(T41-($J$32*O42*$L$33)+K42,0)</f>
        <v>0</v>
      </c>
      <c r="U42" s="22">
        <f>MAX(U41-($J$33*P42*$L$33)+L42,0)</f>
        <v>0</v>
      </c>
      <c r="V42" s="21">
        <f>IFERROR(R42*($I$30/M42),0)</f>
        <v>0</v>
      </c>
      <c r="W42" s="21">
        <f>S42*($I$31/N42)</f>
        <v>0</v>
      </c>
      <c r="X42" s="21">
        <f>IFERROR(T42*($I$32/O42),0)</f>
        <v>0</v>
      </c>
      <c r="Y42" s="21">
        <f>IFERROR(U42*($I$33/P42),0)</f>
        <v>0</v>
      </c>
      <c r="Z42" s="221">
        <f>ROUNDUP(SUM(V42*$C$30,W42*$C$31,X42*$C$32,Y42*$C$33),0)</f>
        <v>0</v>
      </c>
      <c r="AA42" s="30">
        <f>IF(R42&lt;&gt;0,($J$30*M42*$L$33),0)</f>
        <v>0</v>
      </c>
      <c r="AB42" s="30">
        <f>IF(W42&lt;&gt;0,($J$31*N42*$L$33),0)</f>
        <v>0</v>
      </c>
      <c r="AC42" s="30">
        <f>IF(X42&lt;&gt;0,($J$32*O42*$L$33),0)</f>
        <v>0</v>
      </c>
      <c r="AD42" s="30">
        <f>IF(Y42&lt;&gt;0,($J$33*P42*$L$33),0)</f>
        <v>0</v>
      </c>
      <c r="AE42" s="32">
        <f>SUM(AA42:AD42)</f>
        <v>0</v>
      </c>
      <c r="AF42" s="33">
        <v>0</v>
      </c>
      <c r="AG42" s="40">
        <f>MAX(AG41-$Q$33+AF42,0)</f>
        <v>0</v>
      </c>
      <c r="AH42" s="224">
        <f>AG42*$P$33</f>
        <v>0</v>
      </c>
      <c r="AI42" s="227">
        <f>SUM(Z42,IF(Z42&lt;&gt;0,$F$31,0),IF(Z42&lt;&gt;0,$N$33,0),IF(Z42&lt;&gt;0,$T$33,0),IF(Z42=0,AH47,IF(Z42=1,AH48,IF(Z42=2,AH49,IF(Z42=3,AH50,IF(Z42=4,AH51,IF(Z42=5,AH52,IF(Z42=6,AH53,IF(Z42=7,AH54,IF(Z42=8,AH55,IF(Z42=9,AH56,IF(Z42=10,AH57,IF(Z42=11,AH58,IF(Z42=12,AH59,IF(Z42=13,AH60,IF(Z42=14,AH61,IF(Z42=15,AH62,IF(Z42=16,AH63,IF(Z42=17,AH64,IF(Z42=18,AH65,IF(Z42=19,AH66,IF(Z42=20,AH67,IF(Z42=21,AH68,IF(Z42=22,AH69,IF(Z42=23,AH70,IF(Z42=24,AH71,IF(Z42=25,AH72,IF(Z42=26,AH73,IF(Z42=27,AH74,IF(Z42=28,AH75,IF(Z42=29,AH76,IF(Z42=30,AH77))))))))))))))))))))))))))))))))</f>
        <v>0</v>
      </c>
    </row>
    <row r="43" spans="1:35" x14ac:dyDescent="0.35">
      <c r="A43" s="48">
        <v>1304</v>
      </c>
      <c r="B43" s="58">
        <f>SUMIF([2]!Table2_23[ETA],'FIS Optimal Model (3)'!A43,[2]!Table2_23[FIS PAX])</f>
        <v>0</v>
      </c>
      <c r="C43" s="44">
        <f>IF((D42-D43)&gt;-1,(D42-D43),18)</f>
        <v>0</v>
      </c>
      <c r="D43" s="52">
        <f>MAX(D42-$E$31+B42,0)</f>
        <v>0</v>
      </c>
      <c r="E43" s="26">
        <f>$C$30*C43</f>
        <v>0</v>
      </c>
      <c r="F43" s="26">
        <f>$C$31*C43</f>
        <v>0</v>
      </c>
      <c r="G43" s="26">
        <f>$C$32*C43</f>
        <v>0</v>
      </c>
      <c r="H43" s="26">
        <f>$C$33*C43</f>
        <v>0</v>
      </c>
      <c r="I43" s="27">
        <v>0</v>
      </c>
      <c r="J43" s="27">
        <v>0</v>
      </c>
      <c r="K43" s="27">
        <v>0</v>
      </c>
      <c r="L43" s="27">
        <v>0</v>
      </c>
      <c r="M43" s="28">
        <f>$M$40</f>
        <v>0</v>
      </c>
      <c r="N43" s="29">
        <f>$N$40</f>
        <v>6</v>
      </c>
      <c r="O43" s="28">
        <f>$O$40</f>
        <v>0</v>
      </c>
      <c r="P43" s="28">
        <f>$P$40</f>
        <v>0</v>
      </c>
      <c r="Q43" s="28">
        <f>SUM(M43:P43)</f>
        <v>6</v>
      </c>
      <c r="R43" s="22">
        <f>MAX(R42-($J$30*M43*$L$33)+I43,0)</f>
        <v>0</v>
      </c>
      <c r="S43" s="22">
        <f>IF(U43&lt;&gt;0,(MAX(S42-($J$31*N43*$L$33)+J43,0)),(MAX(S42-($J$31*(N43+P43)*$L$33)+J43,0)))</f>
        <v>0</v>
      </c>
      <c r="T43" s="22">
        <f>MAX(T42-($J$32*O43*$L$33)+K43,0)</f>
        <v>0</v>
      </c>
      <c r="U43" s="22">
        <f>MAX(U42-($J$33*P43*$L$33)+L43,0)</f>
        <v>0</v>
      </c>
      <c r="V43" s="21">
        <f>IFERROR(R43*($I$30/M43),0)</f>
        <v>0</v>
      </c>
      <c r="W43" s="21">
        <f>S43*($I$31/N43)</f>
        <v>0</v>
      </c>
      <c r="X43" s="21">
        <f>IFERROR(T43*($I$32/O43),0)</f>
        <v>0</v>
      </c>
      <c r="Y43" s="21">
        <f>IFERROR(U43*($I$33/P43),0)</f>
        <v>0</v>
      </c>
      <c r="Z43" s="221">
        <f>ROUNDUP(SUM(V43*$C$30,W43*$C$31,X43*$C$32,Y43*$C$33),0)</f>
        <v>0</v>
      </c>
      <c r="AA43" s="30">
        <f>IF(R43&lt;&gt;0,($J$30*M43*$L$33),0)</f>
        <v>0</v>
      </c>
      <c r="AB43" s="30">
        <f>IF(W43&lt;&gt;0,($J$31*N43*$L$33),0)</f>
        <v>0</v>
      </c>
      <c r="AC43" s="30">
        <f>IF(X43&lt;&gt;0,($J$32*O43*$L$33),0)</f>
        <v>0</v>
      </c>
      <c r="AD43" s="30">
        <f>IF(Y43&lt;&gt;0,($J$33*P43*$L$33),0)</f>
        <v>0</v>
      </c>
      <c r="AE43" s="32">
        <f>SUM(AA43:AD43)</f>
        <v>0</v>
      </c>
      <c r="AF43" s="33">
        <f>AE39</f>
        <v>0</v>
      </c>
      <c r="AG43" s="40">
        <f>MAX(AG42-$Q$33+AF43,0)</f>
        <v>0</v>
      </c>
      <c r="AH43" s="224">
        <f>AG43*$P$33</f>
        <v>0</v>
      </c>
      <c r="AI43" s="227">
        <f>SUM(Z43,IF(Z43&lt;&gt;0,$F$31,0),IF(Z43&lt;&gt;0,$N$33,0),IF(Z43&lt;&gt;0,$T$33,0),IF(Z43=0,AH48,IF(Z43=1,AH49,IF(Z43=2,AH50,IF(Z43=3,AH51,IF(Z43=4,AH52,IF(Z43=5,AH53,IF(Z43=6,AH54,IF(Z43=7,AH55,IF(Z43=8,AH56,IF(Z43=9,AH57,IF(Z43=10,AH58,IF(Z43=11,AH59,IF(Z43=12,AH60,IF(Z43=13,AH61,IF(Z43=14,AH62,IF(Z43=15,AH63,IF(Z43=16,AH64,IF(Z43=17,AH65,IF(Z43=18,AH66,IF(Z43=19,AH67,IF(Z43=20,AH68,IF(Z43=21,AH69,IF(Z43=22,AH70,IF(Z43=23,AH71,IF(Z43=24,AH72,IF(Z43=25,AH73,IF(Z43=26,AH74,IF(Z43=27,AH75,IF(Z43=28,AH76,IF(Z43=29,AH77,IF(Z43=30,AH78))))))))))))))))))))))))))))))))</f>
        <v>0</v>
      </c>
    </row>
    <row r="44" spans="1:35" x14ac:dyDescent="0.35">
      <c r="A44" s="48">
        <v>1305</v>
      </c>
      <c r="B44" s="58">
        <f>SUMIF([2]!Table2_23[ETA],'FIS Optimal Model (3)'!A44,[2]!Table2_23[FIS PAX])</f>
        <v>0</v>
      </c>
      <c r="C44" s="44">
        <f>IF((D43-D44)&gt;-1,(D43-D44),18)</f>
        <v>0</v>
      </c>
      <c r="D44" s="52">
        <f>MAX(D43-$E$31+B43,0)</f>
        <v>0</v>
      </c>
      <c r="E44" s="26">
        <f>$C$30*C44</f>
        <v>0</v>
      </c>
      <c r="F44" s="26">
        <f>$C$31*C44</f>
        <v>0</v>
      </c>
      <c r="G44" s="26">
        <f>$C$32*C44</f>
        <v>0</v>
      </c>
      <c r="H44" s="26">
        <f>$C$33*C44</f>
        <v>0</v>
      </c>
      <c r="I44" s="27">
        <f>E39</f>
        <v>0</v>
      </c>
      <c r="J44" s="27">
        <f>F39</f>
        <v>0</v>
      </c>
      <c r="K44" s="27">
        <f>G39</f>
        <v>0</v>
      </c>
      <c r="L44" s="27">
        <f>H39</f>
        <v>0</v>
      </c>
      <c r="M44" s="28">
        <f>$M$40</f>
        <v>0</v>
      </c>
      <c r="N44" s="29">
        <f>$N$40</f>
        <v>6</v>
      </c>
      <c r="O44" s="28">
        <f>$O$40</f>
        <v>0</v>
      </c>
      <c r="P44" s="28">
        <f>$P$40</f>
        <v>0</v>
      </c>
      <c r="Q44" s="28">
        <f>SUM(M44:P44)</f>
        <v>6</v>
      </c>
      <c r="R44" s="22">
        <f>MAX(R43-($J$30*M44*$L$33)+I44,0)</f>
        <v>0</v>
      </c>
      <c r="S44" s="22">
        <f>IF(U44&lt;&gt;0,(MAX(S43-($J$31*N44*$L$33)+J44,0)),(MAX(S43-($J$31*(N44+P44)*$L$33)+J44,0)))</f>
        <v>0</v>
      </c>
      <c r="T44" s="22">
        <f>MAX(T43-($J$32*O44*$L$33)+K44,0)</f>
        <v>0</v>
      </c>
      <c r="U44" s="22">
        <f>MAX(U43-($J$33*P44*$L$33)+L44,0)</f>
        <v>0</v>
      </c>
      <c r="V44" s="21">
        <f>IFERROR(R44*($I$30/M44),0)</f>
        <v>0</v>
      </c>
      <c r="W44" s="21">
        <f>S44*($I$31/N44)</f>
        <v>0</v>
      </c>
      <c r="X44" s="21">
        <f>IFERROR(T44*($I$32/O44),0)</f>
        <v>0</v>
      </c>
      <c r="Y44" s="21">
        <f>IFERROR(U44*($I$33/P44),0)</f>
        <v>0</v>
      </c>
      <c r="Z44" s="221">
        <f>ROUNDUP(SUM(V44*$C$30,W44*$C$31,X44*$C$32,Y44*$C$33),0)</f>
        <v>0</v>
      </c>
      <c r="AA44" s="30">
        <f>IF(R44&lt;&gt;0,($J$30*M44*$L$33),0)</f>
        <v>0</v>
      </c>
      <c r="AB44" s="30">
        <f>IF(W44&lt;&gt;0,($J$31*N44*$L$33),0)</f>
        <v>0</v>
      </c>
      <c r="AC44" s="30">
        <f>IF(X44&lt;&gt;0,($J$32*O44*$L$33),0)</f>
        <v>0</v>
      </c>
      <c r="AD44" s="30">
        <f>IF(Y44&lt;&gt;0,($J$33*P44*$L$33),0)</f>
        <v>0</v>
      </c>
      <c r="AE44" s="32">
        <f>SUM(AA44:AD44)</f>
        <v>0</v>
      </c>
      <c r="AF44" s="33">
        <f>AE40</f>
        <v>0</v>
      </c>
      <c r="AG44" s="40">
        <f>MAX(AG43-$Q$33+AF44,0)</f>
        <v>0</v>
      </c>
      <c r="AH44" s="224">
        <f>AG44*$P$33</f>
        <v>0</v>
      </c>
      <c r="AI44" s="227">
        <f>SUM(Z44,IF(Z44&lt;&gt;0,$F$31,0),IF(Z44&lt;&gt;0,$N$33,0),IF(Z44&lt;&gt;0,$T$33,0),IF(Z44=0,AH49,IF(Z44=1,AH50,IF(Z44=2,AH51,IF(Z44=3,AH52,IF(Z44=4,AH53,IF(Z44=5,AH54,IF(Z44=6,AH55,IF(Z44=7,AH56,IF(Z44=8,AH57,IF(Z44=9,AH58,IF(Z44=10,AH59,IF(Z44=11,AH60,IF(Z44=12,AH61,IF(Z44=13,AH62,IF(Z44=14,AH63,IF(Z44=15,AH64,IF(Z44=16,AH65,IF(Z44=17,AH66,IF(Z44=18,AH67,IF(Z44=19,AH68,IF(Z44=20,AH69,IF(Z44=21,AH70,IF(Z44=22,AH71,IF(Z44=23,AH72,IF(Z44=24,AH73,IF(Z44=25,AH74,IF(Z44=26,AH75,IF(Z44=27,AH76,IF(Z44=28,AH77,IF(Z44=29,AH78,IF(Z44=30,AH79))))))))))))))))))))))))))))))))</f>
        <v>0</v>
      </c>
    </row>
    <row r="45" spans="1:35" x14ac:dyDescent="0.35">
      <c r="A45" s="48">
        <v>1306</v>
      </c>
      <c r="B45" s="58">
        <f>SUMIF([2]!Table2_23[ETA],'FIS Optimal Model (3)'!A45,[2]!Table2_23[FIS PAX])</f>
        <v>0</v>
      </c>
      <c r="C45" s="44">
        <f>IF((D44-D45)&gt;-1,(D44-D45),18)</f>
        <v>0</v>
      </c>
      <c r="D45" s="52">
        <f>MAX(D44-$E$31+B44,0)</f>
        <v>0</v>
      </c>
      <c r="E45" s="26">
        <f>$C$30*C45</f>
        <v>0</v>
      </c>
      <c r="F45" s="26">
        <f>$C$31*C45</f>
        <v>0</v>
      </c>
      <c r="G45" s="26">
        <f>$C$32*C45</f>
        <v>0</v>
      </c>
      <c r="H45" s="26">
        <f>$C$33*C45</f>
        <v>0</v>
      </c>
      <c r="I45" s="27">
        <f>E40</f>
        <v>0</v>
      </c>
      <c r="J45" s="27">
        <f>F40</f>
        <v>0</v>
      </c>
      <c r="K45" s="27">
        <f>G40</f>
        <v>0</v>
      </c>
      <c r="L45" s="27">
        <f>H40</f>
        <v>0</v>
      </c>
      <c r="M45" s="28">
        <f>$M$40</f>
        <v>0</v>
      </c>
      <c r="N45" s="29">
        <f>$N$40</f>
        <v>6</v>
      </c>
      <c r="O45" s="28">
        <f>$O$40</f>
        <v>0</v>
      </c>
      <c r="P45" s="28">
        <f>$P$40</f>
        <v>0</v>
      </c>
      <c r="Q45" s="28">
        <f>SUM(M45:P45)</f>
        <v>6</v>
      </c>
      <c r="R45" s="22">
        <f>MAX(R44-($J$30*M45*$L$33)+I45,0)</f>
        <v>0</v>
      </c>
      <c r="S45" s="22">
        <f>IF(U45&lt;&gt;0,(MAX(S44-($J$31*N45*$L$33)+J45,0)),(MAX(S44-($J$31*(N45+P45)*$L$33)+J45,0)))</f>
        <v>0</v>
      </c>
      <c r="T45" s="22">
        <f>MAX(T44-($J$32*O45*$L$33)+K45,0)</f>
        <v>0</v>
      </c>
      <c r="U45" s="22">
        <f>MAX(U44-($J$33*P45*$L$33)+L45,0)</f>
        <v>0</v>
      </c>
      <c r="V45" s="21">
        <f>IFERROR(R45*($I$30/M45),0)</f>
        <v>0</v>
      </c>
      <c r="W45" s="21">
        <f>S45*($I$31/N45)</f>
        <v>0</v>
      </c>
      <c r="X45" s="21">
        <f>IFERROR(T45*($I$32/O45),0)</f>
        <v>0</v>
      </c>
      <c r="Y45" s="21">
        <f>IFERROR(U45*($I$33/P45),0)</f>
        <v>0</v>
      </c>
      <c r="Z45" s="221">
        <f>ROUNDUP(SUM(V45*$C$30,W45*$C$31,X45*$C$32,Y45*$C$33),0)</f>
        <v>0</v>
      </c>
      <c r="AA45" s="30">
        <f>IF(R45&lt;&gt;0,($J$30*M45*$L$33),0)</f>
        <v>0</v>
      </c>
      <c r="AB45" s="30">
        <f>IF(W45&lt;&gt;0,($J$31*N45*$L$33),0)</f>
        <v>0</v>
      </c>
      <c r="AC45" s="30">
        <f>IF(X45&lt;&gt;0,($J$32*O45*$L$33),0)</f>
        <v>0</v>
      </c>
      <c r="AD45" s="30">
        <f>IF(Y45&lt;&gt;0,($J$33*P45*$L$33),0)</f>
        <v>0</v>
      </c>
      <c r="AE45" s="32">
        <f>SUM(AA45:AD45)</f>
        <v>0</v>
      </c>
      <c r="AF45" s="33">
        <f>AE41</f>
        <v>0</v>
      </c>
      <c r="AG45" s="40">
        <f>MAX(AG44-$Q$33+AF45,0)</f>
        <v>0</v>
      </c>
      <c r="AH45" s="224">
        <f>AG45*$P$33</f>
        <v>0</v>
      </c>
      <c r="AI45" s="227">
        <f>SUM(Z45,IF(Z45&lt;&gt;0,$F$31,0),IF(Z45&lt;&gt;0,$N$33,0),IF(Z45&lt;&gt;0,$T$33,0),IF(Z45=0,AH50,IF(Z45=1,AH51,IF(Z45=2,AH52,IF(Z45=3,AH53,IF(Z45=4,AH54,IF(Z45=5,AH55,IF(Z45=6,AH56,IF(Z45=7,AH57,IF(Z45=8,AH58,IF(Z45=9,AH59,IF(Z45=10,AH60,IF(Z45=11,AH61,IF(Z45=12,AH62,IF(Z45=13,AH63,IF(Z45=14,AH64,IF(Z45=15,AH65,IF(Z45=16,AH66,IF(Z45=17,AH67,IF(Z45=18,AH68,IF(Z45=19,AH69,IF(Z45=20,AH70,IF(Z45=21,AH71,IF(Z45=22,AH72,IF(Z45=23,AH73,IF(Z45=24,AH74,IF(Z45=25,AH75,IF(Z45=26,AH76,IF(Z45=27,AH77,IF(Z45=28,AH78,IF(Z45=29,AH79,IF(Z45=30,AH80))))))))))))))))))))))))))))))))</f>
        <v>0</v>
      </c>
    </row>
    <row r="46" spans="1:35" x14ac:dyDescent="0.35">
      <c r="A46" s="48">
        <v>1307</v>
      </c>
      <c r="B46" s="58">
        <f>SUMIF([2]!Table2_23[ETA],'FIS Optimal Model (3)'!A46,[2]!Table2_23[FIS PAX])</f>
        <v>0</v>
      </c>
      <c r="C46" s="44">
        <f>IF((D45-D46)&gt;-1,(D45-D46),18)</f>
        <v>0</v>
      </c>
      <c r="D46" s="52">
        <f>MAX(D45-$E$31+B45,0)</f>
        <v>0</v>
      </c>
      <c r="E46" s="26">
        <f>$C$30*C46</f>
        <v>0</v>
      </c>
      <c r="F46" s="26">
        <f>$C$31*C46</f>
        <v>0</v>
      </c>
      <c r="G46" s="26">
        <f>$C$32*C46</f>
        <v>0</v>
      </c>
      <c r="H46" s="26">
        <f>$C$33*C46</f>
        <v>0</v>
      </c>
      <c r="I46" s="27">
        <f>E41</f>
        <v>0</v>
      </c>
      <c r="J46" s="27">
        <f>F41</f>
        <v>0</v>
      </c>
      <c r="K46" s="27">
        <f>G41</f>
        <v>0</v>
      </c>
      <c r="L46" s="27">
        <f>H41</f>
        <v>0</v>
      </c>
      <c r="M46" s="28">
        <f>$M$40</f>
        <v>0</v>
      </c>
      <c r="N46" s="29">
        <f>$N$40</f>
        <v>6</v>
      </c>
      <c r="O46" s="28">
        <f>$O$40</f>
        <v>0</v>
      </c>
      <c r="P46" s="28">
        <f>$P$40</f>
        <v>0</v>
      </c>
      <c r="Q46" s="28">
        <f>SUM(M46:P46)</f>
        <v>6</v>
      </c>
      <c r="R46" s="22">
        <f>MAX(R45-($J$30*M46*$L$33)+I46,0)</f>
        <v>0</v>
      </c>
      <c r="S46" s="22">
        <f>IF(U46&lt;&gt;0,(MAX(S45-($J$31*N46*$L$33)+J46,0)),(MAX(S45-($J$31*(N46+P46)*$L$33)+J46,0)))</f>
        <v>0</v>
      </c>
      <c r="T46" s="22">
        <f>MAX(T45-($J$32*O46*$L$33)+K46,0)</f>
        <v>0</v>
      </c>
      <c r="U46" s="22">
        <f>MAX(U45-($J$33*P46*$L$33)+L46,0)</f>
        <v>0</v>
      </c>
      <c r="V46" s="21">
        <f>IFERROR(R46*($I$30/M46),0)</f>
        <v>0</v>
      </c>
      <c r="W46" s="21">
        <f>S46*($I$31/N46)</f>
        <v>0</v>
      </c>
      <c r="X46" s="21">
        <f>IFERROR(T46*($I$32/O46),0)</f>
        <v>0</v>
      </c>
      <c r="Y46" s="21">
        <f>IFERROR(U46*($I$33/P46),0)</f>
        <v>0</v>
      </c>
      <c r="Z46" s="221">
        <f>ROUNDUP(SUM(V46*$C$30,W46*$C$31,X46*$C$32,Y46*$C$33),0)</f>
        <v>0</v>
      </c>
      <c r="AA46" s="30">
        <f>IF(R46&lt;&gt;0,($J$30*M46*$L$33),0)</f>
        <v>0</v>
      </c>
      <c r="AB46" s="30">
        <f>IF(W46&lt;&gt;0,($J$31*N46*$L$33),0)</f>
        <v>0</v>
      </c>
      <c r="AC46" s="30">
        <f>IF(X46&lt;&gt;0,($J$32*O46*$L$33),0)</f>
        <v>0</v>
      </c>
      <c r="AD46" s="30">
        <f>IF(Y46&lt;&gt;0,($J$33*P46*$L$33),0)</f>
        <v>0</v>
      </c>
      <c r="AE46" s="32">
        <f>SUM(AA46:AD46)</f>
        <v>0</v>
      </c>
      <c r="AF46" s="33">
        <f>AE42</f>
        <v>0</v>
      </c>
      <c r="AG46" s="40">
        <f>MAX(AG45-$Q$33+AF46,0)</f>
        <v>0</v>
      </c>
      <c r="AH46" s="224">
        <f>AG46*$P$33</f>
        <v>0</v>
      </c>
      <c r="AI46" s="227">
        <f>SUM(Z46,IF(Z46&lt;&gt;0,$F$31,0),IF(Z46&lt;&gt;0,$N$33,0),IF(Z46&lt;&gt;0,$T$33,0),IF(Z46=0,AH51,IF(Z46=1,AH52,IF(Z46=2,AH53,IF(Z46=3,AH54,IF(Z46=4,AH55,IF(Z46=5,AH56,IF(Z46=6,AH57,IF(Z46=7,AH58,IF(Z46=8,AH59,IF(Z46=9,AH60,IF(Z46=10,AH61,IF(Z46=11,AH62,IF(Z46=12,AH63,IF(Z46=13,AH64,IF(Z46=14,AH65,IF(Z46=15,AH66,IF(Z46=16,AH67,IF(Z46=17,AH68,IF(Z46=18,AH69,IF(Z46=19,AH70,IF(Z46=20,AH71,IF(Z46=21,AH72,IF(Z46=22,AH73,IF(Z46=23,AH74,IF(Z46=24,AH75,IF(Z46=25,AH76,IF(Z46=26,AH77,IF(Z46=27,AH78,IF(Z46=28,AH79,IF(Z46=29,AH80,IF(Z46=30,AH81))))))))))))))))))))))))))))))))</f>
        <v>0</v>
      </c>
    </row>
    <row r="47" spans="1:35" x14ac:dyDescent="0.35">
      <c r="A47" s="48">
        <v>1308</v>
      </c>
      <c r="B47" s="58">
        <f>SUMIF([2]!Table2_23[ETA],'FIS Optimal Model (3)'!A47,[2]!Table2_23[FIS PAX])</f>
        <v>0</v>
      </c>
      <c r="C47" s="44">
        <f>IF((D46-D47)&gt;-1,(D46-D47),18)</f>
        <v>0</v>
      </c>
      <c r="D47" s="52">
        <f>MAX(D46-$E$31+B46,0)</f>
        <v>0</v>
      </c>
      <c r="E47" s="26">
        <f>$C$30*C47</f>
        <v>0</v>
      </c>
      <c r="F47" s="26">
        <f>$C$31*C47</f>
        <v>0</v>
      </c>
      <c r="G47" s="26">
        <f>$C$32*C47</f>
        <v>0</v>
      </c>
      <c r="H47" s="26">
        <f>$C$33*C47</f>
        <v>0</v>
      </c>
      <c r="I47" s="27">
        <f>E42</f>
        <v>0</v>
      </c>
      <c r="J47" s="27">
        <f>F42</f>
        <v>0</v>
      </c>
      <c r="K47" s="27">
        <f>G42</f>
        <v>0</v>
      </c>
      <c r="L47" s="27">
        <f>H42</f>
        <v>0</v>
      </c>
      <c r="M47" s="28">
        <f>$M$40</f>
        <v>0</v>
      </c>
      <c r="N47" s="29">
        <f>$N$40</f>
        <v>6</v>
      </c>
      <c r="O47" s="28">
        <f>$O$40</f>
        <v>0</v>
      </c>
      <c r="P47" s="28">
        <f>$P$40</f>
        <v>0</v>
      </c>
      <c r="Q47" s="28">
        <f>SUM(M47:P47)</f>
        <v>6</v>
      </c>
      <c r="R47" s="22">
        <f>MAX(R46-($J$30*M47*$L$33)+I47,0)</f>
        <v>0</v>
      </c>
      <c r="S47" s="22">
        <f>IF(U47&lt;&gt;0,(MAX(S46-($J$31*N47*$L$33)+J47,0)),(MAX(S46-($J$31*(N47+P47)*$L$33)+J47,0)))</f>
        <v>0</v>
      </c>
      <c r="T47" s="22">
        <f>MAX(T46-($J$32*O47*$L$33)+K47,0)</f>
        <v>0</v>
      </c>
      <c r="U47" s="22">
        <f>MAX(U46-($J$33*P47*$L$33)+L47,0)</f>
        <v>0</v>
      </c>
      <c r="V47" s="21">
        <f>IFERROR(R47*($I$30/M47),0)</f>
        <v>0</v>
      </c>
      <c r="W47" s="21">
        <f>S47*($I$31/N47)</f>
        <v>0</v>
      </c>
      <c r="X47" s="21">
        <f>IFERROR(T47*($I$32/O47),0)</f>
        <v>0</v>
      </c>
      <c r="Y47" s="21">
        <f>IFERROR(U47*($I$33/P47),0)</f>
        <v>0</v>
      </c>
      <c r="Z47" s="221">
        <f>ROUNDUP(SUM(V47*$C$30,W47*$C$31,X47*$C$32,Y47*$C$33),0)</f>
        <v>0</v>
      </c>
      <c r="AA47" s="30">
        <f>IF(R47&lt;&gt;0,($J$30*M47*$L$33),0)</f>
        <v>0</v>
      </c>
      <c r="AB47" s="30">
        <f>IF(W47&lt;&gt;0,($J$31*N47*$L$33),0)</f>
        <v>0</v>
      </c>
      <c r="AC47" s="30">
        <f>IF(X47&lt;&gt;0,($J$32*O47*$L$33),0)</f>
        <v>0</v>
      </c>
      <c r="AD47" s="30">
        <f>IF(Y47&lt;&gt;0,($J$33*P47*$L$33),0)</f>
        <v>0</v>
      </c>
      <c r="AE47" s="32">
        <f>SUM(AA47:AD47)</f>
        <v>0</v>
      </c>
      <c r="AF47" s="33">
        <f>AE43</f>
        <v>0</v>
      </c>
      <c r="AG47" s="40">
        <f>MAX(AG46-$Q$33+AF47,0)</f>
        <v>0</v>
      </c>
      <c r="AH47" s="224">
        <f>AG47*$P$33</f>
        <v>0</v>
      </c>
      <c r="AI47" s="227">
        <f>SUM(Z47,IF(Z47&lt;&gt;0,$F$31,0),IF(Z47&lt;&gt;0,$N$33,0),IF(Z47&lt;&gt;0,$T$33,0),IF(Z47=0,AH52,IF(Z47=1,AH53,IF(Z47=2,AH54,IF(Z47=3,AH55,IF(Z47=4,AH56,IF(Z47=5,AH57,IF(Z47=6,AH58,IF(Z47=7,AH59,IF(Z47=8,AH60,IF(Z47=9,AH61,IF(Z47=10,AH62,IF(Z47=11,AH63,IF(Z47=12,AH64,IF(Z47=13,AH65,IF(Z47=14,AH66,IF(Z47=15,AH67,IF(Z47=16,AH68,IF(Z47=17,AH69,IF(Z47=18,AH70,IF(Z47=19,AH71,IF(Z47=20,AH72,IF(Z47=21,AH73,IF(Z47=22,AH74,IF(Z47=23,AH75,IF(Z47=24,AH76,IF(Z47=25,AH77,IF(Z47=26,AH78,IF(Z47=27,AH79,IF(Z47=28,AH80,IF(Z47=29,AH81,IF(Z47=30,AH82))))))))))))))))))))))))))))))))</f>
        <v>0</v>
      </c>
    </row>
    <row r="48" spans="1:35" x14ac:dyDescent="0.35">
      <c r="A48" s="48">
        <v>1309</v>
      </c>
      <c r="B48" s="58">
        <f>SUMIF([2]!Table2_23[ETA],'FIS Optimal Model (3)'!A48,[2]!Table2_23[FIS PAX])</f>
        <v>0</v>
      </c>
      <c r="C48" s="44">
        <f>IF((D47-D48)&gt;-1,(D47-D48),18)</f>
        <v>0</v>
      </c>
      <c r="D48" s="52">
        <f>MAX(D47-$E$31+B47,0)</f>
        <v>0</v>
      </c>
      <c r="E48" s="26">
        <f>$C$30*C48</f>
        <v>0</v>
      </c>
      <c r="F48" s="26">
        <f>$C$31*C48</f>
        <v>0</v>
      </c>
      <c r="G48" s="26">
        <f>$C$32*C48</f>
        <v>0</v>
      </c>
      <c r="H48" s="26">
        <f>$C$33*C48</f>
        <v>0</v>
      </c>
      <c r="I48" s="27">
        <f>E43</f>
        <v>0</v>
      </c>
      <c r="J48" s="27">
        <f>F43</f>
        <v>0</v>
      </c>
      <c r="K48" s="27">
        <f>G43</f>
        <v>0</v>
      </c>
      <c r="L48" s="27">
        <f>H43</f>
        <v>0</v>
      </c>
      <c r="M48" s="28">
        <f>$M$40</f>
        <v>0</v>
      </c>
      <c r="N48" s="29">
        <f>$N$40</f>
        <v>6</v>
      </c>
      <c r="O48" s="28">
        <f>$O$40</f>
        <v>0</v>
      </c>
      <c r="P48" s="28">
        <f>$P$40</f>
        <v>0</v>
      </c>
      <c r="Q48" s="28">
        <f>SUM(M48:P48)</f>
        <v>6</v>
      </c>
      <c r="R48" s="22">
        <f>MAX(R47-($J$30*M48*$L$33)+I48,0)</f>
        <v>0</v>
      </c>
      <c r="S48" s="22">
        <f>IF(U48&lt;&gt;0,(MAX(S47-($J$31*N48*$L$33)+J48,0)),(MAX(S47-($J$31*(N48+P48)*$L$33)+J48,0)))</f>
        <v>0</v>
      </c>
      <c r="T48" s="22">
        <f>MAX(T47-($J$32*O48*$L$33)+K48,0)</f>
        <v>0</v>
      </c>
      <c r="U48" s="22">
        <f>MAX(U47-($J$33*P48*$L$33)+L48,0)</f>
        <v>0</v>
      </c>
      <c r="V48" s="21">
        <f>IFERROR(R48*($I$30/M48),0)</f>
        <v>0</v>
      </c>
      <c r="W48" s="21">
        <f>S48*($I$31/N48)</f>
        <v>0</v>
      </c>
      <c r="X48" s="21">
        <f>IFERROR(T48*($I$32/O48),0)</f>
        <v>0</v>
      </c>
      <c r="Y48" s="21">
        <f>IFERROR(U48*($I$33/P48),0)</f>
        <v>0</v>
      </c>
      <c r="Z48" s="221">
        <f>ROUNDUP(SUM(V48*$C$30,W48*$C$31,X48*$C$32,Y48*$C$33),0)</f>
        <v>0</v>
      </c>
      <c r="AA48" s="30">
        <f>IF(R48&lt;&gt;0,($J$30*M48*$L$33),0)</f>
        <v>0</v>
      </c>
      <c r="AB48" s="30">
        <f>IF(W48&lt;&gt;0,($J$31*N48*$L$33),0)</f>
        <v>0</v>
      </c>
      <c r="AC48" s="30">
        <f>IF(X48&lt;&gt;0,($J$32*O48*$L$33),0)</f>
        <v>0</v>
      </c>
      <c r="AD48" s="30">
        <f>IF(Y48&lt;&gt;0,($J$33*P48*$L$33),0)</f>
        <v>0</v>
      </c>
      <c r="AE48" s="32">
        <f>SUM(AA48:AD48)</f>
        <v>0</v>
      </c>
      <c r="AF48" s="33">
        <f>AE44</f>
        <v>0</v>
      </c>
      <c r="AG48" s="40">
        <f>MAX(AG47-$Q$33+AF48,0)</f>
        <v>0</v>
      </c>
      <c r="AH48" s="224">
        <f>AG48*$P$33</f>
        <v>0</v>
      </c>
      <c r="AI48" s="227">
        <f>SUM(Z48,IF(Z48&lt;&gt;0,$F$31,0),IF(Z48&lt;&gt;0,$N$33,0),IF(Z48&lt;&gt;0,$T$33,0),IF(Z48=0,AH53,IF(Z48=1,AH54,IF(Z48=2,AH55,IF(Z48=3,AH56,IF(Z48=4,AH57,IF(Z48=5,AH58,IF(Z48=6,AH59,IF(Z48=7,AH60,IF(Z48=8,AH61,IF(Z48=9,AH62,IF(Z48=10,AH63,IF(Z48=11,AH64,IF(Z48=12,AH65,IF(Z48=13,AH66,IF(Z48=14,AH67,IF(Z48=15,AH68,IF(Z48=16,AH69,IF(Z48=17,AH70,IF(Z48=18,AH71,IF(Z48=19,AH72,IF(Z48=20,AH73,IF(Z48=21,AH74,IF(Z48=22,AH75,IF(Z48=23,AH76,IF(Z48=24,AH77,IF(Z48=25,AH78,IF(Z48=26,AH79,IF(Z48=27,AH80,IF(Z48=28,AH81,IF(Z48=29,AH82,IF(Z48=30,AH83))))))))))))))))))))))))))))))))</f>
        <v>0</v>
      </c>
    </row>
    <row r="49" spans="1:35" x14ac:dyDescent="0.35">
      <c r="A49" s="48">
        <v>1310</v>
      </c>
      <c r="B49" s="58">
        <f>SUMIF([2]!Table2_23[ETA],'FIS Optimal Model (3)'!A49,[2]!Table2_23[FIS PAX])</f>
        <v>0</v>
      </c>
      <c r="C49" s="44">
        <f>IF((D48-D49)&gt;-1,(D48-D49),18)</f>
        <v>0</v>
      </c>
      <c r="D49" s="52">
        <f>MAX(D48-$E$31+B48,0)</f>
        <v>0</v>
      </c>
      <c r="E49" s="26">
        <f>$C$30*C49</f>
        <v>0</v>
      </c>
      <c r="F49" s="26">
        <f>$C$31*C49</f>
        <v>0</v>
      </c>
      <c r="G49" s="26">
        <f>$C$32*C49</f>
        <v>0</v>
      </c>
      <c r="H49" s="26">
        <f>$C$33*C49</f>
        <v>0</v>
      </c>
      <c r="I49" s="27">
        <f>E44</f>
        <v>0</v>
      </c>
      <c r="J49" s="27">
        <f>F44</f>
        <v>0</v>
      </c>
      <c r="K49" s="27">
        <f>G44</f>
        <v>0</v>
      </c>
      <c r="L49" s="27">
        <f>H44</f>
        <v>0</v>
      </c>
      <c r="M49" s="28">
        <f>$M$40</f>
        <v>0</v>
      </c>
      <c r="N49" s="29">
        <f>$N$40</f>
        <v>6</v>
      </c>
      <c r="O49" s="28">
        <f>$O$40</f>
        <v>0</v>
      </c>
      <c r="P49" s="28">
        <f>$P$40</f>
        <v>0</v>
      </c>
      <c r="Q49" s="28">
        <f>SUM(M49:P49)</f>
        <v>6</v>
      </c>
      <c r="R49" s="22">
        <f>MAX(R48-($J$30*M49*$L$33)+I49,0)</f>
        <v>0</v>
      </c>
      <c r="S49" s="22">
        <f>IF(U49&lt;&gt;0,(MAX(S48-($J$31*N49*$L$33)+J49,0)),(MAX(S48-($J$31*(N49+P49)*$L$33)+J49,0)))</f>
        <v>0</v>
      </c>
      <c r="T49" s="22">
        <f>MAX(T48-($J$32*O49*$L$33)+K49,0)</f>
        <v>0</v>
      </c>
      <c r="U49" s="22">
        <f>MAX(U48-($J$33*P49*$L$33)+L49,0)</f>
        <v>0</v>
      </c>
      <c r="V49" s="21">
        <f>IFERROR(R49*($I$30/M49),0)</f>
        <v>0</v>
      </c>
      <c r="W49" s="21">
        <f>S49*($I$31/N49)</f>
        <v>0</v>
      </c>
      <c r="X49" s="21">
        <f>IFERROR(T49*($I$32/O49),0)</f>
        <v>0</v>
      </c>
      <c r="Y49" s="21">
        <f>IFERROR(U49*($I$33/P49),0)</f>
        <v>0</v>
      </c>
      <c r="Z49" s="221">
        <f>ROUNDUP(SUM(V49*$C$30,W49*$C$31,X49*$C$32,Y49*$C$33),0)</f>
        <v>0</v>
      </c>
      <c r="AA49" s="30">
        <f>IF(R49&lt;&gt;0,($J$30*M49*$L$33),0)</f>
        <v>0</v>
      </c>
      <c r="AB49" s="30">
        <f>IF(W49&lt;&gt;0,($J$31*N49*$L$33),0)</f>
        <v>0</v>
      </c>
      <c r="AC49" s="30">
        <f>IF(X49&lt;&gt;0,($J$32*O49*$L$33),0)</f>
        <v>0</v>
      </c>
      <c r="AD49" s="30">
        <f>IF(Y49&lt;&gt;0,($J$33*P49*$L$33),0)</f>
        <v>0</v>
      </c>
      <c r="AE49" s="32">
        <f>SUM(AA49:AD49)</f>
        <v>0</v>
      </c>
      <c r="AF49" s="33">
        <f>AE45</f>
        <v>0</v>
      </c>
      <c r="AG49" s="40">
        <f>MAX(AG48-$Q$33+AF49,0)</f>
        <v>0</v>
      </c>
      <c r="AH49" s="224">
        <f>AG49*$P$33</f>
        <v>0</v>
      </c>
      <c r="AI49" s="227">
        <f>SUM(Z49,IF(Z49&lt;&gt;0,$F$31,0),IF(Z49&lt;&gt;0,$N$33,0),IF(Z49&lt;&gt;0,$T$33,0),IF(Z49=0,AH54,IF(Z49=1,AH55,IF(Z49=2,AH56,IF(Z49=3,AH57,IF(Z49=4,AH58,IF(Z49=5,AH59,IF(Z49=6,AH60,IF(Z49=7,AH61,IF(Z49=8,AH62,IF(Z49=9,AH63,IF(Z49=10,AH64,IF(Z49=11,AH65,IF(Z49=12,AH66,IF(Z49=13,AH67,IF(Z49=14,AH68,IF(Z49=15,AH69,IF(Z49=16,AH70,IF(Z49=17,AH71,IF(Z49=18,AH72,IF(Z49=19,AH73,IF(Z49=20,AH74,IF(Z49=21,AH75,IF(Z49=22,AH76,IF(Z49=23,AH77,IF(Z49=24,AH78,IF(Z49=25,AH79,IF(Z49=26,AH80,IF(Z49=27,AH81,IF(Z49=28,AH82,IF(Z49=29,AH83,IF(Z49=30,AH84))))))))))))))))))))))))))))))))</f>
        <v>0</v>
      </c>
    </row>
    <row r="50" spans="1:35" x14ac:dyDescent="0.35">
      <c r="A50" s="48">
        <v>1311</v>
      </c>
      <c r="B50" s="58">
        <f>SUMIF([2]!Table2_23[ETA],'FIS Optimal Model (3)'!A50,[2]!Table2_23[FIS PAX])</f>
        <v>0</v>
      </c>
      <c r="C50" s="44">
        <f>IF((D49-D50)&gt;-1,(D49-D50),18)</f>
        <v>0</v>
      </c>
      <c r="D50" s="52">
        <f>MAX(D49-$E$31+B49,0)</f>
        <v>0</v>
      </c>
      <c r="E50" s="26">
        <f>$C$30*C50</f>
        <v>0</v>
      </c>
      <c r="F50" s="26">
        <f>$C$31*C50</f>
        <v>0</v>
      </c>
      <c r="G50" s="26">
        <f>$C$32*C50</f>
        <v>0</v>
      </c>
      <c r="H50" s="26">
        <f>$C$33*C50</f>
        <v>0</v>
      </c>
      <c r="I50" s="27">
        <f>E45</f>
        <v>0</v>
      </c>
      <c r="J50" s="27">
        <f>F45</f>
        <v>0</v>
      </c>
      <c r="K50" s="27">
        <f>G45</f>
        <v>0</v>
      </c>
      <c r="L50" s="27">
        <f>H45</f>
        <v>0</v>
      </c>
      <c r="M50" s="28">
        <f>$M$40</f>
        <v>0</v>
      </c>
      <c r="N50" s="29">
        <f>$N$40</f>
        <v>6</v>
      </c>
      <c r="O50" s="28">
        <f>$O$40</f>
        <v>0</v>
      </c>
      <c r="P50" s="28">
        <f>$P$40</f>
        <v>0</v>
      </c>
      <c r="Q50" s="28">
        <f>SUM(M50:P50)</f>
        <v>6</v>
      </c>
      <c r="R50" s="22">
        <f>MAX(R49-($J$30*M50*$L$33)+I50,0)</f>
        <v>0</v>
      </c>
      <c r="S50" s="22">
        <f>IF(U50&lt;&gt;0,(MAX(S49-($J$31*N50*$L$33)+J50,0)),(MAX(S49-($J$31*(N50+P50)*$L$33)+J50,0)))</f>
        <v>0</v>
      </c>
      <c r="T50" s="22">
        <f>MAX(T49-($J$32*O50*$L$33)+K50,0)</f>
        <v>0</v>
      </c>
      <c r="U50" s="22">
        <f>MAX(U49-($J$33*P50*$L$33)+L50,0)</f>
        <v>0</v>
      </c>
      <c r="V50" s="21">
        <f>IFERROR(R50*($I$30/M50),0)</f>
        <v>0</v>
      </c>
      <c r="W50" s="21">
        <f>S50*($I$31/N50)</f>
        <v>0</v>
      </c>
      <c r="X50" s="21">
        <f>IFERROR(T50*($I$32/O50),0)</f>
        <v>0</v>
      </c>
      <c r="Y50" s="21">
        <f>IFERROR(U50*($I$33/P50),0)</f>
        <v>0</v>
      </c>
      <c r="Z50" s="221">
        <f>ROUNDUP(SUM(V50*$C$30,W50*$C$31,X50*$C$32,Y50*$C$33),0)</f>
        <v>0</v>
      </c>
      <c r="AA50" s="30">
        <f>IF(R50&lt;&gt;0,($J$30*M50*$L$33),0)</f>
        <v>0</v>
      </c>
      <c r="AB50" s="30">
        <f>IF(W50&lt;&gt;0,($J$31*N50*$L$33),0)</f>
        <v>0</v>
      </c>
      <c r="AC50" s="30">
        <f>IF(X50&lt;&gt;0,($J$32*O50*$L$33),0)</f>
        <v>0</v>
      </c>
      <c r="AD50" s="30">
        <f>IF(Y50&lt;&gt;0,($J$33*P50*$L$33),0)</f>
        <v>0</v>
      </c>
      <c r="AE50" s="32">
        <f>SUM(AA50:AD50)</f>
        <v>0</v>
      </c>
      <c r="AF50" s="33">
        <f>AE46</f>
        <v>0</v>
      </c>
      <c r="AG50" s="40">
        <f>MAX(AG49-$Q$33+AF50,0)</f>
        <v>0</v>
      </c>
      <c r="AH50" s="224">
        <f>AG50*$P$33</f>
        <v>0</v>
      </c>
      <c r="AI50" s="227">
        <f>SUM(Z50,IF(Z50&lt;&gt;0,$F$31,0),IF(Z50&lt;&gt;0,$N$33,0),IF(Z50&lt;&gt;0,$T$33,0),IF(Z50=0,AH55,IF(Z50=1,AH56,IF(Z50=2,AH57,IF(Z50=3,AH58,IF(Z50=4,AH59,IF(Z50=5,AH60,IF(Z50=6,AH61,IF(Z50=7,AH62,IF(Z50=8,AH63,IF(Z50=9,AH64,IF(Z50=10,AH65,IF(Z50=11,AH66,IF(Z50=12,AH67,IF(Z50=13,AH68,IF(Z50=14,AH69,IF(Z50=15,AH70,IF(Z50=16,AH71,IF(Z50=17,AH72,IF(Z50=18,AH73,IF(Z50=19,AH74,IF(Z50=20,AH75,IF(Z50=21,AH76,IF(Z50=22,AH77,IF(Z50=23,AH78,IF(Z50=24,AH79,IF(Z50=25,AH80,IF(Z50=26,AH81,IF(Z50=27,AH82,IF(Z50=28,AH83,IF(Z50=29,AH84,IF(Z50=30,AH85))))))))))))))))))))))))))))))))</f>
        <v>0</v>
      </c>
    </row>
    <row r="51" spans="1:35" x14ac:dyDescent="0.35">
      <c r="A51" s="48">
        <v>1312</v>
      </c>
      <c r="B51" s="58">
        <f>SUMIF([2]!Table2_23[ETA],'FIS Optimal Model (3)'!A51,[2]!Table2_23[FIS PAX])</f>
        <v>0</v>
      </c>
      <c r="C51" s="44">
        <f>IF((D50-D51)&gt;-1,(D50-D51),18)</f>
        <v>0</v>
      </c>
      <c r="D51" s="52">
        <f>MAX(D50-$E$31+B50,0)</f>
        <v>0</v>
      </c>
      <c r="E51" s="26">
        <f>$C$30*C51</f>
        <v>0</v>
      </c>
      <c r="F51" s="26">
        <f>$C$31*C51</f>
        <v>0</v>
      </c>
      <c r="G51" s="26">
        <f>$C$32*C51</f>
        <v>0</v>
      </c>
      <c r="H51" s="26">
        <f>$C$33*C51</f>
        <v>0</v>
      </c>
      <c r="I51" s="27">
        <f>E46</f>
        <v>0</v>
      </c>
      <c r="J51" s="27">
        <f>F46</f>
        <v>0</v>
      </c>
      <c r="K51" s="27">
        <f>G46</f>
        <v>0</v>
      </c>
      <c r="L51" s="27">
        <f>H46</f>
        <v>0</v>
      </c>
      <c r="M51" s="28">
        <f>$M$40</f>
        <v>0</v>
      </c>
      <c r="N51" s="29">
        <f>$N$40</f>
        <v>6</v>
      </c>
      <c r="O51" s="28">
        <f>$O$40</f>
        <v>0</v>
      </c>
      <c r="P51" s="28">
        <f>$P$40</f>
        <v>0</v>
      </c>
      <c r="Q51" s="28">
        <f>SUM(M51:P51)</f>
        <v>6</v>
      </c>
      <c r="R51" s="22">
        <f>MAX(R50-($J$30*M51*$L$33)+I51,0)</f>
        <v>0</v>
      </c>
      <c r="S51" s="22">
        <f>IF(U51&lt;&gt;0,(MAX(S50-($J$31*N51*$L$33)+J51,0)),(MAX(S50-($J$31*(N51+P51)*$L$33)+J51,0)))</f>
        <v>0</v>
      </c>
      <c r="T51" s="22">
        <f>MAX(T50-($J$32*O51*$L$33)+K51,0)</f>
        <v>0</v>
      </c>
      <c r="U51" s="22">
        <f>MAX(U50-($J$33*P51*$L$33)+L51,0)</f>
        <v>0</v>
      </c>
      <c r="V51" s="21">
        <f>IFERROR(R51*($I$30/M51),0)</f>
        <v>0</v>
      </c>
      <c r="W51" s="21">
        <f>S51*($I$31/N51)</f>
        <v>0</v>
      </c>
      <c r="X51" s="21">
        <f>IFERROR(T51*($I$32/O51),0)</f>
        <v>0</v>
      </c>
      <c r="Y51" s="21">
        <f>IFERROR(U51*($I$33/P51),0)</f>
        <v>0</v>
      </c>
      <c r="Z51" s="221">
        <f>ROUNDUP(SUM(V51*$C$30,W51*$C$31,X51*$C$32,Y51*$C$33),0)</f>
        <v>0</v>
      </c>
      <c r="AA51" s="30">
        <f>IF(R51&lt;&gt;0,($J$30*M51*$L$33),0)</f>
        <v>0</v>
      </c>
      <c r="AB51" s="30">
        <f>IF(W51&lt;&gt;0,($J$31*N51*$L$33),0)</f>
        <v>0</v>
      </c>
      <c r="AC51" s="30">
        <f>IF(X51&lt;&gt;0,($J$32*O51*$L$33),0)</f>
        <v>0</v>
      </c>
      <c r="AD51" s="30">
        <f>IF(Y51&lt;&gt;0,($J$33*P51*$L$33),0)</f>
        <v>0</v>
      </c>
      <c r="AE51" s="32">
        <f>SUM(AA51:AD51)</f>
        <v>0</v>
      </c>
      <c r="AF51" s="33">
        <f>AE47</f>
        <v>0</v>
      </c>
      <c r="AG51" s="40">
        <f>MAX(AG50-$Q$33+AF51,0)</f>
        <v>0</v>
      </c>
      <c r="AH51" s="224">
        <f>AG51*$P$33</f>
        <v>0</v>
      </c>
      <c r="AI51" s="227">
        <f>SUM(Z51,IF(Z51&lt;&gt;0,$F$31,0),IF(Z51&lt;&gt;0,$N$33,0),IF(Z51&lt;&gt;0,$T$33,0),IF(Z51=0,AH56,IF(Z51=1,AH57,IF(Z51=2,AH58,IF(Z51=3,AH59,IF(Z51=4,AH60,IF(Z51=5,AH61,IF(Z51=6,AH62,IF(Z51=7,AH63,IF(Z51=8,AH64,IF(Z51=9,AH65,IF(Z51=10,AH66,IF(Z51=11,AH67,IF(Z51=12,AH68,IF(Z51=13,AH69,IF(Z51=14,AH70,IF(Z51=15,AH71,IF(Z51=16,AH72,IF(Z51=17,AH73,IF(Z51=18,AH74,IF(Z51=19,AH75,IF(Z51=20,AH76,IF(Z51=21,AH77,IF(Z51=22,AH78,IF(Z51=23,AH79,IF(Z51=24,AH80,IF(Z51=25,AH81,IF(Z51=26,AH82,IF(Z51=27,AH83,IF(Z51=28,AH84,IF(Z51=29,AH85,IF(Z51=30,AH86))))))))))))))))))))))))))))))))</f>
        <v>0</v>
      </c>
    </row>
    <row r="52" spans="1:35" x14ac:dyDescent="0.35">
      <c r="A52" s="48">
        <v>1313</v>
      </c>
      <c r="B52" s="58">
        <f>SUMIF([2]!Table2_23[ETA],'FIS Optimal Model (3)'!A52,[2]!Table2_23[FIS PAX])</f>
        <v>0</v>
      </c>
      <c r="C52" s="44">
        <f>IF((D51-D52)&gt;-1,(D51-D52),18)</f>
        <v>0</v>
      </c>
      <c r="D52" s="52">
        <f>MAX(D51-$E$31+B51,0)</f>
        <v>0</v>
      </c>
      <c r="E52" s="26">
        <f>$C$30*C52</f>
        <v>0</v>
      </c>
      <c r="F52" s="26">
        <f>$C$31*C52</f>
        <v>0</v>
      </c>
      <c r="G52" s="26">
        <f>$C$32*C52</f>
        <v>0</v>
      </c>
      <c r="H52" s="26">
        <f>$C$33*C52</f>
        <v>0</v>
      </c>
      <c r="I52" s="27">
        <f>E47</f>
        <v>0</v>
      </c>
      <c r="J52" s="27">
        <f>F47</f>
        <v>0</v>
      </c>
      <c r="K52" s="27">
        <f>G47</f>
        <v>0</v>
      </c>
      <c r="L52" s="27">
        <f>H47</f>
        <v>0</v>
      </c>
      <c r="M52" s="28">
        <f>$M$40</f>
        <v>0</v>
      </c>
      <c r="N52" s="29">
        <f>$N$40</f>
        <v>6</v>
      </c>
      <c r="O52" s="28">
        <f>$O$40</f>
        <v>0</v>
      </c>
      <c r="P52" s="28">
        <f>$P$40</f>
        <v>0</v>
      </c>
      <c r="Q52" s="28">
        <f>SUM(M52:P52)</f>
        <v>6</v>
      </c>
      <c r="R52" s="22">
        <f>MAX(R51-($J$30*M52*$L$33)+I52,0)</f>
        <v>0</v>
      </c>
      <c r="S52" s="22">
        <f>IF(U52&lt;&gt;0,(MAX(S51-($J$31*N52*$L$33)+J52,0)),(MAX(S51-($J$31*(N52+P52)*$L$33)+J52,0)))</f>
        <v>0</v>
      </c>
      <c r="T52" s="22">
        <f>MAX(T51-($J$32*O52*$L$33)+K52,0)</f>
        <v>0</v>
      </c>
      <c r="U52" s="22">
        <f>MAX(U51-($J$33*P52*$L$33)+L52,0)</f>
        <v>0</v>
      </c>
      <c r="V52" s="21">
        <f>IFERROR(R52*($I$30/M52),0)</f>
        <v>0</v>
      </c>
      <c r="W52" s="21">
        <f>S52*($I$31/N52)</f>
        <v>0</v>
      </c>
      <c r="X52" s="21">
        <f>IFERROR(T52*($I$32/O52),0)</f>
        <v>0</v>
      </c>
      <c r="Y52" s="21">
        <f>IFERROR(U52*($I$33/P52),0)</f>
        <v>0</v>
      </c>
      <c r="Z52" s="221">
        <f>ROUNDUP(SUM(V52*$C$30,W52*$C$31,X52*$C$32,Y52*$C$33),0)</f>
        <v>0</v>
      </c>
      <c r="AA52" s="30">
        <f>IF(R52&lt;&gt;0,($J$30*M52*$L$33),0)</f>
        <v>0</v>
      </c>
      <c r="AB52" s="30">
        <f>IF(W52&lt;&gt;0,($J$31*N52*$L$33),0)</f>
        <v>0</v>
      </c>
      <c r="AC52" s="30">
        <f>IF(X52&lt;&gt;0,($J$32*O52*$L$33),0)</f>
        <v>0</v>
      </c>
      <c r="AD52" s="30">
        <f>IF(Y52&lt;&gt;0,($J$33*P52*$L$33),0)</f>
        <v>0</v>
      </c>
      <c r="AE52" s="32">
        <f>SUM(AA52:AD52)</f>
        <v>0</v>
      </c>
      <c r="AF52" s="33">
        <f>AE48</f>
        <v>0</v>
      </c>
      <c r="AG52" s="40">
        <f>MAX(AG51-$Q$33+AF52,0)</f>
        <v>0</v>
      </c>
      <c r="AH52" s="224">
        <f>AG52*$P$33</f>
        <v>0</v>
      </c>
      <c r="AI52" s="227">
        <f>SUM(Z52,IF(Z52&lt;&gt;0,$F$31,0),IF(Z52&lt;&gt;0,$N$33,0),IF(Z52&lt;&gt;0,$T$33,0),IF(Z52=0,AH57,IF(Z52=1,AH58,IF(Z52=2,AH59,IF(Z52=3,AH60,IF(Z52=4,AH61,IF(Z52=5,AH62,IF(Z52=6,AH63,IF(Z52=7,AH64,IF(Z52=8,AH65,IF(Z52=9,AH66,IF(Z52=10,AH67,IF(Z52=11,AH68,IF(Z52=12,AH69,IF(Z52=13,AH70,IF(Z52=14,AH71,IF(Z52=15,AH72,IF(Z52=16,AH73,IF(Z52=17,AH74,IF(Z52=18,AH75,IF(Z52=19,AH76,IF(Z52=20,AH77,IF(Z52=21,AH78,IF(Z52=22,AH79,IF(Z52=23,AH80,IF(Z52=24,AH81,IF(Z52=25,AH82,IF(Z52=26,AH83,IF(Z52=27,AH84,IF(Z52=28,AH85,IF(Z52=29,AH86,IF(Z52=30,AH87))))))))))))))))))))))))))))))))</f>
        <v>0</v>
      </c>
    </row>
    <row r="53" spans="1:35" x14ac:dyDescent="0.35">
      <c r="A53" s="48">
        <v>1314</v>
      </c>
      <c r="B53" s="58">
        <f>SUMIF([2]!Table2_23[ETA],'FIS Optimal Model (3)'!A53,[2]!Table2_23[FIS PAX])</f>
        <v>0</v>
      </c>
      <c r="C53" s="44">
        <f>IF((D52-D53)&gt;-1,(D52-D53),18)</f>
        <v>0</v>
      </c>
      <c r="D53" s="52">
        <f>MAX(D52-$E$31+B52,0)</f>
        <v>0</v>
      </c>
      <c r="E53" s="26">
        <f>$C$30*C53</f>
        <v>0</v>
      </c>
      <c r="F53" s="26">
        <f>$C$31*C53</f>
        <v>0</v>
      </c>
      <c r="G53" s="26">
        <f>$C$32*C53</f>
        <v>0</v>
      </c>
      <c r="H53" s="26">
        <f>$C$33*C53</f>
        <v>0</v>
      </c>
      <c r="I53" s="27">
        <f>E48</f>
        <v>0</v>
      </c>
      <c r="J53" s="27">
        <f>F48</f>
        <v>0</v>
      </c>
      <c r="K53" s="27">
        <f>G48</f>
        <v>0</v>
      </c>
      <c r="L53" s="27">
        <f>H48</f>
        <v>0</v>
      </c>
      <c r="M53" s="28">
        <f>$M$40</f>
        <v>0</v>
      </c>
      <c r="N53" s="29">
        <f>$N$40</f>
        <v>6</v>
      </c>
      <c r="O53" s="28">
        <f>$O$40</f>
        <v>0</v>
      </c>
      <c r="P53" s="28">
        <f>$P$40</f>
        <v>0</v>
      </c>
      <c r="Q53" s="28">
        <f>SUM(M53:P53)</f>
        <v>6</v>
      </c>
      <c r="R53" s="22">
        <f>MAX(R52-($J$30*M53*$L$33)+I53,0)</f>
        <v>0</v>
      </c>
      <c r="S53" s="22">
        <f>IF(U53&lt;&gt;0,(MAX(S52-($J$31*N53*$L$33)+J53,0)),(MAX(S52-($J$31*(N53+P53)*$L$33)+J53,0)))</f>
        <v>0</v>
      </c>
      <c r="T53" s="22">
        <f>MAX(T52-($J$32*O53*$L$33)+K53,0)</f>
        <v>0</v>
      </c>
      <c r="U53" s="22">
        <f>MAX(U52-($J$33*P53*$L$33)+L53,0)</f>
        <v>0</v>
      </c>
      <c r="V53" s="21">
        <f>IFERROR(R53*($I$30/M53),0)</f>
        <v>0</v>
      </c>
      <c r="W53" s="21">
        <f>S53*($I$31/N53)</f>
        <v>0</v>
      </c>
      <c r="X53" s="21">
        <f>IFERROR(T53*($I$32/O53),0)</f>
        <v>0</v>
      </c>
      <c r="Y53" s="21">
        <f>IFERROR(U53*($I$33/P53),0)</f>
        <v>0</v>
      </c>
      <c r="Z53" s="221">
        <f>ROUNDUP(SUM(V53*$C$30,W53*$C$31,X53*$C$32,Y53*$C$33),0)</f>
        <v>0</v>
      </c>
      <c r="AA53" s="30">
        <f>IF(R53&lt;&gt;0,($J$30*M53*$L$33),0)</f>
        <v>0</v>
      </c>
      <c r="AB53" s="30">
        <f>IF(W53&lt;&gt;0,($J$31*N53*$L$33),0)</f>
        <v>0</v>
      </c>
      <c r="AC53" s="30">
        <f>IF(X53&lt;&gt;0,($J$32*O53*$L$33),0)</f>
        <v>0</v>
      </c>
      <c r="AD53" s="30">
        <f>IF(Y53&lt;&gt;0,($J$33*P53*$L$33),0)</f>
        <v>0</v>
      </c>
      <c r="AE53" s="32">
        <f>SUM(AA53:AD53)</f>
        <v>0</v>
      </c>
      <c r="AF53" s="33">
        <f>AE49</f>
        <v>0</v>
      </c>
      <c r="AG53" s="40">
        <f>MAX(AG52-$Q$33+AF53,0)</f>
        <v>0</v>
      </c>
      <c r="AH53" s="224">
        <f>AG53*$P$33</f>
        <v>0</v>
      </c>
      <c r="AI53" s="227">
        <f>SUM(Z53,IF(Z53&lt;&gt;0,$F$31,0),IF(Z53&lt;&gt;0,$N$33,0),IF(Z53&lt;&gt;0,$T$33,0),IF(Z53=0,AH58,IF(Z53=1,AH59,IF(Z53=2,AH60,IF(Z53=3,AH61,IF(Z53=4,AH62,IF(Z53=5,AH63,IF(Z53=6,AH64,IF(Z53=7,AH65,IF(Z53=8,AH66,IF(Z53=9,AH67,IF(Z53=10,AH68,IF(Z53=11,AH69,IF(Z53=12,AH70,IF(Z53=13,AH71,IF(Z53=14,AH72,IF(Z53=15,AH73,IF(Z53=16,AH74,IF(Z53=17,AH75,IF(Z53=18,AH76,IF(Z53=19,AH77,IF(Z53=20,AH78,IF(Z53=21,AH79,IF(Z53=22,AH80,IF(Z53=23,AH81,IF(Z53=24,AH82,IF(Z53=25,AH83,IF(Z53=26,AH84,IF(Z53=27,AH85,IF(Z53=28,AH86,IF(Z53=29,AH87,IF(Z53=30,AH88))))))))))))))))))))))))))))))))</f>
        <v>0</v>
      </c>
    </row>
    <row r="54" spans="1:35" x14ac:dyDescent="0.35">
      <c r="A54" s="48">
        <v>1315</v>
      </c>
      <c r="B54" s="58">
        <f>SUMIF([2]!Table2_23[ETA],'FIS Optimal Model (3)'!A54,[2]!Table2_23[FIS PAX])</f>
        <v>0</v>
      </c>
      <c r="C54" s="44">
        <f>IF((D53-D54)&gt;-1,(D53-D54),18)</f>
        <v>0</v>
      </c>
      <c r="D54" s="52">
        <f>MAX(D53-$E$31+B53,0)</f>
        <v>0</v>
      </c>
      <c r="E54" s="26">
        <f>$C$30*C54</f>
        <v>0</v>
      </c>
      <c r="F54" s="26">
        <f>$C$31*C54</f>
        <v>0</v>
      </c>
      <c r="G54" s="26">
        <f>$C$32*C54</f>
        <v>0</v>
      </c>
      <c r="H54" s="26">
        <f>$C$33*C54</f>
        <v>0</v>
      </c>
      <c r="I54" s="27">
        <f>E49</f>
        <v>0</v>
      </c>
      <c r="J54" s="27">
        <f>F49</f>
        <v>0</v>
      </c>
      <c r="K54" s="27">
        <f>G49</f>
        <v>0</v>
      </c>
      <c r="L54" s="27">
        <f>H49</f>
        <v>0</v>
      </c>
      <c r="M54" s="28">
        <f>$M$40</f>
        <v>0</v>
      </c>
      <c r="N54" s="29">
        <f>$N$40</f>
        <v>6</v>
      </c>
      <c r="O54" s="28">
        <f>$O$40</f>
        <v>0</v>
      </c>
      <c r="P54" s="28">
        <f>$P$40</f>
        <v>0</v>
      </c>
      <c r="Q54" s="28">
        <f>SUM(M54:P54)</f>
        <v>6</v>
      </c>
      <c r="R54" s="22">
        <f>MAX(R53-($J$30*M54*$L$33)+I54,0)</f>
        <v>0</v>
      </c>
      <c r="S54" s="22">
        <f>IF(U54&lt;&gt;0,(MAX(S53-($J$31*N54*$L$33)+J54,0)),(MAX(S53-($J$31*(N54+P54)*$L$33)+J54,0)))</f>
        <v>0</v>
      </c>
      <c r="T54" s="22">
        <f>MAX(T53-($J$32*O54*$L$33)+K54,0)</f>
        <v>0</v>
      </c>
      <c r="U54" s="22">
        <f>MAX(U53-($J$33*P54*$L$33)+L54,0)</f>
        <v>0</v>
      </c>
      <c r="V54" s="21">
        <f>IFERROR(R54*($I$30/M54),0)</f>
        <v>0</v>
      </c>
      <c r="W54" s="21">
        <f>S54*($I$31/N54)</f>
        <v>0</v>
      </c>
      <c r="X54" s="21">
        <f>IFERROR(T54*($I$32/O54),0)</f>
        <v>0</v>
      </c>
      <c r="Y54" s="21">
        <f>IFERROR(U54*($I$33/P54),0)</f>
        <v>0</v>
      </c>
      <c r="Z54" s="221">
        <f>ROUNDUP(SUM(V54*$C$30,W54*$C$31,X54*$C$32,Y54*$C$33),0)</f>
        <v>0</v>
      </c>
      <c r="AA54" s="30">
        <f>IF(R54&lt;&gt;0,($J$30*M54*$L$33),0)</f>
        <v>0</v>
      </c>
      <c r="AB54" s="30">
        <f>IF(W54&lt;&gt;0,($J$31*N54*$L$33),0)</f>
        <v>0</v>
      </c>
      <c r="AC54" s="30">
        <f>IF(X54&lt;&gt;0,($J$32*O54*$L$33),0)</f>
        <v>0</v>
      </c>
      <c r="AD54" s="30">
        <f>IF(Y54&lt;&gt;0,($J$33*P54*$L$33),0)</f>
        <v>0</v>
      </c>
      <c r="AE54" s="32">
        <f>SUM(AA54:AD54)</f>
        <v>0</v>
      </c>
      <c r="AF54" s="33">
        <f>AE50</f>
        <v>0</v>
      </c>
      <c r="AG54" s="40">
        <f>MAX(AG53-$Q$33+AF54,0)</f>
        <v>0</v>
      </c>
      <c r="AH54" s="224">
        <f>AG54*$P$33</f>
        <v>0</v>
      </c>
      <c r="AI54" s="227">
        <f>SUM(Z54,IF(Z54&lt;&gt;0,$F$31,0),IF(Z54&lt;&gt;0,$N$33,0),IF(Z54&lt;&gt;0,$T$33,0),IF(Z54=0,AH59,IF(Z54=1,AH60,IF(Z54=2,AH61,IF(Z54=3,AH62,IF(Z54=4,AH63,IF(Z54=5,AH64,IF(Z54=6,AH65,IF(Z54=7,AH66,IF(Z54=8,AH67,IF(Z54=9,AH68,IF(Z54=10,AH69,IF(Z54=11,AH70,IF(Z54=12,AH71,IF(Z54=13,AH72,IF(Z54=14,AH73,IF(Z54=15,AH74,IF(Z54=16,AH75,IF(Z54=17,AH76,IF(Z54=18,AH77,IF(Z54=19,AH78,IF(Z54=20,AH79,IF(Z54=21,AH80,IF(Z54=22,AH81,IF(Z54=23,AH82,IF(Z54=24,AH83,IF(Z54=25,AH84,IF(Z54=26,AH85,IF(Z54=27,AH86,IF(Z54=28,AH87,IF(Z54=29,AH88,IF(Z54=30,AH89))))))))))))))))))))))))))))))))</f>
        <v>0</v>
      </c>
    </row>
    <row r="55" spans="1:35" x14ac:dyDescent="0.35">
      <c r="A55" s="48">
        <v>1316</v>
      </c>
      <c r="B55" s="58">
        <f>SUMIF([2]!Table2_23[ETA],'FIS Optimal Model (3)'!A55,[2]!Table2_23[FIS PAX])</f>
        <v>0</v>
      </c>
      <c r="C55" s="44">
        <f>IF((D54-D55)&gt;-1,(D54-D55),18)</f>
        <v>0</v>
      </c>
      <c r="D55" s="52">
        <f>MAX(D54-$E$31+B54,0)</f>
        <v>0</v>
      </c>
      <c r="E55" s="26">
        <f>$C$30*C55</f>
        <v>0</v>
      </c>
      <c r="F55" s="26">
        <f>$C$31*C55</f>
        <v>0</v>
      </c>
      <c r="G55" s="26">
        <f>$C$32*C55</f>
        <v>0</v>
      </c>
      <c r="H55" s="26">
        <f>$C$33*C55</f>
        <v>0</v>
      </c>
      <c r="I55" s="27">
        <f>E50</f>
        <v>0</v>
      </c>
      <c r="J55" s="27">
        <f>F50</f>
        <v>0</v>
      </c>
      <c r="K55" s="27">
        <f>G50</f>
        <v>0</v>
      </c>
      <c r="L55" s="27">
        <f>H50</f>
        <v>0</v>
      </c>
      <c r="M55" s="28">
        <f>IF(R54=0,0,$Q$7)</f>
        <v>0</v>
      </c>
      <c r="N55" s="29">
        <f>$U$7-M55-O55-P55</f>
        <v>6</v>
      </c>
      <c r="O55" s="28">
        <f>IF(T54=0,0,$S$7)</f>
        <v>0</v>
      </c>
      <c r="P55" s="28">
        <f>IF(U54=0,0,$T$7)</f>
        <v>0</v>
      </c>
      <c r="Q55" s="28">
        <f>SUM(M55:P55)</f>
        <v>6</v>
      </c>
      <c r="R55" s="22">
        <f>MAX(R54-($J$30*M55*$L$33)+I55,0)</f>
        <v>0</v>
      </c>
      <c r="S55" s="22">
        <f>IF(U55&lt;&gt;0,(MAX(S54-($J$31*N55*$L$33)+J55,0)),(MAX(S54-($J$31*(N55+P55)*$L$33)+J55,0)))</f>
        <v>0</v>
      </c>
      <c r="T55" s="22">
        <f>MAX(T54-($J$32*O55*$L$33)+K55,0)</f>
        <v>0</v>
      </c>
      <c r="U55" s="22">
        <f>MAX(U54-($J$33*P55*$L$33)+L55,0)</f>
        <v>0</v>
      </c>
      <c r="V55" s="21">
        <f>IFERROR(R55*($I$30/M55),0)</f>
        <v>0</v>
      </c>
      <c r="W55" s="21">
        <f>S55*($I$31/N55)</f>
        <v>0</v>
      </c>
      <c r="X55" s="21">
        <f>IFERROR(T55*($I$32/O55),0)</f>
        <v>0</v>
      </c>
      <c r="Y55" s="21">
        <f>IFERROR(U55*($I$33/P55),0)</f>
        <v>0</v>
      </c>
      <c r="Z55" s="221">
        <f>ROUNDUP(SUM(V55*$C$30,W55*$C$31,X55*$C$32,Y55*$C$33),0)</f>
        <v>0</v>
      </c>
      <c r="AA55" s="30">
        <f>IF(R55&lt;&gt;0,($J$30*M55*$L$33),0)</f>
        <v>0</v>
      </c>
      <c r="AB55" s="30">
        <f>IF(W55&lt;&gt;0,($J$31*N55*$L$33),0)</f>
        <v>0</v>
      </c>
      <c r="AC55" s="30">
        <f>IF(X55&lt;&gt;0,($J$32*O55*$L$33),0)</f>
        <v>0</v>
      </c>
      <c r="AD55" s="30">
        <f>IF(Y55&lt;&gt;0,($J$33*P55*$L$33),0)</f>
        <v>0</v>
      </c>
      <c r="AE55" s="32">
        <f>SUM(AA55:AD55)</f>
        <v>0</v>
      </c>
      <c r="AF55" s="33">
        <f>AE51</f>
        <v>0</v>
      </c>
      <c r="AG55" s="40">
        <f>MAX(AG54-$Q$33+AF55,0)</f>
        <v>0</v>
      </c>
      <c r="AH55" s="224">
        <f>AG55*$P$33</f>
        <v>0</v>
      </c>
      <c r="AI55" s="227">
        <f>SUM(Z55,IF(Z55&lt;&gt;0,$F$31,0),IF(Z55&lt;&gt;0,$N$33,0),IF(Z55&lt;&gt;0,$T$33,0),IF(Z55=0,AH60,IF(Z55=1,AH61,IF(Z55=2,AH62,IF(Z55=3,AH63,IF(Z55=4,AH64,IF(Z55=5,AH65,IF(Z55=6,AH66,IF(Z55=7,AH67,IF(Z55=8,AH68,IF(Z55=9,AH69,IF(Z55=10,AH70,IF(Z55=11,AH71,IF(Z55=12,AH72,IF(Z55=13,AH73,IF(Z55=14,AH74,IF(Z55=15,AH75,IF(Z55=16,AH76,IF(Z55=17,AH77,IF(Z55=18,AH78,IF(Z55=19,AH79,IF(Z55=20,AH80,IF(Z55=21,AH81,IF(Z55=22,AH82,IF(Z55=23,AH83,IF(Z55=24,AH84,IF(Z55=25,AH85,IF(Z55=26,AH86,IF(Z55=27,AH87,IF(Z55=28,AH88,IF(Z55=29,AH89,IF(Z55=30,AH90))))))))))))))))))))))))))))))))</f>
        <v>0</v>
      </c>
    </row>
    <row r="56" spans="1:35" x14ac:dyDescent="0.35">
      <c r="A56" s="48">
        <v>1317</v>
      </c>
      <c r="B56" s="58">
        <f>SUMIF([2]!Table2_23[ETA],'FIS Optimal Model (3)'!A56,[2]!Table2_23[FIS PAX])</f>
        <v>0</v>
      </c>
      <c r="C56" s="44">
        <f>IF((D55-D56)&gt;-1,(D55-D56),18)</f>
        <v>0</v>
      </c>
      <c r="D56" s="52">
        <f>MAX(D55-$E$31+B55,0)</f>
        <v>0</v>
      </c>
      <c r="E56" s="26">
        <f>$C$30*C56</f>
        <v>0</v>
      </c>
      <c r="F56" s="26">
        <f>$C$31*C56</f>
        <v>0</v>
      </c>
      <c r="G56" s="26">
        <f>$C$32*C56</f>
        <v>0</v>
      </c>
      <c r="H56" s="26">
        <f>$C$33*C56</f>
        <v>0</v>
      </c>
      <c r="I56" s="27">
        <f>E51</f>
        <v>0</v>
      </c>
      <c r="J56" s="27">
        <f>F51</f>
        <v>0</v>
      </c>
      <c r="K56" s="27">
        <f>G51</f>
        <v>0</v>
      </c>
      <c r="L56" s="27">
        <f>H51</f>
        <v>0</v>
      </c>
      <c r="M56" s="28">
        <f>$M$55</f>
        <v>0</v>
      </c>
      <c r="N56" s="29">
        <f>$N$55</f>
        <v>6</v>
      </c>
      <c r="O56" s="28">
        <f>$O$55</f>
        <v>0</v>
      </c>
      <c r="P56" s="28">
        <f>$P$55</f>
        <v>0</v>
      </c>
      <c r="Q56" s="28">
        <f>SUM(M56:P56)</f>
        <v>6</v>
      </c>
      <c r="R56" s="22">
        <f>MAX(R55-($J$30*M56*$L$33)+I56,0)</f>
        <v>0</v>
      </c>
      <c r="S56" s="22">
        <f>IF(U56&lt;&gt;0,(MAX(S55-($J$31*N56*$L$33)+J56,0)),(MAX(S55-($J$31*(N56+P56)*$L$33)+J56,0)))</f>
        <v>0</v>
      </c>
      <c r="T56" s="22">
        <f>MAX(T55-($J$32*O56*$L$33)+K56,0)</f>
        <v>0</v>
      </c>
      <c r="U56" s="22">
        <f>MAX(U55-($J$33*P56*$L$33)+L56,0)</f>
        <v>0</v>
      </c>
      <c r="V56" s="21">
        <f>IFERROR(R56*($I$30/M56),0)</f>
        <v>0</v>
      </c>
      <c r="W56" s="21">
        <f>S56*($I$31/N56)</f>
        <v>0</v>
      </c>
      <c r="X56" s="21">
        <f>IFERROR(T56*($I$32/O56),0)</f>
        <v>0</v>
      </c>
      <c r="Y56" s="21">
        <f>IFERROR(U56*($I$33/P56),0)</f>
        <v>0</v>
      </c>
      <c r="Z56" s="221">
        <f>ROUNDUP(SUM(V56*$C$30,W56*$C$31,X56*$C$32,Y56*$C$33),0)</f>
        <v>0</v>
      </c>
      <c r="AA56" s="30">
        <f>IF(R56&lt;&gt;0,($J$30*M56*$L$33),0)</f>
        <v>0</v>
      </c>
      <c r="AB56" s="30">
        <f>IF(W56&lt;&gt;0,($J$31*N56*$L$33),0)</f>
        <v>0</v>
      </c>
      <c r="AC56" s="30">
        <f>IF(X56&lt;&gt;0,($J$32*O56*$L$33),0)</f>
        <v>0</v>
      </c>
      <c r="AD56" s="30">
        <f>IF(Y56&lt;&gt;0,($J$33*P56*$L$33),0)</f>
        <v>0</v>
      </c>
      <c r="AE56" s="32">
        <f>SUM(AA56:AD56)</f>
        <v>0</v>
      </c>
      <c r="AF56" s="33">
        <f>AE52</f>
        <v>0</v>
      </c>
      <c r="AG56" s="40">
        <f>MAX(AG55-$Q$33+AF56,0)</f>
        <v>0</v>
      </c>
      <c r="AH56" s="224">
        <f>AG56*$P$33</f>
        <v>0</v>
      </c>
      <c r="AI56" s="227">
        <f>SUM(Z56,IF(Z56&lt;&gt;0,$F$31,0),IF(Z56&lt;&gt;0,$N$33,0),IF(Z56&lt;&gt;0,$T$33,0),IF(Z56=0,AH61,IF(Z56=1,AH62,IF(Z56=2,AH63,IF(Z56=3,AH64,IF(Z56=4,AH65,IF(Z56=5,AH66,IF(Z56=6,AH67,IF(Z56=7,AH68,IF(Z56=8,AH69,IF(Z56=9,AH70,IF(Z56=10,AH71,IF(Z56=11,AH72,IF(Z56=12,AH73,IF(Z56=13,AH74,IF(Z56=14,AH75,IF(Z56=15,AH76,IF(Z56=16,AH77,IF(Z56=17,AH78,IF(Z56=18,AH79,IF(Z56=19,AH80,IF(Z56=20,AH81,IF(Z56=21,AH82,IF(Z56=22,AH83,IF(Z56=23,AH84,IF(Z56=24,AH85,IF(Z56=25,AH86,IF(Z56=26,AH87,IF(Z56=27,AH88,IF(Z56=28,AH89,IF(Z56=29,AH90,IF(Z56=30,AH91))))))))))))))))))))))))))))))))</f>
        <v>0</v>
      </c>
    </row>
    <row r="57" spans="1:35" x14ac:dyDescent="0.35">
      <c r="A57" s="48">
        <v>1318</v>
      </c>
      <c r="B57" s="58">
        <f>SUMIF([2]!Table2_23[ETA],'FIS Optimal Model (3)'!A57,[2]!Table2_23[FIS PAX])</f>
        <v>0</v>
      </c>
      <c r="C57" s="44">
        <f>IF((D56-D57)&gt;-1,(D56-D57),18)</f>
        <v>0</v>
      </c>
      <c r="D57" s="52">
        <f>MAX(D56-$E$31+B56,0)</f>
        <v>0</v>
      </c>
      <c r="E57" s="26">
        <f>$C$30*C57</f>
        <v>0</v>
      </c>
      <c r="F57" s="26">
        <f>$C$31*C57</f>
        <v>0</v>
      </c>
      <c r="G57" s="26">
        <f>$C$32*C57</f>
        <v>0</v>
      </c>
      <c r="H57" s="26">
        <f>$C$33*C57</f>
        <v>0</v>
      </c>
      <c r="I57" s="27">
        <f>E52</f>
        <v>0</v>
      </c>
      <c r="J57" s="27">
        <f>F52</f>
        <v>0</v>
      </c>
      <c r="K57" s="27">
        <f>G52</f>
        <v>0</v>
      </c>
      <c r="L57" s="27">
        <f>H52</f>
        <v>0</v>
      </c>
      <c r="M57" s="28">
        <f>$M$55</f>
        <v>0</v>
      </c>
      <c r="N57" s="29">
        <f>$N$55</f>
        <v>6</v>
      </c>
      <c r="O57" s="28">
        <f>$O$55</f>
        <v>0</v>
      </c>
      <c r="P57" s="28">
        <f>$P$55</f>
        <v>0</v>
      </c>
      <c r="Q57" s="28">
        <f>SUM(M57:P57)</f>
        <v>6</v>
      </c>
      <c r="R57" s="22">
        <f>MAX(R56-($J$30*M57*$L$33)+I57,0)</f>
        <v>0</v>
      </c>
      <c r="S57" s="22">
        <f>IF(U57&lt;&gt;0,(MAX(S56-($J$31*N57*$L$33)+J57,0)),(MAX(S56-($J$31*(N57+P57)*$L$33)+J57,0)))</f>
        <v>0</v>
      </c>
      <c r="T57" s="22">
        <f>MAX(T56-($J$32*O57*$L$33)+K57,0)</f>
        <v>0</v>
      </c>
      <c r="U57" s="22">
        <f>MAX(U56-($J$33*P57*$L$33)+L57,0)</f>
        <v>0</v>
      </c>
      <c r="V57" s="21">
        <f>IFERROR(R57*($I$30/M57),0)</f>
        <v>0</v>
      </c>
      <c r="W57" s="21">
        <f>S57*($I$31/N57)</f>
        <v>0</v>
      </c>
      <c r="X57" s="21">
        <f>IFERROR(T57*($I$32/O57),0)</f>
        <v>0</v>
      </c>
      <c r="Y57" s="21">
        <f>IFERROR(U57*($I$33/P57),0)</f>
        <v>0</v>
      </c>
      <c r="Z57" s="221">
        <f>ROUNDUP(SUM(V57*$C$30,W57*$C$31,X57*$C$32,Y57*$C$33),0)</f>
        <v>0</v>
      </c>
      <c r="AA57" s="30">
        <f>IF(R57&lt;&gt;0,($J$30*M57*$L$33),0)</f>
        <v>0</v>
      </c>
      <c r="AB57" s="30">
        <f>IF(W57&lt;&gt;0,($J$31*N57*$L$33),0)</f>
        <v>0</v>
      </c>
      <c r="AC57" s="30">
        <f>IF(X57&lt;&gt;0,($J$32*O57*$L$33),0)</f>
        <v>0</v>
      </c>
      <c r="AD57" s="30">
        <f>IF(Y57&lt;&gt;0,($J$33*P57*$L$33),0)</f>
        <v>0</v>
      </c>
      <c r="AE57" s="32">
        <f>SUM(AA57:AD57)</f>
        <v>0</v>
      </c>
      <c r="AF57" s="33">
        <f>AE53</f>
        <v>0</v>
      </c>
      <c r="AG57" s="40">
        <f>MAX(AG56-$Q$33+AF57,0)</f>
        <v>0</v>
      </c>
      <c r="AH57" s="224">
        <f>AG57*$P$33</f>
        <v>0</v>
      </c>
      <c r="AI57" s="227">
        <f>SUM(Z57,IF(Z57&lt;&gt;0,$F$31,0),IF(Z57&lt;&gt;0,$N$33,0),IF(Z57&lt;&gt;0,$T$33,0),IF(Z57=0,AH62,IF(Z57=1,AH63,IF(Z57=2,AH64,IF(Z57=3,AH65,IF(Z57=4,AH66,IF(Z57=5,AH67,IF(Z57=6,AH68,IF(Z57=7,AH69,IF(Z57=8,AH70,IF(Z57=9,AH71,IF(Z57=10,AH72,IF(Z57=11,AH73,IF(Z57=12,AH74,IF(Z57=13,AH75,IF(Z57=14,AH76,IF(Z57=15,AH77,IF(Z57=16,AH78,IF(Z57=17,AH79,IF(Z57=18,AH80,IF(Z57=19,AH81,IF(Z57=20,AH82,IF(Z57=21,AH83,IF(Z57=22,AH84,IF(Z57=23,AH85,IF(Z57=24,AH86,IF(Z57=25,AH87,IF(Z57=26,AH88,IF(Z57=27,AH89,IF(Z57=28,AH90,IF(Z57=29,AH91,IF(Z57=30,AH92))))))))))))))))))))))))))))))))</f>
        <v>0</v>
      </c>
    </row>
    <row r="58" spans="1:35" x14ac:dyDescent="0.35">
      <c r="A58" s="48">
        <v>1319</v>
      </c>
      <c r="B58" s="58">
        <f>SUMIF([2]!Table2_23[ETA],'FIS Optimal Model (3)'!A58,[2]!Table2_23[FIS PAX])</f>
        <v>0</v>
      </c>
      <c r="C58" s="44">
        <f>IF((D57-D58)&gt;-1,(D57-D58),18)</f>
        <v>0</v>
      </c>
      <c r="D58" s="52">
        <f>MAX(D57-$E$31+B57,0)</f>
        <v>0</v>
      </c>
      <c r="E58" s="26">
        <f>$C$30*C58</f>
        <v>0</v>
      </c>
      <c r="F58" s="26">
        <f>$C$31*C58</f>
        <v>0</v>
      </c>
      <c r="G58" s="26">
        <f>$C$32*C58</f>
        <v>0</v>
      </c>
      <c r="H58" s="26">
        <f>$C$33*C58</f>
        <v>0</v>
      </c>
      <c r="I58" s="27">
        <f>E53</f>
        <v>0</v>
      </c>
      <c r="J58" s="27">
        <f>F53</f>
        <v>0</v>
      </c>
      <c r="K58" s="27">
        <f>G53</f>
        <v>0</v>
      </c>
      <c r="L58" s="27">
        <f>H53</f>
        <v>0</v>
      </c>
      <c r="M58" s="28">
        <f>$M$55</f>
        <v>0</v>
      </c>
      <c r="N58" s="29">
        <f>$N$55</f>
        <v>6</v>
      </c>
      <c r="O58" s="28">
        <f>$O$55</f>
        <v>0</v>
      </c>
      <c r="P58" s="28">
        <f>$P$55</f>
        <v>0</v>
      </c>
      <c r="Q58" s="28">
        <f>SUM(M58:P58)</f>
        <v>6</v>
      </c>
      <c r="R58" s="22">
        <f>MAX(R57-($J$30*M58*$L$33)+I58,0)</f>
        <v>0</v>
      </c>
      <c r="S58" s="22">
        <f>IF(U58&lt;&gt;0,(MAX(S57-($J$31*N58*$L$33)+J58,0)),(MAX(S57-($J$31*(N58+P58)*$L$33)+J58,0)))</f>
        <v>0</v>
      </c>
      <c r="T58" s="22">
        <f>MAX(T57-($J$32*O58*$L$33)+K58,0)</f>
        <v>0</v>
      </c>
      <c r="U58" s="22">
        <f>MAX(U57-($J$33*P58*$L$33)+L58,0)</f>
        <v>0</v>
      </c>
      <c r="V58" s="21">
        <f>IFERROR(R58*($I$30/M58),0)</f>
        <v>0</v>
      </c>
      <c r="W58" s="21">
        <f>S58*($I$31/N58)</f>
        <v>0</v>
      </c>
      <c r="X58" s="21">
        <f>IFERROR(T58*($I$32/O58),0)</f>
        <v>0</v>
      </c>
      <c r="Y58" s="21">
        <f>IFERROR(U58*($I$33/P58),0)</f>
        <v>0</v>
      </c>
      <c r="Z58" s="221">
        <f>ROUNDUP(SUM(V58*$C$30,W58*$C$31,X58*$C$32,Y58*$C$33),0)</f>
        <v>0</v>
      </c>
      <c r="AA58" s="30">
        <f>IF(R58&lt;&gt;0,($J$30*M58*$L$33),0)</f>
        <v>0</v>
      </c>
      <c r="AB58" s="30">
        <f>IF(W58&lt;&gt;0,($J$31*N58*$L$33),0)</f>
        <v>0</v>
      </c>
      <c r="AC58" s="30">
        <f>IF(X58&lt;&gt;0,($J$32*O58*$L$33),0)</f>
        <v>0</v>
      </c>
      <c r="AD58" s="30">
        <f>IF(Y58&lt;&gt;0,($J$33*P58*$L$33),0)</f>
        <v>0</v>
      </c>
      <c r="AE58" s="32">
        <f>SUM(AA58:AD58)</f>
        <v>0</v>
      </c>
      <c r="AF58" s="33">
        <f>AE54</f>
        <v>0</v>
      </c>
      <c r="AG58" s="40">
        <f>MAX(AG57-$Q$33+AF58,0)</f>
        <v>0</v>
      </c>
      <c r="AH58" s="224">
        <f>AG58*$P$33</f>
        <v>0</v>
      </c>
      <c r="AI58" s="227">
        <f>SUM(Z58,IF(Z58&lt;&gt;0,$F$31,0),IF(Z58&lt;&gt;0,$N$33,0),IF(Z58&lt;&gt;0,$T$33,0),IF(Z58=0,AH63,IF(Z58=1,AH64,IF(Z58=2,AH65,IF(Z58=3,AH66,IF(Z58=4,AH67,IF(Z58=5,AH68,IF(Z58=6,AH69,IF(Z58=7,AH70,IF(Z58=8,AH71,IF(Z58=9,AH72,IF(Z58=10,AH73,IF(Z58=11,AH74,IF(Z58=12,AH75,IF(Z58=13,AH76,IF(Z58=14,AH77,IF(Z58=15,AH78,IF(Z58=16,AH79,IF(Z58=17,AH80,IF(Z58=18,AH81,IF(Z58=19,AH82,IF(Z58=20,AH83,IF(Z58=21,AH84,IF(Z58=22,AH85,IF(Z58=23,AH86,IF(Z58=24,AH87,IF(Z58=25,AH88,IF(Z58=26,AH89,IF(Z58=27,AH90,IF(Z58=28,AH91,IF(Z58=29,AH92,IF(Z58=30,AH93))))))))))))))))))))))))))))))))</f>
        <v>0</v>
      </c>
    </row>
    <row r="59" spans="1:35" x14ac:dyDescent="0.35">
      <c r="A59" s="48">
        <v>1320</v>
      </c>
      <c r="B59" s="58">
        <f>SUMIF([2]!Table2_23[ETA],'FIS Optimal Model (3)'!A59,[2]!Table2_23[FIS PAX])</f>
        <v>0</v>
      </c>
      <c r="C59" s="44">
        <f>IF((D58-D59)&gt;-1,(D58-D59),18)</f>
        <v>0</v>
      </c>
      <c r="D59" s="52">
        <f>MAX(D58-$E$31+B58,0)</f>
        <v>0</v>
      </c>
      <c r="E59" s="26">
        <f>$C$30*C59</f>
        <v>0</v>
      </c>
      <c r="F59" s="26">
        <f>$C$31*C59</f>
        <v>0</v>
      </c>
      <c r="G59" s="26">
        <f>$C$32*C59</f>
        <v>0</v>
      </c>
      <c r="H59" s="26">
        <f>$C$33*C59</f>
        <v>0</v>
      </c>
      <c r="I59" s="27">
        <f>E54</f>
        <v>0</v>
      </c>
      <c r="J59" s="27">
        <f>F54</f>
        <v>0</v>
      </c>
      <c r="K59" s="27">
        <f>G54</f>
        <v>0</v>
      </c>
      <c r="L59" s="27">
        <f>H54</f>
        <v>0</v>
      </c>
      <c r="M59" s="28">
        <f>$M$55</f>
        <v>0</v>
      </c>
      <c r="N59" s="29">
        <f>$N$55</f>
        <v>6</v>
      </c>
      <c r="O59" s="28">
        <f>$O$55</f>
        <v>0</v>
      </c>
      <c r="P59" s="28">
        <f>$P$55</f>
        <v>0</v>
      </c>
      <c r="Q59" s="28">
        <f>SUM(M59:P59)</f>
        <v>6</v>
      </c>
      <c r="R59" s="22">
        <f>MAX(R58-($J$30*M59*$L$33)+I59,0)</f>
        <v>0</v>
      </c>
      <c r="S59" s="22">
        <f>IF(U59&lt;&gt;0,(MAX(S58-($J$31*N59*$L$33)+J59,0)),(MAX(S58-($J$31*(N59+P59)*$L$33)+J59,0)))</f>
        <v>0</v>
      </c>
      <c r="T59" s="22">
        <f>MAX(T58-($J$32*O59*$L$33)+K59,0)</f>
        <v>0</v>
      </c>
      <c r="U59" s="22">
        <f>MAX(U58-($J$33*P59*$L$33)+L59,0)</f>
        <v>0</v>
      </c>
      <c r="V59" s="21">
        <f>IFERROR(R59*($I$30/M59),0)</f>
        <v>0</v>
      </c>
      <c r="W59" s="21">
        <f>S59*($I$31/N59)</f>
        <v>0</v>
      </c>
      <c r="X59" s="21">
        <f>IFERROR(T59*($I$32/O59),0)</f>
        <v>0</v>
      </c>
      <c r="Y59" s="21">
        <f>IFERROR(U59*($I$33/P59),0)</f>
        <v>0</v>
      </c>
      <c r="Z59" s="221">
        <f>ROUNDUP(SUM(V59*$C$30,W59*$C$31,X59*$C$32,Y59*$C$33),0)</f>
        <v>0</v>
      </c>
      <c r="AA59" s="30">
        <f>IF(R59&lt;&gt;0,($J$30*M59*$L$33),0)</f>
        <v>0</v>
      </c>
      <c r="AB59" s="30">
        <f>IF(W59&lt;&gt;0,($J$31*N59*$L$33),0)</f>
        <v>0</v>
      </c>
      <c r="AC59" s="30">
        <f>IF(X59&lt;&gt;0,($J$32*O59*$L$33),0)</f>
        <v>0</v>
      </c>
      <c r="AD59" s="30">
        <f>IF(Y59&lt;&gt;0,($J$33*P59*$L$33),0)</f>
        <v>0</v>
      </c>
      <c r="AE59" s="32">
        <f>SUM(AA59:AD59)</f>
        <v>0</v>
      </c>
      <c r="AF59" s="33">
        <f>AE55</f>
        <v>0</v>
      </c>
      <c r="AG59" s="40">
        <f>MAX(AG58-$Q$33+AF59,0)</f>
        <v>0</v>
      </c>
      <c r="AH59" s="224">
        <f>AG59*$P$33</f>
        <v>0</v>
      </c>
      <c r="AI59" s="227">
        <f>SUM(Z59,IF(Z59&lt;&gt;0,$F$31,0),IF(Z59&lt;&gt;0,$N$33,0),IF(Z59&lt;&gt;0,$T$33,0),IF(Z59=0,AH64,IF(Z59=1,AH65,IF(Z59=2,AH66,IF(Z59=3,AH67,IF(Z59=4,AH68,IF(Z59=5,AH69,IF(Z59=6,AH70,IF(Z59=7,AH71,IF(Z59=8,AH72,IF(Z59=9,AH73,IF(Z59=10,AH74,IF(Z59=11,AH75,IF(Z59=12,AH76,IF(Z59=13,AH77,IF(Z59=14,AH78,IF(Z59=15,AH79,IF(Z59=16,AH80,IF(Z59=17,AH81,IF(Z59=18,AH82,IF(Z59=19,AH83,IF(Z59=20,AH84,IF(Z59=21,AH85,IF(Z59=22,AH86,IF(Z59=23,AH87,IF(Z59=24,AH88,IF(Z59=25,AH89,IF(Z59=26,AH90,IF(Z59=27,AH91,IF(Z59=28,AH92,IF(Z59=29,AH93,IF(Z59=30,AH94))))))))))))))))))))))))))))))))</f>
        <v>0</v>
      </c>
    </row>
    <row r="60" spans="1:35" x14ac:dyDescent="0.35">
      <c r="A60" s="48">
        <v>1321</v>
      </c>
      <c r="B60" s="58">
        <f>SUMIF([2]!Table2_23[ETA],'FIS Optimal Model (3)'!A60,[2]!Table2_23[FIS PAX])</f>
        <v>0</v>
      </c>
      <c r="C60" s="44">
        <f>IF((D59-D60)&gt;-1,(D59-D60),18)</f>
        <v>0</v>
      </c>
      <c r="D60" s="52">
        <f>MAX(D59-$E$31+B59,0)</f>
        <v>0</v>
      </c>
      <c r="E60" s="26">
        <f>$C$30*C60</f>
        <v>0</v>
      </c>
      <c r="F60" s="26">
        <f>$C$31*C60</f>
        <v>0</v>
      </c>
      <c r="G60" s="26">
        <f>$C$32*C60</f>
        <v>0</v>
      </c>
      <c r="H60" s="26">
        <f>$C$33*C60</f>
        <v>0</v>
      </c>
      <c r="I60" s="27">
        <f>E55</f>
        <v>0</v>
      </c>
      <c r="J60" s="27">
        <f>F55</f>
        <v>0</v>
      </c>
      <c r="K60" s="27">
        <f>G55</f>
        <v>0</v>
      </c>
      <c r="L60" s="27">
        <f>H55</f>
        <v>0</v>
      </c>
      <c r="M60" s="28">
        <f>$M$55</f>
        <v>0</v>
      </c>
      <c r="N60" s="29">
        <f>$N$55</f>
        <v>6</v>
      </c>
      <c r="O60" s="28">
        <f>$O$55</f>
        <v>0</v>
      </c>
      <c r="P60" s="28">
        <f>$P$55</f>
        <v>0</v>
      </c>
      <c r="Q60" s="28">
        <f>SUM(M60:P60)</f>
        <v>6</v>
      </c>
      <c r="R60" s="22">
        <f>MAX(R59-($J$30*M60*$L$33)+I60,0)</f>
        <v>0</v>
      </c>
      <c r="S60" s="22">
        <f>IF(U60&lt;&gt;0,(MAX(S59-($J$31*N60*$L$33)+J60,0)),(MAX(S59-($J$31*(N60+P60)*$L$33)+J60,0)))</f>
        <v>0</v>
      </c>
      <c r="T60" s="22">
        <f>MAX(T59-($J$32*O60*$L$33)+K60,0)</f>
        <v>0</v>
      </c>
      <c r="U60" s="22">
        <f>MAX(U59-($J$33*P60*$L$33)+L60,0)</f>
        <v>0</v>
      </c>
      <c r="V60" s="21">
        <f>IFERROR(R60*($I$30/M60),0)</f>
        <v>0</v>
      </c>
      <c r="W60" s="21">
        <f>S60*($I$31/N60)</f>
        <v>0</v>
      </c>
      <c r="X60" s="21">
        <f>IFERROR(T60*($I$32/O60),0)</f>
        <v>0</v>
      </c>
      <c r="Y60" s="21">
        <f>IFERROR(U60*($I$33/P60),0)</f>
        <v>0</v>
      </c>
      <c r="Z60" s="221">
        <f>ROUNDUP(SUM(V60*$C$30,W60*$C$31,X60*$C$32,Y60*$C$33),0)</f>
        <v>0</v>
      </c>
      <c r="AA60" s="30">
        <f>IF(R60&lt;&gt;0,($J$30*M60*$L$33),0)</f>
        <v>0</v>
      </c>
      <c r="AB60" s="30">
        <f>IF(W60&lt;&gt;0,($J$31*N60*$L$33),0)</f>
        <v>0</v>
      </c>
      <c r="AC60" s="30">
        <f>IF(X60&lt;&gt;0,($J$32*O60*$L$33),0)</f>
        <v>0</v>
      </c>
      <c r="AD60" s="30">
        <f>IF(Y60&lt;&gt;0,($J$33*P60*$L$33),0)</f>
        <v>0</v>
      </c>
      <c r="AE60" s="32">
        <f>SUM(AA60:AD60)</f>
        <v>0</v>
      </c>
      <c r="AF60" s="33">
        <f>AE56</f>
        <v>0</v>
      </c>
      <c r="AG60" s="40">
        <f>MAX(AG59-$Q$33+AF60,0)</f>
        <v>0</v>
      </c>
      <c r="AH60" s="224">
        <f>AG60*$P$33</f>
        <v>0</v>
      </c>
      <c r="AI60" s="227">
        <f>SUM(Z60,IF(Z60&lt;&gt;0,$F$31,0),IF(Z60&lt;&gt;0,$N$33,0),IF(Z60&lt;&gt;0,$T$33,0),IF(Z60=0,AH65,IF(Z60=1,AH66,IF(Z60=2,AH67,IF(Z60=3,AH68,IF(Z60=4,AH69,IF(Z60=5,AH70,IF(Z60=6,AH71,IF(Z60=7,AH72,IF(Z60=8,AH73,IF(Z60=9,AH74,IF(Z60=10,AH75,IF(Z60=11,AH76,IF(Z60=12,AH77,IF(Z60=13,AH78,IF(Z60=14,AH79,IF(Z60=15,AH80,IF(Z60=16,AH81,IF(Z60=17,AH82,IF(Z60=18,AH83,IF(Z60=19,AH84,IF(Z60=20,AH85,IF(Z60=21,AH86,IF(Z60=22,AH87,IF(Z60=23,AH88,IF(Z60=24,AH89,IF(Z60=25,AH90,IF(Z60=26,AH91,IF(Z60=27,AH92,IF(Z60=28,AH93,IF(Z60=29,AH94,IF(Z60=30,AH95))))))))))))))))))))))))))))))))</f>
        <v>0</v>
      </c>
    </row>
    <row r="61" spans="1:35" x14ac:dyDescent="0.35">
      <c r="A61" s="48">
        <v>1322</v>
      </c>
      <c r="B61" s="58">
        <f>SUMIF([2]!Table2_23[ETA],'FIS Optimal Model (3)'!A61,[2]!Table2_23[FIS PAX])</f>
        <v>0</v>
      </c>
      <c r="C61" s="44">
        <f>IF((D60-D61)&gt;-1,(D60-D61),18)</f>
        <v>0</v>
      </c>
      <c r="D61" s="52">
        <f>MAX(D60-$E$31+B60,0)</f>
        <v>0</v>
      </c>
      <c r="E61" s="26">
        <f>$C$30*C61</f>
        <v>0</v>
      </c>
      <c r="F61" s="26">
        <f>$C$31*C61</f>
        <v>0</v>
      </c>
      <c r="G61" s="26">
        <f>$C$32*C61</f>
        <v>0</v>
      </c>
      <c r="H61" s="26">
        <f>$C$33*C61</f>
        <v>0</v>
      </c>
      <c r="I61" s="27">
        <f>E56</f>
        <v>0</v>
      </c>
      <c r="J61" s="27">
        <f>F56</f>
        <v>0</v>
      </c>
      <c r="K61" s="27">
        <f>G56</f>
        <v>0</v>
      </c>
      <c r="L61" s="27">
        <f>H56</f>
        <v>0</v>
      </c>
      <c r="M61" s="28">
        <f>$M$55</f>
        <v>0</v>
      </c>
      <c r="N61" s="29">
        <f>$N$55</f>
        <v>6</v>
      </c>
      <c r="O61" s="28">
        <f>$O$55</f>
        <v>0</v>
      </c>
      <c r="P61" s="28">
        <f>$P$55</f>
        <v>0</v>
      </c>
      <c r="Q61" s="28">
        <f>SUM(M61:P61)</f>
        <v>6</v>
      </c>
      <c r="R61" s="22">
        <f>MAX(R60-($J$30*M61*$L$33)+I61,0)</f>
        <v>0</v>
      </c>
      <c r="S61" s="22">
        <f>IF(U61&lt;&gt;0,(MAX(S60-($J$31*N61*$L$33)+J61,0)),(MAX(S60-($J$31*(N61+P61)*$L$33)+J61,0)))</f>
        <v>0</v>
      </c>
      <c r="T61" s="22">
        <f>MAX(T60-($J$32*O61*$L$33)+K61,0)</f>
        <v>0</v>
      </c>
      <c r="U61" s="22">
        <f>MAX(U60-($J$33*P61*$L$33)+L61,0)</f>
        <v>0</v>
      </c>
      <c r="V61" s="21">
        <f>IFERROR(R61*($I$30/M61),0)</f>
        <v>0</v>
      </c>
      <c r="W61" s="21">
        <f>S61*($I$31/N61)</f>
        <v>0</v>
      </c>
      <c r="X61" s="21">
        <f>IFERROR(T61*($I$32/O61),0)</f>
        <v>0</v>
      </c>
      <c r="Y61" s="21">
        <f>IFERROR(U61*($I$33/P61),0)</f>
        <v>0</v>
      </c>
      <c r="Z61" s="221">
        <f>ROUNDUP(SUM(V61*$C$30,W61*$C$31,X61*$C$32,Y61*$C$33),0)</f>
        <v>0</v>
      </c>
      <c r="AA61" s="30">
        <f>IF(R61&lt;&gt;0,($J$30*M61*$L$33),0)</f>
        <v>0</v>
      </c>
      <c r="AB61" s="30">
        <f>IF(W61&lt;&gt;0,($J$31*N61*$L$33),0)</f>
        <v>0</v>
      </c>
      <c r="AC61" s="30">
        <f>IF(X61&lt;&gt;0,($J$32*O61*$L$33),0)</f>
        <v>0</v>
      </c>
      <c r="AD61" s="30">
        <f>IF(Y61&lt;&gt;0,($J$33*P61*$L$33),0)</f>
        <v>0</v>
      </c>
      <c r="AE61" s="32">
        <f>SUM(AA61:AD61)</f>
        <v>0</v>
      </c>
      <c r="AF61" s="33">
        <f>AE57</f>
        <v>0</v>
      </c>
      <c r="AG61" s="40">
        <f>MAX(AG60-$Q$33+AF61,0)</f>
        <v>0</v>
      </c>
      <c r="AH61" s="224">
        <f>AG61*$P$33</f>
        <v>0</v>
      </c>
      <c r="AI61" s="227">
        <f>SUM(Z61,IF(Z61&lt;&gt;0,$F$31,0),IF(Z61&lt;&gt;0,$N$33,0),IF(Z61&lt;&gt;0,$T$33,0),IF(Z61=0,AH66,IF(Z61=1,AH67,IF(Z61=2,AH68,IF(Z61=3,AH69,IF(Z61=4,AH70,IF(Z61=5,AH71,IF(Z61=6,AH72,IF(Z61=7,AH73,IF(Z61=8,AH74,IF(Z61=9,AH75,IF(Z61=10,AH76,IF(Z61=11,AH77,IF(Z61=12,AH78,IF(Z61=13,AH79,IF(Z61=14,AH80,IF(Z61=15,AH81,IF(Z61=16,AH82,IF(Z61=17,AH83,IF(Z61=18,AH84,IF(Z61=19,AH85,IF(Z61=20,AH86,IF(Z61=21,AH87,IF(Z61=22,AH88,IF(Z61=23,AH89,IF(Z61=24,AH90,IF(Z61=25,AH91,IF(Z61=26,AH92,IF(Z61=27,AH93,IF(Z61=28,AH94,IF(Z61=29,AH95,IF(Z61=30,AH96))))))))))))))))))))))))))))))))</f>
        <v>0</v>
      </c>
    </row>
    <row r="62" spans="1:35" x14ac:dyDescent="0.35">
      <c r="A62" s="48">
        <v>1323</v>
      </c>
      <c r="B62" s="58">
        <f>SUMIF([2]!Table2_23[ETA],'FIS Optimal Model (3)'!A62,[2]!Table2_23[FIS PAX])</f>
        <v>0</v>
      </c>
      <c r="C62" s="44">
        <f>IF((D61-D62)&gt;-1,(D61-D62),18)</f>
        <v>0</v>
      </c>
      <c r="D62" s="52">
        <f>MAX(D61-$E$31+B61,0)</f>
        <v>0</v>
      </c>
      <c r="E62" s="26">
        <f>$C$30*C62</f>
        <v>0</v>
      </c>
      <c r="F62" s="26">
        <f>$C$31*C62</f>
        <v>0</v>
      </c>
      <c r="G62" s="26">
        <f>$C$32*C62</f>
        <v>0</v>
      </c>
      <c r="H62" s="26">
        <f>$C$33*C62</f>
        <v>0</v>
      </c>
      <c r="I62" s="27">
        <f>E57</f>
        <v>0</v>
      </c>
      <c r="J62" s="27">
        <f>F57</f>
        <v>0</v>
      </c>
      <c r="K62" s="27">
        <f>G57</f>
        <v>0</v>
      </c>
      <c r="L62" s="27">
        <f>H57</f>
        <v>0</v>
      </c>
      <c r="M62" s="28">
        <f>$M$55</f>
        <v>0</v>
      </c>
      <c r="N62" s="29">
        <f>$N$55</f>
        <v>6</v>
      </c>
      <c r="O62" s="28">
        <f>$O$55</f>
        <v>0</v>
      </c>
      <c r="P62" s="28">
        <f>$P$55</f>
        <v>0</v>
      </c>
      <c r="Q62" s="28">
        <f>SUM(M62:P62)</f>
        <v>6</v>
      </c>
      <c r="R62" s="22">
        <f>MAX(R61-($J$30*M62*$L$33)+I62,0)</f>
        <v>0</v>
      </c>
      <c r="S62" s="22">
        <f>IF(U62&lt;&gt;0,(MAX(S61-($J$31*N62*$L$33)+J62,0)),(MAX(S61-($J$31*(N62+P62)*$L$33)+J62,0)))</f>
        <v>0</v>
      </c>
      <c r="T62" s="22">
        <f>MAX(T61-($J$32*O62*$L$33)+K62,0)</f>
        <v>0</v>
      </c>
      <c r="U62" s="22">
        <f>MAX(U61-($J$33*P62*$L$33)+L62,0)</f>
        <v>0</v>
      </c>
      <c r="V62" s="21">
        <f>IFERROR(R62*($I$30/M62),0)</f>
        <v>0</v>
      </c>
      <c r="W62" s="21">
        <f>S62*($I$31/N62)</f>
        <v>0</v>
      </c>
      <c r="X62" s="21">
        <f>IFERROR(T62*($I$32/O62),0)</f>
        <v>0</v>
      </c>
      <c r="Y62" s="21">
        <f>IFERROR(U62*($I$33/P62),0)</f>
        <v>0</v>
      </c>
      <c r="Z62" s="221">
        <f>ROUNDUP(SUM(V62*$C$30,W62*$C$31,X62*$C$32,Y62*$C$33),0)</f>
        <v>0</v>
      </c>
      <c r="AA62" s="30">
        <f>IF(R62&lt;&gt;0,($J$30*M62*$L$33),0)</f>
        <v>0</v>
      </c>
      <c r="AB62" s="30">
        <f>IF(W62&lt;&gt;0,($J$31*N62*$L$33),0)</f>
        <v>0</v>
      </c>
      <c r="AC62" s="30">
        <f>IF(X62&lt;&gt;0,($J$32*O62*$L$33),0)</f>
        <v>0</v>
      </c>
      <c r="AD62" s="30">
        <f>IF(Y62&lt;&gt;0,($J$33*P62*$L$33),0)</f>
        <v>0</v>
      </c>
      <c r="AE62" s="32">
        <f>SUM(AA62:AD62)</f>
        <v>0</v>
      </c>
      <c r="AF62" s="33">
        <f>AE58</f>
        <v>0</v>
      </c>
      <c r="AG62" s="40">
        <f>MAX(AG61-$Q$33+AF62,0)</f>
        <v>0</v>
      </c>
      <c r="AH62" s="224">
        <f>AG62*$P$33</f>
        <v>0</v>
      </c>
      <c r="AI62" s="227">
        <f>SUM(Z62,IF(Z62&lt;&gt;0,$F$31,0),IF(Z62&lt;&gt;0,$N$33,0),IF(Z62&lt;&gt;0,$T$33,0),IF(Z62=0,AH67,IF(Z62=1,AH68,IF(Z62=2,AH69,IF(Z62=3,AH70,IF(Z62=4,AH71,IF(Z62=5,AH72,IF(Z62=6,AH73,IF(Z62=7,AH74,IF(Z62=8,AH75,IF(Z62=9,AH76,IF(Z62=10,AH77,IF(Z62=11,AH78,IF(Z62=12,AH79,IF(Z62=13,AH80,IF(Z62=14,AH81,IF(Z62=15,AH82,IF(Z62=16,AH83,IF(Z62=17,AH84,IF(Z62=18,AH85,IF(Z62=19,AH86,IF(Z62=20,AH87,IF(Z62=21,AH88,IF(Z62=22,AH89,IF(Z62=23,AH90,IF(Z62=24,AH91,IF(Z62=25,AH92,IF(Z62=26,AH93,IF(Z62=27,AH94,IF(Z62=28,AH95,IF(Z62=29,AH96,IF(Z62=30,AH97))))))))))))))))))))))))))))))))</f>
        <v>0</v>
      </c>
    </row>
    <row r="63" spans="1:35" x14ac:dyDescent="0.35">
      <c r="A63" s="48">
        <v>1324</v>
      </c>
      <c r="B63" s="58">
        <f>SUMIF([2]!Table2_23[ETA],'FIS Optimal Model (3)'!A63,[2]!Table2_23[FIS PAX])</f>
        <v>0</v>
      </c>
      <c r="C63" s="44">
        <f>IF((D62-D63)&gt;-1,(D62-D63),18)</f>
        <v>0</v>
      </c>
      <c r="D63" s="52">
        <f>MAX(D62-$E$31+B62,0)</f>
        <v>0</v>
      </c>
      <c r="E63" s="26">
        <f>$C$30*C63</f>
        <v>0</v>
      </c>
      <c r="F63" s="26">
        <f>$C$31*C63</f>
        <v>0</v>
      </c>
      <c r="G63" s="26">
        <f>$C$32*C63</f>
        <v>0</v>
      </c>
      <c r="H63" s="26">
        <f>$C$33*C63</f>
        <v>0</v>
      </c>
      <c r="I63" s="27">
        <f>E58</f>
        <v>0</v>
      </c>
      <c r="J63" s="27">
        <f>F58</f>
        <v>0</v>
      </c>
      <c r="K63" s="27">
        <f>G58</f>
        <v>0</v>
      </c>
      <c r="L63" s="27">
        <f>H58</f>
        <v>0</v>
      </c>
      <c r="M63" s="28">
        <f>$M$55</f>
        <v>0</v>
      </c>
      <c r="N63" s="29">
        <f>$N$55</f>
        <v>6</v>
      </c>
      <c r="O63" s="28">
        <f>$O$55</f>
        <v>0</v>
      </c>
      <c r="P63" s="28">
        <f>$P$55</f>
        <v>0</v>
      </c>
      <c r="Q63" s="28">
        <f>SUM(M63:P63)</f>
        <v>6</v>
      </c>
      <c r="R63" s="22">
        <f>MAX(R62-($J$30*M63*$L$33)+I63,0)</f>
        <v>0</v>
      </c>
      <c r="S63" s="22">
        <f>IF(U63&lt;&gt;0,(MAX(S62-($J$31*N63*$L$33)+J63,0)),(MAX(S62-($J$31*(N63+P63)*$L$33)+J63,0)))</f>
        <v>0</v>
      </c>
      <c r="T63" s="22">
        <f>MAX(T62-($J$32*O63*$L$33)+K63,0)</f>
        <v>0</v>
      </c>
      <c r="U63" s="22">
        <f>MAX(U62-($J$33*P63*$L$33)+L63,0)</f>
        <v>0</v>
      </c>
      <c r="V63" s="21">
        <f>IFERROR(R63*($I$30/M63),0)</f>
        <v>0</v>
      </c>
      <c r="W63" s="21">
        <f>S63*($I$31/N63)</f>
        <v>0</v>
      </c>
      <c r="X63" s="21">
        <f>IFERROR(T63*($I$32/O63),0)</f>
        <v>0</v>
      </c>
      <c r="Y63" s="21">
        <f>IFERROR(U63*($I$33/P63),0)</f>
        <v>0</v>
      </c>
      <c r="Z63" s="221">
        <f>ROUNDUP(SUM(V63*$C$30,W63*$C$31,X63*$C$32,Y63*$C$33),0)</f>
        <v>0</v>
      </c>
      <c r="AA63" s="30">
        <f>IF(R63&lt;&gt;0,($J$30*M63*$L$33),0)</f>
        <v>0</v>
      </c>
      <c r="AB63" s="30">
        <f>IF(W63&lt;&gt;0,($J$31*N63*$L$33),0)</f>
        <v>0</v>
      </c>
      <c r="AC63" s="30">
        <f>IF(X63&lt;&gt;0,($J$32*O63*$L$33),0)</f>
        <v>0</v>
      </c>
      <c r="AD63" s="30">
        <f>IF(Y63&lt;&gt;0,($J$33*P63*$L$33),0)</f>
        <v>0</v>
      </c>
      <c r="AE63" s="32">
        <f>SUM(AA63:AD63)</f>
        <v>0</v>
      </c>
      <c r="AF63" s="33">
        <f>AE59</f>
        <v>0</v>
      </c>
      <c r="AG63" s="40">
        <f>MAX(AG62-$Q$33+AF63,0)</f>
        <v>0</v>
      </c>
      <c r="AH63" s="224">
        <f>AG63*$P$33</f>
        <v>0</v>
      </c>
      <c r="AI63" s="227">
        <f>SUM(Z63,IF(Z63&lt;&gt;0,$F$31,0),IF(Z63&lt;&gt;0,$N$33,0),IF(Z63&lt;&gt;0,$T$33,0),IF(Z63=0,AH68,IF(Z63=1,AH69,IF(Z63=2,AH70,IF(Z63=3,AH71,IF(Z63=4,AH72,IF(Z63=5,AH73,IF(Z63=6,AH74,IF(Z63=7,AH75,IF(Z63=8,AH76,IF(Z63=9,AH77,IF(Z63=10,AH78,IF(Z63=11,AH79,IF(Z63=12,AH80,IF(Z63=13,AH81,IF(Z63=14,AH82,IF(Z63=15,AH83,IF(Z63=16,AH84,IF(Z63=17,AH85,IF(Z63=18,AH86,IF(Z63=19,AH87,IF(Z63=20,AH88,IF(Z63=21,AH89,IF(Z63=22,AH90,IF(Z63=23,AH91,IF(Z63=24,AH92,IF(Z63=25,AH93,IF(Z63=26,AH94,IF(Z63=27,AH95,IF(Z63=28,AH96,IF(Z63=29,AH97,IF(Z63=30,AH98))))))))))))))))))))))))))))))))</f>
        <v>0</v>
      </c>
    </row>
    <row r="64" spans="1:35" x14ac:dyDescent="0.35">
      <c r="A64" s="48">
        <v>1325</v>
      </c>
      <c r="B64" s="58">
        <f>SUMIF([2]!Table2_23[ETA],'FIS Optimal Model (3)'!A64,[2]!Table2_23[FIS PAX])</f>
        <v>0</v>
      </c>
      <c r="C64" s="44">
        <f>IF((D63-D64)&gt;-1,(D63-D64),18)</f>
        <v>0</v>
      </c>
      <c r="D64" s="52">
        <f>MAX(D63-$E$31+B63,0)</f>
        <v>0</v>
      </c>
      <c r="E64" s="26">
        <f>$C$30*C64</f>
        <v>0</v>
      </c>
      <c r="F64" s="26">
        <f>$C$31*C64</f>
        <v>0</v>
      </c>
      <c r="G64" s="26">
        <f>$C$32*C64</f>
        <v>0</v>
      </c>
      <c r="H64" s="26">
        <f>$C$33*C64</f>
        <v>0</v>
      </c>
      <c r="I64" s="27">
        <f>E59</f>
        <v>0</v>
      </c>
      <c r="J64" s="27">
        <f>F59</f>
        <v>0</v>
      </c>
      <c r="K64" s="27">
        <f>G59</f>
        <v>0</v>
      </c>
      <c r="L64" s="27">
        <f>H59</f>
        <v>0</v>
      </c>
      <c r="M64" s="28">
        <f>$M$55</f>
        <v>0</v>
      </c>
      <c r="N64" s="29">
        <f>$N$55</f>
        <v>6</v>
      </c>
      <c r="O64" s="28">
        <f>$O$55</f>
        <v>0</v>
      </c>
      <c r="P64" s="28">
        <f>$P$55</f>
        <v>0</v>
      </c>
      <c r="Q64" s="28">
        <f>SUM(M64:P64)</f>
        <v>6</v>
      </c>
      <c r="R64" s="22">
        <f>MAX(R63-($J$30*M64*$L$33)+I64,0)</f>
        <v>0</v>
      </c>
      <c r="S64" s="22">
        <f>IF(U64&lt;&gt;0,(MAX(S63-($J$31*N64*$L$33)+J64,0)),(MAX(S63-($J$31*(N64+P64)*$L$33)+J64,0)))</f>
        <v>0</v>
      </c>
      <c r="T64" s="22">
        <f>MAX(T63-($J$32*O64*$L$33)+K64,0)</f>
        <v>0</v>
      </c>
      <c r="U64" s="22">
        <f>MAX(U63-($J$33*P64*$L$33)+L64,0)</f>
        <v>0</v>
      </c>
      <c r="V64" s="21">
        <f>IFERROR(R64*($I$30/M64),0)</f>
        <v>0</v>
      </c>
      <c r="W64" s="21">
        <f>S64*($I$31/N64)</f>
        <v>0</v>
      </c>
      <c r="X64" s="21">
        <f>IFERROR(T64*($I$32/O64),0)</f>
        <v>0</v>
      </c>
      <c r="Y64" s="21">
        <f>IFERROR(U64*($I$33/P64),0)</f>
        <v>0</v>
      </c>
      <c r="Z64" s="221">
        <f>ROUNDUP(SUM(V64*$C$30,W64*$C$31,X64*$C$32,Y64*$C$33),0)</f>
        <v>0</v>
      </c>
      <c r="AA64" s="30">
        <f>IF(R64&lt;&gt;0,($J$30*M64*$L$33),0)</f>
        <v>0</v>
      </c>
      <c r="AB64" s="30">
        <f>IF(W64&lt;&gt;0,($J$31*N64*$L$33),0)</f>
        <v>0</v>
      </c>
      <c r="AC64" s="30">
        <f>IF(X64&lt;&gt;0,($J$32*O64*$L$33),0)</f>
        <v>0</v>
      </c>
      <c r="AD64" s="30">
        <f>IF(Y64&lt;&gt;0,($J$33*P64*$L$33),0)</f>
        <v>0</v>
      </c>
      <c r="AE64" s="32">
        <f>SUM(AA64:AD64)</f>
        <v>0</v>
      </c>
      <c r="AF64" s="33">
        <f>AE60</f>
        <v>0</v>
      </c>
      <c r="AG64" s="40">
        <f>MAX(AG63-$Q$33+AF64,0)</f>
        <v>0</v>
      </c>
      <c r="AH64" s="224">
        <f>AG64*$P$33</f>
        <v>0</v>
      </c>
      <c r="AI64" s="227">
        <f>SUM(Z64,IF(Z64&lt;&gt;0,$F$31,0),IF(Z64&lt;&gt;0,$N$33,0),IF(Z64&lt;&gt;0,$T$33,0),IF(Z64=0,AH69,IF(Z64=1,AH70,IF(Z64=2,AH71,IF(Z64=3,AH72,IF(Z64=4,AH73,IF(Z64=5,AH74,IF(Z64=6,AH75,IF(Z64=7,AH76,IF(Z64=8,AH77,IF(Z64=9,AH78,IF(Z64=10,AH79,IF(Z64=11,AH80,IF(Z64=12,AH81,IF(Z64=13,AH82,IF(Z64=14,AH83,IF(Z64=15,AH84,IF(Z64=16,AH85,IF(Z64=17,AH86,IF(Z64=18,AH87,IF(Z64=19,AH88,IF(Z64=20,AH89,IF(Z64=21,AH90,IF(Z64=22,AH91,IF(Z64=23,AH92,IF(Z64=24,AH93,IF(Z64=25,AH94,IF(Z64=26,AH95,IF(Z64=27,AH96,IF(Z64=28,AH97,IF(Z64=29,AH98,IF(Z64=30,AH99))))))))))))))))))))))))))))))))</f>
        <v>0</v>
      </c>
    </row>
    <row r="65" spans="1:35" x14ac:dyDescent="0.35">
      <c r="A65" s="48">
        <v>1326</v>
      </c>
      <c r="B65" s="58">
        <f>SUMIF([2]!Table2_23[ETA],'FIS Optimal Model (3)'!A65,[2]!Table2_23[FIS PAX])</f>
        <v>0</v>
      </c>
      <c r="C65" s="44">
        <f>IF((D64-D65)&gt;-1,(D64-D65),18)</f>
        <v>0</v>
      </c>
      <c r="D65" s="52">
        <f>MAX(D64-$E$31+B64,0)</f>
        <v>0</v>
      </c>
      <c r="E65" s="26">
        <f>$C$30*C65</f>
        <v>0</v>
      </c>
      <c r="F65" s="26">
        <f>$C$31*C65</f>
        <v>0</v>
      </c>
      <c r="G65" s="26">
        <f>$C$32*C65</f>
        <v>0</v>
      </c>
      <c r="H65" s="26">
        <f>$C$33*C65</f>
        <v>0</v>
      </c>
      <c r="I65" s="27">
        <f>E60</f>
        <v>0</v>
      </c>
      <c r="J65" s="27">
        <f>F60</f>
        <v>0</v>
      </c>
      <c r="K65" s="27">
        <f>G60</f>
        <v>0</v>
      </c>
      <c r="L65" s="27">
        <f>H60</f>
        <v>0</v>
      </c>
      <c r="M65" s="28">
        <f>$M$55</f>
        <v>0</v>
      </c>
      <c r="N65" s="29">
        <f>$N$55</f>
        <v>6</v>
      </c>
      <c r="O65" s="28">
        <f>$O$55</f>
        <v>0</v>
      </c>
      <c r="P65" s="28">
        <f>$P$55</f>
        <v>0</v>
      </c>
      <c r="Q65" s="28">
        <f>SUM(M65:P65)</f>
        <v>6</v>
      </c>
      <c r="R65" s="22">
        <f>MAX(R64-($J$30*M65*$L$33)+I65,0)</f>
        <v>0</v>
      </c>
      <c r="S65" s="22">
        <f>IF(U65&lt;&gt;0,(MAX(S64-($J$31*N65*$L$33)+J65,0)),(MAX(S64-($J$31*(N65+P65)*$L$33)+J65,0)))</f>
        <v>0</v>
      </c>
      <c r="T65" s="22">
        <f>MAX(T64-($J$32*O65*$L$33)+K65,0)</f>
        <v>0</v>
      </c>
      <c r="U65" s="22">
        <f>MAX(U64-($J$33*P65*$L$33)+L65,0)</f>
        <v>0</v>
      </c>
      <c r="V65" s="21">
        <f>IFERROR(R65*($I$30/M65),0)</f>
        <v>0</v>
      </c>
      <c r="W65" s="21">
        <f>S65*($I$31/N65)</f>
        <v>0</v>
      </c>
      <c r="X65" s="21">
        <f>IFERROR(T65*($I$32/O65),0)</f>
        <v>0</v>
      </c>
      <c r="Y65" s="21">
        <f>IFERROR(U65*($I$33/P65),0)</f>
        <v>0</v>
      </c>
      <c r="Z65" s="221">
        <f>ROUNDUP(SUM(V65*$C$30,W65*$C$31,X65*$C$32,Y65*$C$33),0)</f>
        <v>0</v>
      </c>
      <c r="AA65" s="30">
        <f>IF(R65&lt;&gt;0,($J$30*M65*$L$33),0)</f>
        <v>0</v>
      </c>
      <c r="AB65" s="30">
        <f>IF(W65&lt;&gt;0,($J$31*N65*$L$33),0)</f>
        <v>0</v>
      </c>
      <c r="AC65" s="30">
        <f>IF(X65&lt;&gt;0,($J$32*O65*$L$33),0)</f>
        <v>0</v>
      </c>
      <c r="AD65" s="30">
        <f>IF(Y65&lt;&gt;0,($J$33*P65*$L$33),0)</f>
        <v>0</v>
      </c>
      <c r="AE65" s="32">
        <f>SUM(AA65:AD65)</f>
        <v>0</v>
      </c>
      <c r="AF65" s="33">
        <f>AE61</f>
        <v>0</v>
      </c>
      <c r="AG65" s="40">
        <f>MAX(AG64-$Q$33+AF65,0)</f>
        <v>0</v>
      </c>
      <c r="AH65" s="224">
        <f>AG65*$P$33</f>
        <v>0</v>
      </c>
      <c r="AI65" s="227">
        <f>SUM(Z65,IF(Z65&lt;&gt;0,$F$31,0),IF(Z65&lt;&gt;0,$N$33,0),IF(Z65&lt;&gt;0,$T$33,0),IF(Z65=0,AH70,IF(Z65=1,AH71,IF(Z65=2,AH72,IF(Z65=3,AH73,IF(Z65=4,AH74,IF(Z65=5,AH75,IF(Z65=6,AH76,IF(Z65=7,AH77,IF(Z65=8,AH78,IF(Z65=9,AH79,IF(Z65=10,AH80,IF(Z65=11,AH81,IF(Z65=12,AH82,IF(Z65=13,AH83,IF(Z65=14,AH84,IF(Z65=15,AH85,IF(Z65=16,AH86,IF(Z65=17,AH87,IF(Z65=18,AH88,IF(Z65=19,AH89,IF(Z65=20,AH90,IF(Z65=21,AH91,IF(Z65=22,AH92,IF(Z65=23,AH93,IF(Z65=24,AH94,IF(Z65=25,AH95,IF(Z65=26,AH96,IF(Z65=27,AH97,IF(Z65=28,AH98,IF(Z65=29,AH99,IF(Z65=30,AH100))))))))))))))))))))))))))))))))</f>
        <v>0</v>
      </c>
    </row>
    <row r="66" spans="1:35" x14ac:dyDescent="0.35">
      <c r="A66" s="48">
        <v>1327</v>
      </c>
      <c r="B66" s="58">
        <f>SUMIF([2]!Table2_23[ETA],'FIS Optimal Model (3)'!A66,[2]!Table2_23[FIS PAX])</f>
        <v>0</v>
      </c>
      <c r="C66" s="44">
        <f>IF((D65-D66)&gt;-1,(D65-D66),18)</f>
        <v>0</v>
      </c>
      <c r="D66" s="52">
        <f>MAX(D65-$E$31+B65,0)</f>
        <v>0</v>
      </c>
      <c r="E66" s="26">
        <f>$C$30*C66</f>
        <v>0</v>
      </c>
      <c r="F66" s="26">
        <f>$C$31*C66</f>
        <v>0</v>
      </c>
      <c r="G66" s="26">
        <f>$C$32*C66</f>
        <v>0</v>
      </c>
      <c r="H66" s="26">
        <f>$C$33*C66</f>
        <v>0</v>
      </c>
      <c r="I66" s="27">
        <f>E61</f>
        <v>0</v>
      </c>
      <c r="J66" s="27">
        <f>F61</f>
        <v>0</v>
      </c>
      <c r="K66" s="27">
        <f>G61</f>
        <v>0</v>
      </c>
      <c r="L66" s="27">
        <f>H61</f>
        <v>0</v>
      </c>
      <c r="M66" s="28">
        <f>$M$55</f>
        <v>0</v>
      </c>
      <c r="N66" s="29">
        <f>$N$55</f>
        <v>6</v>
      </c>
      <c r="O66" s="28">
        <f>$O$55</f>
        <v>0</v>
      </c>
      <c r="P66" s="28">
        <f>$P$55</f>
        <v>0</v>
      </c>
      <c r="Q66" s="28">
        <f>SUM(M66:P66)</f>
        <v>6</v>
      </c>
      <c r="R66" s="22">
        <f>MAX(R65-($J$30*M66*$L$33)+I66,0)</f>
        <v>0</v>
      </c>
      <c r="S66" s="22">
        <f>IF(U66&lt;&gt;0,(MAX(S65-($J$31*N66*$L$33)+J66,0)),(MAX(S65-($J$31*(N66+P66)*$L$33)+J66,0)))</f>
        <v>0</v>
      </c>
      <c r="T66" s="22">
        <f>MAX(T65-($J$32*O66*$L$33)+K66,0)</f>
        <v>0</v>
      </c>
      <c r="U66" s="22">
        <f>MAX(U65-($J$33*P66*$L$33)+L66,0)</f>
        <v>0</v>
      </c>
      <c r="V66" s="21">
        <f>IFERROR(R66*($I$30/M66),0)</f>
        <v>0</v>
      </c>
      <c r="W66" s="21">
        <f>S66*($I$31/N66)</f>
        <v>0</v>
      </c>
      <c r="X66" s="21">
        <f>IFERROR(T66*($I$32/O66),0)</f>
        <v>0</v>
      </c>
      <c r="Y66" s="21">
        <f>IFERROR(U66*($I$33/P66),0)</f>
        <v>0</v>
      </c>
      <c r="Z66" s="221">
        <f>ROUNDUP(SUM(V66*$C$30,W66*$C$31,X66*$C$32,Y66*$C$33),0)</f>
        <v>0</v>
      </c>
      <c r="AA66" s="30">
        <f>IF(R66&lt;&gt;0,($J$30*M66*$L$33),0)</f>
        <v>0</v>
      </c>
      <c r="AB66" s="30">
        <f>IF(W66&lt;&gt;0,($J$31*N66*$L$33),0)</f>
        <v>0</v>
      </c>
      <c r="AC66" s="30">
        <f>IF(X66&lt;&gt;0,($J$32*O66*$L$33),0)</f>
        <v>0</v>
      </c>
      <c r="AD66" s="30">
        <f>IF(Y66&lt;&gt;0,($J$33*P66*$L$33),0)</f>
        <v>0</v>
      </c>
      <c r="AE66" s="32">
        <f>SUM(AA66:AD66)</f>
        <v>0</v>
      </c>
      <c r="AF66" s="33">
        <f>AE62</f>
        <v>0</v>
      </c>
      <c r="AG66" s="40">
        <f>MAX(AG65-$Q$33+AF66,0)</f>
        <v>0</v>
      </c>
      <c r="AH66" s="224">
        <f>AG66*$P$33</f>
        <v>0</v>
      </c>
      <c r="AI66" s="227">
        <f>SUM(Z66,IF(Z66&lt;&gt;0,$F$31,0),IF(Z66&lt;&gt;0,$N$33,0),IF(Z66&lt;&gt;0,$T$33,0),IF(Z66=0,AH71,IF(Z66=1,AH72,IF(Z66=2,AH73,IF(Z66=3,AH74,IF(Z66=4,AH75,IF(Z66=5,AH76,IF(Z66=6,AH77,IF(Z66=7,AH78,IF(Z66=8,AH79,IF(Z66=9,AH80,IF(Z66=10,AH81,IF(Z66=11,AH82,IF(Z66=12,AH83,IF(Z66=13,AH84,IF(Z66=14,AH85,IF(Z66=15,AH86,IF(Z66=16,AH87,IF(Z66=17,AH88,IF(Z66=18,AH89,IF(Z66=19,AH90,IF(Z66=20,AH91,IF(Z66=21,AH92,IF(Z66=22,AH93,IF(Z66=23,AH94,IF(Z66=24,AH95,IF(Z66=25,AH96,IF(Z66=26,AH97,IF(Z66=27,AH98,IF(Z66=28,AH99,IF(Z66=29,AH100,IF(Z66=30,AH101))))))))))))))))))))))))))))))))</f>
        <v>0</v>
      </c>
    </row>
    <row r="67" spans="1:35" x14ac:dyDescent="0.35">
      <c r="A67" s="48">
        <v>1328</v>
      </c>
      <c r="B67" s="58">
        <f>SUMIF([2]!Table2_23[ETA],'FIS Optimal Model (3)'!A67,[2]!Table2_23[FIS PAX])</f>
        <v>0</v>
      </c>
      <c r="C67" s="44">
        <f>IF((D66-D67)&gt;-1,(D66-D67),18)</f>
        <v>0</v>
      </c>
      <c r="D67" s="52">
        <f>MAX(D66-$E$31+B66,0)</f>
        <v>0</v>
      </c>
      <c r="E67" s="26">
        <f>$C$30*C67</f>
        <v>0</v>
      </c>
      <c r="F67" s="26">
        <f>$C$31*C67</f>
        <v>0</v>
      </c>
      <c r="G67" s="26">
        <f>$C$32*C67</f>
        <v>0</v>
      </c>
      <c r="H67" s="26">
        <f>$C$33*C67</f>
        <v>0</v>
      </c>
      <c r="I67" s="27">
        <f>E62</f>
        <v>0</v>
      </c>
      <c r="J67" s="27">
        <f>F62</f>
        <v>0</v>
      </c>
      <c r="K67" s="27">
        <f>G62</f>
        <v>0</v>
      </c>
      <c r="L67" s="27">
        <f>H62</f>
        <v>0</v>
      </c>
      <c r="M67" s="28">
        <f>$M$55</f>
        <v>0</v>
      </c>
      <c r="N67" s="29">
        <f>$N$55</f>
        <v>6</v>
      </c>
      <c r="O67" s="28">
        <f>$O$55</f>
        <v>0</v>
      </c>
      <c r="P67" s="28">
        <f>$P$55</f>
        <v>0</v>
      </c>
      <c r="Q67" s="28">
        <f>SUM(M67:P67)</f>
        <v>6</v>
      </c>
      <c r="R67" s="22">
        <f>MAX(R66-($J$30*M67*$L$33)+I67,0)</f>
        <v>0</v>
      </c>
      <c r="S67" s="22">
        <f>IF(U67&lt;&gt;0,(MAX(S66-($J$31*N67*$L$33)+J67,0)),(MAX(S66-($J$31*(N67+P67)*$L$33)+J67,0)))</f>
        <v>0</v>
      </c>
      <c r="T67" s="22">
        <f>MAX(T66-($J$32*O67*$L$33)+K67,0)</f>
        <v>0</v>
      </c>
      <c r="U67" s="22">
        <f>MAX(U66-($J$33*P67*$L$33)+L67,0)</f>
        <v>0</v>
      </c>
      <c r="V67" s="21">
        <f>IFERROR(R67*($I$30/M67),0)</f>
        <v>0</v>
      </c>
      <c r="W67" s="21">
        <f>S67*($I$31/N67)</f>
        <v>0</v>
      </c>
      <c r="X67" s="21">
        <f>IFERROR(T67*($I$32/O67),0)</f>
        <v>0</v>
      </c>
      <c r="Y67" s="21">
        <f>IFERROR(U67*($I$33/P67),0)</f>
        <v>0</v>
      </c>
      <c r="Z67" s="221">
        <f>ROUNDUP(SUM(V67*$C$30,W67*$C$31,X67*$C$32,Y67*$C$33),0)</f>
        <v>0</v>
      </c>
      <c r="AA67" s="30">
        <f>IF(R67&lt;&gt;0,($J$30*M67*$L$33),0)</f>
        <v>0</v>
      </c>
      <c r="AB67" s="30">
        <f>IF(W67&lt;&gt;0,($J$31*N67*$L$33),0)</f>
        <v>0</v>
      </c>
      <c r="AC67" s="30">
        <f>IF(X67&lt;&gt;0,($J$32*O67*$L$33),0)</f>
        <v>0</v>
      </c>
      <c r="AD67" s="30">
        <f>IF(Y67&lt;&gt;0,($J$33*P67*$L$33),0)</f>
        <v>0</v>
      </c>
      <c r="AE67" s="32">
        <f>SUM(AA67:AD67)</f>
        <v>0</v>
      </c>
      <c r="AF67" s="33">
        <f>AE63</f>
        <v>0</v>
      </c>
      <c r="AG67" s="40">
        <f>MAX(AG66-$Q$33+AF67,0)</f>
        <v>0</v>
      </c>
      <c r="AH67" s="224">
        <f>AG67*$P$33</f>
        <v>0</v>
      </c>
      <c r="AI67" s="227">
        <f>SUM(Z67,IF(Z67&lt;&gt;0,$F$31,0),IF(Z67&lt;&gt;0,$N$33,0),IF(Z67&lt;&gt;0,$T$33,0),IF(Z67=0,AH72,IF(Z67=1,AH73,IF(Z67=2,AH74,IF(Z67=3,AH75,IF(Z67=4,AH76,IF(Z67=5,AH77,IF(Z67=6,AH78,IF(Z67=7,AH79,IF(Z67=8,AH80,IF(Z67=9,AH81,IF(Z67=10,AH82,IF(Z67=11,AH83,IF(Z67=12,AH84,IF(Z67=13,AH85,IF(Z67=14,AH86,IF(Z67=15,AH87,IF(Z67=16,AH88,IF(Z67=17,AH89,IF(Z67=18,AH90,IF(Z67=19,AH91,IF(Z67=20,AH92,IF(Z67=21,AH93,IF(Z67=22,AH94,IF(Z67=23,AH95,IF(Z67=24,AH96,IF(Z67=25,AH97,IF(Z67=26,AH98,IF(Z67=27,AH99,IF(Z67=28,AH100,IF(Z67=29,AH101,IF(Z67=30,AH102))))))))))))))))))))))))))))))))</f>
        <v>0</v>
      </c>
    </row>
    <row r="68" spans="1:35" x14ac:dyDescent="0.35">
      <c r="A68" s="48">
        <v>1329</v>
      </c>
      <c r="B68" s="58">
        <f>SUMIF([2]!Table2_23[ETA],'FIS Optimal Model (3)'!A68,[2]!Table2_23[FIS PAX])</f>
        <v>0</v>
      </c>
      <c r="C68" s="44">
        <f>IF((D67-D68)&gt;-1,(D67-D68),18)</f>
        <v>0</v>
      </c>
      <c r="D68" s="52">
        <f>MAX(D67-$E$31+B67,0)</f>
        <v>0</v>
      </c>
      <c r="E68" s="26">
        <f>$C$30*C68</f>
        <v>0</v>
      </c>
      <c r="F68" s="26">
        <f>$C$31*C68</f>
        <v>0</v>
      </c>
      <c r="G68" s="26">
        <f>$C$32*C68</f>
        <v>0</v>
      </c>
      <c r="H68" s="26">
        <f>$C$33*C68</f>
        <v>0</v>
      </c>
      <c r="I68" s="27">
        <f>E63</f>
        <v>0</v>
      </c>
      <c r="J68" s="27">
        <f>F63</f>
        <v>0</v>
      </c>
      <c r="K68" s="27">
        <f>G63</f>
        <v>0</v>
      </c>
      <c r="L68" s="27">
        <f>H63</f>
        <v>0</v>
      </c>
      <c r="M68" s="28">
        <f>$M$55</f>
        <v>0</v>
      </c>
      <c r="N68" s="29">
        <f>$N$55</f>
        <v>6</v>
      </c>
      <c r="O68" s="28">
        <f>$O$55</f>
        <v>0</v>
      </c>
      <c r="P68" s="28">
        <f>$P$55</f>
        <v>0</v>
      </c>
      <c r="Q68" s="28">
        <f>SUM(M68:P68)</f>
        <v>6</v>
      </c>
      <c r="R68" s="22">
        <f>MAX(R67-($J$30*M68*$L$33)+I68,0)</f>
        <v>0</v>
      </c>
      <c r="S68" s="22">
        <f>IF(U68&lt;&gt;0,(MAX(S67-($J$31*N68*$L$33)+J68,0)),(MAX(S67-($J$31*(N68+P68)*$L$33)+J68,0)))</f>
        <v>0</v>
      </c>
      <c r="T68" s="22">
        <f>MAX(T67-($J$32*O68*$L$33)+K68,0)</f>
        <v>0</v>
      </c>
      <c r="U68" s="22">
        <f>MAX(U67-($J$33*P68*$L$33)+L68,0)</f>
        <v>0</v>
      </c>
      <c r="V68" s="21">
        <f>IFERROR(R68*($I$30/M68),0)</f>
        <v>0</v>
      </c>
      <c r="W68" s="21">
        <f>S68*($I$31/N68)</f>
        <v>0</v>
      </c>
      <c r="X68" s="21">
        <f>IFERROR(T68*($I$32/O68),0)</f>
        <v>0</v>
      </c>
      <c r="Y68" s="21">
        <f>IFERROR(U68*($I$33/P68),0)</f>
        <v>0</v>
      </c>
      <c r="Z68" s="221">
        <f>ROUNDUP(SUM(V68*$C$30,W68*$C$31,X68*$C$32,Y68*$C$33),0)</f>
        <v>0</v>
      </c>
      <c r="AA68" s="30">
        <f>IF(R68&lt;&gt;0,($J$30*M68*$L$33),0)</f>
        <v>0</v>
      </c>
      <c r="AB68" s="30">
        <f>IF(W68&lt;&gt;0,($J$31*N68*$L$33),0)</f>
        <v>0</v>
      </c>
      <c r="AC68" s="30">
        <f>IF(X68&lt;&gt;0,($J$32*O68*$L$33),0)</f>
        <v>0</v>
      </c>
      <c r="AD68" s="30">
        <f>IF(Y68&lt;&gt;0,($J$33*P68*$L$33),0)</f>
        <v>0</v>
      </c>
      <c r="AE68" s="32">
        <f>SUM(AA68:AD68)</f>
        <v>0</v>
      </c>
      <c r="AF68" s="33">
        <f>AE64</f>
        <v>0</v>
      </c>
      <c r="AG68" s="40">
        <f>MAX(AG67-$Q$33+AF68,0)</f>
        <v>0</v>
      </c>
      <c r="AH68" s="224">
        <f>AG68*$P$33</f>
        <v>0</v>
      </c>
      <c r="AI68" s="227">
        <f>SUM(Z68,IF(Z68&lt;&gt;0,$F$31,0),IF(Z68&lt;&gt;0,$N$33,0),IF(Z68&lt;&gt;0,$T$33,0),IF(Z68=0,AH73,IF(Z68=1,AH74,IF(Z68=2,AH75,IF(Z68=3,AH76,IF(Z68=4,AH77,IF(Z68=5,AH78,IF(Z68=6,AH79,IF(Z68=7,AH80,IF(Z68=8,AH81,IF(Z68=9,AH82,IF(Z68=10,AH83,IF(Z68=11,AH84,IF(Z68=12,AH85,IF(Z68=13,AH86,IF(Z68=14,AH87,IF(Z68=15,AH88,IF(Z68=16,AH89,IF(Z68=17,AH90,IF(Z68=18,AH91,IF(Z68=19,AH92,IF(Z68=20,AH93,IF(Z68=21,AH94,IF(Z68=22,AH95,IF(Z68=23,AH96,IF(Z68=24,AH97,IF(Z68=25,AH98,IF(Z68=26,AH99,IF(Z68=27,AH100,IF(Z68=28,AH101,IF(Z68=29,AH102,IF(Z68=30,AH103))))))))))))))))))))))))))))))))</f>
        <v>0</v>
      </c>
    </row>
    <row r="69" spans="1:35" x14ac:dyDescent="0.35">
      <c r="A69" s="48">
        <v>1330</v>
      </c>
      <c r="B69" s="58">
        <f>SUMIF([2]!Table2_23[ETA],'FIS Optimal Model (3)'!A69,[2]!Table2_23[FIS PAX])</f>
        <v>0</v>
      </c>
      <c r="C69" s="44">
        <f>IF((D68-D69)&gt;-1,(D68-D69),18)</f>
        <v>0</v>
      </c>
      <c r="D69" s="52">
        <f>MAX(D68-$E$31+B68,0)</f>
        <v>0</v>
      </c>
      <c r="E69" s="26">
        <f>$C$30*C69</f>
        <v>0</v>
      </c>
      <c r="F69" s="26">
        <f>$C$31*C69</f>
        <v>0</v>
      </c>
      <c r="G69" s="26">
        <f>$C$32*C69</f>
        <v>0</v>
      </c>
      <c r="H69" s="26">
        <f>$C$33*C69</f>
        <v>0</v>
      </c>
      <c r="I69" s="27">
        <f>E64</f>
        <v>0</v>
      </c>
      <c r="J69" s="27">
        <f>F64</f>
        <v>0</v>
      </c>
      <c r="K69" s="27">
        <f>G64</f>
        <v>0</v>
      </c>
      <c r="L69" s="27">
        <f>H64</f>
        <v>0</v>
      </c>
      <c r="M69" s="28">
        <f>$M$55</f>
        <v>0</v>
      </c>
      <c r="N69" s="29">
        <f>$N$55</f>
        <v>6</v>
      </c>
      <c r="O69" s="28">
        <f>$O$55</f>
        <v>0</v>
      </c>
      <c r="P69" s="28">
        <f>$P$55</f>
        <v>0</v>
      </c>
      <c r="Q69" s="28">
        <f>SUM(M69:P69)</f>
        <v>6</v>
      </c>
      <c r="R69" s="22">
        <f>MAX(R68-($J$30*M69*$L$33)+I69,0)</f>
        <v>0</v>
      </c>
      <c r="S69" s="22">
        <f>IF(U69&lt;&gt;0,(MAX(S68-($J$31*N69*$L$33)+J69,0)),(MAX(S68-($J$31*(N69+P69)*$L$33)+J69,0)))</f>
        <v>0</v>
      </c>
      <c r="T69" s="22">
        <f>MAX(T68-($J$32*O69*$L$33)+K69,0)</f>
        <v>0</v>
      </c>
      <c r="U69" s="22">
        <f>MAX(U68-($J$33*P69*$L$33)+L69,0)</f>
        <v>0</v>
      </c>
      <c r="V69" s="21">
        <f>IFERROR(R69*($I$30/M69),0)</f>
        <v>0</v>
      </c>
      <c r="W69" s="21">
        <f>S69*($I$31/N69)</f>
        <v>0</v>
      </c>
      <c r="X69" s="21">
        <f>IFERROR(T69*($I$32/O69),0)</f>
        <v>0</v>
      </c>
      <c r="Y69" s="21">
        <f>IFERROR(U69*($I$33/P69),0)</f>
        <v>0</v>
      </c>
      <c r="Z69" s="221">
        <f>ROUNDUP(SUM(V69*$C$30,W69*$C$31,X69*$C$32,Y69*$C$33),0)</f>
        <v>0</v>
      </c>
      <c r="AA69" s="30">
        <f>IF(R69&lt;&gt;0,($J$30*M69*$L$33),0)</f>
        <v>0</v>
      </c>
      <c r="AB69" s="30">
        <f>IF(W69&lt;&gt;0,($J$31*N69*$L$33),0)</f>
        <v>0</v>
      </c>
      <c r="AC69" s="30">
        <f>IF(X69&lt;&gt;0,($J$32*O69*$L$33),0)</f>
        <v>0</v>
      </c>
      <c r="AD69" s="30">
        <f>IF(Y69&lt;&gt;0,($J$33*P69*$L$33),0)</f>
        <v>0</v>
      </c>
      <c r="AE69" s="32">
        <f>SUM(AA69:AD69)</f>
        <v>0</v>
      </c>
      <c r="AF69" s="33">
        <f>AE65</f>
        <v>0</v>
      </c>
      <c r="AG69" s="40">
        <f>MAX(AG68-$Q$33+AF69,0)</f>
        <v>0</v>
      </c>
      <c r="AH69" s="224">
        <f>AG69*$P$33</f>
        <v>0</v>
      </c>
      <c r="AI69" s="227">
        <f>SUM(Z69,IF(Z69&lt;&gt;0,$F$31,0),IF(Z69&lt;&gt;0,$N$33,0),IF(Z69&lt;&gt;0,$T$33,0),IF(Z69=0,AH74,IF(Z69=1,AH75,IF(Z69=2,AH76,IF(Z69=3,AH77,IF(Z69=4,AH78,IF(Z69=5,AH79,IF(Z69=6,AH80,IF(Z69=7,AH81,IF(Z69=8,AH82,IF(Z69=9,AH83,IF(Z69=10,AH84,IF(Z69=11,AH85,IF(Z69=12,AH86,IF(Z69=13,AH87,IF(Z69=14,AH88,IF(Z69=15,AH89,IF(Z69=16,AH90,IF(Z69=17,AH91,IF(Z69=18,AH92,IF(Z69=19,AH93,IF(Z69=20,AH94,IF(Z69=21,AH95,IF(Z69=22,AH96,IF(Z69=23,AH97,IF(Z69=24,AH98,IF(Z69=25,AH99,IF(Z69=26,AH100,IF(Z69=27,AH101,IF(Z69=28,AH102,IF(Z69=29,AH103,IF(Z69=30,AH104))))))))))))))))))))))))))))))))</f>
        <v>0</v>
      </c>
    </row>
    <row r="70" spans="1:35" x14ac:dyDescent="0.35">
      <c r="A70" s="48">
        <v>1331</v>
      </c>
      <c r="B70" s="58">
        <f>SUMIF([2]!Table2_23[ETA],'FIS Optimal Model (3)'!A70,[2]!Table2_23[FIS PAX])</f>
        <v>0</v>
      </c>
      <c r="C70" s="44">
        <f>IF((D69-D70)&gt;-1,(D69-D70),18)</f>
        <v>0</v>
      </c>
      <c r="D70" s="52">
        <f>MAX(D69-$E$31+B69,0)</f>
        <v>0</v>
      </c>
      <c r="E70" s="26">
        <f>$C$30*C70</f>
        <v>0</v>
      </c>
      <c r="F70" s="26">
        <f>$C$31*C70</f>
        <v>0</v>
      </c>
      <c r="G70" s="26">
        <f>$C$32*C70</f>
        <v>0</v>
      </c>
      <c r="H70" s="26">
        <f>$C$33*C70</f>
        <v>0</v>
      </c>
      <c r="I70" s="27">
        <f>E65</f>
        <v>0</v>
      </c>
      <c r="J70" s="27">
        <f>F65</f>
        <v>0</v>
      </c>
      <c r="K70" s="27">
        <f>G65</f>
        <v>0</v>
      </c>
      <c r="L70" s="27">
        <f>H65</f>
        <v>0</v>
      </c>
      <c r="M70" s="28">
        <f>IF(R69=0,0,$Q$8)</f>
        <v>0</v>
      </c>
      <c r="N70" s="29">
        <f>$U$8-M70-O70-P70</f>
        <v>6</v>
      </c>
      <c r="O70" s="28">
        <f>IF(T69=0,0,$S$8)</f>
        <v>0</v>
      </c>
      <c r="P70" s="28">
        <f>IF(U69=0,0,$T$8)</f>
        <v>0</v>
      </c>
      <c r="Q70" s="28">
        <f>SUM(M70:P70)</f>
        <v>6</v>
      </c>
      <c r="R70" s="22">
        <f>MAX(R69-($J$30*M70*$L$33)+I70,0)</f>
        <v>0</v>
      </c>
      <c r="S70" s="22">
        <f>IF(U70&lt;&gt;0,(MAX(S69-($J$31*N70*$L$33)+J70,0)),(MAX(S69-($J$31*(N70+P70)*$L$33)+J70,0)))</f>
        <v>0</v>
      </c>
      <c r="T70" s="22">
        <f>MAX(T69-($J$32*O70*$L$33)+K70,0)</f>
        <v>0</v>
      </c>
      <c r="U70" s="22">
        <f>MAX(U69-($J$33*P70*$L$33)+L70,0)</f>
        <v>0</v>
      </c>
      <c r="V70" s="21">
        <f>IFERROR(R70*($I$30/M70),0)</f>
        <v>0</v>
      </c>
      <c r="W70" s="21">
        <f>S70*($I$31/N70)</f>
        <v>0</v>
      </c>
      <c r="X70" s="21">
        <f>IFERROR(T70*($I$32/O70),0)</f>
        <v>0</v>
      </c>
      <c r="Y70" s="21">
        <f>IFERROR(U70*($I$33/P70),0)</f>
        <v>0</v>
      </c>
      <c r="Z70" s="221">
        <f>ROUNDUP(SUM(V70*$C$30,W70*$C$31,X70*$C$32,Y70*$C$33),0)</f>
        <v>0</v>
      </c>
      <c r="AA70" s="30">
        <f>IF(R70&lt;&gt;0,($J$30*M70*$L$33),0)</f>
        <v>0</v>
      </c>
      <c r="AB70" s="30">
        <f>IF(W70&lt;&gt;0,($J$31*N70*$L$33),0)</f>
        <v>0</v>
      </c>
      <c r="AC70" s="30">
        <f>IF(X70&lt;&gt;0,($J$32*O70*$L$33),0)</f>
        <v>0</v>
      </c>
      <c r="AD70" s="30">
        <f>IF(Y70&lt;&gt;0,($J$33*P70*$L$33),0)</f>
        <v>0</v>
      </c>
      <c r="AE70" s="32">
        <f>SUM(AA70:AD70)</f>
        <v>0</v>
      </c>
      <c r="AF70" s="33">
        <f>AE66</f>
        <v>0</v>
      </c>
      <c r="AG70" s="40">
        <f>MAX(AG69-$Q$33+AF70,0)</f>
        <v>0</v>
      </c>
      <c r="AH70" s="224">
        <f>AG70*$P$33</f>
        <v>0</v>
      </c>
      <c r="AI70" s="227">
        <f>SUM(Z70,IF(Z70&lt;&gt;0,$F$31,0),IF(Z70&lt;&gt;0,$N$33,0),IF(Z70&lt;&gt;0,$T$33,0),IF(Z70=0,AH75,IF(Z70=1,AH76,IF(Z70=2,AH77,IF(Z70=3,AH78,IF(Z70=4,AH79,IF(Z70=5,AH80,IF(Z70=6,AH81,IF(Z70=7,AH82,IF(Z70=8,AH83,IF(Z70=9,AH84,IF(Z70=10,AH85,IF(Z70=11,AH86,IF(Z70=12,AH87,IF(Z70=13,AH88,IF(Z70=14,AH89,IF(Z70=15,AH90,IF(Z70=16,AH91,IF(Z70=17,AH92,IF(Z70=18,AH93,IF(Z70=19,AH94,IF(Z70=20,AH95,IF(Z70=21,AH96,IF(Z70=22,AH97,IF(Z70=23,AH98,IF(Z70=24,AH99,IF(Z70=25,AH100,IF(Z70=26,AH101,IF(Z70=27,AH102,IF(Z70=28,AH103,IF(Z70=29,AH104,IF(Z70=30,AH105))))))))))))))))))))))))))))))))</f>
        <v>0</v>
      </c>
    </row>
    <row r="71" spans="1:35" x14ac:dyDescent="0.35">
      <c r="A71" s="48">
        <v>1332</v>
      </c>
      <c r="B71" s="58">
        <f>SUMIF([2]!Table2_23[ETA],'FIS Optimal Model (3)'!A71,[2]!Table2_23[FIS PAX])</f>
        <v>0</v>
      </c>
      <c r="C71" s="44">
        <f>IF((D70-D71)&gt;-1,(D70-D71),18)</f>
        <v>0</v>
      </c>
      <c r="D71" s="52">
        <f>MAX(D70-$E$31+B70,0)</f>
        <v>0</v>
      </c>
      <c r="E71" s="26">
        <f>$C$30*C71</f>
        <v>0</v>
      </c>
      <c r="F71" s="26">
        <f>$C$31*C71</f>
        <v>0</v>
      </c>
      <c r="G71" s="26">
        <f>$C$32*C71</f>
        <v>0</v>
      </c>
      <c r="H71" s="26">
        <f>$C$33*C71</f>
        <v>0</v>
      </c>
      <c r="I71" s="27">
        <f>E66</f>
        <v>0</v>
      </c>
      <c r="J71" s="27">
        <f>F66</f>
        <v>0</v>
      </c>
      <c r="K71" s="27">
        <f>G66</f>
        <v>0</v>
      </c>
      <c r="L71" s="27">
        <f>H66</f>
        <v>0</v>
      </c>
      <c r="M71" s="28">
        <f>M70</f>
        <v>0</v>
      </c>
      <c r="N71" s="29">
        <f>N70</f>
        <v>6</v>
      </c>
      <c r="O71" s="28">
        <f>O70</f>
        <v>0</v>
      </c>
      <c r="P71" s="28">
        <f>P70</f>
        <v>0</v>
      </c>
      <c r="Q71" s="28">
        <f>SUM(M71:P71)</f>
        <v>6</v>
      </c>
      <c r="R71" s="22">
        <f>MAX(R70-($J$30*M71*$L$33)+I71,0)</f>
        <v>0</v>
      </c>
      <c r="S71" s="22">
        <f>IF(U71&lt;&gt;0,(MAX(S70-($J$31*N71*$L$33)+J71,0)),(MAX(S70-($J$31*(N71+P71)*$L$33)+J71,0)))</f>
        <v>0</v>
      </c>
      <c r="T71" s="22">
        <f>MAX(T70-($J$32*O71*$L$33)+K71,0)</f>
        <v>0</v>
      </c>
      <c r="U71" s="22">
        <f>MAX(U70-($J$33*P71*$L$33)+L71,0)</f>
        <v>0</v>
      </c>
      <c r="V71" s="21">
        <f>IFERROR(R71*($I$30/M71),0)</f>
        <v>0</v>
      </c>
      <c r="W71" s="21">
        <f>S71*($I$31/N71)</f>
        <v>0</v>
      </c>
      <c r="X71" s="21">
        <f>IFERROR(T71*($I$32/O71),0)</f>
        <v>0</v>
      </c>
      <c r="Y71" s="21">
        <f>IFERROR(U71*($I$33/P71),0)</f>
        <v>0</v>
      </c>
      <c r="Z71" s="221">
        <f>ROUNDUP(SUM(V71*$C$30,W71*$C$31,X71*$C$32,Y71*$C$33),0)</f>
        <v>0</v>
      </c>
      <c r="AA71" s="30">
        <f>IF(R71&lt;&gt;0,($J$30*M71*$L$33),0)</f>
        <v>0</v>
      </c>
      <c r="AB71" s="30">
        <f>IF(W71&lt;&gt;0,($J$31*N71*$L$33),0)</f>
        <v>0</v>
      </c>
      <c r="AC71" s="30">
        <f>IF(X71&lt;&gt;0,($J$32*O71*$L$33),0)</f>
        <v>0</v>
      </c>
      <c r="AD71" s="30">
        <f>IF(Y71&lt;&gt;0,($J$33*P71*$L$33),0)</f>
        <v>0</v>
      </c>
      <c r="AE71" s="32">
        <f>SUM(AA71:AD71)</f>
        <v>0</v>
      </c>
      <c r="AF71" s="33">
        <f>AE67</f>
        <v>0</v>
      </c>
      <c r="AG71" s="40">
        <f>MAX(AG70-$Q$33+AF71,0)</f>
        <v>0</v>
      </c>
      <c r="AH71" s="224">
        <f>AG71*$P$33</f>
        <v>0</v>
      </c>
      <c r="AI71" s="227">
        <f>SUM(Z71,IF(Z71&lt;&gt;0,$F$31,0),IF(Z71&lt;&gt;0,$N$33,0),IF(Z71&lt;&gt;0,$T$33,0),IF(Z71=0,AH76,IF(Z71=1,AH77,IF(Z71=2,AH78,IF(Z71=3,AH79,IF(Z71=4,AH80,IF(Z71=5,AH81,IF(Z71=6,AH82,IF(Z71=7,AH83,IF(Z71=8,AH84,IF(Z71=9,AH85,IF(Z71=10,AH86,IF(Z71=11,AH87,IF(Z71=12,AH88,IF(Z71=13,AH89,IF(Z71=14,AH90,IF(Z71=15,AH91,IF(Z71=16,AH92,IF(Z71=17,AH93,IF(Z71=18,AH94,IF(Z71=19,AH95,IF(Z71=20,AH96,IF(Z71=21,AH97,IF(Z71=22,AH98,IF(Z71=23,AH99,IF(Z71=24,AH100,IF(Z71=25,AH101,IF(Z71=26,AH102,IF(Z71=27,AH103,IF(Z71=28,AH104,IF(Z71=29,AH105,IF(Z71=30,AH106))))))))))))))))))))))))))))))))</f>
        <v>0</v>
      </c>
    </row>
    <row r="72" spans="1:35" x14ac:dyDescent="0.35">
      <c r="A72" s="48">
        <v>1333</v>
      </c>
      <c r="B72" s="58">
        <f>SUMIF([2]!Table2_23[ETA],'FIS Optimal Model (3)'!A72,[2]!Table2_23[FIS PAX])</f>
        <v>0</v>
      </c>
      <c r="C72" s="44">
        <f>IF((D71-D72)&gt;-1,(D71-D72),18)</f>
        <v>0</v>
      </c>
      <c r="D72" s="52">
        <f>MAX(D71-$E$31+B71,0)</f>
        <v>0</v>
      </c>
      <c r="E72" s="26">
        <f>$C$30*C72</f>
        <v>0</v>
      </c>
      <c r="F72" s="26">
        <f>$C$31*C72</f>
        <v>0</v>
      </c>
      <c r="G72" s="26">
        <f>$C$32*C72</f>
        <v>0</v>
      </c>
      <c r="H72" s="26">
        <f>$C$33*C72</f>
        <v>0</v>
      </c>
      <c r="I72" s="27">
        <f>E67</f>
        <v>0</v>
      </c>
      <c r="J72" s="27">
        <f>F67</f>
        <v>0</v>
      </c>
      <c r="K72" s="27">
        <f>G67</f>
        <v>0</v>
      </c>
      <c r="L72" s="27">
        <f>H67</f>
        <v>0</v>
      </c>
      <c r="M72" s="28">
        <f>M71</f>
        <v>0</v>
      </c>
      <c r="N72" s="29">
        <f>N71</f>
        <v>6</v>
      </c>
      <c r="O72" s="28">
        <f>O71</f>
        <v>0</v>
      </c>
      <c r="P72" s="28">
        <f>P71</f>
        <v>0</v>
      </c>
      <c r="Q72" s="28">
        <f>SUM(M72:P72)</f>
        <v>6</v>
      </c>
      <c r="R72" s="22">
        <f>MAX(R71-($J$30*M72*$L$33)+I72,0)</f>
        <v>0</v>
      </c>
      <c r="S72" s="22">
        <f>IF(U72&lt;&gt;0,(MAX(S71-($J$31*N72*$L$33)+J72,0)),(MAX(S71-($J$31*(N72+P72)*$L$33)+J72,0)))</f>
        <v>0</v>
      </c>
      <c r="T72" s="22">
        <f>MAX(T71-($J$32*O72*$L$33)+K72,0)</f>
        <v>0</v>
      </c>
      <c r="U72" s="22">
        <f>MAX(U71-($J$33*P72*$L$33)+L72,0)</f>
        <v>0</v>
      </c>
      <c r="V72" s="21">
        <f>IFERROR(R72*($I$30/M72),0)</f>
        <v>0</v>
      </c>
      <c r="W72" s="21">
        <f>S72*($I$31/N72)</f>
        <v>0</v>
      </c>
      <c r="X72" s="21">
        <f>IFERROR(T72*($I$32/O72),0)</f>
        <v>0</v>
      </c>
      <c r="Y72" s="21">
        <f>IFERROR(U72*($I$33/P72),0)</f>
        <v>0</v>
      </c>
      <c r="Z72" s="221">
        <f>ROUNDUP(SUM(V72*$C$30,W72*$C$31,X72*$C$32,Y72*$C$33),0)</f>
        <v>0</v>
      </c>
      <c r="AA72" s="30">
        <f>IF(R72&lt;&gt;0,($J$30*M72*$L$33),0)</f>
        <v>0</v>
      </c>
      <c r="AB72" s="30">
        <f>IF(W72&lt;&gt;0,($J$31*N72*$L$33),0)</f>
        <v>0</v>
      </c>
      <c r="AC72" s="30">
        <f>IF(X72&lt;&gt;0,($J$32*O72*$L$33),0)</f>
        <v>0</v>
      </c>
      <c r="AD72" s="30">
        <f>IF(Y72&lt;&gt;0,($J$33*P72*$L$33),0)</f>
        <v>0</v>
      </c>
      <c r="AE72" s="32">
        <f>SUM(AA72:AD72)</f>
        <v>0</v>
      </c>
      <c r="AF72" s="33">
        <f>AE68</f>
        <v>0</v>
      </c>
      <c r="AG72" s="40">
        <f>MAX(AG71-$Q$33+AF72,0)</f>
        <v>0</v>
      </c>
      <c r="AH72" s="224">
        <f>AG72*$P$33</f>
        <v>0</v>
      </c>
      <c r="AI72" s="227">
        <f>SUM(Z72,IF(Z72&lt;&gt;0,$F$31,0),IF(Z72&lt;&gt;0,$N$33,0),IF(Z72&lt;&gt;0,$T$33,0),IF(Z72=0,AH77,IF(Z72=1,AH78,IF(Z72=2,AH79,IF(Z72=3,AH80,IF(Z72=4,AH81,IF(Z72=5,AH82,IF(Z72=6,AH83,IF(Z72=7,AH84,IF(Z72=8,AH85,IF(Z72=9,AH86,IF(Z72=10,AH87,IF(Z72=11,AH88,IF(Z72=12,AH89,IF(Z72=13,AH90,IF(Z72=14,AH91,IF(Z72=15,AH92,IF(Z72=16,AH93,IF(Z72=17,AH94,IF(Z72=18,AH95,IF(Z72=19,AH96,IF(Z72=20,AH97,IF(Z72=21,AH98,IF(Z72=22,AH99,IF(Z72=23,AH100,IF(Z72=24,AH101,IF(Z72=25,AH102,IF(Z72=26,AH103,IF(Z72=27,AH104,IF(Z72=28,AH105,IF(Z72=29,AH106,IF(Z72=30,AH107))))))))))))))))))))))))))))))))</f>
        <v>0</v>
      </c>
    </row>
    <row r="73" spans="1:35" x14ac:dyDescent="0.35">
      <c r="A73" s="48">
        <v>1334</v>
      </c>
      <c r="B73" s="58">
        <f>SUMIF([2]!Table2_23[ETA],'FIS Optimal Model (3)'!A73,[2]!Table2_23[FIS PAX])</f>
        <v>152</v>
      </c>
      <c r="C73" s="44">
        <f>IF((D72-D73)&gt;-1,(D72-D73),18)</f>
        <v>0</v>
      </c>
      <c r="D73" s="52">
        <f>MAX(D72-$E$31+B72,0)</f>
        <v>0</v>
      </c>
      <c r="E73" s="26">
        <f>$C$30*C73</f>
        <v>0</v>
      </c>
      <c r="F73" s="26">
        <f>$C$31*C73</f>
        <v>0</v>
      </c>
      <c r="G73" s="26">
        <f>$C$32*C73</f>
        <v>0</v>
      </c>
      <c r="H73" s="26">
        <f>$C$33*C73</f>
        <v>0</v>
      </c>
      <c r="I73" s="27">
        <f>E68</f>
        <v>0</v>
      </c>
      <c r="J73" s="27">
        <f>F68</f>
        <v>0</v>
      </c>
      <c r="K73" s="27">
        <f>G68</f>
        <v>0</v>
      </c>
      <c r="L73" s="27">
        <f>H68</f>
        <v>0</v>
      </c>
      <c r="M73" s="28">
        <f>M72</f>
        <v>0</v>
      </c>
      <c r="N73" s="29">
        <f>N72</f>
        <v>6</v>
      </c>
      <c r="O73" s="28">
        <f>O72</f>
        <v>0</v>
      </c>
      <c r="P73" s="28">
        <f>P72</f>
        <v>0</v>
      </c>
      <c r="Q73" s="28">
        <f>SUM(M73:P73)</f>
        <v>6</v>
      </c>
      <c r="R73" s="22">
        <f>MAX(R72-($J$30*M73*$L$33)+I73,0)</f>
        <v>0</v>
      </c>
      <c r="S73" s="22">
        <f>IF(U73&lt;&gt;0,(MAX(S72-($J$31*N73*$L$33)+J73,0)),(MAX(S72-($J$31*(N73+P73)*$L$33)+J73,0)))</f>
        <v>0</v>
      </c>
      <c r="T73" s="22">
        <f>MAX(T72-($J$32*O73*$L$33)+K73,0)</f>
        <v>0</v>
      </c>
      <c r="U73" s="22">
        <f>MAX(U72-($J$33*P73*$L$33)+L73,0)</f>
        <v>0</v>
      </c>
      <c r="V73" s="21">
        <f>IFERROR(R73*($I$30/M73),0)</f>
        <v>0</v>
      </c>
      <c r="W73" s="21">
        <f>S73*($I$31/N73)</f>
        <v>0</v>
      </c>
      <c r="X73" s="21">
        <f>IFERROR(T73*($I$32/O73),0)</f>
        <v>0</v>
      </c>
      <c r="Y73" s="21">
        <f>IFERROR(U73*($I$33/P73),0)</f>
        <v>0</v>
      </c>
      <c r="Z73" s="221">
        <f>ROUNDUP(SUM(V73*$C$30,W73*$C$31,X73*$C$32,Y73*$C$33),0)</f>
        <v>0</v>
      </c>
      <c r="AA73" s="30">
        <f>IF(R73&lt;&gt;0,($J$30*M73*$L$33),0)</f>
        <v>0</v>
      </c>
      <c r="AB73" s="30">
        <f>IF(W73&lt;&gt;0,($J$31*N73*$L$33),0)</f>
        <v>0</v>
      </c>
      <c r="AC73" s="30">
        <f>IF(X73&lt;&gt;0,($J$32*O73*$L$33),0)</f>
        <v>0</v>
      </c>
      <c r="AD73" s="30">
        <f>IF(Y73&lt;&gt;0,($J$33*P73*$L$33),0)</f>
        <v>0</v>
      </c>
      <c r="AE73" s="32">
        <f>SUM(AA73:AD73)</f>
        <v>0</v>
      </c>
      <c r="AF73" s="33">
        <f>AE69</f>
        <v>0</v>
      </c>
      <c r="AG73" s="40">
        <f>MAX(AG72-$Q$33+AF73,0)</f>
        <v>0</v>
      </c>
      <c r="AH73" s="224">
        <f>AG73*$P$33</f>
        <v>0</v>
      </c>
      <c r="AI73" s="227">
        <f>SUM(Z73,IF(Z73&lt;&gt;0,$F$31,0),IF(Z73&lt;&gt;0,$N$33,0),IF(Z73&lt;&gt;0,$T$33,0),IF(Z73=0,AH78,IF(Z73=1,AH79,IF(Z73=2,AH80,IF(Z73=3,AH81,IF(Z73=4,AH82,IF(Z73=5,AH83,IF(Z73=6,AH84,IF(Z73=7,AH85,IF(Z73=8,AH86,IF(Z73=9,AH87,IF(Z73=10,AH88,IF(Z73=11,AH89,IF(Z73=12,AH90,IF(Z73=13,AH91,IF(Z73=14,AH92,IF(Z73=15,AH93,IF(Z73=16,AH94,IF(Z73=17,AH95,IF(Z73=18,AH96,IF(Z73=19,AH97,IF(Z73=20,AH98,IF(Z73=21,AH99,IF(Z73=22,AH100,IF(Z73=23,AH101,IF(Z73=24,AH102,IF(Z73=25,AH103,IF(Z73=26,AH104,IF(Z73=27,AH105,IF(Z73=28,AH106,IF(Z73=29,AH107,IF(Z73=30,AH108))))))))))))))))))))))))))))))))</f>
        <v>0</v>
      </c>
    </row>
    <row r="74" spans="1:35" x14ac:dyDescent="0.35">
      <c r="A74" s="48">
        <v>1335</v>
      </c>
      <c r="B74" s="58">
        <f>SUMIF([2]!Table2_23[ETA],'FIS Optimal Model (3)'!A74,[2]!Table2_23[FIS PAX])</f>
        <v>0</v>
      </c>
      <c r="C74" s="44">
        <f>IF((D73-D74)&gt;-1,(D73-D74),18)</f>
        <v>18</v>
      </c>
      <c r="D74" s="52">
        <f>MAX(D73-$E$31+B73,0)</f>
        <v>134</v>
      </c>
      <c r="E74" s="26">
        <f>$C$30*C74</f>
        <v>9.9503999999999984</v>
      </c>
      <c r="F74" s="26">
        <f>$C$31*C74</f>
        <v>4.2713999999999999</v>
      </c>
      <c r="G74" s="26">
        <f>$C$32*C74</f>
        <v>2.9447999999999999</v>
      </c>
      <c r="H74" s="26">
        <f>$C$33*C74</f>
        <v>0.83340000000000003</v>
      </c>
      <c r="I74" s="27">
        <f>E69</f>
        <v>0</v>
      </c>
      <c r="J74" s="27">
        <f>F69</f>
        <v>0</v>
      </c>
      <c r="K74" s="27">
        <f>G69</f>
        <v>0</v>
      </c>
      <c r="L74" s="27">
        <f>H69</f>
        <v>0</v>
      </c>
      <c r="M74" s="28">
        <f>M73</f>
        <v>0</v>
      </c>
      <c r="N74" s="29">
        <f>N73</f>
        <v>6</v>
      </c>
      <c r="O74" s="28">
        <f>O73</f>
        <v>0</v>
      </c>
      <c r="P74" s="28">
        <f>P73</f>
        <v>0</v>
      </c>
      <c r="Q74" s="28">
        <f>SUM(M74:P74)</f>
        <v>6</v>
      </c>
      <c r="R74" s="22">
        <f>MAX(R73-($J$30*M74*$L$33)+I74,0)</f>
        <v>0</v>
      </c>
      <c r="S74" s="22">
        <f>IF(U74&lt;&gt;0,(MAX(S73-($J$31*N74*$L$33)+J74,0)),(MAX(S73-($J$31*(N74+P74)*$L$33)+J74,0)))</f>
        <v>0</v>
      </c>
      <c r="T74" s="22">
        <f>MAX(T73-($J$32*O74*$L$33)+K74,0)</f>
        <v>0</v>
      </c>
      <c r="U74" s="22">
        <f>MAX(U73-($J$33*P74*$L$33)+L74,0)</f>
        <v>0</v>
      </c>
      <c r="V74" s="21">
        <f>IFERROR(R74*($I$30/M74),0)</f>
        <v>0</v>
      </c>
      <c r="W74" s="21">
        <f>S74*($I$31/N74)</f>
        <v>0</v>
      </c>
      <c r="X74" s="21">
        <f>IFERROR(T74*($I$32/O74),0)</f>
        <v>0</v>
      </c>
      <c r="Y74" s="21">
        <f>IFERROR(U74*($I$33/P74),0)</f>
        <v>0</v>
      </c>
      <c r="Z74" s="221">
        <f>ROUNDUP(SUM(V74*$C$30,W74*$C$31,X74*$C$32,Y74*$C$33),0)</f>
        <v>0</v>
      </c>
      <c r="AA74" s="30">
        <f>IF(R74&lt;&gt;0,($J$30*M74*$L$33),0)</f>
        <v>0</v>
      </c>
      <c r="AB74" s="30">
        <f>IF(W74&lt;&gt;0,($J$31*N74*$L$33),0)</f>
        <v>0</v>
      </c>
      <c r="AC74" s="30">
        <f>IF(X74&lt;&gt;0,($J$32*O74*$L$33),0)</f>
        <v>0</v>
      </c>
      <c r="AD74" s="30">
        <f>IF(Y74&lt;&gt;0,($J$33*P74*$L$33),0)</f>
        <v>0</v>
      </c>
      <c r="AE74" s="32">
        <f>SUM(AA74:AD74)</f>
        <v>0</v>
      </c>
      <c r="AF74" s="33">
        <f>AE70</f>
        <v>0</v>
      </c>
      <c r="AG74" s="40">
        <f>MAX(AG73-$Q$33+AF74,0)</f>
        <v>0</v>
      </c>
      <c r="AH74" s="224">
        <f>AG74*$P$33</f>
        <v>0</v>
      </c>
      <c r="AI74" s="227">
        <f>SUM(Z74,IF(Z74&lt;&gt;0,$F$31,0),IF(Z74&lt;&gt;0,$N$33,0),IF(Z74&lt;&gt;0,$T$33,0),IF(Z74=0,AH79,IF(Z74=1,AH80,IF(Z74=2,AH81,IF(Z74=3,AH82,IF(Z74=4,AH83,IF(Z74=5,AH84,IF(Z74=6,AH85,IF(Z74=7,AH86,IF(Z74=8,AH87,IF(Z74=9,AH88,IF(Z74=10,AH89,IF(Z74=11,AH90,IF(Z74=12,AH91,IF(Z74=13,AH92,IF(Z74=14,AH93,IF(Z74=15,AH94,IF(Z74=16,AH95,IF(Z74=17,AH96,IF(Z74=18,AH97,IF(Z74=19,AH98,IF(Z74=20,AH99,IF(Z74=21,AH100,IF(Z74=22,AH101,IF(Z74=23,AH102,IF(Z74=24,AH103,IF(Z74=25,AH104,IF(Z74=26,AH105,IF(Z74=27,AH106,IF(Z74=28,AH107,IF(Z74=29,AH108,IF(Z74=30,AH109))))))))))))))))))))))))))))))))</f>
        <v>0</v>
      </c>
    </row>
    <row r="75" spans="1:35" x14ac:dyDescent="0.35">
      <c r="A75" s="48">
        <v>1336</v>
      </c>
      <c r="B75" s="58">
        <f>SUMIF([2]!Table2_23[ETA],'FIS Optimal Model (3)'!A75,[2]!Table2_23[FIS PAX])</f>
        <v>0</v>
      </c>
      <c r="C75" s="44">
        <f>IF((D74-D75)&gt;-1,(D74-D75),18)</f>
        <v>18</v>
      </c>
      <c r="D75" s="52">
        <f>MAX(D74-$E$31+B74,0)</f>
        <v>116</v>
      </c>
      <c r="E75" s="26">
        <f>$C$30*C75</f>
        <v>9.9503999999999984</v>
      </c>
      <c r="F75" s="26">
        <f>$C$31*C75</f>
        <v>4.2713999999999999</v>
      </c>
      <c r="G75" s="26">
        <f>$C$32*C75</f>
        <v>2.9447999999999999</v>
      </c>
      <c r="H75" s="26">
        <f>$C$33*C75</f>
        <v>0.83340000000000003</v>
      </c>
      <c r="I75" s="27">
        <f>E70</f>
        <v>0</v>
      </c>
      <c r="J75" s="27">
        <f>F70</f>
        <v>0</v>
      </c>
      <c r="K75" s="27">
        <f>G70</f>
        <v>0</v>
      </c>
      <c r="L75" s="27">
        <f>H70</f>
        <v>0</v>
      </c>
      <c r="M75" s="28">
        <f>M74</f>
        <v>0</v>
      </c>
      <c r="N75" s="29">
        <f>N74</f>
        <v>6</v>
      </c>
      <c r="O75" s="28">
        <f>O74</f>
        <v>0</v>
      </c>
      <c r="P75" s="28">
        <f>P74</f>
        <v>0</v>
      </c>
      <c r="Q75" s="28">
        <f>SUM(M75:P75)</f>
        <v>6</v>
      </c>
      <c r="R75" s="22">
        <f>MAX(R74-($J$30*M75*$L$33)+I75,0)</f>
        <v>0</v>
      </c>
      <c r="S75" s="22">
        <f>IF(U75&lt;&gt;0,(MAX(S74-($J$31*N75*$L$33)+J75,0)),(MAX(S74-($J$31*(N75+P75)*$L$33)+J75,0)))</f>
        <v>0</v>
      </c>
      <c r="T75" s="22">
        <f>MAX(T74-($J$32*O75*$L$33)+K75,0)</f>
        <v>0</v>
      </c>
      <c r="U75" s="22">
        <f>MAX(U74-($J$33*P75*$L$33)+L75,0)</f>
        <v>0</v>
      </c>
      <c r="V75" s="21">
        <f>IFERROR(R75*($I$30/M75),0)</f>
        <v>0</v>
      </c>
      <c r="W75" s="21">
        <f>S75*($I$31/N75)</f>
        <v>0</v>
      </c>
      <c r="X75" s="21">
        <f>IFERROR(T75*($I$32/O75),0)</f>
        <v>0</v>
      </c>
      <c r="Y75" s="21">
        <f>IFERROR(U75*($I$33/P75),0)</f>
        <v>0</v>
      </c>
      <c r="Z75" s="221">
        <f>ROUNDUP(SUM(V75*$C$30,W75*$C$31,X75*$C$32,Y75*$C$33),0)</f>
        <v>0</v>
      </c>
      <c r="AA75" s="30">
        <f>IF(R75&lt;&gt;0,($J$30*M75*$L$33),0)</f>
        <v>0</v>
      </c>
      <c r="AB75" s="30">
        <f>IF(W75&lt;&gt;0,($J$31*N75*$L$33),0)</f>
        <v>0</v>
      </c>
      <c r="AC75" s="30">
        <f>IF(X75&lt;&gt;0,($J$32*O75*$L$33),0)</f>
        <v>0</v>
      </c>
      <c r="AD75" s="30">
        <f>IF(Y75&lt;&gt;0,($J$33*P75*$L$33),0)</f>
        <v>0</v>
      </c>
      <c r="AE75" s="32">
        <f>SUM(AA75:AD75)</f>
        <v>0</v>
      </c>
      <c r="AF75" s="33">
        <f>AE71</f>
        <v>0</v>
      </c>
      <c r="AG75" s="40">
        <f>MAX(AG74-$Q$33+AF75,0)</f>
        <v>0</v>
      </c>
      <c r="AH75" s="224">
        <f>AG75*$P$33</f>
        <v>0</v>
      </c>
      <c r="AI75" s="227">
        <f>SUM(Z75,IF(Z75&lt;&gt;0,$F$31,0),IF(Z75&lt;&gt;0,$N$33,0),IF(Z75&lt;&gt;0,$T$33,0),IF(Z75=0,AH80,IF(Z75=1,AH81,IF(Z75=2,AH82,IF(Z75=3,AH83,IF(Z75=4,AH84,IF(Z75=5,AH85,IF(Z75=6,AH86,IF(Z75=7,AH87,IF(Z75=8,AH88,IF(Z75=9,AH89,IF(Z75=10,AH90,IF(Z75=11,AH91,IF(Z75=12,AH92,IF(Z75=13,AH93,IF(Z75=14,AH94,IF(Z75=15,AH95,IF(Z75=16,AH96,IF(Z75=17,AH97,IF(Z75=18,AH98,IF(Z75=19,AH99,IF(Z75=20,AH100,IF(Z75=21,AH101,IF(Z75=22,AH102,IF(Z75=23,AH103,IF(Z75=24,AH104,IF(Z75=25,AH105,IF(Z75=26,AH106,IF(Z75=27,AH107,IF(Z75=28,AH108,IF(Z75=29,AH109,IF(Z75=30,AH110))))))))))))))))))))))))))))))))</f>
        <v>0</v>
      </c>
    </row>
    <row r="76" spans="1:35" x14ac:dyDescent="0.35">
      <c r="A76" s="48">
        <v>1337</v>
      </c>
      <c r="B76" s="58">
        <f>SUMIF([2]!Table2_23[ETA],'FIS Optimal Model (3)'!A76,[2]!Table2_23[FIS PAX])</f>
        <v>0</v>
      </c>
      <c r="C76" s="44">
        <f>IF((D75-D76)&gt;-1,(D75-D76),18)</f>
        <v>18</v>
      </c>
      <c r="D76" s="52">
        <f>MAX(D75-$E$31+B75,0)</f>
        <v>98</v>
      </c>
      <c r="E76" s="26">
        <f>$C$30*C76</f>
        <v>9.9503999999999984</v>
      </c>
      <c r="F76" s="26">
        <f>$C$31*C76</f>
        <v>4.2713999999999999</v>
      </c>
      <c r="G76" s="26">
        <f>$C$32*C76</f>
        <v>2.9447999999999999</v>
      </c>
      <c r="H76" s="26">
        <f>$C$33*C76</f>
        <v>0.83340000000000003</v>
      </c>
      <c r="I76" s="27">
        <f>E71</f>
        <v>0</v>
      </c>
      <c r="J76" s="27">
        <f>F71</f>
        <v>0</v>
      </c>
      <c r="K76" s="27">
        <f>G71</f>
        <v>0</v>
      </c>
      <c r="L76" s="27">
        <f>H71</f>
        <v>0</v>
      </c>
      <c r="M76" s="28">
        <f>M75</f>
        <v>0</v>
      </c>
      <c r="N76" s="29">
        <f>N75</f>
        <v>6</v>
      </c>
      <c r="O76" s="28">
        <f>O75</f>
        <v>0</v>
      </c>
      <c r="P76" s="28">
        <f>P75</f>
        <v>0</v>
      </c>
      <c r="Q76" s="28">
        <f>SUM(M76:P76)</f>
        <v>6</v>
      </c>
      <c r="R76" s="22">
        <f>MAX(R75-($J$30*M76*$L$33)+I76,0)</f>
        <v>0</v>
      </c>
      <c r="S76" s="22">
        <f>IF(U76&lt;&gt;0,(MAX(S75-($J$31*N76*$L$33)+J76,0)),(MAX(S75-($J$31*(N76+P76)*$L$33)+J76,0)))</f>
        <v>0</v>
      </c>
      <c r="T76" s="22">
        <f>MAX(T75-($J$32*O76*$L$33)+K76,0)</f>
        <v>0</v>
      </c>
      <c r="U76" s="22">
        <f>MAX(U75-($J$33*P76*$L$33)+L76,0)</f>
        <v>0</v>
      </c>
      <c r="V76" s="21">
        <f>IFERROR(R76*($I$30/M76),0)</f>
        <v>0</v>
      </c>
      <c r="W76" s="21">
        <f>S76*($I$31/N76)</f>
        <v>0</v>
      </c>
      <c r="X76" s="21">
        <f>IFERROR(T76*($I$32/O76),0)</f>
        <v>0</v>
      </c>
      <c r="Y76" s="21">
        <f>IFERROR(U76*($I$33/P76),0)</f>
        <v>0</v>
      </c>
      <c r="Z76" s="221">
        <f>ROUNDUP(SUM(V76*$C$30,W76*$C$31,X76*$C$32,Y76*$C$33),0)</f>
        <v>0</v>
      </c>
      <c r="AA76" s="30">
        <f>IF(R76&lt;&gt;0,($J$30*M76*$L$33),0)</f>
        <v>0</v>
      </c>
      <c r="AB76" s="30">
        <f>IF(W76&lt;&gt;0,($J$31*N76*$L$33),0)</f>
        <v>0</v>
      </c>
      <c r="AC76" s="30">
        <f>IF(X76&lt;&gt;0,($J$32*O76*$L$33),0)</f>
        <v>0</v>
      </c>
      <c r="AD76" s="30">
        <f>IF(Y76&lt;&gt;0,($J$33*P76*$L$33),0)</f>
        <v>0</v>
      </c>
      <c r="AE76" s="32">
        <f>SUM(AA76:AD76)</f>
        <v>0</v>
      </c>
      <c r="AF76" s="33">
        <f>AE72</f>
        <v>0</v>
      </c>
      <c r="AG76" s="40">
        <f>MAX(AG75-$Q$33+AF76,0)</f>
        <v>0</v>
      </c>
      <c r="AH76" s="224">
        <f>AG76*$P$33</f>
        <v>0</v>
      </c>
      <c r="AI76" s="227">
        <f>SUM(Z76,IF(Z76&lt;&gt;0,$F$31,0),IF(Z76&lt;&gt;0,$N$33,0),IF(Z76&lt;&gt;0,$T$33,0),IF(Z76=0,AH81,IF(Z76=1,AH82,IF(Z76=2,AH83,IF(Z76=3,AH84,IF(Z76=4,AH85,IF(Z76=5,AH86,IF(Z76=6,AH87,IF(Z76=7,AH88,IF(Z76=8,AH89,IF(Z76=9,AH90,IF(Z76=10,AH91,IF(Z76=11,AH92,IF(Z76=12,AH93,IF(Z76=13,AH94,IF(Z76=14,AH95,IF(Z76=15,AH96,IF(Z76=16,AH97,IF(Z76=17,AH98,IF(Z76=18,AH99,IF(Z76=19,AH100,IF(Z76=20,AH101,IF(Z76=21,AH102,IF(Z76=22,AH103,IF(Z76=23,AH104,IF(Z76=24,AH105,IF(Z76=25,AH106,IF(Z76=26,AH107,IF(Z76=27,AH108,IF(Z76=28,AH109,IF(Z76=29,AH110,IF(Z76=30,AH111))))))))))))))))))))))))))))))))</f>
        <v>0</v>
      </c>
    </row>
    <row r="77" spans="1:35" x14ac:dyDescent="0.35">
      <c r="A77" s="48">
        <v>1338</v>
      </c>
      <c r="B77" s="58">
        <f>SUMIF([2]!Table2_23[ETA],'FIS Optimal Model (3)'!A77,[2]!Table2_23[FIS PAX])</f>
        <v>0</v>
      </c>
      <c r="C77" s="44">
        <f>IF((D76-D77)&gt;-1,(D76-D77),18)</f>
        <v>18</v>
      </c>
      <c r="D77" s="52">
        <f>MAX(D76-$E$31+B76,0)</f>
        <v>80</v>
      </c>
      <c r="E77" s="26">
        <f>$C$30*C77</f>
        <v>9.9503999999999984</v>
      </c>
      <c r="F77" s="26">
        <f>$C$31*C77</f>
        <v>4.2713999999999999</v>
      </c>
      <c r="G77" s="26">
        <f>$C$32*C77</f>
        <v>2.9447999999999999</v>
      </c>
      <c r="H77" s="26">
        <f>$C$33*C77</f>
        <v>0.83340000000000003</v>
      </c>
      <c r="I77" s="27">
        <f>E72</f>
        <v>0</v>
      </c>
      <c r="J77" s="27">
        <f>F72</f>
        <v>0</v>
      </c>
      <c r="K77" s="27">
        <f>G72</f>
        <v>0</v>
      </c>
      <c r="L77" s="27">
        <f>H72</f>
        <v>0</v>
      </c>
      <c r="M77" s="28">
        <f>M76</f>
        <v>0</v>
      </c>
      <c r="N77" s="29">
        <f>N76</f>
        <v>6</v>
      </c>
      <c r="O77" s="28">
        <f>O76</f>
        <v>0</v>
      </c>
      <c r="P77" s="28">
        <f>P76</f>
        <v>0</v>
      </c>
      <c r="Q77" s="28">
        <f>SUM(M77:P77)</f>
        <v>6</v>
      </c>
      <c r="R77" s="22">
        <f>MAX(R76-($J$30*M77*$L$33)+I77,0)</f>
        <v>0</v>
      </c>
      <c r="S77" s="22">
        <f>IF(U77&lt;&gt;0,(MAX(S76-($J$31*N77*$L$33)+J77,0)),(MAX(S76-($J$31*(N77+P77)*$L$33)+J77,0)))</f>
        <v>0</v>
      </c>
      <c r="T77" s="22">
        <f>MAX(T76-($J$32*O77*$L$33)+K77,0)</f>
        <v>0</v>
      </c>
      <c r="U77" s="22">
        <f>MAX(U76-($J$33*P77*$L$33)+L77,0)</f>
        <v>0</v>
      </c>
      <c r="V77" s="21">
        <f>IFERROR(R77*($I$30/M77),0)</f>
        <v>0</v>
      </c>
      <c r="W77" s="21">
        <f>S77*($I$31/N77)</f>
        <v>0</v>
      </c>
      <c r="X77" s="21">
        <f>IFERROR(T77*($I$32/O77),0)</f>
        <v>0</v>
      </c>
      <c r="Y77" s="21">
        <f>IFERROR(U77*($I$33/P77),0)</f>
        <v>0</v>
      </c>
      <c r="Z77" s="221">
        <f>ROUNDUP(SUM(V77*$C$30,W77*$C$31,X77*$C$32,Y77*$C$33),0)</f>
        <v>0</v>
      </c>
      <c r="AA77" s="30">
        <f>IF(R77&lt;&gt;0,($J$30*M77*$L$33),0)</f>
        <v>0</v>
      </c>
      <c r="AB77" s="30">
        <f>IF(W77&lt;&gt;0,($J$31*N77*$L$33),0)</f>
        <v>0</v>
      </c>
      <c r="AC77" s="30">
        <f>IF(X77&lt;&gt;0,($J$32*O77*$L$33),0)</f>
        <v>0</v>
      </c>
      <c r="AD77" s="30">
        <f>IF(Y77&lt;&gt;0,($J$33*P77*$L$33),0)</f>
        <v>0</v>
      </c>
      <c r="AE77" s="32">
        <f>SUM(AA77:AD77)</f>
        <v>0</v>
      </c>
      <c r="AF77" s="33">
        <f>AE73</f>
        <v>0</v>
      </c>
      <c r="AG77" s="40">
        <f>MAX(AG76-$Q$33+AF77,0)</f>
        <v>0</v>
      </c>
      <c r="AH77" s="224">
        <f>AG77*$P$33</f>
        <v>0</v>
      </c>
      <c r="AI77" s="227">
        <f>SUM(Z77,IF(Z77&lt;&gt;0,$F$31,0),IF(Z77&lt;&gt;0,$N$33,0),IF(Z77&lt;&gt;0,$T$33,0),IF(Z77=0,AH82,IF(Z77=1,AH83,IF(Z77=2,AH84,IF(Z77=3,AH85,IF(Z77=4,AH86,IF(Z77=5,AH87,IF(Z77=6,AH88,IF(Z77=7,AH89,IF(Z77=8,AH90,IF(Z77=9,AH91,IF(Z77=10,AH92,IF(Z77=11,AH93,IF(Z77=12,AH94,IF(Z77=13,AH95,IF(Z77=14,AH96,IF(Z77=15,AH97,IF(Z77=16,AH98,IF(Z77=17,AH99,IF(Z77=18,AH100,IF(Z77=19,AH101,IF(Z77=20,AH102,IF(Z77=21,AH103,IF(Z77=22,AH104,IF(Z77=23,AH105,IF(Z77=24,AH106,IF(Z77=25,AH107,IF(Z77=26,AH108,IF(Z77=27,AH109,IF(Z77=28,AH110,IF(Z77=29,AH111,IF(Z77=30,AH112))))))))))))))))))))))))))))))))</f>
        <v>0</v>
      </c>
    </row>
    <row r="78" spans="1:35" x14ac:dyDescent="0.35">
      <c r="A78" s="48">
        <v>1339</v>
      </c>
      <c r="B78" s="58">
        <f>SUMIF([2]!Table2_23[ETA],'FIS Optimal Model (3)'!A78,[2]!Table2_23[FIS PAX])</f>
        <v>0</v>
      </c>
      <c r="C78" s="44">
        <f>IF((D77-D78)&gt;-1,(D77-D78),18)</f>
        <v>18</v>
      </c>
      <c r="D78" s="52">
        <f>MAX(D77-$E$31+B77,0)</f>
        <v>62</v>
      </c>
      <c r="E78" s="26">
        <f>$C$30*C78</f>
        <v>9.9503999999999984</v>
      </c>
      <c r="F78" s="26">
        <f>$C$31*C78</f>
        <v>4.2713999999999999</v>
      </c>
      <c r="G78" s="26">
        <f>$C$32*C78</f>
        <v>2.9447999999999999</v>
      </c>
      <c r="H78" s="26">
        <f>$C$33*C78</f>
        <v>0.83340000000000003</v>
      </c>
      <c r="I78" s="27">
        <f>E73</f>
        <v>0</v>
      </c>
      <c r="J78" s="27">
        <f>F73</f>
        <v>0</v>
      </c>
      <c r="K78" s="27">
        <f>G73</f>
        <v>0</v>
      </c>
      <c r="L78" s="27">
        <f>H73</f>
        <v>0</v>
      </c>
      <c r="M78" s="28">
        <f>M77</f>
        <v>0</v>
      </c>
      <c r="N78" s="29">
        <f>N77</f>
        <v>6</v>
      </c>
      <c r="O78" s="28">
        <f>O77</f>
        <v>0</v>
      </c>
      <c r="P78" s="28">
        <f>P77</f>
        <v>0</v>
      </c>
      <c r="Q78" s="28">
        <f>SUM(M78:P78)</f>
        <v>6</v>
      </c>
      <c r="R78" s="22">
        <f>MAX(R77-($J$30*M78*$L$33)+I78,0)</f>
        <v>0</v>
      </c>
      <c r="S78" s="22">
        <f>IF(U78&lt;&gt;0,(MAX(S77-($J$31*N78*$L$33)+J78,0)),(MAX(S77-($J$31*(N78+P78)*$L$33)+J78,0)))</f>
        <v>0</v>
      </c>
      <c r="T78" s="22">
        <f>MAX(T77-($J$32*O78*$L$33)+K78,0)</f>
        <v>0</v>
      </c>
      <c r="U78" s="22">
        <f>MAX(U77-($J$33*P78*$L$33)+L78,0)</f>
        <v>0</v>
      </c>
      <c r="V78" s="21">
        <f>IFERROR(R78*($I$30/M78),0)</f>
        <v>0</v>
      </c>
      <c r="W78" s="21">
        <f>S78*($I$31/N78)</f>
        <v>0</v>
      </c>
      <c r="X78" s="21">
        <f>IFERROR(T78*($I$32/O78),0)</f>
        <v>0</v>
      </c>
      <c r="Y78" s="21">
        <f>IFERROR(U78*($I$33/P78),0)</f>
        <v>0</v>
      </c>
      <c r="Z78" s="221">
        <f>ROUNDUP(SUM(V78*$C$30,W78*$C$31,X78*$C$32,Y78*$C$33),0)</f>
        <v>0</v>
      </c>
      <c r="AA78" s="30">
        <f>IF(R78&lt;&gt;0,($J$30*M78*$L$33),0)</f>
        <v>0</v>
      </c>
      <c r="AB78" s="30">
        <f>IF(W78&lt;&gt;0,($J$31*N78*$L$33),0)</f>
        <v>0</v>
      </c>
      <c r="AC78" s="30">
        <f>IF(X78&lt;&gt;0,($J$32*O78*$L$33),0)</f>
        <v>0</v>
      </c>
      <c r="AD78" s="30">
        <f>IF(Y78&lt;&gt;0,($J$33*P78*$L$33),0)</f>
        <v>0</v>
      </c>
      <c r="AE78" s="32">
        <f>SUM(AA78:AD78)</f>
        <v>0</v>
      </c>
      <c r="AF78" s="33">
        <f>AE74</f>
        <v>0</v>
      </c>
      <c r="AG78" s="40">
        <f>MAX(AG77-$Q$33+AF78,0)</f>
        <v>0</v>
      </c>
      <c r="AH78" s="224">
        <f>AG78*$P$33</f>
        <v>0</v>
      </c>
      <c r="AI78" s="227">
        <f>SUM(Z78,IF(Z78&lt;&gt;0,$F$31,0),IF(Z78&lt;&gt;0,$N$33,0),IF(Z78&lt;&gt;0,$T$33,0),IF(Z78=0,AH83,IF(Z78=1,AH84,IF(Z78=2,AH85,IF(Z78=3,AH86,IF(Z78=4,AH87,IF(Z78=5,AH88,IF(Z78=6,AH89,IF(Z78=7,AH90,IF(Z78=8,AH91,IF(Z78=9,AH92,IF(Z78=10,AH93,IF(Z78=11,AH94,IF(Z78=12,AH95,IF(Z78=13,AH96,IF(Z78=14,AH97,IF(Z78=15,AH98,IF(Z78=16,AH99,IF(Z78=17,AH100,IF(Z78=18,AH101,IF(Z78=19,AH102,IF(Z78=20,AH103,IF(Z78=21,AH104,IF(Z78=22,AH105,IF(Z78=23,AH106,IF(Z78=24,AH107,IF(Z78=25,AH108,IF(Z78=26,AH109,IF(Z78=27,AH110,IF(Z78=28,AH111,IF(Z78=29,AH112,IF(Z78=30,AH113))))))))))))))))))))))))))))))))</f>
        <v>0</v>
      </c>
    </row>
    <row r="79" spans="1:35" x14ac:dyDescent="0.35">
      <c r="A79" s="48">
        <v>1340</v>
      </c>
      <c r="B79" s="58">
        <f>SUMIF([2]!Table2_23[ETA],'FIS Optimal Model (3)'!A79,[2]!Table2_23[FIS PAX])</f>
        <v>0</v>
      </c>
      <c r="C79" s="44">
        <f>IF((D78-D79)&gt;-1,(D78-D79),18)</f>
        <v>18</v>
      </c>
      <c r="D79" s="52">
        <f>MAX(D78-$E$31+B78,0)</f>
        <v>44</v>
      </c>
      <c r="E79" s="26">
        <f>$C$30*C79</f>
        <v>9.9503999999999984</v>
      </c>
      <c r="F79" s="26">
        <f>$C$31*C79</f>
        <v>4.2713999999999999</v>
      </c>
      <c r="G79" s="26">
        <f>$C$32*C79</f>
        <v>2.9447999999999999</v>
      </c>
      <c r="H79" s="26">
        <f>$C$33*C79</f>
        <v>0.83340000000000003</v>
      </c>
      <c r="I79" s="27">
        <f>E74</f>
        <v>9.9503999999999984</v>
      </c>
      <c r="J79" s="27">
        <f>F74</f>
        <v>4.2713999999999999</v>
      </c>
      <c r="K79" s="27">
        <f>G74</f>
        <v>2.9447999999999999</v>
      </c>
      <c r="L79" s="27">
        <f>H74</f>
        <v>0.83340000000000003</v>
      </c>
      <c r="M79" s="28">
        <f>M78</f>
        <v>0</v>
      </c>
      <c r="N79" s="29">
        <f>N78</f>
        <v>6</v>
      </c>
      <c r="O79" s="28">
        <f>O78</f>
        <v>0</v>
      </c>
      <c r="P79" s="28">
        <f>P78</f>
        <v>0</v>
      </c>
      <c r="Q79" s="28">
        <f>SUM(M79:P79)</f>
        <v>6</v>
      </c>
      <c r="R79" s="22">
        <f>MAX(R78-($J$30*M79*$L$33)+I79,0)</f>
        <v>9.9503999999999984</v>
      </c>
      <c r="S79" s="22">
        <f>IF(U79&lt;&gt;0,(MAX(S78-($J$31*N79*$L$33)+J79,0)),(MAX(S78-($J$31*(N79+P79)*$L$33)+J79,0)))</f>
        <v>1.2980794305683006</v>
      </c>
      <c r="T79" s="22">
        <f>MAX(T78-($J$32*O79*$L$33)+K79,0)</f>
        <v>2.9447999999999999</v>
      </c>
      <c r="U79" s="22">
        <f>MAX(U78-($J$33*P79*$L$33)+L79,0)</f>
        <v>0.83340000000000003</v>
      </c>
      <c r="V79" s="21">
        <f>IFERROR(R79*($I$30/M79),0)</f>
        <v>0</v>
      </c>
      <c r="W79" s="21">
        <f>S79*($I$31/N79)</f>
        <v>0.37108932259999999</v>
      </c>
      <c r="X79" s="21">
        <f>IFERROR(T79*($I$32/O79),0)</f>
        <v>0</v>
      </c>
      <c r="Y79" s="21">
        <f>IFERROR(U79*($I$33/P79),0)</f>
        <v>0</v>
      </c>
      <c r="Z79" s="221">
        <f>ROUNDUP(SUM(V79*$C$30,W79*$C$31,X79*$C$32,Y79*$C$33),0)</f>
        <v>1</v>
      </c>
      <c r="AA79" s="30">
        <f>IF(R79&lt;&gt;0,($J$30*M79*$L$33),0)</f>
        <v>0</v>
      </c>
      <c r="AB79" s="30">
        <f>IF(W79&lt;&gt;0,($J$31*N79*$L$33),0)</f>
        <v>2.9733205694316993</v>
      </c>
      <c r="AC79" s="30">
        <f>IF(X79&lt;&gt;0,($J$32*O79*$L$33),0)</f>
        <v>0</v>
      </c>
      <c r="AD79" s="30">
        <f>IF(Y79&lt;&gt;0,($J$33*P79*$L$33),0)</f>
        <v>0</v>
      </c>
      <c r="AE79" s="32">
        <f>SUM(AA79:AD79)</f>
        <v>2.9733205694316993</v>
      </c>
      <c r="AF79" s="33">
        <f>AE75</f>
        <v>0</v>
      </c>
      <c r="AG79" s="40">
        <f>MAX(AG78-$Q$33+AF79,0)</f>
        <v>0</v>
      </c>
      <c r="AH79" s="224">
        <f>AG79*$P$33</f>
        <v>0</v>
      </c>
      <c r="AI79" s="227">
        <f>SUM(Z79,IF(Z79&lt;&gt;0,$F$31,0),IF(Z79&lt;&gt;0,$N$33,0),IF(Z79&lt;&gt;0,$T$33,0),IF(Z79=0,AH84,IF(Z79=1,AH85,IF(Z79=2,AH86,IF(Z79=3,AH87,IF(Z79=4,AH88,IF(Z79=5,AH89,IF(Z79=6,AH90,IF(Z79=7,AH91,IF(Z79=8,AH92,IF(Z79=9,AH93,IF(Z79=10,AH94,IF(Z79=11,AH95,IF(Z79=12,AH96,IF(Z79=13,AH97,IF(Z79=14,AH98,IF(Z79=15,AH99,IF(Z79=16,AH100,IF(Z79=17,AH101,IF(Z79=18,AH102,IF(Z79=19,AH103,IF(Z79=20,AH104,IF(Z79=21,AH105,IF(Z79=22,AH106,IF(Z79=23,AH107,IF(Z79=24,AH108,IF(Z79=25,AH109,IF(Z79=26,AH110,IF(Z79=27,AH111,IF(Z79=28,AH112,IF(Z79=29,AH113,IF(Z79=30,AH114))))))))))))))))))))))))))))))))</f>
        <v>22</v>
      </c>
    </row>
    <row r="80" spans="1:35" x14ac:dyDescent="0.35">
      <c r="A80" s="48">
        <v>1341</v>
      </c>
      <c r="B80" s="58">
        <f>SUMIF([2]!Table2_23[ETA],'FIS Optimal Model (3)'!A80,[2]!Table2_23[FIS PAX])</f>
        <v>0</v>
      </c>
      <c r="C80" s="44">
        <f>IF((D79-D80)&gt;-1,(D79-D80),18)</f>
        <v>18</v>
      </c>
      <c r="D80" s="52">
        <f>MAX(D79-$E$31+B79,0)</f>
        <v>26</v>
      </c>
      <c r="E80" s="26">
        <f>$C$30*C80</f>
        <v>9.9503999999999984</v>
      </c>
      <c r="F80" s="26">
        <f>$C$31*C80</f>
        <v>4.2713999999999999</v>
      </c>
      <c r="G80" s="26">
        <f>$C$32*C80</f>
        <v>2.9447999999999999</v>
      </c>
      <c r="H80" s="26">
        <f>$C$33*C80</f>
        <v>0.83340000000000003</v>
      </c>
      <c r="I80" s="27">
        <f>E75</f>
        <v>9.9503999999999984</v>
      </c>
      <c r="J80" s="27">
        <f>F75</f>
        <v>4.2713999999999999</v>
      </c>
      <c r="K80" s="27">
        <f>G75</f>
        <v>2.9447999999999999</v>
      </c>
      <c r="L80" s="27">
        <f>H75</f>
        <v>0.83340000000000003</v>
      </c>
      <c r="M80" s="28">
        <f>M79</f>
        <v>0</v>
      </c>
      <c r="N80" s="29">
        <f>N79</f>
        <v>6</v>
      </c>
      <c r="O80" s="28">
        <f>O79</f>
        <v>0</v>
      </c>
      <c r="P80" s="28">
        <f>P79</f>
        <v>0</v>
      </c>
      <c r="Q80" s="28">
        <f>SUM(M80:P80)</f>
        <v>6</v>
      </c>
      <c r="R80" s="22">
        <f>MAX(R79-($J$30*M80*$L$33)+I80,0)</f>
        <v>19.900799999999997</v>
      </c>
      <c r="S80" s="22">
        <f>IF(U80&lt;&gt;0,(MAX(S79-($J$31*N80*$L$33)+J80,0)),(MAX(S79-($J$31*(N80+P80)*$L$33)+J80,0)))</f>
        <v>2.5961588611366011</v>
      </c>
      <c r="T80" s="22">
        <f>MAX(T79-($J$32*O80*$L$33)+K80,0)</f>
        <v>5.8895999999999997</v>
      </c>
      <c r="U80" s="22">
        <f>MAX(U79-($J$33*P80*$L$33)+L80,0)</f>
        <v>1.6668000000000001</v>
      </c>
      <c r="V80" s="21">
        <f>IFERROR(R80*($I$30/M80),0)</f>
        <v>0</v>
      </c>
      <c r="W80" s="21">
        <f>S80*($I$31/N80)</f>
        <v>0.74217864519999999</v>
      </c>
      <c r="X80" s="21">
        <f>IFERROR(T80*($I$32/O80),0)</f>
        <v>0</v>
      </c>
      <c r="Y80" s="21">
        <f>IFERROR(U80*($I$33/P80),0)</f>
        <v>0</v>
      </c>
      <c r="Z80" s="221">
        <f>ROUNDUP(SUM(V80*$C$30,W80*$C$31,X80*$C$32,Y80*$C$33),0)</f>
        <v>1</v>
      </c>
      <c r="AA80" s="30">
        <f>IF(R80&lt;&gt;0,($J$30*M80*$L$33),0)</f>
        <v>0</v>
      </c>
      <c r="AB80" s="30">
        <f>IF(W80&lt;&gt;0,($J$31*N80*$L$33),0)</f>
        <v>2.9733205694316993</v>
      </c>
      <c r="AC80" s="30">
        <f>IF(X80&lt;&gt;0,($J$32*O80*$L$33),0)</f>
        <v>0</v>
      </c>
      <c r="AD80" s="30">
        <f>IF(Y80&lt;&gt;0,($J$33*P80*$L$33),0)</f>
        <v>0</v>
      </c>
      <c r="AE80" s="32">
        <f>SUM(AA80:AD80)</f>
        <v>2.9733205694316993</v>
      </c>
      <c r="AF80" s="33">
        <f>AE76</f>
        <v>0</v>
      </c>
      <c r="AG80" s="40">
        <f>MAX(AG79-$Q$33+AF80,0)</f>
        <v>0</v>
      </c>
      <c r="AH80" s="224">
        <f>AG80*$P$33</f>
        <v>0</v>
      </c>
      <c r="AI80" s="227">
        <f>SUM(Z80,IF(Z80&lt;&gt;0,$F$31,0),IF(Z80&lt;&gt;0,$N$33,0),IF(Z80&lt;&gt;0,$T$33,0),IF(Z80=0,AH85,IF(Z80=1,AH86,IF(Z80=2,AH87,IF(Z80=3,AH88,IF(Z80=4,AH89,IF(Z80=5,AH90,IF(Z80=6,AH91,IF(Z80=7,AH92,IF(Z80=8,AH93,IF(Z80=9,AH94,IF(Z80=10,AH95,IF(Z80=11,AH96,IF(Z80=12,AH97,IF(Z80=13,AH98,IF(Z80=14,AH99,IF(Z80=15,AH100,IF(Z80=16,AH101,IF(Z80=17,AH102,IF(Z80=18,AH103,IF(Z80=19,AH104,IF(Z80=20,AH105,IF(Z80=21,AH106,IF(Z80=22,AH107,IF(Z80=23,AH108,IF(Z80=24,AH109,IF(Z80=25,AH110,IF(Z80=26,AH111,IF(Z80=27,AH112,IF(Z80=28,AH113,IF(Z80=29,AH114,IF(Z80=30,AH115))))))))))))))))))))))))))))))))</f>
        <v>22</v>
      </c>
    </row>
    <row r="81" spans="1:35" x14ac:dyDescent="0.35">
      <c r="A81" s="48">
        <v>1342</v>
      </c>
      <c r="B81" s="58">
        <f>SUMIF([2]!Table2_23[ETA],'FIS Optimal Model (3)'!A81,[2]!Table2_23[FIS PAX])</f>
        <v>0</v>
      </c>
      <c r="C81" s="44">
        <f>IF((D80-D81)&gt;-1,(D80-D81),18)</f>
        <v>18</v>
      </c>
      <c r="D81" s="52">
        <f>MAX(D80-$E$31+B80,0)</f>
        <v>8</v>
      </c>
      <c r="E81" s="26">
        <f>$C$30*C81</f>
        <v>9.9503999999999984</v>
      </c>
      <c r="F81" s="26">
        <f>$C$31*C81</f>
        <v>4.2713999999999999</v>
      </c>
      <c r="G81" s="26">
        <f>$C$32*C81</f>
        <v>2.9447999999999999</v>
      </c>
      <c r="H81" s="26">
        <f>$C$33*C81</f>
        <v>0.83340000000000003</v>
      </c>
      <c r="I81" s="27">
        <f>E76</f>
        <v>9.9503999999999984</v>
      </c>
      <c r="J81" s="27">
        <f>F76</f>
        <v>4.2713999999999999</v>
      </c>
      <c r="K81" s="27">
        <f>G76</f>
        <v>2.9447999999999999</v>
      </c>
      <c r="L81" s="27">
        <f>H76</f>
        <v>0.83340000000000003</v>
      </c>
      <c r="M81" s="28">
        <f>M80</f>
        <v>0</v>
      </c>
      <c r="N81" s="29">
        <f>N80</f>
        <v>6</v>
      </c>
      <c r="O81" s="28">
        <f>O80</f>
        <v>0</v>
      </c>
      <c r="P81" s="28">
        <f>P80</f>
        <v>0</v>
      </c>
      <c r="Q81" s="28">
        <f>SUM(M81:P81)</f>
        <v>6</v>
      </c>
      <c r="R81" s="22">
        <f>MAX(R80-($J$30*M81*$L$33)+I81,0)</f>
        <v>29.851199999999995</v>
      </c>
      <c r="S81" s="22">
        <f>IF(U81&lt;&gt;0,(MAX(S80-($J$31*N81*$L$33)+J81,0)),(MAX(S80-($J$31*(N81+P81)*$L$33)+J81,0)))</f>
        <v>3.8942382917049017</v>
      </c>
      <c r="T81" s="22">
        <f>MAX(T80-($J$32*O81*$L$33)+K81,0)</f>
        <v>8.8343999999999987</v>
      </c>
      <c r="U81" s="22">
        <f>MAX(U80-($J$33*P81*$L$33)+L81,0)</f>
        <v>2.5002</v>
      </c>
      <c r="V81" s="21">
        <f>IFERROR(R81*($I$30/M81),0)</f>
        <v>0</v>
      </c>
      <c r="W81" s="21">
        <f>S81*($I$31/N81)</f>
        <v>1.1132679677999999</v>
      </c>
      <c r="X81" s="21">
        <f>IFERROR(T81*($I$32/O81),0)</f>
        <v>0</v>
      </c>
      <c r="Y81" s="21">
        <f>IFERROR(U81*($I$33/P81),0)</f>
        <v>0</v>
      </c>
      <c r="Z81" s="221">
        <f>ROUNDUP(SUM(V81*$C$30,W81*$C$31,X81*$C$32,Y81*$C$33),0)</f>
        <v>1</v>
      </c>
      <c r="AA81" s="30">
        <f>IF(R81&lt;&gt;0,($J$30*M81*$L$33),0)</f>
        <v>0</v>
      </c>
      <c r="AB81" s="30">
        <f>IF(W81&lt;&gt;0,($J$31*N81*$L$33),0)</f>
        <v>2.9733205694316993</v>
      </c>
      <c r="AC81" s="30">
        <f>IF(X81&lt;&gt;0,($J$32*O81*$L$33),0)</f>
        <v>0</v>
      </c>
      <c r="AD81" s="30">
        <f>IF(Y81&lt;&gt;0,($J$33*P81*$L$33),0)</f>
        <v>0</v>
      </c>
      <c r="AE81" s="32">
        <f>SUM(AA81:AD81)</f>
        <v>2.9733205694316993</v>
      </c>
      <c r="AF81" s="33">
        <f>AE77</f>
        <v>0</v>
      </c>
      <c r="AG81" s="40">
        <f>MAX(AG80-$Q$33+AF81,0)</f>
        <v>0</v>
      </c>
      <c r="AH81" s="224">
        <f>AG81*$P$33</f>
        <v>0</v>
      </c>
      <c r="AI81" s="227">
        <f>SUM(Z81,IF(Z81&lt;&gt;0,$F$31,0),IF(Z81&lt;&gt;0,$N$33,0),IF(Z81&lt;&gt;0,$T$33,0),IF(Z81=0,AH86,IF(Z81=1,AH87,IF(Z81=2,AH88,IF(Z81=3,AH89,IF(Z81=4,AH90,IF(Z81=5,AH91,IF(Z81=6,AH92,IF(Z81=7,AH93,IF(Z81=8,AH94,IF(Z81=9,AH95,IF(Z81=10,AH96,IF(Z81=11,AH97,IF(Z81=12,AH98,IF(Z81=13,AH99,IF(Z81=14,AH100,IF(Z81=15,AH101,IF(Z81=16,AH102,IF(Z81=17,AH103,IF(Z81=18,AH104,IF(Z81=19,AH105,IF(Z81=20,AH106,IF(Z81=21,AH107,IF(Z81=22,AH108,IF(Z81=23,AH109,IF(Z81=24,AH110,IF(Z81=25,AH111,IF(Z81=26,AH112,IF(Z81=27,AH113,IF(Z81=28,AH114,IF(Z81=29,AH115,IF(Z81=30,AH116))))))))))))))))))))))))))))))))</f>
        <v>22</v>
      </c>
    </row>
    <row r="82" spans="1:35" x14ac:dyDescent="0.35">
      <c r="A82" s="48">
        <v>1343</v>
      </c>
      <c r="B82" s="58">
        <f>SUMIF([2]!Table2_23[ETA],'FIS Optimal Model (3)'!A82,[2]!Table2_23[FIS PAX])</f>
        <v>0</v>
      </c>
      <c r="C82" s="44">
        <f>IF((D81-D82)&gt;-1,(D81-D82),18)</f>
        <v>8</v>
      </c>
      <c r="D82" s="52">
        <f>MAX(D81-$E$31+B81,0)</f>
        <v>0</v>
      </c>
      <c r="E82" s="26">
        <f>$C$30*C82</f>
        <v>4.4223999999999997</v>
      </c>
      <c r="F82" s="26">
        <f>$C$31*C82</f>
        <v>1.8984000000000001</v>
      </c>
      <c r="G82" s="26">
        <f>$C$32*C82</f>
        <v>1.3088</v>
      </c>
      <c r="H82" s="26">
        <f>$C$33*C82</f>
        <v>0.37040000000000001</v>
      </c>
      <c r="I82" s="27">
        <f>E77</f>
        <v>9.9503999999999984</v>
      </c>
      <c r="J82" s="27">
        <f>F77</f>
        <v>4.2713999999999999</v>
      </c>
      <c r="K82" s="27">
        <f>G77</f>
        <v>2.9447999999999999</v>
      </c>
      <c r="L82" s="27">
        <f>H77</f>
        <v>0.83340000000000003</v>
      </c>
      <c r="M82" s="28">
        <f>M81</f>
        <v>0</v>
      </c>
      <c r="N82" s="29">
        <f>N81</f>
        <v>6</v>
      </c>
      <c r="O82" s="28">
        <f>O81</f>
        <v>0</v>
      </c>
      <c r="P82" s="28">
        <f>P81</f>
        <v>0</v>
      </c>
      <c r="Q82" s="28">
        <f>SUM(M82:P82)</f>
        <v>6</v>
      </c>
      <c r="R82" s="22">
        <f>MAX(R81-($J$30*M82*$L$33)+I82,0)</f>
        <v>39.801599999999993</v>
      </c>
      <c r="S82" s="22">
        <f>IF(U82&lt;&gt;0,(MAX(S81-($J$31*N82*$L$33)+J82,0)),(MAX(S81-($J$31*(N82+P82)*$L$33)+J82,0)))</f>
        <v>5.1923177222732022</v>
      </c>
      <c r="T82" s="22">
        <f>MAX(T81-($J$32*O82*$L$33)+K82,0)</f>
        <v>11.779199999999999</v>
      </c>
      <c r="U82" s="22">
        <f>MAX(U81-($J$33*P82*$L$33)+L82,0)</f>
        <v>3.3336000000000001</v>
      </c>
      <c r="V82" s="21">
        <f>IFERROR(R82*($I$30/M82),0)</f>
        <v>0</v>
      </c>
      <c r="W82" s="21">
        <f>S82*($I$31/N82)</f>
        <v>1.4843572904</v>
      </c>
      <c r="X82" s="21">
        <f>IFERROR(T82*($I$32/O82),0)</f>
        <v>0</v>
      </c>
      <c r="Y82" s="21">
        <f>IFERROR(U82*($I$33/P82),0)</f>
        <v>0</v>
      </c>
      <c r="Z82" s="221">
        <f>ROUNDUP(SUM(V82*$C$30,W82*$C$31,X82*$C$32,Y82*$C$33),0)</f>
        <v>1</v>
      </c>
      <c r="AA82" s="30">
        <f>IF(R82&lt;&gt;0,($J$30*M82*$L$33),0)</f>
        <v>0</v>
      </c>
      <c r="AB82" s="30">
        <f>IF(W82&lt;&gt;0,($J$31*N82*$L$33),0)</f>
        <v>2.9733205694316993</v>
      </c>
      <c r="AC82" s="30">
        <f>IF(X82&lt;&gt;0,($J$32*O82*$L$33),0)</f>
        <v>0</v>
      </c>
      <c r="AD82" s="30">
        <f>IF(Y82&lt;&gt;0,($J$33*P82*$L$33),0)</f>
        <v>0</v>
      </c>
      <c r="AE82" s="32">
        <f>SUM(AA82:AD82)</f>
        <v>2.9733205694316993</v>
      </c>
      <c r="AF82" s="33">
        <f>AE78</f>
        <v>0</v>
      </c>
      <c r="AG82" s="40">
        <f>MAX(AG81-$Q$33+AF82,0)</f>
        <v>0</v>
      </c>
      <c r="AH82" s="224">
        <f>AG82*$P$33</f>
        <v>0</v>
      </c>
      <c r="AI82" s="227">
        <f>SUM(Z82,IF(Z82&lt;&gt;0,$F$31,0),IF(Z82&lt;&gt;0,$N$33,0),IF(Z82&lt;&gt;0,$T$33,0),IF(Z82=0,AH87,IF(Z82=1,AH88,IF(Z82=2,AH89,IF(Z82=3,AH90,IF(Z82=4,AH91,IF(Z82=5,AH92,IF(Z82=6,AH93,IF(Z82=7,AH94,IF(Z82=8,AH95,IF(Z82=9,AH96,IF(Z82=10,AH97,IF(Z82=11,AH98,IF(Z82=12,AH99,IF(Z82=13,AH100,IF(Z82=14,AH101,IF(Z82=15,AH102,IF(Z82=16,AH103,IF(Z82=17,AH104,IF(Z82=18,AH105,IF(Z82=19,AH106,IF(Z82=20,AH107,IF(Z82=21,AH108,IF(Z82=22,AH109,IF(Z82=23,AH110,IF(Z82=24,AH111,IF(Z82=25,AH112,IF(Z82=26,AH113,IF(Z82=27,AH114,IF(Z82=28,AH115,IF(Z82=29,AH116,IF(Z82=30,AH117))))))))))))))))))))))))))))))))</f>
        <v>22</v>
      </c>
    </row>
    <row r="83" spans="1:35" x14ac:dyDescent="0.35">
      <c r="A83" s="48">
        <v>1344</v>
      </c>
      <c r="B83" s="58">
        <f>SUMIF([2]!Table2_23[ETA],'FIS Optimal Model (3)'!A83,[2]!Table2_23[FIS PAX])</f>
        <v>0</v>
      </c>
      <c r="C83" s="44">
        <f>IF((D82-D83)&gt;-1,(D82-D83),18)</f>
        <v>0</v>
      </c>
      <c r="D83" s="52">
        <f>MAX(D82-$E$31+B82,0)</f>
        <v>0</v>
      </c>
      <c r="E83" s="26">
        <f>$C$30*C83</f>
        <v>0</v>
      </c>
      <c r="F83" s="26">
        <f>$C$31*C83</f>
        <v>0</v>
      </c>
      <c r="G83" s="26">
        <f>$C$32*C83</f>
        <v>0</v>
      </c>
      <c r="H83" s="26">
        <f>$C$33*C83</f>
        <v>0</v>
      </c>
      <c r="I83" s="27">
        <f>E78</f>
        <v>9.9503999999999984</v>
      </c>
      <c r="J83" s="27">
        <f>F78</f>
        <v>4.2713999999999999</v>
      </c>
      <c r="K83" s="27">
        <f>G78</f>
        <v>2.9447999999999999</v>
      </c>
      <c r="L83" s="27">
        <f>H78</f>
        <v>0.83340000000000003</v>
      </c>
      <c r="M83" s="28">
        <f>M82</f>
        <v>0</v>
      </c>
      <c r="N83" s="29">
        <f>N82</f>
        <v>6</v>
      </c>
      <c r="O83" s="28">
        <f>O82</f>
        <v>0</v>
      </c>
      <c r="P83" s="28">
        <f>P82</f>
        <v>0</v>
      </c>
      <c r="Q83" s="28">
        <f>SUM(M83:P83)</f>
        <v>6</v>
      </c>
      <c r="R83" s="22">
        <f>MAX(R82-($J$30*M83*$L$33)+I83,0)</f>
        <v>49.751999999999995</v>
      </c>
      <c r="S83" s="22">
        <f>IF(U83&lt;&gt;0,(MAX(S82-($J$31*N83*$L$33)+J83,0)),(MAX(S82-($J$31*(N83+P83)*$L$33)+J83,0)))</f>
        <v>6.4903971528415028</v>
      </c>
      <c r="T83" s="22">
        <f>MAX(T82-($J$32*O83*$L$33)+K83,0)</f>
        <v>14.724</v>
      </c>
      <c r="U83" s="22">
        <f>MAX(U82-($J$33*P83*$L$33)+L83,0)</f>
        <v>4.1669999999999998</v>
      </c>
      <c r="V83" s="21">
        <f>IFERROR(R83*($I$30/M83),0)</f>
        <v>0</v>
      </c>
      <c r="W83" s="21">
        <f>S83*($I$31/N83)</f>
        <v>1.855446613</v>
      </c>
      <c r="X83" s="21">
        <f>IFERROR(T83*($I$32/O83),0)</f>
        <v>0</v>
      </c>
      <c r="Y83" s="21">
        <f>IFERROR(U83*($I$33/P83),0)</f>
        <v>0</v>
      </c>
      <c r="Z83" s="221">
        <f>ROUNDUP(SUM(V83*$C$30,W83*$C$31,X83*$C$32,Y83*$C$33),0)</f>
        <v>1</v>
      </c>
      <c r="AA83" s="30">
        <f>IF(R83&lt;&gt;0,($J$30*M83*$L$33),0)</f>
        <v>0</v>
      </c>
      <c r="AB83" s="30">
        <f>IF(W83&lt;&gt;0,($J$31*N83*$L$33),0)</f>
        <v>2.9733205694316993</v>
      </c>
      <c r="AC83" s="30">
        <f>IF(X83&lt;&gt;0,($J$32*O83*$L$33),0)</f>
        <v>0</v>
      </c>
      <c r="AD83" s="30">
        <f>IF(Y83&lt;&gt;0,($J$33*P83*$L$33),0)</f>
        <v>0</v>
      </c>
      <c r="AE83" s="32">
        <f>SUM(AA83:AD83)</f>
        <v>2.9733205694316993</v>
      </c>
      <c r="AF83" s="33">
        <f>AE79</f>
        <v>2.9733205694316993</v>
      </c>
      <c r="AG83" s="40">
        <f>MAX(AG82-$Q$33+AF83,0)</f>
        <v>0</v>
      </c>
      <c r="AH83" s="224">
        <f>AG83*$P$33</f>
        <v>0</v>
      </c>
      <c r="AI83" s="227">
        <f>SUM(Z83,IF(Z83&lt;&gt;0,$F$31,0),IF(Z83&lt;&gt;0,$N$33,0),IF(Z83&lt;&gt;0,$T$33,0),IF(Z83=0,AH88,IF(Z83=1,AH89,IF(Z83=2,AH90,IF(Z83=3,AH91,IF(Z83=4,AH92,IF(Z83=5,AH93,IF(Z83=6,AH94,IF(Z83=7,AH95,IF(Z83=8,AH96,IF(Z83=9,AH97,IF(Z83=10,AH98,IF(Z83=11,AH99,IF(Z83=12,AH100,IF(Z83=13,AH101,IF(Z83=14,AH102,IF(Z83=15,AH103,IF(Z83=16,AH104,IF(Z83=17,AH105,IF(Z83=18,AH106,IF(Z83=19,AH107,IF(Z83=20,AH108,IF(Z83=21,AH109,IF(Z83=22,AH110,IF(Z83=23,AH111,IF(Z83=24,AH112,IF(Z83=25,AH113,IF(Z83=26,AH114,IF(Z83=27,AH115,IF(Z83=28,AH116,IF(Z83=29,AH117,IF(Z83=30,AH118))))))))))))))))))))))))))))))))</f>
        <v>22</v>
      </c>
    </row>
    <row r="84" spans="1:35" x14ac:dyDescent="0.35">
      <c r="A84" s="48">
        <v>1345</v>
      </c>
      <c r="B84" s="58">
        <f>SUMIF([2]!Table2_23[ETA],'FIS Optimal Model (3)'!A84,[2]!Table2_23[FIS PAX])</f>
        <v>0</v>
      </c>
      <c r="C84" s="44">
        <f>IF((D83-D84)&gt;-1,(D83-D84),18)</f>
        <v>0</v>
      </c>
      <c r="D84" s="52">
        <f>MAX(D83-$E$31+B83,0)</f>
        <v>0</v>
      </c>
      <c r="E84" s="26">
        <f>$C$30*C84</f>
        <v>0</v>
      </c>
      <c r="F84" s="26">
        <f>$C$31*C84</f>
        <v>0</v>
      </c>
      <c r="G84" s="26">
        <f>$C$32*C84</f>
        <v>0</v>
      </c>
      <c r="H84" s="26">
        <f>$C$33*C84</f>
        <v>0</v>
      </c>
      <c r="I84" s="27">
        <f>E79</f>
        <v>9.9503999999999984</v>
      </c>
      <c r="J84" s="27">
        <f>F79</f>
        <v>4.2713999999999999</v>
      </c>
      <c r="K84" s="27">
        <f>G79</f>
        <v>2.9447999999999999</v>
      </c>
      <c r="L84" s="27">
        <f>H79</f>
        <v>0.83340000000000003</v>
      </c>
      <c r="M84" s="28">
        <f>M83</f>
        <v>0</v>
      </c>
      <c r="N84" s="29">
        <f>N83</f>
        <v>6</v>
      </c>
      <c r="O84" s="28">
        <f>O83</f>
        <v>0</v>
      </c>
      <c r="P84" s="28">
        <f>P83</f>
        <v>0</v>
      </c>
      <c r="Q84" s="28">
        <f>SUM(M84:P84)</f>
        <v>6</v>
      </c>
      <c r="R84" s="22">
        <f>MAX(R83-($J$30*M84*$L$33)+I84,0)</f>
        <v>59.702399999999997</v>
      </c>
      <c r="S84" s="22">
        <f>IF(U84&lt;&gt;0,(MAX(S83-($J$31*N84*$L$33)+J84,0)),(MAX(S83-($J$31*(N84+P84)*$L$33)+J84,0)))</f>
        <v>7.7884765834098033</v>
      </c>
      <c r="T84" s="22">
        <f>MAX(T83-($J$32*O84*$L$33)+K84,0)</f>
        <v>17.668800000000001</v>
      </c>
      <c r="U84" s="22">
        <f>MAX(U83-($J$33*P84*$L$33)+L84,0)</f>
        <v>5.0004</v>
      </c>
      <c r="V84" s="21">
        <f>IFERROR(R84*($I$30/M84),0)</f>
        <v>0</v>
      </c>
      <c r="W84" s="21">
        <f>S84*($I$31/N84)</f>
        <v>2.2265359355999998</v>
      </c>
      <c r="X84" s="21">
        <f>IFERROR(T84*($I$32/O84),0)</f>
        <v>0</v>
      </c>
      <c r="Y84" s="21">
        <f>IFERROR(U84*($I$33/P84),0)</f>
        <v>0</v>
      </c>
      <c r="Z84" s="221">
        <f>ROUNDUP(SUM(V84*$C$30,W84*$C$31,X84*$C$32,Y84*$C$33),0)</f>
        <v>1</v>
      </c>
      <c r="AA84" s="30">
        <f>IF(R84&lt;&gt;0,($J$30*M84*$L$33),0)</f>
        <v>0</v>
      </c>
      <c r="AB84" s="30">
        <f>IF(W84&lt;&gt;0,($J$31*N84*$L$33),0)</f>
        <v>2.9733205694316993</v>
      </c>
      <c r="AC84" s="30">
        <f>IF(X84&lt;&gt;0,($J$32*O84*$L$33),0)</f>
        <v>0</v>
      </c>
      <c r="AD84" s="30">
        <f>IF(Y84&lt;&gt;0,($J$33*P84*$L$33),0)</f>
        <v>0</v>
      </c>
      <c r="AE84" s="32">
        <f>SUM(AA84:AD84)</f>
        <v>2.9733205694316993</v>
      </c>
      <c r="AF84" s="33">
        <f>AE80</f>
        <v>2.9733205694316993</v>
      </c>
      <c r="AG84" s="40">
        <f>MAX(AG83-$Q$33+AF84,0)</f>
        <v>0</v>
      </c>
      <c r="AH84" s="224">
        <f>AG84*$P$33</f>
        <v>0</v>
      </c>
      <c r="AI84" s="227">
        <f>SUM(Z84,IF(Z84&lt;&gt;0,$F$31,0),IF(Z84&lt;&gt;0,$N$33,0),IF(Z84&lt;&gt;0,$T$33,0),IF(Z84=0,AH89,IF(Z84=1,AH90,IF(Z84=2,AH91,IF(Z84=3,AH92,IF(Z84=4,AH93,IF(Z84=5,AH94,IF(Z84=6,AH95,IF(Z84=7,AH96,IF(Z84=8,AH97,IF(Z84=9,AH98,IF(Z84=10,AH99,IF(Z84=11,AH100,IF(Z84=12,AH101,IF(Z84=13,AH102,IF(Z84=14,AH103,IF(Z84=15,AH104,IF(Z84=16,AH105,IF(Z84=17,AH106,IF(Z84=18,AH107,IF(Z84=19,AH108,IF(Z84=20,AH109,IF(Z84=21,AH110,IF(Z84=22,AH111,IF(Z84=23,AH112,IF(Z84=24,AH113,IF(Z84=25,AH114,IF(Z84=26,AH115,IF(Z84=27,AH116,IF(Z84=28,AH117,IF(Z84=29,AH118,IF(Z84=30,AH119))))))))))))))))))))))))))))))))</f>
        <v>22</v>
      </c>
    </row>
    <row r="85" spans="1:35" x14ac:dyDescent="0.35">
      <c r="A85" s="48">
        <v>1346</v>
      </c>
      <c r="B85" s="58">
        <f>SUMIF([2]!Table2_23[ETA],'FIS Optimal Model (3)'!A85,[2]!Table2_23[FIS PAX])</f>
        <v>0</v>
      </c>
      <c r="C85" s="44">
        <f>IF((D84-D85)&gt;-1,(D84-D85),18)</f>
        <v>0</v>
      </c>
      <c r="D85" s="52">
        <f>MAX(D84-$E$31+B84,0)</f>
        <v>0</v>
      </c>
      <c r="E85" s="26">
        <f>$C$30*C85</f>
        <v>0</v>
      </c>
      <c r="F85" s="26">
        <f>$C$31*C85</f>
        <v>0</v>
      </c>
      <c r="G85" s="26">
        <f>$C$32*C85</f>
        <v>0</v>
      </c>
      <c r="H85" s="26">
        <f>$C$33*C85</f>
        <v>0</v>
      </c>
      <c r="I85" s="27">
        <f>E80</f>
        <v>9.9503999999999984</v>
      </c>
      <c r="J85" s="27">
        <f>F80</f>
        <v>4.2713999999999999</v>
      </c>
      <c r="K85" s="27">
        <f>G80</f>
        <v>2.9447999999999999</v>
      </c>
      <c r="L85" s="27">
        <f>H80</f>
        <v>0.83340000000000003</v>
      </c>
      <c r="M85" s="28">
        <f>IF(R84=0,0,$Q$9)</f>
        <v>2</v>
      </c>
      <c r="N85" s="29">
        <f>$U$9-M85-O85-P85</f>
        <v>2</v>
      </c>
      <c r="O85" s="28">
        <f>IF(T84=0,0,$S$9)</f>
        <v>1</v>
      </c>
      <c r="P85" s="28">
        <f>IF(U84=0,0,$T$9)</f>
        <v>1</v>
      </c>
      <c r="Q85" s="28">
        <f>SUM(M85:P85)</f>
        <v>6</v>
      </c>
      <c r="R85" s="22">
        <f>MAX(R84-($J$30*M85*$L$33)+I85,0)</f>
        <v>65.443420512058637</v>
      </c>
      <c r="S85" s="22">
        <f>IF(U85&lt;&gt;0,(MAX(S84-($J$31*N85*$L$33)+J85,0)),(MAX(S84-($J$31*(N85+P85)*$L$33)+J85,0)))</f>
        <v>11.068769726932569</v>
      </c>
      <c r="T85" s="22">
        <f>MAX(T84-($J$32*O85*$L$33)+K85,0)</f>
        <v>18.132623254049101</v>
      </c>
      <c r="U85" s="22">
        <f>MAX(U84-($J$33*P85*$L$33)+L85,0)</f>
        <v>3.9974669626403445</v>
      </c>
      <c r="V85" s="21">
        <f>IFERROR(R85*($I$30/M85),0)</f>
        <v>13.214989904000001</v>
      </c>
      <c r="W85" s="21">
        <f>S85*($I$31/N85)</f>
        <v>9.4928757745999981</v>
      </c>
      <c r="X85" s="21">
        <f>IFERROR(T85*($I$32/O85),0)</f>
        <v>6.2123636551999999</v>
      </c>
      <c r="Y85" s="21">
        <f>IFERROR(U85*($I$33/P85),0)</f>
        <v>1.8503435101999999</v>
      </c>
      <c r="Z85" s="221">
        <f>ROUNDUP(SUM(V85*$C$30,W85*$C$31,X85*$C$32,Y85*$C$33),0)</f>
        <v>11</v>
      </c>
      <c r="AA85" s="30">
        <f>IF(R85&lt;&gt;0,($J$30*M85*$L$33),0)</f>
        <v>4.2093794879413657</v>
      </c>
      <c r="AB85" s="30">
        <f>IF(W85&lt;&gt;0,($J$31*N85*$L$33),0)</f>
        <v>0.99110685647723318</v>
      </c>
      <c r="AC85" s="30">
        <f>IF(X85&lt;&gt;0,($J$32*O85*$L$33),0)</f>
        <v>2.4809767459508998</v>
      </c>
      <c r="AD85" s="30">
        <f>IF(Y85&lt;&gt;0,($J$33*P85*$L$33),0)</f>
        <v>1.8363330373596554</v>
      </c>
      <c r="AE85" s="32">
        <f>SUM(AA85:AD85)</f>
        <v>9.5177961277291541</v>
      </c>
      <c r="AF85" s="33">
        <f>AE81</f>
        <v>2.9733205694316993</v>
      </c>
      <c r="AG85" s="40">
        <f>MAX(AG84-$Q$33+AF85,0)</f>
        <v>0</v>
      </c>
      <c r="AH85" s="224">
        <f>AG85*$P$33</f>
        <v>0</v>
      </c>
      <c r="AI85" s="227">
        <f>SUM(Z85,IF(Z85&lt;&gt;0,$F$31,0),IF(Z85&lt;&gt;0,$N$33,0),IF(Z85&lt;&gt;0,$T$33,0),IF(Z85=0,AH90,IF(Z85=1,AH91,IF(Z85=2,AH92,IF(Z85=3,AH93,IF(Z85=4,AH94,IF(Z85=5,AH95,IF(Z85=6,AH96,IF(Z85=7,AH97,IF(Z85=8,AH98,IF(Z85=9,AH99,IF(Z85=10,AH100,IF(Z85=11,AH101,IF(Z85=12,AH102,IF(Z85=13,AH103,IF(Z85=14,AH104,IF(Z85=15,AH105,IF(Z85=16,AH106,IF(Z85=17,AH107,IF(Z85=18,AH108,IF(Z85=19,AH109,IF(Z85=20,AH110,IF(Z85=21,AH111,IF(Z85=22,AH112,IF(Z85=23,AH113,IF(Z85=24,AH114,IF(Z85=25,AH115,IF(Z85=26,AH116,IF(Z85=27,AH117,IF(Z85=28,AH118,IF(Z85=29,AH119,IF(Z85=30,AH120))))))))))))))))))))))))))))))))</f>
        <v>32</v>
      </c>
    </row>
    <row r="86" spans="1:35" x14ac:dyDescent="0.35">
      <c r="A86" s="48">
        <v>1347</v>
      </c>
      <c r="B86" s="58">
        <f>SUMIF([2]!Table2_23[ETA],'FIS Optimal Model (3)'!A86,[2]!Table2_23[FIS PAX])</f>
        <v>0</v>
      </c>
      <c r="C86" s="44">
        <f>IF((D85-D86)&gt;-1,(D85-D86),18)</f>
        <v>0</v>
      </c>
      <c r="D86" s="52">
        <f>MAX(D85-$E$31+B85,0)</f>
        <v>0</v>
      </c>
      <c r="E86" s="26">
        <f>$C$30*C86</f>
        <v>0</v>
      </c>
      <c r="F86" s="26">
        <f>$C$31*C86</f>
        <v>0</v>
      </c>
      <c r="G86" s="26">
        <f>$C$32*C86</f>
        <v>0</v>
      </c>
      <c r="H86" s="26">
        <f>$C$33*C86</f>
        <v>0</v>
      </c>
      <c r="I86" s="27">
        <f>E81</f>
        <v>9.9503999999999984</v>
      </c>
      <c r="J86" s="27">
        <f>F81</f>
        <v>4.2713999999999999</v>
      </c>
      <c r="K86" s="27">
        <f>G81</f>
        <v>2.9447999999999999</v>
      </c>
      <c r="L86" s="27">
        <f>H81</f>
        <v>0.83340000000000003</v>
      </c>
      <c r="M86" s="28">
        <f>$M$85</f>
        <v>2</v>
      </c>
      <c r="N86" s="29">
        <f>$N$85</f>
        <v>2</v>
      </c>
      <c r="O86" s="28">
        <f>$O$85</f>
        <v>1</v>
      </c>
      <c r="P86" s="28">
        <f>$P$85</f>
        <v>1</v>
      </c>
      <c r="Q86" s="28">
        <f>SUM(M86:P86)</f>
        <v>6</v>
      </c>
      <c r="R86" s="22">
        <f>MAX(R85-($J$30*M86*$L$33)+I86,0)</f>
        <v>71.184441024117277</v>
      </c>
      <c r="S86" s="22">
        <f>IF(U86&lt;&gt;0,(MAX(S85-($J$31*N86*$L$33)+J86,0)),(MAX(S85-($J$31*(N86+P86)*$L$33)+J86,0)))</f>
        <v>14.349062870455336</v>
      </c>
      <c r="T86" s="22">
        <f>MAX(T85-($J$32*O86*$L$33)+K86,0)</f>
        <v>18.5964465080982</v>
      </c>
      <c r="U86" s="22">
        <f>MAX(U85-($J$33*P86*$L$33)+L86,0)</f>
        <v>2.9945339252806891</v>
      </c>
      <c r="V86" s="21">
        <f>IFERROR(R86*($I$30/M86),0)</f>
        <v>14.374274176000002</v>
      </c>
      <c r="W86" s="21">
        <f>S86*($I$31/N86)</f>
        <v>12.3061437424</v>
      </c>
      <c r="X86" s="21">
        <f>IFERROR(T86*($I$32/O86),0)</f>
        <v>6.3712727488000001</v>
      </c>
      <c r="Y86" s="21">
        <f>IFERROR(U86*($I$33/P86),0)</f>
        <v>1.3861068688</v>
      </c>
      <c r="Z86" s="221">
        <f>ROUNDUP(SUM(V86*$C$30,W86*$C$31,X86*$C$32,Y86*$C$33),0)</f>
        <v>12</v>
      </c>
      <c r="AA86" s="30">
        <f>IF(R86&lt;&gt;0,($J$30*M86*$L$33),0)</f>
        <v>4.2093794879413657</v>
      </c>
      <c r="AB86" s="30">
        <f>IF(W86&lt;&gt;0,($J$31*N86*$L$33),0)</f>
        <v>0.99110685647723318</v>
      </c>
      <c r="AC86" s="30">
        <f>IF(X86&lt;&gt;0,($J$32*O86*$L$33),0)</f>
        <v>2.4809767459508998</v>
      </c>
      <c r="AD86" s="30">
        <f>IF(Y86&lt;&gt;0,($J$33*P86*$L$33),0)</f>
        <v>1.8363330373596554</v>
      </c>
      <c r="AE86" s="32">
        <f>SUM(AA86:AD86)</f>
        <v>9.5177961277291541</v>
      </c>
      <c r="AF86" s="33">
        <f>AE82</f>
        <v>2.9733205694316993</v>
      </c>
      <c r="AG86" s="40">
        <f>MAX(AG85-$Q$33+AF86,0)</f>
        <v>0</v>
      </c>
      <c r="AH86" s="224">
        <f>AG86*$P$33</f>
        <v>0</v>
      </c>
      <c r="AI86" s="227">
        <f>SUM(Z86,IF(Z86&lt;&gt;0,$F$31,0),IF(Z86&lt;&gt;0,$N$33,0),IF(Z86&lt;&gt;0,$T$33,0),IF(Z86=0,AH91,IF(Z86=1,AH92,IF(Z86=2,AH93,IF(Z86=3,AH94,IF(Z86=4,AH95,IF(Z86=5,AH96,IF(Z86=6,AH97,IF(Z86=7,AH98,IF(Z86=8,AH99,IF(Z86=9,AH100,IF(Z86=10,AH101,IF(Z86=11,AH102,IF(Z86=12,AH103,IF(Z86=13,AH104,IF(Z86=14,AH105,IF(Z86=15,AH106,IF(Z86=16,AH107,IF(Z86=17,AH108,IF(Z86=18,AH109,IF(Z86=19,AH110,IF(Z86=20,AH111,IF(Z86=21,AH112,IF(Z86=22,AH113,IF(Z86=23,AH114,IF(Z86=24,AH115,IF(Z86=25,AH116,IF(Z86=26,AH117,IF(Z86=27,AH118,IF(Z86=28,AH119,IF(Z86=29,AH120,IF(Z86=30,AH121))))))))))))))))))))))))))))))))</f>
        <v>33</v>
      </c>
    </row>
    <row r="87" spans="1:35" x14ac:dyDescent="0.35">
      <c r="A87" s="48">
        <v>1348</v>
      </c>
      <c r="B87" s="58">
        <f>SUMIF([2]!Table2_23[ETA],'FIS Optimal Model (3)'!A87,[2]!Table2_23[FIS PAX])</f>
        <v>0</v>
      </c>
      <c r="C87" s="44">
        <f>IF((D86-D87)&gt;-1,(D86-D87),18)</f>
        <v>0</v>
      </c>
      <c r="D87" s="52">
        <f>MAX(D86-$E$31+B86,0)</f>
        <v>0</v>
      </c>
      <c r="E87" s="26">
        <f>$C$30*C87</f>
        <v>0</v>
      </c>
      <c r="F87" s="26">
        <f>$C$31*C87</f>
        <v>0</v>
      </c>
      <c r="G87" s="26">
        <f>$C$32*C87</f>
        <v>0</v>
      </c>
      <c r="H87" s="26">
        <f>$C$33*C87</f>
        <v>0</v>
      </c>
      <c r="I87" s="27">
        <f>E82</f>
        <v>4.4223999999999997</v>
      </c>
      <c r="J87" s="27">
        <f>F82</f>
        <v>1.8984000000000001</v>
      </c>
      <c r="K87" s="27">
        <f>G82</f>
        <v>1.3088</v>
      </c>
      <c r="L87" s="27">
        <f>H82</f>
        <v>0.37040000000000001</v>
      </c>
      <c r="M87" s="28">
        <f>$M$85</f>
        <v>2</v>
      </c>
      <c r="N87" s="29">
        <f>$N$85</f>
        <v>2</v>
      </c>
      <c r="O87" s="28">
        <f>$O$85</f>
        <v>1</v>
      </c>
      <c r="P87" s="28">
        <f>$P$85</f>
        <v>1</v>
      </c>
      <c r="Q87" s="28">
        <f>SUM(M87:P87)</f>
        <v>6</v>
      </c>
      <c r="R87" s="22">
        <f>MAX(R86-($J$30*M87*$L$33)+I87,0)</f>
        <v>71.397461536175911</v>
      </c>
      <c r="S87" s="22">
        <f>IF(U87&lt;&gt;0,(MAX(S86-($J$31*N87*$L$33)+J87,0)),(MAX(S86-($J$31*(N87+P87)*$L$33)+J87,0)))</f>
        <v>15.256356013978104</v>
      </c>
      <c r="T87" s="22">
        <f>MAX(T86-($J$32*O87*$L$33)+K87,0)</f>
        <v>17.424269762147301</v>
      </c>
      <c r="U87" s="22">
        <f>MAX(U86-($J$33*P87*$L$33)+L87,0)</f>
        <v>1.5286008879210338</v>
      </c>
      <c r="V87" s="21">
        <f>IFERROR(R87*($I$30/M87),0)</f>
        <v>14.417289408000002</v>
      </c>
      <c r="W87" s="21">
        <f>S87*($I$31/N87)</f>
        <v>13.084262839200001</v>
      </c>
      <c r="X87" s="21">
        <f>IFERROR(T87*($I$32/O87),0)</f>
        <v>5.9696767904000003</v>
      </c>
      <c r="Y87" s="21">
        <f>IFERROR(U87*($I$33/P87),0)</f>
        <v>0.70755725040000017</v>
      </c>
      <c r="Z87" s="221">
        <f>ROUNDUP(SUM(V87*$C$30,W87*$C$31,X87*$C$32,Y87*$C$33),0)</f>
        <v>13</v>
      </c>
      <c r="AA87" s="30">
        <f>IF(R87&lt;&gt;0,($J$30*M87*$L$33),0)</f>
        <v>4.2093794879413657</v>
      </c>
      <c r="AB87" s="30">
        <f>IF(W87&lt;&gt;0,($J$31*N87*$L$33),0)</f>
        <v>0.99110685647723318</v>
      </c>
      <c r="AC87" s="30">
        <f>IF(X87&lt;&gt;0,($J$32*O87*$L$33),0)</f>
        <v>2.4809767459508998</v>
      </c>
      <c r="AD87" s="30">
        <f>IF(Y87&lt;&gt;0,($J$33*P87*$L$33),0)</f>
        <v>1.8363330373596554</v>
      </c>
      <c r="AE87" s="32">
        <f>SUM(AA87:AD87)</f>
        <v>9.5177961277291541</v>
      </c>
      <c r="AF87" s="33">
        <f>AE83</f>
        <v>2.9733205694316993</v>
      </c>
      <c r="AG87" s="40">
        <f>MAX(AG86-$Q$33+AF87,0)</f>
        <v>0</v>
      </c>
      <c r="AH87" s="224">
        <f>AG87*$P$33</f>
        <v>0</v>
      </c>
      <c r="AI87" s="227">
        <f>SUM(Z87,IF(Z87&lt;&gt;0,$F$31,0),IF(Z87&lt;&gt;0,$N$33,0),IF(Z87&lt;&gt;0,$T$33,0),IF(Z87=0,AH92,IF(Z87=1,AH93,IF(Z87=2,AH94,IF(Z87=3,AH95,IF(Z87=4,AH96,IF(Z87=5,AH97,IF(Z87=6,AH98,IF(Z87=7,AH99,IF(Z87=8,AH100,IF(Z87=9,AH101,IF(Z87=10,AH102,IF(Z87=11,AH103,IF(Z87=12,AH104,IF(Z87=13,AH105,IF(Z87=14,AH106,IF(Z87=15,AH107,IF(Z87=16,AH108,IF(Z87=17,AH109,IF(Z87=18,AH110,IF(Z87=19,AH111,IF(Z87=20,AH112,IF(Z87=21,AH113,IF(Z87=22,AH114,IF(Z87=23,AH115,IF(Z87=24,AH116,IF(Z87=25,AH117,IF(Z87=26,AH118,IF(Z87=27,AH119,IF(Z87=28,AH120,IF(Z87=29,AH121,IF(Z87=30,AH122))))))))))))))))))))))))))))))))</f>
        <v>34</v>
      </c>
    </row>
    <row r="88" spans="1:35" x14ac:dyDescent="0.35">
      <c r="A88" s="48">
        <v>1349</v>
      </c>
      <c r="B88" s="58">
        <f>SUMIF([2]!Table2_23[ETA],'FIS Optimal Model (3)'!A88,[2]!Table2_23[FIS PAX])</f>
        <v>0</v>
      </c>
      <c r="C88" s="44">
        <f>IF((D87-D88)&gt;-1,(D87-D88),18)</f>
        <v>0</v>
      </c>
      <c r="D88" s="52">
        <f>MAX(D87-$E$31+B87,0)</f>
        <v>0</v>
      </c>
      <c r="E88" s="26">
        <f>$C$30*C88</f>
        <v>0</v>
      </c>
      <c r="F88" s="26">
        <f>$C$31*C88</f>
        <v>0</v>
      </c>
      <c r="G88" s="26">
        <f>$C$32*C88</f>
        <v>0</v>
      </c>
      <c r="H88" s="26">
        <f>$C$33*C88</f>
        <v>0</v>
      </c>
      <c r="I88" s="27">
        <f>E83</f>
        <v>0</v>
      </c>
      <c r="J88" s="27">
        <f>F83</f>
        <v>0</v>
      </c>
      <c r="K88" s="27">
        <f>G83</f>
        <v>0</v>
      </c>
      <c r="L88" s="27">
        <f>H83</f>
        <v>0</v>
      </c>
      <c r="M88" s="28">
        <f>$M$85</f>
        <v>2</v>
      </c>
      <c r="N88" s="29">
        <f>$N$85</f>
        <v>2</v>
      </c>
      <c r="O88" s="28">
        <f>$O$85</f>
        <v>1</v>
      </c>
      <c r="P88" s="28">
        <f>$P$85</f>
        <v>1</v>
      </c>
      <c r="Q88" s="28">
        <f>SUM(M88:P88)</f>
        <v>6</v>
      </c>
      <c r="R88" s="22">
        <f>MAX(R87-($J$30*M88*$L$33)+I88,0)</f>
        <v>67.188082048234548</v>
      </c>
      <c r="S88" s="22">
        <f>IF(U88&lt;&gt;0,(MAX(S87-($J$31*N88*$L$33)+J88,0)),(MAX(S87-($J$31*(N88+P88)*$L$33)+J88,0)))</f>
        <v>13.769695729262255</v>
      </c>
      <c r="T88" s="22">
        <f>MAX(T87-($J$32*O88*$L$33)+K88,0)</f>
        <v>14.943293016196401</v>
      </c>
      <c r="U88" s="22">
        <f>MAX(U87-($J$33*P88*$L$33)+L88,0)</f>
        <v>0</v>
      </c>
      <c r="V88" s="21">
        <f>IFERROR(R88*($I$30/M88),0)</f>
        <v>13.567289408000002</v>
      </c>
      <c r="W88" s="21">
        <f>S88*($I$31/N88)</f>
        <v>11.809262839200001</v>
      </c>
      <c r="X88" s="21">
        <f>IFERROR(T88*($I$32/O88),0)</f>
        <v>5.1196767904000007</v>
      </c>
      <c r="Y88" s="21">
        <f>IFERROR(U88*($I$33/P88),0)</f>
        <v>0</v>
      </c>
      <c r="Z88" s="221">
        <f>ROUNDUP(SUM(V88*$C$30,W88*$C$31,X88*$C$32,Y88*$C$33),0)</f>
        <v>12</v>
      </c>
      <c r="AA88" s="30">
        <f>IF(R88&lt;&gt;0,($J$30*M88*$L$33),0)</f>
        <v>4.2093794879413657</v>
      </c>
      <c r="AB88" s="30">
        <f>IF(W88&lt;&gt;0,($J$31*N88*$L$33),0)</f>
        <v>0.99110685647723318</v>
      </c>
      <c r="AC88" s="30">
        <f>IF(X88&lt;&gt;0,($J$32*O88*$L$33),0)</f>
        <v>2.4809767459508998</v>
      </c>
      <c r="AD88" s="30">
        <f>IF(Y88&lt;&gt;0,($J$33*P88*$L$33),0)</f>
        <v>0</v>
      </c>
      <c r="AE88" s="32">
        <f>SUM(AA88:AD88)</f>
        <v>7.6814630903694994</v>
      </c>
      <c r="AF88" s="33">
        <f>AE84</f>
        <v>2.9733205694316993</v>
      </c>
      <c r="AG88" s="40">
        <f>MAX(AG87-$Q$33+AF88,0)</f>
        <v>0</v>
      </c>
      <c r="AH88" s="224">
        <f>AG88*$P$33</f>
        <v>0</v>
      </c>
      <c r="AI88" s="227">
        <f>SUM(Z88,IF(Z88&lt;&gt;0,$F$31,0),IF(Z88&lt;&gt;0,$N$33,0),IF(Z88&lt;&gt;0,$T$33,0),IF(Z88=0,AH93,IF(Z88=1,AH94,IF(Z88=2,AH95,IF(Z88=3,AH96,IF(Z88=4,AH97,IF(Z88=5,AH98,IF(Z88=6,AH99,IF(Z88=7,AH100,IF(Z88=8,AH101,IF(Z88=9,AH102,IF(Z88=10,AH103,IF(Z88=11,AH104,IF(Z88=12,AH105,IF(Z88=13,AH106,IF(Z88=14,AH107,IF(Z88=15,AH108,IF(Z88=16,AH109,IF(Z88=17,AH110,IF(Z88=18,AH111,IF(Z88=19,AH112,IF(Z88=20,AH113,IF(Z88=21,AH114,IF(Z88=22,AH115,IF(Z88=23,AH116,IF(Z88=24,AH117,IF(Z88=25,AH118,IF(Z88=26,AH119,IF(Z88=27,AH120,IF(Z88=28,AH121,IF(Z88=29,AH122,IF(Z88=30,AH123))))))))))))))))))))))))))))))))</f>
        <v>33</v>
      </c>
    </row>
    <row r="89" spans="1:35" x14ac:dyDescent="0.35">
      <c r="A89" s="48">
        <v>1350</v>
      </c>
      <c r="B89" s="58">
        <f>SUMIF([2]!Table2_23[ETA],'FIS Optimal Model (3)'!A89,[2]!Table2_23[FIS PAX])</f>
        <v>0</v>
      </c>
      <c r="C89" s="44">
        <f>IF((D88-D89)&gt;-1,(D88-D89),18)</f>
        <v>0</v>
      </c>
      <c r="D89" s="52">
        <f>MAX(D88-$E$31+B88,0)</f>
        <v>0</v>
      </c>
      <c r="E89" s="26">
        <f>$C$30*C89</f>
        <v>0</v>
      </c>
      <c r="F89" s="26">
        <f>$C$31*C89</f>
        <v>0</v>
      </c>
      <c r="G89" s="26">
        <f>$C$32*C89</f>
        <v>0</v>
      </c>
      <c r="H89" s="26">
        <f>$C$33*C89</f>
        <v>0</v>
      </c>
      <c r="I89" s="27">
        <f>E84</f>
        <v>0</v>
      </c>
      <c r="J89" s="27">
        <f>F84</f>
        <v>0</v>
      </c>
      <c r="K89" s="27">
        <f>G84</f>
        <v>0</v>
      </c>
      <c r="L89" s="27">
        <f>H84</f>
        <v>0</v>
      </c>
      <c r="M89" s="28">
        <f>$M$85</f>
        <v>2</v>
      </c>
      <c r="N89" s="29">
        <f>$N$85</f>
        <v>2</v>
      </c>
      <c r="O89" s="28">
        <f>$O$85</f>
        <v>1</v>
      </c>
      <c r="P89" s="28">
        <f>$P$85</f>
        <v>1</v>
      </c>
      <c r="Q89" s="28">
        <f>SUM(M89:P89)</f>
        <v>6</v>
      </c>
      <c r="R89" s="22">
        <f>MAX(R88-($J$30*M89*$L$33)+I89,0)</f>
        <v>62.978702560293186</v>
      </c>
      <c r="S89" s="22">
        <f>IF(U89&lt;&gt;0,(MAX(S88-($J$31*N89*$L$33)+J89,0)),(MAX(S88-($J$31*(N89+P89)*$L$33)+J89,0)))</f>
        <v>12.283035444546405</v>
      </c>
      <c r="T89" s="22">
        <f>MAX(T88-($J$32*O89*$L$33)+K89,0)</f>
        <v>12.462316270245502</v>
      </c>
      <c r="U89" s="22">
        <f>MAX(U88-($J$33*P89*$L$33)+L89,0)</f>
        <v>0</v>
      </c>
      <c r="V89" s="21">
        <f>IFERROR(R89*($I$30/M89),0)</f>
        <v>12.717289408000003</v>
      </c>
      <c r="W89" s="21">
        <f>S89*($I$31/N89)</f>
        <v>10.5342628392</v>
      </c>
      <c r="X89" s="21">
        <f>IFERROR(T89*($I$32/O89),0)</f>
        <v>4.269676790400001</v>
      </c>
      <c r="Y89" s="21">
        <f>IFERROR(U89*($I$33/P89),0)</f>
        <v>0</v>
      </c>
      <c r="Z89" s="221">
        <f>ROUNDUP(SUM(V89*$C$30,W89*$C$31,X89*$C$32,Y89*$C$33),0)</f>
        <v>11</v>
      </c>
      <c r="AA89" s="30">
        <f>IF(R89&lt;&gt;0,($J$30*M89*$L$33),0)</f>
        <v>4.2093794879413657</v>
      </c>
      <c r="AB89" s="30">
        <f>IF(W89&lt;&gt;0,($J$31*N89*$L$33),0)</f>
        <v>0.99110685647723318</v>
      </c>
      <c r="AC89" s="30">
        <f>IF(X89&lt;&gt;0,($J$32*O89*$L$33),0)</f>
        <v>2.4809767459508998</v>
      </c>
      <c r="AD89" s="30">
        <f>IF(Y89&lt;&gt;0,($J$33*P89*$L$33),0)</f>
        <v>0</v>
      </c>
      <c r="AE89" s="32">
        <f>SUM(AA89:AD89)</f>
        <v>7.6814630903694994</v>
      </c>
      <c r="AF89" s="33">
        <f>AE85</f>
        <v>9.5177961277291541</v>
      </c>
      <c r="AG89" s="40">
        <f>MAX(AG88-$Q$33+AF89,0)</f>
        <v>0</v>
      </c>
      <c r="AH89" s="224">
        <f>AG89*$P$33</f>
        <v>0</v>
      </c>
      <c r="AI89" s="227">
        <f>SUM(Z89,IF(Z89&lt;&gt;0,$F$31,0),IF(Z89&lt;&gt;0,$N$33,0),IF(Z89&lt;&gt;0,$T$33,0),IF(Z89=0,AH94,IF(Z89=1,AH95,IF(Z89=2,AH96,IF(Z89=3,AH97,IF(Z89=4,AH98,IF(Z89=5,AH99,IF(Z89=6,AH100,IF(Z89=7,AH101,IF(Z89=8,AH102,IF(Z89=9,AH103,IF(Z89=10,AH104,IF(Z89=11,AH105,IF(Z89=12,AH106,IF(Z89=13,AH107,IF(Z89=14,AH108,IF(Z89=15,AH109,IF(Z89=16,AH110,IF(Z89=17,AH111,IF(Z89=18,AH112,IF(Z89=19,AH113,IF(Z89=20,AH114,IF(Z89=21,AH115,IF(Z89=22,AH116,IF(Z89=23,AH117,IF(Z89=24,AH118,IF(Z89=25,AH119,IF(Z89=26,AH120,IF(Z89=27,AH121,IF(Z89=28,AH122,IF(Z89=29,AH123,IF(Z89=30,AH124))))))))))))))))))))))))))))))))</f>
        <v>32</v>
      </c>
    </row>
    <row r="90" spans="1:35" x14ac:dyDescent="0.35">
      <c r="A90" s="48">
        <v>1351</v>
      </c>
      <c r="B90" s="58">
        <f>SUMIF([2]!Table2_23[ETA],'FIS Optimal Model (3)'!A90,[2]!Table2_23[FIS PAX])</f>
        <v>0</v>
      </c>
      <c r="C90" s="44">
        <f>IF((D89-D90)&gt;-1,(D89-D90),18)</f>
        <v>0</v>
      </c>
      <c r="D90" s="52">
        <f>MAX(D89-$E$31+B89,0)</f>
        <v>0</v>
      </c>
      <c r="E90" s="26">
        <f>$C$30*C90</f>
        <v>0</v>
      </c>
      <c r="F90" s="26">
        <f>$C$31*C90</f>
        <v>0</v>
      </c>
      <c r="G90" s="26">
        <f>$C$32*C90</f>
        <v>0</v>
      </c>
      <c r="H90" s="26">
        <f>$C$33*C90</f>
        <v>0</v>
      </c>
      <c r="I90" s="27">
        <f>E85</f>
        <v>0</v>
      </c>
      <c r="J90" s="27">
        <f>F85</f>
        <v>0</v>
      </c>
      <c r="K90" s="27">
        <f>G85</f>
        <v>0</v>
      </c>
      <c r="L90" s="27">
        <f>H85</f>
        <v>0</v>
      </c>
      <c r="M90" s="28">
        <f>$M$85</f>
        <v>2</v>
      </c>
      <c r="N90" s="29">
        <f>$N$85</f>
        <v>2</v>
      </c>
      <c r="O90" s="28">
        <f>$O$85</f>
        <v>1</v>
      </c>
      <c r="P90" s="28">
        <f>$P$85</f>
        <v>1</v>
      </c>
      <c r="Q90" s="28">
        <f>SUM(M90:P90)</f>
        <v>6</v>
      </c>
      <c r="R90" s="22">
        <f>MAX(R89-($J$30*M90*$L$33)+I90,0)</f>
        <v>58.769323072351824</v>
      </c>
      <c r="S90" s="22">
        <f>IF(U90&lt;&gt;0,(MAX(S89-($J$31*N90*$L$33)+J90,0)),(MAX(S89-($J$31*(N90+P90)*$L$33)+J90,0)))</f>
        <v>10.796375159830555</v>
      </c>
      <c r="T90" s="22">
        <f>MAX(T89-($J$32*O90*$L$33)+K90,0)</f>
        <v>9.9813395242946026</v>
      </c>
      <c r="U90" s="22">
        <f>MAX(U89-($J$33*P90*$L$33)+L90,0)</f>
        <v>0</v>
      </c>
      <c r="V90" s="21">
        <f>IFERROR(R90*($I$30/M90),0)</f>
        <v>11.867289408000003</v>
      </c>
      <c r="W90" s="21">
        <f>S90*($I$31/N90)</f>
        <v>9.2592628391999998</v>
      </c>
      <c r="X90" s="21">
        <f>IFERROR(T90*($I$32/O90),0)</f>
        <v>3.4196767904000009</v>
      </c>
      <c r="Y90" s="21">
        <f>IFERROR(U90*($I$33/P90),0)</f>
        <v>0</v>
      </c>
      <c r="Z90" s="221">
        <f>ROUNDUP(SUM(V90*$C$30,W90*$C$31,X90*$C$32,Y90*$C$33),0)</f>
        <v>10</v>
      </c>
      <c r="AA90" s="30">
        <f>IF(R90&lt;&gt;0,($J$30*M90*$L$33),0)</f>
        <v>4.2093794879413657</v>
      </c>
      <c r="AB90" s="30">
        <f>IF(W90&lt;&gt;0,($J$31*N90*$L$33),0)</f>
        <v>0.99110685647723318</v>
      </c>
      <c r="AC90" s="30">
        <f>IF(X90&lt;&gt;0,($J$32*O90*$L$33),0)</f>
        <v>2.4809767459508998</v>
      </c>
      <c r="AD90" s="30">
        <f>IF(Y90&lt;&gt;0,($J$33*P90*$L$33),0)</f>
        <v>0</v>
      </c>
      <c r="AE90" s="32">
        <f>SUM(AA90:AD90)</f>
        <v>7.6814630903694994</v>
      </c>
      <c r="AF90" s="33">
        <f>AE86</f>
        <v>9.5177961277291541</v>
      </c>
      <c r="AG90" s="40">
        <f>MAX(AG89-$Q$33+AF90,0)</f>
        <v>0</v>
      </c>
      <c r="AH90" s="224">
        <f>AG90*$P$33</f>
        <v>0</v>
      </c>
      <c r="AI90" s="227">
        <f>SUM(Z90,IF(Z90&lt;&gt;0,$F$31,0),IF(Z90&lt;&gt;0,$N$33,0),IF(Z90&lt;&gt;0,$T$33,0),IF(Z90=0,AH95,IF(Z90=1,AH96,IF(Z90=2,AH97,IF(Z90=3,AH98,IF(Z90=4,AH99,IF(Z90=5,AH100,IF(Z90=6,AH101,IF(Z90=7,AH102,IF(Z90=8,AH103,IF(Z90=9,AH104,IF(Z90=10,AH105,IF(Z90=11,AH106,IF(Z90=12,AH107,IF(Z90=13,AH108,IF(Z90=14,AH109,IF(Z90=15,AH110,IF(Z90=16,AH111,IF(Z90=17,AH112,IF(Z90=18,AH113,IF(Z90=19,AH114,IF(Z90=20,AH115,IF(Z90=21,AH116,IF(Z90=22,AH117,IF(Z90=23,AH118,IF(Z90=24,AH119,IF(Z90=25,AH120,IF(Z90=26,AH121,IF(Z90=27,AH122,IF(Z90=28,AH123,IF(Z90=29,AH124,IF(Z90=30,AH125))))))))))))))))))))))))))))))))</f>
        <v>31</v>
      </c>
    </row>
    <row r="91" spans="1:35" x14ac:dyDescent="0.35">
      <c r="A91" s="48">
        <v>1352</v>
      </c>
      <c r="B91" s="58">
        <f>SUMIF([2]!Table2_23[ETA],'FIS Optimal Model (3)'!A91,[2]!Table2_23[FIS PAX])</f>
        <v>0</v>
      </c>
      <c r="C91" s="44">
        <f>IF((D90-D91)&gt;-1,(D90-D91),18)</f>
        <v>0</v>
      </c>
      <c r="D91" s="52">
        <f>MAX(D90-$E$31+B90,0)</f>
        <v>0</v>
      </c>
      <c r="E91" s="26">
        <f>$C$30*C91</f>
        <v>0</v>
      </c>
      <c r="F91" s="26">
        <f>$C$31*C91</f>
        <v>0</v>
      </c>
      <c r="G91" s="26">
        <f>$C$32*C91</f>
        <v>0</v>
      </c>
      <c r="H91" s="26">
        <f>$C$33*C91</f>
        <v>0</v>
      </c>
      <c r="I91" s="27">
        <f>E86</f>
        <v>0</v>
      </c>
      <c r="J91" s="27">
        <f>F86</f>
        <v>0</v>
      </c>
      <c r="K91" s="27">
        <f>G86</f>
        <v>0</v>
      </c>
      <c r="L91" s="27">
        <f>H86</f>
        <v>0</v>
      </c>
      <c r="M91" s="28">
        <f>$M$85</f>
        <v>2</v>
      </c>
      <c r="N91" s="29">
        <f>$N$85</f>
        <v>2</v>
      </c>
      <c r="O91" s="28">
        <f>$O$85</f>
        <v>1</v>
      </c>
      <c r="P91" s="28">
        <f>$P$85</f>
        <v>1</v>
      </c>
      <c r="Q91" s="28">
        <f>SUM(M91:P91)</f>
        <v>6</v>
      </c>
      <c r="R91" s="22">
        <f>MAX(R90-($J$30*M91*$L$33)+I91,0)</f>
        <v>54.559943584410462</v>
      </c>
      <c r="S91" s="22">
        <f>IF(U91&lt;&gt;0,(MAX(S90-($J$31*N91*$L$33)+J91,0)),(MAX(S90-($J$31*(N91+P91)*$L$33)+J91,0)))</f>
        <v>9.3097148751147056</v>
      </c>
      <c r="T91" s="22">
        <f>MAX(T90-($J$32*O91*$L$33)+K91,0)</f>
        <v>7.5003627783437032</v>
      </c>
      <c r="U91" s="22">
        <f>MAX(U90-($J$33*P91*$L$33)+L91,0)</f>
        <v>0</v>
      </c>
      <c r="V91" s="21">
        <f>IFERROR(R91*($I$30/M91),0)</f>
        <v>11.017289408000005</v>
      </c>
      <c r="W91" s="21">
        <f>S91*($I$31/N91)</f>
        <v>7.9842628392000004</v>
      </c>
      <c r="X91" s="21">
        <f>IFERROR(T91*($I$32/O91),0)</f>
        <v>2.5696767904000013</v>
      </c>
      <c r="Y91" s="21">
        <f>IFERROR(U91*($I$33/P91),0)</f>
        <v>0</v>
      </c>
      <c r="Z91" s="221">
        <f>ROUNDUP(SUM(V91*$C$30,W91*$C$31,X91*$C$32,Y91*$C$33),0)</f>
        <v>9</v>
      </c>
      <c r="AA91" s="30">
        <f>IF(R91&lt;&gt;0,($J$30*M91*$L$33),0)</f>
        <v>4.2093794879413657</v>
      </c>
      <c r="AB91" s="30">
        <f>IF(W91&lt;&gt;0,($J$31*N91*$L$33),0)</f>
        <v>0.99110685647723318</v>
      </c>
      <c r="AC91" s="30">
        <f>IF(X91&lt;&gt;0,($J$32*O91*$L$33),0)</f>
        <v>2.4809767459508998</v>
      </c>
      <c r="AD91" s="30">
        <f>IF(Y91&lt;&gt;0,($J$33*P91*$L$33),0)</f>
        <v>0</v>
      </c>
      <c r="AE91" s="32">
        <f>SUM(AA91:AD91)</f>
        <v>7.6814630903694994</v>
      </c>
      <c r="AF91" s="33">
        <f>AE87</f>
        <v>9.5177961277291541</v>
      </c>
      <c r="AG91" s="40">
        <f>MAX(AG90-$Q$33+AF91,0)</f>
        <v>0</v>
      </c>
      <c r="AH91" s="224">
        <f>AG91*$P$33</f>
        <v>0</v>
      </c>
      <c r="AI91" s="227">
        <f>SUM(Z91,IF(Z91&lt;&gt;0,$F$31,0),IF(Z91&lt;&gt;0,$N$33,0),IF(Z91&lt;&gt;0,$T$33,0),IF(Z91=0,AH96,IF(Z91=1,AH97,IF(Z91=2,AH98,IF(Z91=3,AH99,IF(Z91=4,AH100,IF(Z91=5,AH101,IF(Z91=6,AH102,IF(Z91=7,AH103,IF(Z91=8,AH104,IF(Z91=9,AH105,IF(Z91=10,AH106,IF(Z91=11,AH107,IF(Z91=12,AH108,IF(Z91=13,AH109,IF(Z91=14,AH110,IF(Z91=15,AH111,IF(Z91=16,AH112,IF(Z91=17,AH113,IF(Z91=18,AH114,IF(Z91=19,AH115,IF(Z91=20,AH116,IF(Z91=21,AH117,IF(Z91=22,AH118,IF(Z91=23,AH119,IF(Z91=24,AH120,IF(Z91=25,AH121,IF(Z91=26,AH122,IF(Z91=27,AH123,IF(Z91=28,AH124,IF(Z91=29,AH125,IF(Z91=30,AH126))))))))))))))))))))))))))))))))</f>
        <v>30</v>
      </c>
    </row>
    <row r="92" spans="1:35" x14ac:dyDescent="0.35">
      <c r="A92" s="48">
        <v>1353</v>
      </c>
      <c r="B92" s="58">
        <f>SUMIF([2]!Table2_23[ETA],'FIS Optimal Model (3)'!A92,[2]!Table2_23[FIS PAX])</f>
        <v>0</v>
      </c>
      <c r="C92" s="44">
        <f>IF((D91-D92)&gt;-1,(D91-D92),18)</f>
        <v>0</v>
      </c>
      <c r="D92" s="52">
        <f>MAX(D91-$E$31+B91,0)</f>
        <v>0</v>
      </c>
      <c r="E92" s="26">
        <f>$C$30*C92</f>
        <v>0</v>
      </c>
      <c r="F92" s="26">
        <f>$C$31*C92</f>
        <v>0</v>
      </c>
      <c r="G92" s="26">
        <f>$C$32*C92</f>
        <v>0</v>
      </c>
      <c r="H92" s="26">
        <f>$C$33*C92</f>
        <v>0</v>
      </c>
      <c r="I92" s="27">
        <f>E87</f>
        <v>0</v>
      </c>
      <c r="J92" s="27">
        <f>F87</f>
        <v>0</v>
      </c>
      <c r="K92" s="27">
        <f>G87</f>
        <v>0</v>
      </c>
      <c r="L92" s="27">
        <f>H87</f>
        <v>0</v>
      </c>
      <c r="M92" s="28">
        <f>$M$85</f>
        <v>2</v>
      </c>
      <c r="N92" s="29">
        <f>$N$85</f>
        <v>2</v>
      </c>
      <c r="O92" s="28">
        <f>$O$85</f>
        <v>1</v>
      </c>
      <c r="P92" s="28">
        <f>$P$85</f>
        <v>1</v>
      </c>
      <c r="Q92" s="28">
        <f>SUM(M92:P92)</f>
        <v>6</v>
      </c>
      <c r="R92" s="22">
        <f>MAX(R91-($J$30*M92*$L$33)+I92,0)</f>
        <v>50.3505640964691</v>
      </c>
      <c r="S92" s="22">
        <f>IF(U92&lt;&gt;0,(MAX(S91-($J$31*N92*$L$33)+J92,0)),(MAX(S91-($J$31*(N92+P92)*$L$33)+J92,0)))</f>
        <v>7.823054590398856</v>
      </c>
      <c r="T92" s="22">
        <f>MAX(T91-($J$32*O92*$L$33)+K92,0)</f>
        <v>5.0193860323928039</v>
      </c>
      <c r="U92" s="22">
        <f>MAX(U91-($J$33*P92*$L$33)+L92,0)</f>
        <v>0</v>
      </c>
      <c r="V92" s="21">
        <f>IFERROR(R92*($I$30/M92),0)</f>
        <v>10.167289408000006</v>
      </c>
      <c r="W92" s="21">
        <f>S92*($I$31/N92)</f>
        <v>6.7092628392</v>
      </c>
      <c r="X92" s="21">
        <f>IFERROR(T92*($I$32/O92),0)</f>
        <v>1.7196767904000014</v>
      </c>
      <c r="Y92" s="21">
        <f>IFERROR(U92*($I$33/P92),0)</f>
        <v>0</v>
      </c>
      <c r="Z92" s="221">
        <f>ROUNDUP(SUM(V92*$C$30,W92*$C$31,X92*$C$32,Y92*$C$33),0)</f>
        <v>8</v>
      </c>
      <c r="AA92" s="30">
        <f>IF(R92&lt;&gt;0,($J$30*M92*$L$33),0)</f>
        <v>4.2093794879413657</v>
      </c>
      <c r="AB92" s="30">
        <f>IF(W92&lt;&gt;0,($J$31*N92*$L$33),0)</f>
        <v>0.99110685647723318</v>
      </c>
      <c r="AC92" s="30">
        <f>IF(X92&lt;&gt;0,($J$32*O92*$L$33),0)</f>
        <v>2.4809767459508998</v>
      </c>
      <c r="AD92" s="30">
        <f>IF(Y92&lt;&gt;0,($J$33*P92*$L$33),0)</f>
        <v>0</v>
      </c>
      <c r="AE92" s="32">
        <f>SUM(AA92:AD92)</f>
        <v>7.6814630903694994</v>
      </c>
      <c r="AF92" s="33">
        <f>AE88</f>
        <v>7.6814630903694994</v>
      </c>
      <c r="AG92" s="40">
        <f>MAX(AG91-$Q$33+AF92,0)</f>
        <v>0</v>
      </c>
      <c r="AH92" s="224">
        <f>AG92*$P$33</f>
        <v>0</v>
      </c>
      <c r="AI92" s="227">
        <f>SUM(Z92,IF(Z92&lt;&gt;0,$F$31,0),IF(Z92&lt;&gt;0,$N$33,0),IF(Z92&lt;&gt;0,$T$33,0),IF(Z92=0,AH97,IF(Z92=1,AH98,IF(Z92=2,AH99,IF(Z92=3,AH100,IF(Z92=4,AH101,IF(Z92=5,AH102,IF(Z92=6,AH103,IF(Z92=7,AH104,IF(Z92=8,AH105,IF(Z92=9,AH106,IF(Z92=10,AH107,IF(Z92=11,AH108,IF(Z92=12,AH109,IF(Z92=13,AH110,IF(Z92=14,AH111,IF(Z92=15,AH112,IF(Z92=16,AH113,IF(Z92=17,AH114,IF(Z92=18,AH115,IF(Z92=19,AH116,IF(Z92=20,AH117,IF(Z92=21,AH118,IF(Z92=22,AH119,IF(Z92=23,AH120,IF(Z92=24,AH121,IF(Z92=25,AH122,IF(Z92=26,AH123,IF(Z92=27,AH124,IF(Z92=28,AH125,IF(Z92=29,AH126,IF(Z92=30,AH127))))))))))))))))))))))))))))))))</f>
        <v>29</v>
      </c>
    </row>
    <row r="93" spans="1:35" x14ac:dyDescent="0.35">
      <c r="A93" s="48">
        <v>1354</v>
      </c>
      <c r="B93" s="58">
        <f>SUMIF([2]!Table2_23[ETA],'FIS Optimal Model (3)'!A93,[2]!Table2_23[FIS PAX])</f>
        <v>0</v>
      </c>
      <c r="C93" s="44">
        <f>IF((D92-D93)&gt;-1,(D92-D93),18)</f>
        <v>0</v>
      </c>
      <c r="D93" s="52">
        <f>MAX(D92-$E$31+B92,0)</f>
        <v>0</v>
      </c>
      <c r="E93" s="26">
        <f>$C$30*C93</f>
        <v>0</v>
      </c>
      <c r="F93" s="26">
        <f>$C$31*C93</f>
        <v>0</v>
      </c>
      <c r="G93" s="26">
        <f>$C$32*C93</f>
        <v>0</v>
      </c>
      <c r="H93" s="26">
        <f>$C$33*C93</f>
        <v>0</v>
      </c>
      <c r="I93" s="27">
        <f>E88</f>
        <v>0</v>
      </c>
      <c r="J93" s="27">
        <f>F88</f>
        <v>0</v>
      </c>
      <c r="K93" s="27">
        <f>G88</f>
        <v>0</v>
      </c>
      <c r="L93" s="27">
        <f>H88</f>
        <v>0</v>
      </c>
      <c r="M93" s="28">
        <f>$M$85</f>
        <v>2</v>
      </c>
      <c r="N93" s="29">
        <f>$N$85</f>
        <v>2</v>
      </c>
      <c r="O93" s="28">
        <f>$O$85</f>
        <v>1</v>
      </c>
      <c r="P93" s="28">
        <f>$P$85</f>
        <v>1</v>
      </c>
      <c r="Q93" s="28">
        <f>SUM(M93:P93)</f>
        <v>6</v>
      </c>
      <c r="R93" s="22">
        <f>MAX(R92-($J$30*M93*$L$33)+I93,0)</f>
        <v>46.141184608527738</v>
      </c>
      <c r="S93" s="22">
        <f>IF(U93&lt;&gt;0,(MAX(S92-($J$31*N93*$L$33)+J93,0)),(MAX(S92-($J$31*(N93+P93)*$L$33)+J93,0)))</f>
        <v>6.3363943056830063</v>
      </c>
      <c r="T93" s="22">
        <f>MAX(T92-($J$32*O93*$L$33)+K93,0)</f>
        <v>2.5384092864419041</v>
      </c>
      <c r="U93" s="22">
        <f>MAX(U92-($J$33*P93*$L$33)+L93,0)</f>
        <v>0</v>
      </c>
      <c r="V93" s="21">
        <f>IFERROR(R93*($I$30/M93),0)</f>
        <v>9.3172894080000059</v>
      </c>
      <c r="W93" s="21">
        <f>S93*($I$31/N93)</f>
        <v>5.4342628391999996</v>
      </c>
      <c r="X93" s="21">
        <f>IFERROR(T93*($I$32/O93),0)</f>
        <v>0.86967679040000145</v>
      </c>
      <c r="Y93" s="21">
        <f>IFERROR(U93*($I$33/P93),0)</f>
        <v>0</v>
      </c>
      <c r="Z93" s="221">
        <f>ROUNDUP(SUM(V93*$C$30,W93*$C$31,X93*$C$32,Y93*$C$33),0)</f>
        <v>7</v>
      </c>
      <c r="AA93" s="30">
        <f>IF(R93&lt;&gt;0,($J$30*M93*$L$33),0)</f>
        <v>4.2093794879413657</v>
      </c>
      <c r="AB93" s="30">
        <f>IF(W93&lt;&gt;0,($J$31*N93*$L$33),0)</f>
        <v>0.99110685647723318</v>
      </c>
      <c r="AC93" s="30">
        <f>IF(X93&lt;&gt;0,($J$32*O93*$L$33),0)</f>
        <v>2.4809767459508998</v>
      </c>
      <c r="AD93" s="30">
        <f>IF(Y93&lt;&gt;0,($J$33*P93*$L$33),0)</f>
        <v>0</v>
      </c>
      <c r="AE93" s="32">
        <f>SUM(AA93:AD93)</f>
        <v>7.6814630903694994</v>
      </c>
      <c r="AF93" s="33">
        <f>AE89</f>
        <v>7.6814630903694994</v>
      </c>
      <c r="AG93" s="40">
        <f>MAX(AG92-$Q$33+AF93,0)</f>
        <v>0</v>
      </c>
      <c r="AH93" s="224">
        <f>AG93*$P$33</f>
        <v>0</v>
      </c>
      <c r="AI93" s="227">
        <f>SUM(Z93,IF(Z93&lt;&gt;0,$F$31,0),IF(Z93&lt;&gt;0,$N$33,0),IF(Z93&lt;&gt;0,$T$33,0),IF(Z93=0,AH98,IF(Z93=1,AH99,IF(Z93=2,AH100,IF(Z93=3,AH101,IF(Z93=4,AH102,IF(Z93=5,AH103,IF(Z93=6,AH104,IF(Z93=7,AH105,IF(Z93=8,AH106,IF(Z93=9,AH107,IF(Z93=10,AH108,IF(Z93=11,AH109,IF(Z93=12,AH110,IF(Z93=13,AH111,IF(Z93=14,AH112,IF(Z93=15,AH113,IF(Z93=16,AH114,IF(Z93=17,AH115,IF(Z93=18,AH116,IF(Z93=19,AH117,IF(Z93=20,AH118,IF(Z93=21,AH119,IF(Z93=22,AH120,IF(Z93=23,AH121,IF(Z93=24,AH122,IF(Z93=25,AH123,IF(Z93=26,AH124,IF(Z93=27,AH125,IF(Z93=28,AH126,IF(Z93=29,AH127,IF(Z93=30,AH128))))))))))))))))))))))))))))))))</f>
        <v>28</v>
      </c>
    </row>
    <row r="94" spans="1:35" x14ac:dyDescent="0.35">
      <c r="A94" s="48">
        <v>1355</v>
      </c>
      <c r="B94" s="58">
        <f>SUMIF([2]!Table2_23[ETA],'FIS Optimal Model (3)'!A94,[2]!Table2_23[FIS PAX])</f>
        <v>0</v>
      </c>
      <c r="C94" s="44">
        <f>IF((D93-D94)&gt;-1,(D93-D94),18)</f>
        <v>0</v>
      </c>
      <c r="D94" s="52">
        <f>MAX(D93-$E$31+B93,0)</f>
        <v>0</v>
      </c>
      <c r="E94" s="26">
        <f>$C$30*C94</f>
        <v>0</v>
      </c>
      <c r="F94" s="26">
        <f>$C$31*C94</f>
        <v>0</v>
      </c>
      <c r="G94" s="26">
        <f>$C$32*C94</f>
        <v>0</v>
      </c>
      <c r="H94" s="26">
        <f>$C$33*C94</f>
        <v>0</v>
      </c>
      <c r="I94" s="27">
        <f>E89</f>
        <v>0</v>
      </c>
      <c r="J94" s="27">
        <f>F89</f>
        <v>0</v>
      </c>
      <c r="K94" s="27">
        <f>G89</f>
        <v>0</v>
      </c>
      <c r="L94" s="27">
        <f>H89</f>
        <v>0</v>
      </c>
      <c r="M94" s="28">
        <f>$M$85</f>
        <v>2</v>
      </c>
      <c r="N94" s="29">
        <f>$N$85</f>
        <v>2</v>
      </c>
      <c r="O94" s="28">
        <f>$O$85</f>
        <v>1</v>
      </c>
      <c r="P94" s="28">
        <f>$P$85</f>
        <v>1</v>
      </c>
      <c r="Q94" s="28">
        <f>SUM(M94:P94)</f>
        <v>6</v>
      </c>
      <c r="R94" s="22">
        <f>MAX(R93-($J$30*M94*$L$33)+I94,0)</f>
        <v>41.931805120586375</v>
      </c>
      <c r="S94" s="22">
        <f>IF(U94&lt;&gt;0,(MAX(S93-($J$31*N94*$L$33)+J94,0)),(MAX(S93-($J$31*(N94+P94)*$L$33)+J94,0)))</f>
        <v>4.8497340209671567</v>
      </c>
      <c r="T94" s="22">
        <f>MAX(T93-($J$32*O94*$L$33)+K94,0)</f>
        <v>5.7432540491004325E-2</v>
      </c>
      <c r="U94" s="22">
        <f>MAX(U93-($J$33*P94*$L$33)+L94,0)</f>
        <v>0</v>
      </c>
      <c r="V94" s="21">
        <f>IFERROR(R94*($I$30/M94),0)</f>
        <v>8.4672894080000063</v>
      </c>
      <c r="W94" s="21">
        <f>S94*($I$31/N94)</f>
        <v>4.1592628392000002</v>
      </c>
      <c r="X94" s="21">
        <f>IFERROR(T94*($I$32/O94),0)</f>
        <v>1.9676790400001518E-2</v>
      </c>
      <c r="Y94" s="21">
        <f>IFERROR(U94*($I$33/P94),0)</f>
        <v>0</v>
      </c>
      <c r="Z94" s="221">
        <f>ROUNDUP(SUM(V94*$C$30,W94*$C$31,X94*$C$32,Y94*$C$33),0)</f>
        <v>6</v>
      </c>
      <c r="AA94" s="30">
        <f>IF(R94&lt;&gt;0,($J$30*M94*$L$33),0)</f>
        <v>4.2093794879413657</v>
      </c>
      <c r="AB94" s="30">
        <f>IF(W94&lt;&gt;0,($J$31*N94*$L$33),0)</f>
        <v>0.99110685647723318</v>
      </c>
      <c r="AC94" s="30">
        <f>IF(X94&lt;&gt;0,($J$32*O94*$L$33),0)</f>
        <v>2.4809767459508998</v>
      </c>
      <c r="AD94" s="30">
        <f>IF(Y94&lt;&gt;0,($J$33*P94*$L$33),0)</f>
        <v>0</v>
      </c>
      <c r="AE94" s="32">
        <f>SUM(AA94:AD94)</f>
        <v>7.6814630903694994</v>
      </c>
      <c r="AF94" s="33">
        <f>AE90</f>
        <v>7.6814630903694994</v>
      </c>
      <c r="AG94" s="40">
        <f>MAX(AG93-$Q$33+AF94,0)</f>
        <v>0</v>
      </c>
      <c r="AH94" s="224">
        <f>AG94*$P$33</f>
        <v>0</v>
      </c>
      <c r="AI94" s="227">
        <f>SUM(Z94,IF(Z94&lt;&gt;0,$F$31,0),IF(Z94&lt;&gt;0,$N$33,0),IF(Z94&lt;&gt;0,$T$33,0),IF(Z94=0,AH99,IF(Z94=1,AH100,IF(Z94=2,AH101,IF(Z94=3,AH102,IF(Z94=4,AH103,IF(Z94=5,AH104,IF(Z94=6,AH105,IF(Z94=7,AH106,IF(Z94=8,AH107,IF(Z94=9,AH108,IF(Z94=10,AH109,IF(Z94=11,AH110,IF(Z94=12,AH111,IF(Z94=13,AH112,IF(Z94=14,AH113,IF(Z94=15,AH114,IF(Z94=16,AH115,IF(Z94=17,AH116,IF(Z94=18,AH117,IF(Z94=19,AH118,IF(Z94=20,AH119,IF(Z94=21,AH120,IF(Z94=22,AH121,IF(Z94=23,AH122,IF(Z94=24,AH123,IF(Z94=25,AH124,IF(Z94=26,AH125,IF(Z94=27,AH126,IF(Z94=28,AH127,IF(Z94=29,AH128,IF(Z94=30,AH129))))))))))))))))))))))))))))))))</f>
        <v>27</v>
      </c>
    </row>
    <row r="95" spans="1:35" x14ac:dyDescent="0.35">
      <c r="A95" s="48">
        <v>1356</v>
      </c>
      <c r="B95" s="58">
        <f>SUMIF([2]!Table2_23[ETA],'FIS Optimal Model (3)'!A95,[2]!Table2_23[FIS PAX])</f>
        <v>0</v>
      </c>
      <c r="C95" s="44">
        <f>IF((D94-D95)&gt;-1,(D94-D95),18)</f>
        <v>0</v>
      </c>
      <c r="D95" s="52">
        <f>MAX(D94-$E$31+B94,0)</f>
        <v>0</v>
      </c>
      <c r="E95" s="26">
        <f>$C$30*C95</f>
        <v>0</v>
      </c>
      <c r="F95" s="26">
        <f>$C$31*C95</f>
        <v>0</v>
      </c>
      <c r="G95" s="26">
        <f>$C$32*C95</f>
        <v>0</v>
      </c>
      <c r="H95" s="26">
        <f>$C$33*C95</f>
        <v>0</v>
      </c>
      <c r="I95" s="27">
        <f>E90</f>
        <v>0</v>
      </c>
      <c r="J95" s="27">
        <f>F90</f>
        <v>0</v>
      </c>
      <c r="K95" s="27">
        <f>G90</f>
        <v>0</v>
      </c>
      <c r="L95" s="27">
        <f>H90</f>
        <v>0</v>
      </c>
      <c r="M95" s="28">
        <f>$M$85</f>
        <v>2</v>
      </c>
      <c r="N95" s="29">
        <f>$N$85</f>
        <v>2</v>
      </c>
      <c r="O95" s="28">
        <f>$O$85</f>
        <v>1</v>
      </c>
      <c r="P95" s="28">
        <f>$P$85</f>
        <v>1</v>
      </c>
      <c r="Q95" s="28">
        <f>SUM(M95:P95)</f>
        <v>6</v>
      </c>
      <c r="R95" s="22">
        <f>MAX(R94-($J$30*M95*$L$33)+I95,0)</f>
        <v>37.722425632645013</v>
      </c>
      <c r="S95" s="22">
        <f>IF(U95&lt;&gt;0,(MAX(S94-($J$31*N95*$L$33)+J95,0)),(MAX(S94-($J$31*(N95+P95)*$L$33)+J95,0)))</f>
        <v>3.363073736251307</v>
      </c>
      <c r="T95" s="22">
        <f>MAX(T94-($J$32*O95*$L$33)+K95,0)</f>
        <v>0</v>
      </c>
      <c r="U95" s="22">
        <f>MAX(U94-($J$33*P95*$L$33)+L95,0)</f>
        <v>0</v>
      </c>
      <c r="V95" s="21">
        <f>IFERROR(R95*($I$30/M95),0)</f>
        <v>7.6172894080000075</v>
      </c>
      <c r="W95" s="21">
        <f>S95*($I$31/N95)</f>
        <v>2.8842628391999998</v>
      </c>
      <c r="X95" s="21">
        <f>IFERROR(T95*($I$32/O95),0)</f>
        <v>0</v>
      </c>
      <c r="Y95" s="21">
        <f>IFERROR(U95*($I$33/P95),0)</f>
        <v>0</v>
      </c>
      <c r="Z95" s="221">
        <f>ROUNDUP(SUM(V95*$C$30,W95*$C$31,X95*$C$32,Y95*$C$33),0)</f>
        <v>5</v>
      </c>
      <c r="AA95" s="30">
        <f>IF(R95&lt;&gt;0,($J$30*M95*$L$33),0)</f>
        <v>4.2093794879413657</v>
      </c>
      <c r="AB95" s="30">
        <f>IF(W95&lt;&gt;0,($J$31*N95*$L$33),0)</f>
        <v>0.99110685647723318</v>
      </c>
      <c r="AC95" s="30">
        <f>IF(X95&lt;&gt;0,($J$32*O95*$L$33),0)</f>
        <v>0</v>
      </c>
      <c r="AD95" s="30">
        <f>IF(Y95&lt;&gt;0,($J$33*P95*$L$33),0)</f>
        <v>0</v>
      </c>
      <c r="AE95" s="32">
        <f>SUM(AA95:AD95)</f>
        <v>5.2004863444185991</v>
      </c>
      <c r="AF95" s="33">
        <f>AE91</f>
        <v>7.6814630903694994</v>
      </c>
      <c r="AG95" s="40">
        <f>MAX(AG94-$Q$33+AF95,0)</f>
        <v>0</v>
      </c>
      <c r="AH95" s="224">
        <f>AG95*$P$33</f>
        <v>0</v>
      </c>
      <c r="AI95" s="227">
        <f>SUM(Z95,IF(Z95&lt;&gt;0,$F$31,0),IF(Z95&lt;&gt;0,$N$33,0),IF(Z95&lt;&gt;0,$T$33,0),IF(Z95=0,AH100,IF(Z95=1,AH101,IF(Z95=2,AH102,IF(Z95=3,AH103,IF(Z95=4,AH104,IF(Z95=5,AH105,IF(Z95=6,AH106,IF(Z95=7,AH107,IF(Z95=8,AH108,IF(Z95=9,AH109,IF(Z95=10,AH110,IF(Z95=11,AH111,IF(Z95=12,AH112,IF(Z95=13,AH113,IF(Z95=14,AH114,IF(Z95=15,AH115,IF(Z95=16,AH116,IF(Z95=17,AH117,IF(Z95=18,AH118,IF(Z95=19,AH119,IF(Z95=20,AH120,IF(Z95=21,AH121,IF(Z95=22,AH122,IF(Z95=23,AH123,IF(Z95=24,AH124,IF(Z95=25,AH125,IF(Z95=26,AH126,IF(Z95=27,AH127,IF(Z95=28,AH128,IF(Z95=29,AH129,IF(Z95=30,AH130))))))))))))))))))))))))))))))))</f>
        <v>26</v>
      </c>
    </row>
    <row r="96" spans="1:35" x14ac:dyDescent="0.35">
      <c r="A96" s="48">
        <v>1357</v>
      </c>
      <c r="B96" s="58">
        <f>SUMIF([2]!Table2_23[ETA],'FIS Optimal Model (3)'!A96,[2]!Table2_23[FIS PAX])</f>
        <v>0</v>
      </c>
      <c r="C96" s="44">
        <f>IF((D95-D96)&gt;-1,(D95-D96),18)</f>
        <v>0</v>
      </c>
      <c r="D96" s="52">
        <f>MAX(D95-$E$31+B95,0)</f>
        <v>0</v>
      </c>
      <c r="E96" s="26">
        <f>$C$30*C96</f>
        <v>0</v>
      </c>
      <c r="F96" s="26">
        <f>$C$31*C96</f>
        <v>0</v>
      </c>
      <c r="G96" s="26">
        <f>$C$32*C96</f>
        <v>0</v>
      </c>
      <c r="H96" s="26">
        <f>$C$33*C96</f>
        <v>0</v>
      </c>
      <c r="I96" s="27">
        <f>E91</f>
        <v>0</v>
      </c>
      <c r="J96" s="27">
        <f>F91</f>
        <v>0</v>
      </c>
      <c r="K96" s="27">
        <f>G91</f>
        <v>0</v>
      </c>
      <c r="L96" s="27">
        <f>H91</f>
        <v>0</v>
      </c>
      <c r="M96" s="28">
        <f>$M$85</f>
        <v>2</v>
      </c>
      <c r="N96" s="29">
        <f>$N$85</f>
        <v>2</v>
      </c>
      <c r="O96" s="28">
        <f>$O$85</f>
        <v>1</v>
      </c>
      <c r="P96" s="28">
        <f>$P$85</f>
        <v>1</v>
      </c>
      <c r="Q96" s="28">
        <f>SUM(M96:P96)</f>
        <v>6</v>
      </c>
      <c r="R96" s="22">
        <f>MAX(R95-($J$30*M96*$L$33)+I96,0)</f>
        <v>33.513046144703651</v>
      </c>
      <c r="S96" s="22">
        <f>IF(U96&lt;&gt;0,(MAX(S95-($J$31*N96*$L$33)+J96,0)),(MAX(S95-($J$31*(N96+P96)*$L$33)+J96,0)))</f>
        <v>1.8764134515354574</v>
      </c>
      <c r="T96" s="22">
        <f>MAX(T95-($J$32*O96*$L$33)+K96,0)</f>
        <v>0</v>
      </c>
      <c r="U96" s="22">
        <f>MAX(U95-($J$33*P96*$L$33)+L96,0)</f>
        <v>0</v>
      </c>
      <c r="V96" s="21">
        <f>IFERROR(R96*($I$30/M96),0)</f>
        <v>6.7672894080000079</v>
      </c>
      <c r="W96" s="21">
        <f>S96*($I$31/N96)</f>
        <v>1.6092628391999997</v>
      </c>
      <c r="X96" s="21">
        <f>IFERROR(T96*($I$32/O96),0)</f>
        <v>0</v>
      </c>
      <c r="Y96" s="21">
        <f>IFERROR(U96*($I$33/P96),0)</f>
        <v>0</v>
      </c>
      <c r="Z96" s="221">
        <f>ROUNDUP(SUM(V96*$C$30,W96*$C$31,X96*$C$32,Y96*$C$33),0)</f>
        <v>5</v>
      </c>
      <c r="AA96" s="30">
        <f>IF(R96&lt;&gt;0,($J$30*M96*$L$33),0)</f>
        <v>4.2093794879413657</v>
      </c>
      <c r="AB96" s="30">
        <f>IF(W96&lt;&gt;0,($J$31*N96*$L$33),0)</f>
        <v>0.99110685647723318</v>
      </c>
      <c r="AC96" s="30">
        <f>IF(X96&lt;&gt;0,($J$32*O96*$L$33),0)</f>
        <v>0</v>
      </c>
      <c r="AD96" s="30">
        <f>IF(Y96&lt;&gt;0,($J$33*P96*$L$33),0)</f>
        <v>0</v>
      </c>
      <c r="AE96" s="32">
        <f>SUM(AA96:AD96)</f>
        <v>5.2004863444185991</v>
      </c>
      <c r="AF96" s="33">
        <f>AE92</f>
        <v>7.6814630903694994</v>
      </c>
      <c r="AG96" s="40">
        <f>MAX(AG95-$Q$33+AF96,0)</f>
        <v>0</v>
      </c>
      <c r="AH96" s="224">
        <f>AG96*$P$33</f>
        <v>0</v>
      </c>
      <c r="AI96" s="227">
        <f>SUM(Z96,IF(Z96&lt;&gt;0,$F$31,0),IF(Z96&lt;&gt;0,$N$33,0),IF(Z96&lt;&gt;0,$T$33,0),IF(Z96=0,AH101,IF(Z96=1,AH102,IF(Z96=2,AH103,IF(Z96=3,AH104,IF(Z96=4,AH105,IF(Z96=5,AH106,IF(Z96=6,AH107,IF(Z96=7,AH108,IF(Z96=8,AH109,IF(Z96=9,AH110,IF(Z96=10,AH111,IF(Z96=11,AH112,IF(Z96=12,AH113,IF(Z96=13,AH114,IF(Z96=14,AH115,IF(Z96=15,AH116,IF(Z96=16,AH117,IF(Z96=17,AH118,IF(Z96=18,AH119,IF(Z96=19,AH120,IF(Z96=20,AH121,IF(Z96=21,AH122,IF(Z96=22,AH123,IF(Z96=23,AH124,IF(Z96=24,AH125,IF(Z96=25,AH126,IF(Z96=26,AH127,IF(Z96=27,AH128,IF(Z96=28,AH129,IF(Z96=29,AH130,IF(Z96=30,AH131))))))))))))))))))))))))))))))))</f>
        <v>26</v>
      </c>
    </row>
    <row r="97" spans="1:35" x14ac:dyDescent="0.35">
      <c r="A97" s="48">
        <v>1358</v>
      </c>
      <c r="B97" s="58">
        <f>SUMIF([2]!Table2_23[ETA],'FIS Optimal Model (3)'!A97,[2]!Table2_23[FIS PAX])</f>
        <v>0</v>
      </c>
      <c r="C97" s="44">
        <f>IF((D96-D97)&gt;-1,(D96-D97),18)</f>
        <v>0</v>
      </c>
      <c r="D97" s="52">
        <f>MAX(D96-$E$31+B96,0)</f>
        <v>0</v>
      </c>
      <c r="E97" s="26">
        <f>$C$30*C97</f>
        <v>0</v>
      </c>
      <c r="F97" s="26">
        <f>$C$31*C97</f>
        <v>0</v>
      </c>
      <c r="G97" s="26">
        <f>$C$32*C97</f>
        <v>0</v>
      </c>
      <c r="H97" s="26">
        <f>$C$33*C97</f>
        <v>0</v>
      </c>
      <c r="I97" s="27">
        <f>E92</f>
        <v>0</v>
      </c>
      <c r="J97" s="27">
        <f>F92</f>
        <v>0</v>
      </c>
      <c r="K97" s="27">
        <f>G92</f>
        <v>0</v>
      </c>
      <c r="L97" s="27">
        <f>H92</f>
        <v>0</v>
      </c>
      <c r="M97" s="28">
        <f>$M$85</f>
        <v>2</v>
      </c>
      <c r="N97" s="29">
        <f>$N$85</f>
        <v>2</v>
      </c>
      <c r="O97" s="28">
        <f>$O$85</f>
        <v>1</v>
      </c>
      <c r="P97" s="28">
        <f>$P$85</f>
        <v>1</v>
      </c>
      <c r="Q97" s="28">
        <f>SUM(M97:P97)</f>
        <v>6</v>
      </c>
      <c r="R97" s="22">
        <f>MAX(R96-($J$30*M97*$L$33)+I97,0)</f>
        <v>29.303666656762285</v>
      </c>
      <c r="S97" s="22">
        <f>IF(U97&lt;&gt;0,(MAX(S96-($J$31*N97*$L$33)+J97,0)),(MAX(S96-($J$31*(N97+P97)*$L$33)+J97,0)))</f>
        <v>0.3897531668196077</v>
      </c>
      <c r="T97" s="22">
        <f>MAX(T96-($J$32*O97*$L$33)+K97,0)</f>
        <v>0</v>
      </c>
      <c r="U97" s="22">
        <f>MAX(U96-($J$33*P97*$L$33)+L97,0)</f>
        <v>0</v>
      </c>
      <c r="V97" s="21">
        <f>IFERROR(R97*($I$30/M97),0)</f>
        <v>5.9172894080000082</v>
      </c>
      <c r="W97" s="21">
        <f>S97*($I$31/N97)</f>
        <v>0.33426283919999972</v>
      </c>
      <c r="X97" s="21">
        <f>IFERROR(T97*($I$32/O97),0)</f>
        <v>0</v>
      </c>
      <c r="Y97" s="21">
        <f>IFERROR(U97*($I$33/P97),0)</f>
        <v>0</v>
      </c>
      <c r="Z97" s="221">
        <f>ROUNDUP(SUM(V97*$C$30,W97*$C$31,X97*$C$32,Y97*$C$33),0)</f>
        <v>4</v>
      </c>
      <c r="AA97" s="30">
        <f>IF(R97&lt;&gt;0,($J$30*M97*$L$33),0)</f>
        <v>4.2093794879413657</v>
      </c>
      <c r="AB97" s="30">
        <f>IF(W97&lt;&gt;0,($J$31*N97*$L$33),0)</f>
        <v>0.99110685647723318</v>
      </c>
      <c r="AC97" s="30">
        <f>IF(X97&lt;&gt;0,($J$32*O97*$L$33),0)</f>
        <v>0</v>
      </c>
      <c r="AD97" s="30">
        <f>IF(Y97&lt;&gt;0,($J$33*P97*$L$33),0)</f>
        <v>0</v>
      </c>
      <c r="AE97" s="32">
        <f>SUM(AA97:AD97)</f>
        <v>5.2004863444185991</v>
      </c>
      <c r="AF97" s="33">
        <f>AE93</f>
        <v>7.6814630903694994</v>
      </c>
      <c r="AG97" s="40">
        <f>MAX(AG96-$Q$33+AF97,0)</f>
        <v>0</v>
      </c>
      <c r="AH97" s="224">
        <f>AG97*$P$33</f>
        <v>0</v>
      </c>
      <c r="AI97" s="227">
        <f>SUM(Z97,IF(Z97&lt;&gt;0,$F$31,0),IF(Z97&lt;&gt;0,$N$33,0),IF(Z97&lt;&gt;0,$T$33,0),IF(Z97=0,AH102,IF(Z97=1,AH103,IF(Z97=2,AH104,IF(Z97=3,AH105,IF(Z97=4,AH106,IF(Z97=5,AH107,IF(Z97=6,AH108,IF(Z97=7,AH109,IF(Z97=8,AH110,IF(Z97=9,AH111,IF(Z97=10,AH112,IF(Z97=11,AH113,IF(Z97=12,AH114,IF(Z97=13,AH115,IF(Z97=14,AH116,IF(Z97=15,AH117,IF(Z97=16,AH118,IF(Z97=17,AH119,IF(Z97=18,AH120,IF(Z97=19,AH121,IF(Z97=20,AH122,IF(Z97=21,AH123,IF(Z97=22,AH124,IF(Z97=23,AH125,IF(Z97=24,AH126,IF(Z97=25,AH127,IF(Z97=26,AH128,IF(Z97=27,AH129,IF(Z97=28,AH130,IF(Z97=29,AH131,IF(Z97=30,AH132))))))))))))))))))))))))))))))))</f>
        <v>25</v>
      </c>
    </row>
    <row r="98" spans="1:35" x14ac:dyDescent="0.35">
      <c r="A98" s="48">
        <v>1359</v>
      </c>
      <c r="B98" s="58">
        <f>SUMIF([2]!Table2_23[ETA],'FIS Optimal Model (3)'!A98,[2]!Table2_23[FIS PAX])</f>
        <v>0</v>
      </c>
      <c r="C98" s="44">
        <f>IF((D97-D98)&gt;-1,(D97-D98),18)</f>
        <v>0</v>
      </c>
      <c r="D98" s="52">
        <f>MAX(D97-$E$31+B97,0)</f>
        <v>0</v>
      </c>
      <c r="E98" s="26">
        <f>$C$30*C98</f>
        <v>0</v>
      </c>
      <c r="F98" s="26">
        <f>$C$31*C98</f>
        <v>0</v>
      </c>
      <c r="G98" s="26">
        <f>$C$32*C98</f>
        <v>0</v>
      </c>
      <c r="H98" s="26">
        <f>$C$33*C98</f>
        <v>0</v>
      </c>
      <c r="I98" s="27">
        <f>E93</f>
        <v>0</v>
      </c>
      <c r="J98" s="27">
        <f>F93</f>
        <v>0</v>
      </c>
      <c r="K98" s="27">
        <f>G93</f>
        <v>0</v>
      </c>
      <c r="L98" s="27">
        <f>H93</f>
        <v>0</v>
      </c>
      <c r="M98" s="28">
        <f>$M$85</f>
        <v>2</v>
      </c>
      <c r="N98" s="29">
        <f>$N$85</f>
        <v>2</v>
      </c>
      <c r="O98" s="28">
        <f>$O$85</f>
        <v>1</v>
      </c>
      <c r="P98" s="28">
        <f>$P$85</f>
        <v>1</v>
      </c>
      <c r="Q98" s="28">
        <f>SUM(M98:P98)</f>
        <v>6</v>
      </c>
      <c r="R98" s="22">
        <f>MAX(R97-($J$30*M98*$L$33)+I98,0)</f>
        <v>25.094287168820919</v>
      </c>
      <c r="S98" s="22">
        <f>IF(U98&lt;&gt;0,(MAX(S97-($J$31*N98*$L$33)+J98,0)),(MAX(S97-($J$31*(N98+P98)*$L$33)+J98,0)))</f>
        <v>0</v>
      </c>
      <c r="T98" s="22">
        <f>MAX(T97-($J$32*O98*$L$33)+K98,0)</f>
        <v>0</v>
      </c>
      <c r="U98" s="22">
        <f>MAX(U97-($J$33*P98*$L$33)+L98,0)</f>
        <v>0</v>
      </c>
      <c r="V98" s="21">
        <f>IFERROR(R98*($I$30/M98),0)</f>
        <v>5.0672894080000086</v>
      </c>
      <c r="W98" s="21">
        <f>S98*($I$31/N98)</f>
        <v>0</v>
      </c>
      <c r="X98" s="21">
        <f>IFERROR(T98*($I$32/O98),0)</f>
        <v>0</v>
      </c>
      <c r="Y98" s="21">
        <f>IFERROR(U98*($I$33/P98),0)</f>
        <v>0</v>
      </c>
      <c r="Z98" s="221">
        <f>ROUNDUP(SUM(V98*$C$30,W98*$C$31,X98*$C$32,Y98*$C$33),0)</f>
        <v>3</v>
      </c>
      <c r="AA98" s="30">
        <f>IF(R98&lt;&gt;0,($J$30*M98*$L$33),0)</f>
        <v>4.2093794879413657</v>
      </c>
      <c r="AB98" s="30">
        <f>IF(W98&lt;&gt;0,($J$31*N98*$L$33),0)</f>
        <v>0</v>
      </c>
      <c r="AC98" s="30">
        <f>IF(X98&lt;&gt;0,($J$32*O98*$L$33),0)</f>
        <v>0</v>
      </c>
      <c r="AD98" s="30">
        <f>IF(Y98&lt;&gt;0,($J$33*P98*$L$33),0)</f>
        <v>0</v>
      </c>
      <c r="AE98" s="32">
        <f>SUM(AA98:AD98)</f>
        <v>4.2093794879413657</v>
      </c>
      <c r="AF98" s="33">
        <f>AE94</f>
        <v>7.6814630903694994</v>
      </c>
      <c r="AG98" s="40">
        <f>MAX(AG97-$Q$33+AF98,0)</f>
        <v>0</v>
      </c>
      <c r="AH98" s="224">
        <f>AG98*$P$33</f>
        <v>0</v>
      </c>
      <c r="AI98" s="227">
        <f>SUM(Z98,IF(Z98&lt;&gt;0,$F$31,0),IF(Z98&lt;&gt;0,$N$33,0),IF(Z98&lt;&gt;0,$T$33,0),IF(Z98=0,AH103,IF(Z98=1,AH104,IF(Z98=2,AH105,IF(Z98=3,AH106,IF(Z98=4,AH107,IF(Z98=5,AH108,IF(Z98=6,AH109,IF(Z98=7,AH110,IF(Z98=8,AH111,IF(Z98=9,AH112,IF(Z98=10,AH113,IF(Z98=11,AH114,IF(Z98=12,AH115,IF(Z98=13,AH116,IF(Z98=14,AH117,IF(Z98=15,AH118,IF(Z98=16,AH119,IF(Z98=17,AH120,IF(Z98=18,AH121,IF(Z98=19,AH122,IF(Z98=20,AH123,IF(Z98=21,AH124,IF(Z98=22,AH125,IF(Z98=23,AH126,IF(Z98=24,AH127,IF(Z98=25,AH128,IF(Z98=26,AH129,IF(Z98=27,AH130,IF(Z98=28,AH131,IF(Z98=29,AH132,IF(Z98=30,AH133))))))))))))))))))))))))))))))))</f>
        <v>24</v>
      </c>
    </row>
    <row r="99" spans="1:35" x14ac:dyDescent="0.35">
      <c r="A99" s="48">
        <v>1400</v>
      </c>
      <c r="B99" s="58">
        <f>SUMIF([2]!Table2_23[ETA],'FIS Optimal Model (3)'!A99,[2]!Table2_23[FIS PAX])</f>
        <v>0</v>
      </c>
      <c r="C99" s="44">
        <f>IF((D98-D99)&gt;-1,(D98-D99),18)</f>
        <v>0</v>
      </c>
      <c r="D99" s="52">
        <f>MAX(D98-$E$31+B98,0)</f>
        <v>0</v>
      </c>
      <c r="E99" s="26">
        <f>$C$30*C99</f>
        <v>0</v>
      </c>
      <c r="F99" s="26">
        <f>$C$31*C99</f>
        <v>0</v>
      </c>
      <c r="G99" s="26">
        <f>$C$32*C99</f>
        <v>0</v>
      </c>
      <c r="H99" s="26">
        <f>$C$33*C99</f>
        <v>0</v>
      </c>
      <c r="I99" s="27">
        <f>E94</f>
        <v>0</v>
      </c>
      <c r="J99" s="27">
        <f>F94</f>
        <v>0</v>
      </c>
      <c r="K99" s="27">
        <f>G94</f>
        <v>0</v>
      </c>
      <c r="L99" s="27">
        <f>H94</f>
        <v>0</v>
      </c>
      <c r="M99" s="28">
        <f>$M$85</f>
        <v>2</v>
      </c>
      <c r="N99" s="29">
        <f>$N$85</f>
        <v>2</v>
      </c>
      <c r="O99" s="28">
        <f>$O$85</f>
        <v>1</v>
      </c>
      <c r="P99" s="28">
        <f>$P$85</f>
        <v>1</v>
      </c>
      <c r="Q99" s="28">
        <f>SUM(M99:P99)</f>
        <v>6</v>
      </c>
      <c r="R99" s="22">
        <f>MAX(R98-($J$30*M99*$L$33)+I99,0)</f>
        <v>20.884907680879554</v>
      </c>
      <c r="S99" s="22">
        <f>IF(U99&lt;&gt;0,(MAX(S98-($J$31*N99*$L$33)+J99,0)),(MAX(S98-($J$31*(N99+P99)*$L$33)+J99,0)))</f>
        <v>0</v>
      </c>
      <c r="T99" s="22">
        <f>MAX(T98-($J$32*O99*$L$33)+K99,0)</f>
        <v>0</v>
      </c>
      <c r="U99" s="22">
        <f>MAX(U98-($J$33*P99*$L$33)+L99,0)</f>
        <v>0</v>
      </c>
      <c r="V99" s="21">
        <f>IFERROR(R99*($I$30/M99),0)</f>
        <v>4.2172894080000081</v>
      </c>
      <c r="W99" s="21">
        <f>S99*($I$31/N99)</f>
        <v>0</v>
      </c>
      <c r="X99" s="21">
        <f>IFERROR(T99*($I$32/O99),0)</f>
        <v>0</v>
      </c>
      <c r="Y99" s="21">
        <f>IFERROR(U99*($I$33/P99),0)</f>
        <v>0</v>
      </c>
      <c r="Z99" s="221">
        <f>ROUNDUP(SUM(V99*$C$30,W99*$C$31,X99*$C$32,Y99*$C$33),0)</f>
        <v>3</v>
      </c>
      <c r="AA99" s="30">
        <f>IF(R99&lt;&gt;0,($J$30*M99*$L$33),0)</f>
        <v>4.2093794879413657</v>
      </c>
      <c r="AB99" s="30">
        <f>IF(W99&lt;&gt;0,($J$31*N99*$L$33),0)</f>
        <v>0</v>
      </c>
      <c r="AC99" s="30">
        <f>IF(X99&lt;&gt;0,($J$32*O99*$L$33),0)</f>
        <v>0</v>
      </c>
      <c r="AD99" s="30">
        <f>IF(Y99&lt;&gt;0,($J$33*P99*$L$33),0)</f>
        <v>0</v>
      </c>
      <c r="AE99" s="32">
        <f>SUM(AA99:AD99)</f>
        <v>4.2093794879413657</v>
      </c>
      <c r="AF99" s="33">
        <f>AE95</f>
        <v>5.2004863444185991</v>
      </c>
      <c r="AG99" s="40">
        <f>MAX(AG98-$Q$33+AF99,0)</f>
        <v>0</v>
      </c>
      <c r="AH99" s="224">
        <f>AG99*$P$33</f>
        <v>0</v>
      </c>
      <c r="AI99" s="227">
        <f>SUM(Z99,IF(Z99&lt;&gt;0,$F$31,0),IF(Z99&lt;&gt;0,$N$33,0),IF(Z99&lt;&gt;0,$T$33,0),IF(Z99=0,AH104,IF(Z99=1,AH105,IF(Z99=2,AH106,IF(Z99=3,AH107,IF(Z99=4,AH108,IF(Z99=5,AH109,IF(Z99=6,AH110,IF(Z99=7,AH111,IF(Z99=8,AH112,IF(Z99=9,AH113,IF(Z99=10,AH114,IF(Z99=11,AH115,IF(Z99=12,AH116,IF(Z99=13,AH117,IF(Z99=14,AH118,IF(Z99=15,AH119,IF(Z99=16,AH120,IF(Z99=17,AH121,IF(Z99=18,AH122,IF(Z99=19,AH123,IF(Z99=20,AH124,IF(Z99=21,AH125,IF(Z99=22,AH126,IF(Z99=23,AH127,IF(Z99=24,AH128,IF(Z99=25,AH129,IF(Z99=26,AH130,IF(Z99=27,AH131,IF(Z99=28,AH132,IF(Z99=29,AH133,IF(Z99=30,AH134))))))))))))))))))))))))))))))))</f>
        <v>24</v>
      </c>
    </row>
    <row r="100" spans="1:35" x14ac:dyDescent="0.35">
      <c r="A100" s="48">
        <v>1401</v>
      </c>
      <c r="B100" s="58">
        <f>SUMIF([2]!Table2_23[ETA],'FIS Optimal Model (3)'!A100,[2]!Table2_23[FIS PAX])</f>
        <v>0</v>
      </c>
      <c r="C100" s="44">
        <f>IF((D99-D100)&gt;-1,(D99-D100),18)</f>
        <v>0</v>
      </c>
      <c r="D100" s="52">
        <f>MAX(D99-$E$31+B99,0)</f>
        <v>0</v>
      </c>
      <c r="E100" s="26">
        <f>$C$30*C100</f>
        <v>0</v>
      </c>
      <c r="F100" s="26">
        <f>$C$31*C100</f>
        <v>0</v>
      </c>
      <c r="G100" s="26">
        <f>$C$32*C100</f>
        <v>0</v>
      </c>
      <c r="H100" s="26">
        <f>$C$33*C100</f>
        <v>0</v>
      </c>
      <c r="I100" s="27">
        <f>E95</f>
        <v>0</v>
      </c>
      <c r="J100" s="27">
        <f>F95</f>
        <v>0</v>
      </c>
      <c r="K100" s="27">
        <f>G95</f>
        <v>0</v>
      </c>
      <c r="L100" s="27">
        <f>H95</f>
        <v>0</v>
      </c>
      <c r="M100" s="28">
        <f>IF(R99=0,0,$Q$10)</f>
        <v>2</v>
      </c>
      <c r="N100" s="29">
        <f>$U$10-M100-O100-P100</f>
        <v>4</v>
      </c>
      <c r="O100" s="28">
        <f>IF(T99=0,0,$S$10)</f>
        <v>0</v>
      </c>
      <c r="P100" s="28">
        <f>IF(U99=0,0,$T$10)</f>
        <v>0</v>
      </c>
      <c r="Q100" s="28">
        <f>SUM(M100:P100)</f>
        <v>6</v>
      </c>
      <c r="R100" s="22">
        <f>MAX(R99-($J$30*M100*$L$33)+I100,0)</f>
        <v>16.675528192938188</v>
      </c>
      <c r="S100" s="22">
        <f>IF(U100&lt;&gt;0,(MAX(S99-($J$31*N100*$L$33)+J100,0)),(MAX(S99-($J$31*(N100+P100)*$L$33)+J100,0)))</f>
        <v>0</v>
      </c>
      <c r="T100" s="22">
        <f>MAX(T99-($J$32*O100*$L$33)+K100,0)</f>
        <v>0</v>
      </c>
      <c r="U100" s="22">
        <f>MAX(U99-($J$33*P100*$L$33)+L100,0)</f>
        <v>0</v>
      </c>
      <c r="V100" s="21">
        <f>IFERROR(R100*($I$30/M100),0)</f>
        <v>3.3672894080000084</v>
      </c>
      <c r="W100" s="21">
        <f>S100*($I$31/N100)</f>
        <v>0</v>
      </c>
      <c r="X100" s="21">
        <f>IFERROR(T100*($I$32/O100),0)</f>
        <v>0</v>
      </c>
      <c r="Y100" s="21">
        <f>IFERROR(U100*($I$33/P100),0)</f>
        <v>0</v>
      </c>
      <c r="Z100" s="221">
        <f>ROUNDUP(SUM(V100*$C$30,W100*$C$31,X100*$C$32,Y100*$C$33),0)</f>
        <v>2</v>
      </c>
      <c r="AA100" s="30">
        <f>IF(R100&lt;&gt;0,($J$30*M100*$L$33),0)</f>
        <v>4.2093794879413657</v>
      </c>
      <c r="AB100" s="30">
        <f>IF(W100&lt;&gt;0,($J$31*N100*$L$33),0)</f>
        <v>0</v>
      </c>
      <c r="AC100" s="30">
        <f>IF(X100&lt;&gt;0,($J$32*O100*$L$33),0)</f>
        <v>0</v>
      </c>
      <c r="AD100" s="30">
        <f>IF(Y100&lt;&gt;0,($J$33*P100*$L$33),0)</f>
        <v>0</v>
      </c>
      <c r="AE100" s="32">
        <f>SUM(AA100:AD100)</f>
        <v>4.2093794879413657</v>
      </c>
      <c r="AF100" s="33">
        <f>AE96</f>
        <v>5.2004863444185991</v>
      </c>
      <c r="AG100" s="40">
        <f>MAX(AG99-$Q$33+AF100,0)</f>
        <v>0</v>
      </c>
      <c r="AH100" s="224">
        <f>AG100*$P$33</f>
        <v>0</v>
      </c>
      <c r="AI100" s="227">
        <f>SUM(Z100,IF(Z100&lt;&gt;0,$F$31,0),IF(Z100&lt;&gt;0,$N$33,0),IF(Z100&lt;&gt;0,$T$33,0),IF(Z100=0,AH105,IF(Z100=1,AH106,IF(Z100=2,AH107,IF(Z100=3,AH108,IF(Z100=4,AH109,IF(Z100=5,AH110,IF(Z100=6,AH111,IF(Z100=7,AH112,IF(Z100=8,AH113,IF(Z100=9,AH114,IF(Z100=10,AH115,IF(Z100=11,AH116,IF(Z100=12,AH117,IF(Z100=13,AH118,IF(Z100=14,AH119,IF(Z100=15,AH120,IF(Z100=16,AH121,IF(Z100=17,AH122,IF(Z100=18,AH123,IF(Z100=19,AH124,IF(Z100=20,AH125,IF(Z100=21,AH126,IF(Z100=22,AH127,IF(Z100=23,AH128,IF(Z100=24,AH129,IF(Z100=25,AH130,IF(Z100=26,AH131,IF(Z100=27,AH132,IF(Z100=28,AH133,IF(Z100=29,AH134,IF(Z100=30,AH135))))))))))))))))))))))))))))))))</f>
        <v>23</v>
      </c>
    </row>
    <row r="101" spans="1:35" x14ac:dyDescent="0.35">
      <c r="A101" s="48">
        <v>1402</v>
      </c>
      <c r="B101" s="58">
        <f>SUMIF([2]!Table2_23[ETA],'FIS Optimal Model (3)'!A101,[2]!Table2_23[FIS PAX])</f>
        <v>0</v>
      </c>
      <c r="C101" s="44">
        <f>IF((D100-D101)&gt;-1,(D100-D101),18)</f>
        <v>0</v>
      </c>
      <c r="D101" s="52">
        <f>MAX(D100-$E$31+B100,0)</f>
        <v>0</v>
      </c>
      <c r="E101" s="26">
        <f>$C$30*C101</f>
        <v>0</v>
      </c>
      <c r="F101" s="26">
        <f>$C$31*C101</f>
        <v>0</v>
      </c>
      <c r="G101" s="26">
        <f>$C$32*C101</f>
        <v>0</v>
      </c>
      <c r="H101" s="26">
        <f>$C$33*C101</f>
        <v>0</v>
      </c>
      <c r="I101" s="27">
        <f>E96</f>
        <v>0</v>
      </c>
      <c r="J101" s="27">
        <f>F96</f>
        <v>0</v>
      </c>
      <c r="K101" s="27">
        <f>G96</f>
        <v>0</v>
      </c>
      <c r="L101" s="27">
        <f>H96</f>
        <v>0</v>
      </c>
      <c r="M101" s="28">
        <f>$M$100</f>
        <v>2</v>
      </c>
      <c r="N101" s="29">
        <f>$N$100</f>
        <v>4</v>
      </c>
      <c r="O101" s="28">
        <f>$O$100</f>
        <v>0</v>
      </c>
      <c r="P101" s="28">
        <f>$P$100</f>
        <v>0</v>
      </c>
      <c r="Q101" s="28">
        <f>SUM(M101:P101)</f>
        <v>6</v>
      </c>
      <c r="R101" s="22">
        <f>MAX(R100-($J$30*M101*$L$33)+I101,0)</f>
        <v>12.466148704996822</v>
      </c>
      <c r="S101" s="22">
        <f>IF(U101&lt;&gt;0,(MAX(S100-($J$31*N101*$L$33)+J101,0)),(MAX(S100-($J$31*(N101+P101)*$L$33)+J101,0)))</f>
        <v>0</v>
      </c>
      <c r="T101" s="22">
        <f>MAX(T100-($J$32*O101*$L$33)+K101,0)</f>
        <v>0</v>
      </c>
      <c r="U101" s="22">
        <f>MAX(U100-($J$33*P101*$L$33)+L101,0)</f>
        <v>0</v>
      </c>
      <c r="V101" s="21">
        <f>IFERROR(R101*($I$30/M101),0)</f>
        <v>2.5172894080000083</v>
      </c>
      <c r="W101" s="21">
        <f>S101*($I$31/N101)</f>
        <v>0</v>
      </c>
      <c r="X101" s="21">
        <f>IFERROR(T101*($I$32/O101),0)</f>
        <v>0</v>
      </c>
      <c r="Y101" s="21">
        <f>IFERROR(U101*($I$33/P101),0)</f>
        <v>0</v>
      </c>
      <c r="Z101" s="221">
        <f>ROUNDUP(SUM(V101*$C$30,W101*$C$31,X101*$C$32,Y101*$C$33),0)</f>
        <v>2</v>
      </c>
      <c r="AA101" s="30">
        <f>IF(R101&lt;&gt;0,($J$30*M101*$L$33),0)</f>
        <v>4.2093794879413657</v>
      </c>
      <c r="AB101" s="30">
        <f>IF(W101&lt;&gt;0,($J$31*N101*$L$33),0)</f>
        <v>0</v>
      </c>
      <c r="AC101" s="30">
        <f>IF(X101&lt;&gt;0,($J$32*O101*$L$33),0)</f>
        <v>0</v>
      </c>
      <c r="AD101" s="30">
        <f>IF(Y101&lt;&gt;0,($J$33*P101*$L$33),0)</f>
        <v>0</v>
      </c>
      <c r="AE101" s="32">
        <f>SUM(AA101:AD101)</f>
        <v>4.2093794879413657</v>
      </c>
      <c r="AF101" s="33">
        <f>AE97</f>
        <v>5.2004863444185991</v>
      </c>
      <c r="AG101" s="40">
        <f>MAX(AG100-$Q$33+AF101,0)</f>
        <v>0</v>
      </c>
      <c r="AH101" s="224">
        <f>AG101*$P$33</f>
        <v>0</v>
      </c>
      <c r="AI101" s="227">
        <f>SUM(Z101,IF(Z101&lt;&gt;0,$F$31,0),IF(Z101&lt;&gt;0,$N$33,0),IF(Z101&lt;&gt;0,$T$33,0),IF(Z101=0,AH106,IF(Z101=1,AH107,IF(Z101=2,AH108,IF(Z101=3,AH109,IF(Z101=4,AH110,IF(Z101=5,AH111,IF(Z101=6,AH112,IF(Z101=7,AH113,IF(Z101=8,AH114,IF(Z101=9,AH115,IF(Z101=10,AH116,IF(Z101=11,AH117,IF(Z101=12,AH118,IF(Z101=13,AH119,IF(Z101=14,AH120,IF(Z101=15,AH121,IF(Z101=16,AH122,IF(Z101=17,AH123,IF(Z101=18,AH124,IF(Z101=19,AH125,IF(Z101=20,AH126,IF(Z101=21,AH127,IF(Z101=22,AH128,IF(Z101=23,AH129,IF(Z101=24,AH130,IF(Z101=25,AH131,IF(Z101=26,AH132,IF(Z101=27,AH133,IF(Z101=28,AH134,IF(Z101=29,AH135,IF(Z101=30,AH136))))))))))))))))))))))))))))))))</f>
        <v>23</v>
      </c>
    </row>
    <row r="102" spans="1:35" x14ac:dyDescent="0.35">
      <c r="A102" s="48">
        <v>1403</v>
      </c>
      <c r="B102" s="58">
        <f>SUMIF([2]!Table2_23[ETA],'FIS Optimal Model (3)'!A102,[2]!Table2_23[FIS PAX])</f>
        <v>0</v>
      </c>
      <c r="C102" s="44">
        <f>IF((D101-D102)&gt;-1,(D101-D102),18)</f>
        <v>0</v>
      </c>
      <c r="D102" s="52">
        <f>MAX(D101-$E$31+B101,0)</f>
        <v>0</v>
      </c>
      <c r="E102" s="26">
        <f>$C$30*C102</f>
        <v>0</v>
      </c>
      <c r="F102" s="26">
        <f>$C$31*C102</f>
        <v>0</v>
      </c>
      <c r="G102" s="26">
        <f>$C$32*C102</f>
        <v>0</v>
      </c>
      <c r="H102" s="26">
        <f>$C$33*C102</f>
        <v>0</v>
      </c>
      <c r="I102" s="27">
        <f>E97</f>
        <v>0</v>
      </c>
      <c r="J102" s="27">
        <f>F97</f>
        <v>0</v>
      </c>
      <c r="K102" s="27">
        <f>G97</f>
        <v>0</v>
      </c>
      <c r="L102" s="27">
        <f>H97</f>
        <v>0</v>
      </c>
      <c r="M102" s="28">
        <f>$M$100</f>
        <v>2</v>
      </c>
      <c r="N102" s="29">
        <f>$N$100</f>
        <v>4</v>
      </c>
      <c r="O102" s="28">
        <f>$O$100</f>
        <v>0</v>
      </c>
      <c r="P102" s="28">
        <f>$P$100</f>
        <v>0</v>
      </c>
      <c r="Q102" s="28">
        <f>SUM(M102:P102)</f>
        <v>6</v>
      </c>
      <c r="R102" s="22">
        <f>MAX(R101-($J$30*M102*$L$33)+I102,0)</f>
        <v>8.2567692170554565</v>
      </c>
      <c r="S102" s="22">
        <f>IF(U102&lt;&gt;0,(MAX(S101-($J$31*N102*$L$33)+J102,0)),(MAX(S101-($J$31*(N102+P102)*$L$33)+J102,0)))</f>
        <v>0</v>
      </c>
      <c r="T102" s="22">
        <f>MAX(T101-($J$32*O102*$L$33)+K102,0)</f>
        <v>0</v>
      </c>
      <c r="U102" s="22">
        <f>MAX(U101-($J$33*P102*$L$33)+L102,0)</f>
        <v>0</v>
      </c>
      <c r="V102" s="21">
        <f>IFERROR(R102*($I$30/M102),0)</f>
        <v>1.6672894080000082</v>
      </c>
      <c r="W102" s="21">
        <f>S102*($I$31/N102)</f>
        <v>0</v>
      </c>
      <c r="X102" s="21">
        <f>IFERROR(T102*($I$32/O102),0)</f>
        <v>0</v>
      </c>
      <c r="Y102" s="21">
        <f>IFERROR(U102*($I$33/P102),0)</f>
        <v>0</v>
      </c>
      <c r="Z102" s="221">
        <f>ROUNDUP(SUM(V102*$C$30,W102*$C$31,X102*$C$32,Y102*$C$33),0)</f>
        <v>1</v>
      </c>
      <c r="AA102" s="30">
        <f>IF(R102&lt;&gt;0,($J$30*M102*$L$33),0)</f>
        <v>4.2093794879413657</v>
      </c>
      <c r="AB102" s="30">
        <f>IF(W102&lt;&gt;0,($J$31*N102*$L$33),0)</f>
        <v>0</v>
      </c>
      <c r="AC102" s="30">
        <f>IF(X102&lt;&gt;0,($J$32*O102*$L$33),0)</f>
        <v>0</v>
      </c>
      <c r="AD102" s="30">
        <f>IF(Y102&lt;&gt;0,($J$33*P102*$L$33),0)</f>
        <v>0</v>
      </c>
      <c r="AE102" s="32">
        <f>SUM(AA102:AD102)</f>
        <v>4.2093794879413657</v>
      </c>
      <c r="AF102" s="33">
        <f>AE98</f>
        <v>4.2093794879413657</v>
      </c>
      <c r="AG102" s="40">
        <f>MAX(AG101-$Q$33+AF102,0)</f>
        <v>0</v>
      </c>
      <c r="AH102" s="224">
        <f>AG102*$P$33</f>
        <v>0</v>
      </c>
      <c r="AI102" s="227">
        <f>SUM(Z102,IF(Z102&lt;&gt;0,$F$31,0),IF(Z102&lt;&gt;0,$N$33,0),IF(Z102&lt;&gt;0,$T$33,0),IF(Z102=0,AH107,IF(Z102=1,AH108,IF(Z102=2,AH109,IF(Z102=3,AH110,IF(Z102=4,AH111,IF(Z102=5,AH112,IF(Z102=6,AH113,IF(Z102=7,AH114,IF(Z102=8,AH115,IF(Z102=9,AH116,IF(Z102=10,AH117,IF(Z102=11,AH118,IF(Z102=12,AH119,IF(Z102=13,AH120,IF(Z102=14,AH121,IF(Z102=15,AH122,IF(Z102=16,AH123,IF(Z102=17,AH124,IF(Z102=18,AH125,IF(Z102=19,AH126,IF(Z102=20,AH127,IF(Z102=21,AH128,IF(Z102=22,AH129,IF(Z102=23,AH130,IF(Z102=24,AH131,IF(Z102=25,AH132,IF(Z102=26,AH133,IF(Z102=27,AH134,IF(Z102=28,AH135,IF(Z102=29,AH136,IF(Z102=30,AH137))))))))))))))))))))))))))))))))</f>
        <v>22</v>
      </c>
    </row>
    <row r="103" spans="1:35" x14ac:dyDescent="0.35">
      <c r="A103" s="48">
        <v>1404</v>
      </c>
      <c r="B103" s="58">
        <f>SUMIF([2]!Table2_23[ETA],'FIS Optimal Model (3)'!A103,[2]!Table2_23[FIS PAX])</f>
        <v>0</v>
      </c>
      <c r="C103" s="44">
        <f>IF((D102-D103)&gt;-1,(D102-D103),18)</f>
        <v>0</v>
      </c>
      <c r="D103" s="52">
        <f>MAX(D102-$E$31+B102,0)</f>
        <v>0</v>
      </c>
      <c r="E103" s="26">
        <f>$C$30*C103</f>
        <v>0</v>
      </c>
      <c r="F103" s="26">
        <f>$C$31*C103</f>
        <v>0</v>
      </c>
      <c r="G103" s="26">
        <f>$C$32*C103</f>
        <v>0</v>
      </c>
      <c r="H103" s="26">
        <f>$C$33*C103</f>
        <v>0</v>
      </c>
      <c r="I103" s="27">
        <f>E98</f>
        <v>0</v>
      </c>
      <c r="J103" s="27">
        <f>F98</f>
        <v>0</v>
      </c>
      <c r="K103" s="27">
        <f>G98</f>
        <v>0</v>
      </c>
      <c r="L103" s="27">
        <f>H98</f>
        <v>0</v>
      </c>
      <c r="M103" s="28">
        <f>$M$100</f>
        <v>2</v>
      </c>
      <c r="N103" s="29">
        <f>$N$100</f>
        <v>4</v>
      </c>
      <c r="O103" s="28">
        <f>$O$100</f>
        <v>0</v>
      </c>
      <c r="P103" s="28">
        <f>$P$100</f>
        <v>0</v>
      </c>
      <c r="Q103" s="28">
        <f>SUM(M103:P103)</f>
        <v>6</v>
      </c>
      <c r="R103" s="22">
        <f>MAX(R102-($J$30*M103*$L$33)+I103,0)</f>
        <v>4.0473897291140908</v>
      </c>
      <c r="S103" s="22">
        <f>IF(U103&lt;&gt;0,(MAX(S102-($J$31*N103*$L$33)+J103,0)),(MAX(S102-($J$31*(N103+P103)*$L$33)+J103,0)))</f>
        <v>0</v>
      </c>
      <c r="T103" s="22">
        <f>MAX(T102-($J$32*O103*$L$33)+K103,0)</f>
        <v>0</v>
      </c>
      <c r="U103" s="22">
        <f>MAX(U102-($J$33*P103*$L$33)+L103,0)</f>
        <v>0</v>
      </c>
      <c r="V103" s="21">
        <f>IFERROR(R103*($I$30/M103),0)</f>
        <v>0.81728940800000838</v>
      </c>
      <c r="W103" s="21">
        <f>S103*($I$31/N103)</f>
        <v>0</v>
      </c>
      <c r="X103" s="21">
        <f>IFERROR(T103*($I$32/O103),0)</f>
        <v>0</v>
      </c>
      <c r="Y103" s="21">
        <f>IFERROR(U103*($I$33/P103),0)</f>
        <v>0</v>
      </c>
      <c r="Z103" s="221">
        <f>ROUNDUP(SUM(V103*$C$30,W103*$C$31,X103*$C$32,Y103*$C$33),0)</f>
        <v>1</v>
      </c>
      <c r="AA103" s="30">
        <f>IF(R103&lt;&gt;0,($J$30*M103*$L$33),0)</f>
        <v>4.2093794879413657</v>
      </c>
      <c r="AB103" s="30">
        <f>IF(W103&lt;&gt;0,($J$31*N103*$L$33),0)</f>
        <v>0</v>
      </c>
      <c r="AC103" s="30">
        <f>IF(X103&lt;&gt;0,($J$32*O103*$L$33),0)</f>
        <v>0</v>
      </c>
      <c r="AD103" s="30">
        <f>IF(Y103&lt;&gt;0,($J$33*P103*$L$33),0)</f>
        <v>0</v>
      </c>
      <c r="AE103" s="32">
        <f>SUM(AA103:AD103)</f>
        <v>4.2093794879413657</v>
      </c>
      <c r="AF103" s="33">
        <f>AE99</f>
        <v>4.2093794879413657</v>
      </c>
      <c r="AG103" s="40">
        <f>MAX(AG102-$Q$33+AF103,0)</f>
        <v>0</v>
      </c>
      <c r="AH103" s="224">
        <f>AG103*$P$33</f>
        <v>0</v>
      </c>
      <c r="AI103" s="227">
        <f>SUM(Z103,IF(Z103&lt;&gt;0,$F$31,0),IF(Z103&lt;&gt;0,$N$33,0),IF(Z103&lt;&gt;0,$T$33,0),IF(Z103=0,AH108,IF(Z103=1,AH109,IF(Z103=2,AH110,IF(Z103=3,AH111,IF(Z103=4,AH112,IF(Z103=5,AH113,IF(Z103=6,AH114,IF(Z103=7,AH115,IF(Z103=8,AH116,IF(Z103=9,AH117,IF(Z103=10,AH118,IF(Z103=11,AH119,IF(Z103=12,AH120,IF(Z103=13,AH121,IF(Z103=14,AH122,IF(Z103=15,AH123,IF(Z103=16,AH124,IF(Z103=17,AH125,IF(Z103=18,AH126,IF(Z103=19,AH127,IF(Z103=20,AH128,IF(Z103=21,AH129,IF(Z103=22,AH130,IF(Z103=23,AH131,IF(Z103=24,AH132,IF(Z103=25,AH133,IF(Z103=26,AH134,IF(Z103=27,AH135,IF(Z103=28,AH136,IF(Z103=29,AH137,IF(Z103=30,AH138))))))))))))))))))))))))))))))))</f>
        <v>22</v>
      </c>
    </row>
    <row r="104" spans="1:35" x14ac:dyDescent="0.35">
      <c r="A104" s="48">
        <v>1405</v>
      </c>
      <c r="B104" s="58">
        <f>SUMIF([2]!Table2_23[ETA],'FIS Optimal Model (3)'!A104,[2]!Table2_23[FIS PAX])</f>
        <v>0</v>
      </c>
      <c r="C104" s="44">
        <f>IF((D103-D104)&gt;-1,(D103-D104),18)</f>
        <v>0</v>
      </c>
      <c r="D104" s="52">
        <f>MAX(D103-$E$31+B103,0)</f>
        <v>0</v>
      </c>
      <c r="E104" s="26">
        <f>$C$30*C104</f>
        <v>0</v>
      </c>
      <c r="F104" s="26">
        <f>$C$31*C104</f>
        <v>0</v>
      </c>
      <c r="G104" s="26">
        <f>$C$32*C104</f>
        <v>0</v>
      </c>
      <c r="H104" s="26">
        <f>$C$33*C104</f>
        <v>0</v>
      </c>
      <c r="I104" s="27">
        <f>E99</f>
        <v>0</v>
      </c>
      <c r="J104" s="27">
        <f>F99</f>
        <v>0</v>
      </c>
      <c r="K104" s="27">
        <f>G99</f>
        <v>0</v>
      </c>
      <c r="L104" s="27">
        <f>H99</f>
        <v>0</v>
      </c>
      <c r="M104" s="28">
        <f>$M$100</f>
        <v>2</v>
      </c>
      <c r="N104" s="29">
        <f>$N$100</f>
        <v>4</v>
      </c>
      <c r="O104" s="28">
        <f>$O$100</f>
        <v>0</v>
      </c>
      <c r="P104" s="28">
        <f>$P$100</f>
        <v>0</v>
      </c>
      <c r="Q104" s="28">
        <f>SUM(M104:P104)</f>
        <v>6</v>
      </c>
      <c r="R104" s="22">
        <f>MAX(R103-($J$30*M104*$L$33)+I104,0)</f>
        <v>0</v>
      </c>
      <c r="S104" s="22">
        <f>IF(U104&lt;&gt;0,(MAX(S103-($J$31*N104*$L$33)+J104,0)),(MAX(S103-($J$31*(N104+P104)*$L$33)+J104,0)))</f>
        <v>0</v>
      </c>
      <c r="T104" s="22">
        <f>MAX(T103-($J$32*O104*$L$33)+K104,0)</f>
        <v>0</v>
      </c>
      <c r="U104" s="22">
        <f>MAX(U103-($J$33*P104*$L$33)+L104,0)</f>
        <v>0</v>
      </c>
      <c r="V104" s="21">
        <f>IFERROR(R104*($I$30/M104),0)</f>
        <v>0</v>
      </c>
      <c r="W104" s="21">
        <f>S104*($I$31/N104)</f>
        <v>0</v>
      </c>
      <c r="X104" s="21">
        <f>IFERROR(T104*($I$32/O104),0)</f>
        <v>0</v>
      </c>
      <c r="Y104" s="21">
        <f>IFERROR(U104*($I$33/P104),0)</f>
        <v>0</v>
      </c>
      <c r="Z104" s="221">
        <f>ROUNDUP(SUM(V104*$C$30,W104*$C$31,X104*$C$32,Y104*$C$33),0)</f>
        <v>0</v>
      </c>
      <c r="AA104" s="30">
        <f>IF(R104&lt;&gt;0,($J$30*M104*$L$33),0)</f>
        <v>0</v>
      </c>
      <c r="AB104" s="30">
        <f>IF(W104&lt;&gt;0,($J$31*N104*$L$33),0)</f>
        <v>0</v>
      </c>
      <c r="AC104" s="30">
        <f>IF(X104&lt;&gt;0,($J$32*O104*$L$33),0)</f>
        <v>0</v>
      </c>
      <c r="AD104" s="30">
        <f>IF(Y104&lt;&gt;0,($J$33*P104*$L$33),0)</f>
        <v>0</v>
      </c>
      <c r="AE104" s="32">
        <f>SUM(AA104:AD104)</f>
        <v>0</v>
      </c>
      <c r="AF104" s="33">
        <f>AE100</f>
        <v>4.2093794879413657</v>
      </c>
      <c r="AG104" s="40">
        <f>MAX(AG103-$Q$33+AF104,0)</f>
        <v>0</v>
      </c>
      <c r="AH104" s="224">
        <f>AG104*$P$33</f>
        <v>0</v>
      </c>
      <c r="AI104" s="227">
        <f>SUM(Z104,IF(Z104&lt;&gt;0,$F$31,0),IF(Z104&lt;&gt;0,$N$33,0),IF(Z104&lt;&gt;0,$T$33,0),IF(Z104=0,AH109,IF(Z104=1,AH110,IF(Z104=2,AH111,IF(Z104=3,AH112,IF(Z104=4,AH113,IF(Z104=5,AH114,IF(Z104=6,AH115,IF(Z104=7,AH116,IF(Z104=8,AH117,IF(Z104=9,AH118,IF(Z104=10,AH119,IF(Z104=11,AH120,IF(Z104=12,AH121,IF(Z104=13,AH122,IF(Z104=14,AH123,IF(Z104=15,AH124,IF(Z104=16,AH125,IF(Z104=17,AH126,IF(Z104=18,AH127,IF(Z104=19,AH128,IF(Z104=20,AH129,IF(Z104=21,AH130,IF(Z104=22,AH131,IF(Z104=23,AH132,IF(Z104=24,AH133,IF(Z104=25,AH134,IF(Z104=26,AH135,IF(Z104=27,AH136,IF(Z104=28,AH137,IF(Z104=29,AH138,IF(Z104=30,AH139))))))))))))))))))))))))))))))))</f>
        <v>0</v>
      </c>
    </row>
    <row r="105" spans="1:35" x14ac:dyDescent="0.35">
      <c r="A105" s="48">
        <v>1406</v>
      </c>
      <c r="B105" s="58">
        <f>SUMIF([2]!Table2_23[ETA],'FIS Optimal Model (3)'!A105,[2]!Table2_23[FIS PAX])</f>
        <v>0</v>
      </c>
      <c r="C105" s="44">
        <f>IF((D104-D105)&gt;-1,(D104-D105),18)</f>
        <v>0</v>
      </c>
      <c r="D105" s="52">
        <f>MAX(D104-$E$31+B104,0)</f>
        <v>0</v>
      </c>
      <c r="E105" s="26">
        <f>$C$30*C105</f>
        <v>0</v>
      </c>
      <c r="F105" s="26">
        <f>$C$31*C105</f>
        <v>0</v>
      </c>
      <c r="G105" s="26">
        <f>$C$32*C105</f>
        <v>0</v>
      </c>
      <c r="H105" s="26">
        <f>$C$33*C105</f>
        <v>0</v>
      </c>
      <c r="I105" s="27">
        <f>E100</f>
        <v>0</v>
      </c>
      <c r="J105" s="27">
        <f>F100</f>
        <v>0</v>
      </c>
      <c r="K105" s="27">
        <f>G100</f>
        <v>0</v>
      </c>
      <c r="L105" s="27">
        <f>H100</f>
        <v>0</v>
      </c>
      <c r="M105" s="28">
        <f>$M$100</f>
        <v>2</v>
      </c>
      <c r="N105" s="29">
        <f>$N$100</f>
        <v>4</v>
      </c>
      <c r="O105" s="28">
        <f>$O$100</f>
        <v>0</v>
      </c>
      <c r="P105" s="28">
        <f>$P$100</f>
        <v>0</v>
      </c>
      <c r="Q105" s="28">
        <f>SUM(M105:P105)</f>
        <v>6</v>
      </c>
      <c r="R105" s="22">
        <f>MAX(R104-($J$30*M105*$L$33)+I105,0)</f>
        <v>0</v>
      </c>
      <c r="S105" s="22">
        <f>IF(U105&lt;&gt;0,(MAX(S104-($J$31*N105*$L$33)+J105,0)),(MAX(S104-($J$31*(N105+P105)*$L$33)+J105,0)))</f>
        <v>0</v>
      </c>
      <c r="T105" s="22">
        <f>MAX(T104-($J$32*O105*$L$33)+K105,0)</f>
        <v>0</v>
      </c>
      <c r="U105" s="22">
        <f>MAX(U104-($J$33*P105*$L$33)+L105,0)</f>
        <v>0</v>
      </c>
      <c r="V105" s="21">
        <f>IFERROR(R105*($I$30/M105),0)</f>
        <v>0</v>
      </c>
      <c r="W105" s="21">
        <f>S105*($I$31/N105)</f>
        <v>0</v>
      </c>
      <c r="X105" s="21">
        <f>IFERROR(T105*($I$32/O105),0)</f>
        <v>0</v>
      </c>
      <c r="Y105" s="21">
        <f>IFERROR(U105*($I$33/P105),0)</f>
        <v>0</v>
      </c>
      <c r="Z105" s="221">
        <f>ROUNDUP(SUM(V105*$C$30,W105*$C$31,X105*$C$32,Y105*$C$33),0)</f>
        <v>0</v>
      </c>
      <c r="AA105" s="30">
        <f>IF(R105&lt;&gt;0,($J$30*M105*$L$33),0)</f>
        <v>0</v>
      </c>
      <c r="AB105" s="30">
        <f>IF(W105&lt;&gt;0,($J$31*N105*$L$33),0)</f>
        <v>0</v>
      </c>
      <c r="AC105" s="30">
        <f>IF(X105&lt;&gt;0,($J$32*O105*$L$33),0)</f>
        <v>0</v>
      </c>
      <c r="AD105" s="30">
        <f>IF(Y105&lt;&gt;0,($J$33*P105*$L$33),0)</f>
        <v>0</v>
      </c>
      <c r="AE105" s="32">
        <f>SUM(AA105:AD105)</f>
        <v>0</v>
      </c>
      <c r="AF105" s="33">
        <f>AE101</f>
        <v>4.2093794879413657</v>
      </c>
      <c r="AG105" s="40">
        <f>MAX(AG104-$Q$33+AF105,0)</f>
        <v>0</v>
      </c>
      <c r="AH105" s="224">
        <f>AG105*$P$33</f>
        <v>0</v>
      </c>
      <c r="AI105" s="227">
        <f>SUM(Z105,IF(Z105&lt;&gt;0,$F$31,0),IF(Z105&lt;&gt;0,$N$33,0),IF(Z105&lt;&gt;0,$T$33,0),IF(Z105=0,AH110,IF(Z105=1,AH111,IF(Z105=2,AH112,IF(Z105=3,AH113,IF(Z105=4,AH114,IF(Z105=5,AH115,IF(Z105=6,AH116,IF(Z105=7,AH117,IF(Z105=8,AH118,IF(Z105=9,AH119,IF(Z105=10,AH120,IF(Z105=11,AH121,IF(Z105=12,AH122,IF(Z105=13,AH123,IF(Z105=14,AH124,IF(Z105=15,AH125,IF(Z105=16,AH126,IF(Z105=17,AH127,IF(Z105=18,AH128,IF(Z105=19,AH129,IF(Z105=20,AH130,IF(Z105=21,AH131,IF(Z105=22,AH132,IF(Z105=23,AH133,IF(Z105=24,AH134,IF(Z105=25,AH135,IF(Z105=26,AH136,IF(Z105=27,AH137,IF(Z105=28,AH138,IF(Z105=29,AH139,IF(Z105=30,AH140))))))))))))))))))))))))))))))))</f>
        <v>0</v>
      </c>
    </row>
    <row r="106" spans="1:35" x14ac:dyDescent="0.35">
      <c r="A106" s="48">
        <v>1407</v>
      </c>
      <c r="B106" s="58">
        <f>SUMIF([2]!Table2_23[ETA],'FIS Optimal Model (3)'!A106,[2]!Table2_23[FIS PAX])</f>
        <v>0</v>
      </c>
      <c r="C106" s="44">
        <f>IF((D105-D106)&gt;-1,(D105-D106),18)</f>
        <v>0</v>
      </c>
      <c r="D106" s="52">
        <f>MAX(D105-$E$31+B105,0)</f>
        <v>0</v>
      </c>
      <c r="E106" s="26">
        <f>$C$30*C106</f>
        <v>0</v>
      </c>
      <c r="F106" s="26">
        <f>$C$31*C106</f>
        <v>0</v>
      </c>
      <c r="G106" s="26">
        <f>$C$32*C106</f>
        <v>0</v>
      </c>
      <c r="H106" s="26">
        <f>$C$33*C106</f>
        <v>0</v>
      </c>
      <c r="I106" s="27">
        <f>E101</f>
        <v>0</v>
      </c>
      <c r="J106" s="27">
        <f>F101</f>
        <v>0</v>
      </c>
      <c r="K106" s="27">
        <f>G101</f>
        <v>0</v>
      </c>
      <c r="L106" s="27">
        <f>H101</f>
        <v>0</v>
      </c>
      <c r="M106" s="28">
        <f>$M$100</f>
        <v>2</v>
      </c>
      <c r="N106" s="29">
        <f>$N$100</f>
        <v>4</v>
      </c>
      <c r="O106" s="28">
        <f>$O$100</f>
        <v>0</v>
      </c>
      <c r="P106" s="28">
        <f>$P$100</f>
        <v>0</v>
      </c>
      <c r="Q106" s="28">
        <f>SUM(M106:P106)</f>
        <v>6</v>
      </c>
      <c r="R106" s="22">
        <f>MAX(R105-($J$30*M106*$L$33)+I106,0)</f>
        <v>0</v>
      </c>
      <c r="S106" s="22">
        <f>IF(U106&lt;&gt;0,(MAX(S105-($J$31*N106*$L$33)+J106,0)),(MAX(S105-($J$31*(N106+P106)*$L$33)+J106,0)))</f>
        <v>0</v>
      </c>
      <c r="T106" s="22">
        <f>MAX(T105-($J$32*O106*$L$33)+K106,0)</f>
        <v>0</v>
      </c>
      <c r="U106" s="22">
        <f>MAX(U105-($J$33*P106*$L$33)+L106,0)</f>
        <v>0</v>
      </c>
      <c r="V106" s="21">
        <f>IFERROR(R106*($I$30/M106),0)</f>
        <v>0</v>
      </c>
      <c r="W106" s="21">
        <f>S106*($I$31/N106)</f>
        <v>0</v>
      </c>
      <c r="X106" s="21">
        <f>IFERROR(T106*($I$32/O106),0)</f>
        <v>0</v>
      </c>
      <c r="Y106" s="21">
        <f>IFERROR(U106*($I$33/P106),0)</f>
        <v>0</v>
      </c>
      <c r="Z106" s="221">
        <f>ROUNDUP(SUM(V106*$C$30,W106*$C$31,X106*$C$32,Y106*$C$33),0)</f>
        <v>0</v>
      </c>
      <c r="AA106" s="30">
        <f>IF(R106&lt;&gt;0,($J$30*M106*$L$33),0)</f>
        <v>0</v>
      </c>
      <c r="AB106" s="30">
        <f>IF(W106&lt;&gt;0,($J$31*N106*$L$33),0)</f>
        <v>0</v>
      </c>
      <c r="AC106" s="30">
        <f>IF(X106&lt;&gt;0,($J$32*O106*$L$33),0)</f>
        <v>0</v>
      </c>
      <c r="AD106" s="30">
        <f>IF(Y106&lt;&gt;0,($J$33*P106*$L$33),0)</f>
        <v>0</v>
      </c>
      <c r="AE106" s="32">
        <f>SUM(AA106:AD106)</f>
        <v>0</v>
      </c>
      <c r="AF106" s="33">
        <f>AE102</f>
        <v>4.2093794879413657</v>
      </c>
      <c r="AG106" s="40">
        <f>MAX(AG105-$Q$33+AF106,0)</f>
        <v>0</v>
      </c>
      <c r="AH106" s="224">
        <f>AG106*$P$33</f>
        <v>0</v>
      </c>
      <c r="AI106" s="227">
        <f>SUM(Z106,IF(Z106&lt;&gt;0,$F$31,0),IF(Z106&lt;&gt;0,$N$33,0),IF(Z106&lt;&gt;0,$T$33,0),IF(Z106=0,AH111,IF(Z106=1,AH112,IF(Z106=2,AH113,IF(Z106=3,AH114,IF(Z106=4,AH115,IF(Z106=5,AH116,IF(Z106=6,AH117,IF(Z106=7,AH118,IF(Z106=8,AH119,IF(Z106=9,AH120,IF(Z106=10,AH121,IF(Z106=11,AH122,IF(Z106=12,AH123,IF(Z106=13,AH124,IF(Z106=14,AH125,IF(Z106=15,AH126,IF(Z106=16,AH127,IF(Z106=17,AH128,IF(Z106=18,AH129,IF(Z106=19,AH130,IF(Z106=20,AH131,IF(Z106=21,AH132,IF(Z106=22,AH133,IF(Z106=23,AH134,IF(Z106=24,AH135,IF(Z106=25,AH136,IF(Z106=26,AH137,IF(Z106=27,AH138,IF(Z106=28,AH139,IF(Z106=29,AH140,IF(Z106=30,AH141))))))))))))))))))))))))))))))))</f>
        <v>0</v>
      </c>
    </row>
    <row r="107" spans="1:35" x14ac:dyDescent="0.35">
      <c r="A107" s="48">
        <v>1408</v>
      </c>
      <c r="B107" s="58">
        <f>SUMIF([2]!Table2_23[ETA],'FIS Optimal Model (3)'!A107,[2]!Table2_23[FIS PAX])</f>
        <v>0</v>
      </c>
      <c r="C107" s="44">
        <f>IF((D106-D107)&gt;-1,(D106-D107),18)</f>
        <v>0</v>
      </c>
      <c r="D107" s="52">
        <f>MAX(D106-$E$31+B106,0)</f>
        <v>0</v>
      </c>
      <c r="E107" s="26">
        <f>$C$30*C107</f>
        <v>0</v>
      </c>
      <c r="F107" s="26">
        <f>$C$31*C107</f>
        <v>0</v>
      </c>
      <c r="G107" s="26">
        <f>$C$32*C107</f>
        <v>0</v>
      </c>
      <c r="H107" s="26">
        <f>$C$33*C107</f>
        <v>0</v>
      </c>
      <c r="I107" s="27">
        <f>E102</f>
        <v>0</v>
      </c>
      <c r="J107" s="27">
        <f>F102</f>
        <v>0</v>
      </c>
      <c r="K107" s="27">
        <f>G102</f>
        <v>0</v>
      </c>
      <c r="L107" s="27">
        <f>H102</f>
        <v>0</v>
      </c>
      <c r="M107" s="28">
        <f>$M$100</f>
        <v>2</v>
      </c>
      <c r="N107" s="29">
        <f>$N$100</f>
        <v>4</v>
      </c>
      <c r="O107" s="28">
        <f>$O$100</f>
        <v>0</v>
      </c>
      <c r="P107" s="28">
        <f>$P$100</f>
        <v>0</v>
      </c>
      <c r="Q107" s="28">
        <f>SUM(M107:P107)</f>
        <v>6</v>
      </c>
      <c r="R107" s="22">
        <f>MAX(R106-($J$30*M107*$L$33)+I107,0)</f>
        <v>0</v>
      </c>
      <c r="S107" s="22">
        <f>IF(U107&lt;&gt;0,(MAX(S106-($J$31*N107*$L$33)+J107,0)),(MAX(S106-($J$31*(N107+P107)*$L$33)+J107,0)))</f>
        <v>0</v>
      </c>
      <c r="T107" s="22">
        <f>MAX(T106-($J$32*O107*$L$33)+K107,0)</f>
        <v>0</v>
      </c>
      <c r="U107" s="22">
        <f>MAX(U106-($J$33*P107*$L$33)+L107,0)</f>
        <v>0</v>
      </c>
      <c r="V107" s="21">
        <f>IFERROR(R107*($I$30/M107),0)</f>
        <v>0</v>
      </c>
      <c r="W107" s="21">
        <f>S107*($I$31/N107)</f>
        <v>0</v>
      </c>
      <c r="X107" s="21">
        <f>IFERROR(T107*($I$32/O107),0)</f>
        <v>0</v>
      </c>
      <c r="Y107" s="21">
        <f>IFERROR(U107*($I$33/P107),0)</f>
        <v>0</v>
      </c>
      <c r="Z107" s="221">
        <f>ROUNDUP(SUM(V107*$C$30,W107*$C$31,X107*$C$32,Y107*$C$33),0)</f>
        <v>0</v>
      </c>
      <c r="AA107" s="30">
        <f>IF(R107&lt;&gt;0,($J$30*M107*$L$33),0)</f>
        <v>0</v>
      </c>
      <c r="AB107" s="30">
        <f>IF(W107&lt;&gt;0,($J$31*N107*$L$33),0)</f>
        <v>0</v>
      </c>
      <c r="AC107" s="30">
        <f>IF(X107&lt;&gt;0,($J$32*O107*$L$33),0)</f>
        <v>0</v>
      </c>
      <c r="AD107" s="30">
        <f>IF(Y107&lt;&gt;0,($J$33*P107*$L$33),0)</f>
        <v>0</v>
      </c>
      <c r="AE107" s="32">
        <f>SUM(AA107:AD107)</f>
        <v>0</v>
      </c>
      <c r="AF107" s="33">
        <f>AE103</f>
        <v>4.2093794879413657</v>
      </c>
      <c r="AG107" s="40">
        <f>MAX(AG106-$Q$33+AF107,0)</f>
        <v>0</v>
      </c>
      <c r="AH107" s="224">
        <f>AG107*$P$33</f>
        <v>0</v>
      </c>
      <c r="AI107" s="227">
        <f>SUM(Z107,IF(Z107&lt;&gt;0,$F$31,0),IF(Z107&lt;&gt;0,$N$33,0),IF(Z107&lt;&gt;0,$T$33,0),IF(Z107=0,AH112,IF(Z107=1,AH113,IF(Z107=2,AH114,IF(Z107=3,AH115,IF(Z107=4,AH116,IF(Z107=5,AH117,IF(Z107=6,AH118,IF(Z107=7,AH119,IF(Z107=8,AH120,IF(Z107=9,AH121,IF(Z107=10,AH122,IF(Z107=11,AH123,IF(Z107=12,AH124,IF(Z107=13,AH125,IF(Z107=14,AH126,IF(Z107=15,AH127,IF(Z107=16,AH128,IF(Z107=17,AH129,IF(Z107=18,AH130,IF(Z107=19,AH131,IF(Z107=20,AH132,IF(Z107=21,AH133,IF(Z107=22,AH134,IF(Z107=23,AH135,IF(Z107=24,AH136,IF(Z107=25,AH137,IF(Z107=26,AH138,IF(Z107=27,AH139,IF(Z107=28,AH140,IF(Z107=29,AH141,IF(Z107=30,AH142))))))))))))))))))))))))))))))))</f>
        <v>0</v>
      </c>
    </row>
    <row r="108" spans="1:35" x14ac:dyDescent="0.35">
      <c r="A108" s="48">
        <v>1409</v>
      </c>
      <c r="B108" s="58">
        <f>SUMIF([2]!Table2_23[ETA],'FIS Optimal Model (3)'!A108,[2]!Table2_23[FIS PAX])</f>
        <v>0</v>
      </c>
      <c r="C108" s="44">
        <f>IF((D107-D108)&gt;-1,(D107-D108),18)</f>
        <v>0</v>
      </c>
      <c r="D108" s="52">
        <f>MAX(D107-$E$31+B107,0)</f>
        <v>0</v>
      </c>
      <c r="E108" s="26">
        <f>$C$30*C108</f>
        <v>0</v>
      </c>
      <c r="F108" s="26">
        <f>$C$31*C108</f>
        <v>0</v>
      </c>
      <c r="G108" s="26">
        <f>$C$32*C108</f>
        <v>0</v>
      </c>
      <c r="H108" s="26">
        <f>$C$33*C108</f>
        <v>0</v>
      </c>
      <c r="I108" s="27">
        <f>E103</f>
        <v>0</v>
      </c>
      <c r="J108" s="27">
        <f>F103</f>
        <v>0</v>
      </c>
      <c r="K108" s="27">
        <f>G103</f>
        <v>0</v>
      </c>
      <c r="L108" s="27">
        <f>H103</f>
        <v>0</v>
      </c>
      <c r="M108" s="28">
        <f>$M$100</f>
        <v>2</v>
      </c>
      <c r="N108" s="29">
        <f>$N$100</f>
        <v>4</v>
      </c>
      <c r="O108" s="28">
        <f>$O$100</f>
        <v>0</v>
      </c>
      <c r="P108" s="28">
        <f>$P$100</f>
        <v>0</v>
      </c>
      <c r="Q108" s="28">
        <f>SUM(M108:P108)</f>
        <v>6</v>
      </c>
      <c r="R108" s="22">
        <f>MAX(R107-($J$30*M108*$L$33)+I108,0)</f>
        <v>0</v>
      </c>
      <c r="S108" s="22">
        <f>IF(U108&lt;&gt;0,(MAX(S107-($J$31*N108*$L$33)+J108,0)),(MAX(S107-($J$31*(N108+P108)*$L$33)+J108,0)))</f>
        <v>0</v>
      </c>
      <c r="T108" s="22">
        <f>MAX(T107-($J$32*O108*$L$33)+K108,0)</f>
        <v>0</v>
      </c>
      <c r="U108" s="22">
        <f>MAX(U107-($J$33*P108*$L$33)+L108,0)</f>
        <v>0</v>
      </c>
      <c r="V108" s="21">
        <f>IFERROR(R108*($I$30/M108),0)</f>
        <v>0</v>
      </c>
      <c r="W108" s="21">
        <f>S108*($I$31/N108)</f>
        <v>0</v>
      </c>
      <c r="X108" s="21">
        <f>IFERROR(T108*($I$32/O108),0)</f>
        <v>0</v>
      </c>
      <c r="Y108" s="21">
        <f>IFERROR(U108*($I$33/P108),0)</f>
        <v>0</v>
      </c>
      <c r="Z108" s="221">
        <f>ROUNDUP(SUM(V108*$C$30,W108*$C$31,X108*$C$32,Y108*$C$33),0)</f>
        <v>0</v>
      </c>
      <c r="AA108" s="30">
        <f>IF(R108&lt;&gt;0,($J$30*M108*$L$33),0)</f>
        <v>0</v>
      </c>
      <c r="AB108" s="30">
        <f>IF(W108&lt;&gt;0,($J$31*N108*$L$33),0)</f>
        <v>0</v>
      </c>
      <c r="AC108" s="30">
        <f>IF(X108&lt;&gt;0,($J$32*O108*$L$33),0)</f>
        <v>0</v>
      </c>
      <c r="AD108" s="30">
        <f>IF(Y108&lt;&gt;0,($J$33*P108*$L$33),0)</f>
        <v>0</v>
      </c>
      <c r="AE108" s="32">
        <f>SUM(AA108:AD108)</f>
        <v>0</v>
      </c>
      <c r="AF108" s="33">
        <f>AE104</f>
        <v>0</v>
      </c>
      <c r="AG108" s="40">
        <f>MAX(AG107-$Q$33+AF108,0)</f>
        <v>0</v>
      </c>
      <c r="AH108" s="224">
        <f>AG108*$P$33</f>
        <v>0</v>
      </c>
      <c r="AI108" s="227">
        <f>SUM(Z108,IF(Z108&lt;&gt;0,$F$31,0),IF(Z108&lt;&gt;0,$N$33,0),IF(Z108&lt;&gt;0,$T$33,0),IF(Z108=0,AH113,IF(Z108=1,AH114,IF(Z108=2,AH115,IF(Z108=3,AH116,IF(Z108=4,AH117,IF(Z108=5,AH118,IF(Z108=6,AH119,IF(Z108=7,AH120,IF(Z108=8,AH121,IF(Z108=9,AH122,IF(Z108=10,AH123,IF(Z108=11,AH124,IF(Z108=12,AH125,IF(Z108=13,AH126,IF(Z108=14,AH127,IF(Z108=15,AH128,IF(Z108=16,AH129,IF(Z108=17,AH130,IF(Z108=18,AH131,IF(Z108=19,AH132,IF(Z108=20,AH133,IF(Z108=21,AH134,IF(Z108=22,AH135,IF(Z108=23,AH136,IF(Z108=24,AH137,IF(Z108=25,AH138,IF(Z108=26,AH139,IF(Z108=27,AH140,IF(Z108=28,AH141,IF(Z108=29,AH142,IF(Z108=30,AH143))))))))))))))))))))))))))))))))</f>
        <v>0</v>
      </c>
    </row>
    <row r="109" spans="1:35" x14ac:dyDescent="0.35">
      <c r="A109" s="48">
        <v>1410</v>
      </c>
      <c r="B109" s="58">
        <f>SUMIF([2]!Table2_23[ETA],'FIS Optimal Model (3)'!A109,[2]!Table2_23[FIS PAX])</f>
        <v>0</v>
      </c>
      <c r="C109" s="44">
        <f>IF((D108-D109)&gt;-1,(D108-D109),18)</f>
        <v>0</v>
      </c>
      <c r="D109" s="52">
        <f>MAX(D108-$E$31+B108,0)</f>
        <v>0</v>
      </c>
      <c r="E109" s="26">
        <f>$C$30*C109</f>
        <v>0</v>
      </c>
      <c r="F109" s="26">
        <f>$C$31*C109</f>
        <v>0</v>
      </c>
      <c r="G109" s="26">
        <f>$C$32*C109</f>
        <v>0</v>
      </c>
      <c r="H109" s="26">
        <f>$C$33*C109</f>
        <v>0</v>
      </c>
      <c r="I109" s="27">
        <f>E104</f>
        <v>0</v>
      </c>
      <c r="J109" s="27">
        <f>F104</f>
        <v>0</v>
      </c>
      <c r="K109" s="27">
        <f>G104</f>
        <v>0</v>
      </c>
      <c r="L109" s="27">
        <f>H104</f>
        <v>0</v>
      </c>
      <c r="M109" s="28">
        <f>$M$100</f>
        <v>2</v>
      </c>
      <c r="N109" s="29">
        <f>$N$100</f>
        <v>4</v>
      </c>
      <c r="O109" s="28">
        <f>$O$100</f>
        <v>0</v>
      </c>
      <c r="P109" s="28">
        <f>$P$100</f>
        <v>0</v>
      </c>
      <c r="Q109" s="28">
        <f>SUM(M109:P109)</f>
        <v>6</v>
      </c>
      <c r="R109" s="22">
        <f>MAX(R108-($J$30*M109*$L$33)+I109,0)</f>
        <v>0</v>
      </c>
      <c r="S109" s="22">
        <f>IF(U109&lt;&gt;0,(MAX(S108-($J$31*N109*$L$33)+J109,0)),(MAX(S108-($J$31*(N109+P109)*$L$33)+J109,0)))</f>
        <v>0</v>
      </c>
      <c r="T109" s="22">
        <f>MAX(T108-($J$32*O109*$L$33)+K109,0)</f>
        <v>0</v>
      </c>
      <c r="U109" s="22">
        <f>MAX(U108-($J$33*P109*$L$33)+L109,0)</f>
        <v>0</v>
      </c>
      <c r="V109" s="21">
        <f>IFERROR(R109*($I$30/M109),0)</f>
        <v>0</v>
      </c>
      <c r="W109" s="21">
        <f>S109*($I$31/N109)</f>
        <v>0</v>
      </c>
      <c r="X109" s="21">
        <f>IFERROR(T109*($I$32/O109),0)</f>
        <v>0</v>
      </c>
      <c r="Y109" s="21">
        <f>IFERROR(U109*($I$33/P109),0)</f>
        <v>0</v>
      </c>
      <c r="Z109" s="221">
        <f>ROUNDUP(SUM(V109*$C$30,W109*$C$31,X109*$C$32,Y109*$C$33),0)</f>
        <v>0</v>
      </c>
      <c r="AA109" s="30">
        <f>IF(R109&lt;&gt;0,($J$30*M109*$L$33),0)</f>
        <v>0</v>
      </c>
      <c r="AB109" s="30">
        <f>IF(W109&lt;&gt;0,($J$31*N109*$L$33),0)</f>
        <v>0</v>
      </c>
      <c r="AC109" s="30">
        <f>IF(X109&lt;&gt;0,($J$32*O109*$L$33),0)</f>
        <v>0</v>
      </c>
      <c r="AD109" s="30">
        <f>IF(Y109&lt;&gt;0,($J$33*P109*$L$33),0)</f>
        <v>0</v>
      </c>
      <c r="AE109" s="32">
        <f>SUM(AA109:AD109)</f>
        <v>0</v>
      </c>
      <c r="AF109" s="33">
        <f>AE105</f>
        <v>0</v>
      </c>
      <c r="AG109" s="40">
        <f>MAX(AG108-$Q$33+AF109,0)</f>
        <v>0</v>
      </c>
      <c r="AH109" s="224">
        <f>AG109*$P$33</f>
        <v>0</v>
      </c>
      <c r="AI109" s="227">
        <f>SUM(Z109,IF(Z109&lt;&gt;0,$F$31,0),IF(Z109&lt;&gt;0,$N$33,0),IF(Z109&lt;&gt;0,$T$33,0),IF(Z109=0,AH114,IF(Z109=1,AH115,IF(Z109=2,AH116,IF(Z109=3,AH117,IF(Z109=4,AH118,IF(Z109=5,AH119,IF(Z109=6,AH120,IF(Z109=7,AH121,IF(Z109=8,AH122,IF(Z109=9,AH123,IF(Z109=10,AH124,IF(Z109=11,AH125,IF(Z109=12,AH126,IF(Z109=13,AH127,IF(Z109=14,AH128,IF(Z109=15,AH129,IF(Z109=16,AH130,IF(Z109=17,AH131,IF(Z109=18,AH132,IF(Z109=19,AH133,IF(Z109=20,AH134,IF(Z109=21,AH135,IF(Z109=22,AH136,IF(Z109=23,AH137,IF(Z109=24,AH138,IF(Z109=25,AH139,IF(Z109=26,AH140,IF(Z109=27,AH141,IF(Z109=28,AH142,IF(Z109=29,AH143,IF(Z109=30,AH144))))))))))))))))))))))))))))))))</f>
        <v>0</v>
      </c>
    </row>
    <row r="110" spans="1:35" x14ac:dyDescent="0.35">
      <c r="A110" s="48">
        <v>1411</v>
      </c>
      <c r="B110" s="58">
        <f>SUMIF([2]!Table2_23[ETA],'FIS Optimal Model (3)'!A110,[2]!Table2_23[FIS PAX])</f>
        <v>0</v>
      </c>
      <c r="C110" s="44">
        <f>IF((D109-D110)&gt;-1,(D109-D110),18)</f>
        <v>0</v>
      </c>
      <c r="D110" s="52">
        <f>MAX(D109-$E$31+B109,0)</f>
        <v>0</v>
      </c>
      <c r="E110" s="26">
        <f>$C$30*C110</f>
        <v>0</v>
      </c>
      <c r="F110" s="26">
        <f>$C$31*C110</f>
        <v>0</v>
      </c>
      <c r="G110" s="26">
        <f>$C$32*C110</f>
        <v>0</v>
      </c>
      <c r="H110" s="26">
        <f>$C$33*C110</f>
        <v>0</v>
      </c>
      <c r="I110" s="27">
        <f>E105</f>
        <v>0</v>
      </c>
      <c r="J110" s="27">
        <f>F105</f>
        <v>0</v>
      </c>
      <c r="K110" s="27">
        <f>G105</f>
        <v>0</v>
      </c>
      <c r="L110" s="27">
        <f>H105</f>
        <v>0</v>
      </c>
      <c r="M110" s="28">
        <f>$M$100</f>
        <v>2</v>
      </c>
      <c r="N110" s="29">
        <f>$N$100</f>
        <v>4</v>
      </c>
      <c r="O110" s="28">
        <f>$O$100</f>
        <v>0</v>
      </c>
      <c r="P110" s="28">
        <f>$P$100</f>
        <v>0</v>
      </c>
      <c r="Q110" s="28">
        <f>SUM(M110:P110)</f>
        <v>6</v>
      </c>
      <c r="R110" s="22">
        <f>MAX(R109-($J$30*M110*$L$33)+I110,0)</f>
        <v>0</v>
      </c>
      <c r="S110" s="22">
        <f>IF(U110&lt;&gt;0,(MAX(S109-($J$31*N110*$L$33)+J110,0)),(MAX(S109-($J$31*(N110+P110)*$L$33)+J110,0)))</f>
        <v>0</v>
      </c>
      <c r="T110" s="22">
        <f>MAX(T109-($J$32*O110*$L$33)+K110,0)</f>
        <v>0</v>
      </c>
      <c r="U110" s="22">
        <f>MAX(U109-($J$33*P110*$L$33)+L110,0)</f>
        <v>0</v>
      </c>
      <c r="V110" s="21">
        <f>IFERROR(R110*($I$30/M110),0)</f>
        <v>0</v>
      </c>
      <c r="W110" s="21">
        <f>S110*($I$31/N110)</f>
        <v>0</v>
      </c>
      <c r="X110" s="21">
        <f>IFERROR(T110*($I$32/O110),0)</f>
        <v>0</v>
      </c>
      <c r="Y110" s="21">
        <f>IFERROR(U110*($I$33/P110),0)</f>
        <v>0</v>
      </c>
      <c r="Z110" s="221">
        <f>ROUNDUP(SUM(V110*$C$30,W110*$C$31,X110*$C$32,Y110*$C$33),0)</f>
        <v>0</v>
      </c>
      <c r="AA110" s="30">
        <f>IF(R110&lt;&gt;0,($J$30*M110*$L$33),0)</f>
        <v>0</v>
      </c>
      <c r="AB110" s="30">
        <f>IF(W110&lt;&gt;0,($J$31*N110*$L$33),0)</f>
        <v>0</v>
      </c>
      <c r="AC110" s="30">
        <f>IF(X110&lt;&gt;0,($J$32*O110*$L$33),0)</f>
        <v>0</v>
      </c>
      <c r="AD110" s="30">
        <f>IF(Y110&lt;&gt;0,($J$33*P110*$L$33),0)</f>
        <v>0</v>
      </c>
      <c r="AE110" s="32">
        <f>SUM(AA110:AD110)</f>
        <v>0</v>
      </c>
      <c r="AF110" s="33">
        <f>AE106</f>
        <v>0</v>
      </c>
      <c r="AG110" s="40">
        <f>MAX(AG109-$Q$33+AF110,0)</f>
        <v>0</v>
      </c>
      <c r="AH110" s="224">
        <f>AG110*$P$33</f>
        <v>0</v>
      </c>
      <c r="AI110" s="227">
        <f>SUM(Z110,IF(Z110&lt;&gt;0,$F$31,0),IF(Z110&lt;&gt;0,$N$33,0),IF(Z110&lt;&gt;0,$T$33,0),IF(Z110=0,AH115,IF(Z110=1,AH116,IF(Z110=2,AH117,IF(Z110=3,AH118,IF(Z110=4,AH119,IF(Z110=5,AH120,IF(Z110=6,AH121,IF(Z110=7,AH122,IF(Z110=8,AH123,IF(Z110=9,AH124,IF(Z110=10,AH125,IF(Z110=11,AH126,IF(Z110=12,AH127,IF(Z110=13,AH128,IF(Z110=14,AH129,IF(Z110=15,AH130,IF(Z110=16,AH131,IF(Z110=17,AH132,IF(Z110=18,AH133,IF(Z110=19,AH134,IF(Z110=20,AH135,IF(Z110=21,AH136,IF(Z110=22,AH137,IF(Z110=23,AH138,IF(Z110=24,AH139,IF(Z110=25,AH140,IF(Z110=26,AH141,IF(Z110=27,AH142,IF(Z110=28,AH143,IF(Z110=29,AH144,IF(Z110=30,AH145))))))))))))))))))))))))))))))))</f>
        <v>0</v>
      </c>
    </row>
    <row r="111" spans="1:35" x14ac:dyDescent="0.35">
      <c r="A111" s="48">
        <v>1412</v>
      </c>
      <c r="B111" s="58">
        <f>SUMIF([2]!Table2_23[ETA],'FIS Optimal Model (3)'!A111,[2]!Table2_23[FIS PAX])</f>
        <v>0</v>
      </c>
      <c r="C111" s="44">
        <f>IF((D110-D111)&gt;-1,(D110-D111),18)</f>
        <v>0</v>
      </c>
      <c r="D111" s="52">
        <f>MAX(D110-$E$31+B110,0)</f>
        <v>0</v>
      </c>
      <c r="E111" s="26">
        <f>$C$30*C111</f>
        <v>0</v>
      </c>
      <c r="F111" s="26">
        <f>$C$31*C111</f>
        <v>0</v>
      </c>
      <c r="G111" s="26">
        <f>$C$32*C111</f>
        <v>0</v>
      </c>
      <c r="H111" s="26">
        <f>$C$33*C111</f>
        <v>0</v>
      </c>
      <c r="I111" s="27">
        <f>E106</f>
        <v>0</v>
      </c>
      <c r="J111" s="27">
        <f>F106</f>
        <v>0</v>
      </c>
      <c r="K111" s="27">
        <f>G106</f>
        <v>0</v>
      </c>
      <c r="L111" s="27">
        <f>H106</f>
        <v>0</v>
      </c>
      <c r="M111" s="28">
        <f>$M$100</f>
        <v>2</v>
      </c>
      <c r="N111" s="29">
        <f>$N$100</f>
        <v>4</v>
      </c>
      <c r="O111" s="28">
        <f>$O$100</f>
        <v>0</v>
      </c>
      <c r="P111" s="28">
        <f>$P$100</f>
        <v>0</v>
      </c>
      <c r="Q111" s="28">
        <f>SUM(M111:P111)</f>
        <v>6</v>
      </c>
      <c r="R111" s="22">
        <f>MAX(R110-($J$30*M111*$L$33)+I111,0)</f>
        <v>0</v>
      </c>
      <c r="S111" s="22">
        <f>IF(U111&lt;&gt;0,(MAX(S110-($J$31*N111*$L$33)+J111,0)),(MAX(S110-($J$31*(N111+P111)*$L$33)+J111,0)))</f>
        <v>0</v>
      </c>
      <c r="T111" s="22">
        <f>MAX(T110-($J$32*O111*$L$33)+K111,0)</f>
        <v>0</v>
      </c>
      <c r="U111" s="22">
        <f>MAX(U110-($J$33*P111*$L$33)+L111,0)</f>
        <v>0</v>
      </c>
      <c r="V111" s="21">
        <f>IFERROR(R111*($I$30/M111),0)</f>
        <v>0</v>
      </c>
      <c r="W111" s="21">
        <f>S111*($I$31/N111)</f>
        <v>0</v>
      </c>
      <c r="X111" s="21">
        <f>IFERROR(T111*($I$32/O111),0)</f>
        <v>0</v>
      </c>
      <c r="Y111" s="21">
        <f>IFERROR(U111*($I$33/P111),0)</f>
        <v>0</v>
      </c>
      <c r="Z111" s="221">
        <f>ROUNDUP(SUM(V111*$C$30,W111*$C$31,X111*$C$32,Y111*$C$33),0)</f>
        <v>0</v>
      </c>
      <c r="AA111" s="30">
        <f>IF(R111&lt;&gt;0,($J$30*M111*$L$33),0)</f>
        <v>0</v>
      </c>
      <c r="AB111" s="30">
        <f>IF(W111&lt;&gt;0,($J$31*N111*$L$33),0)</f>
        <v>0</v>
      </c>
      <c r="AC111" s="30">
        <f>IF(X111&lt;&gt;0,($J$32*O111*$L$33),0)</f>
        <v>0</v>
      </c>
      <c r="AD111" s="30">
        <f>IF(Y111&lt;&gt;0,($J$33*P111*$L$33),0)</f>
        <v>0</v>
      </c>
      <c r="AE111" s="32">
        <f>SUM(AA111:AD111)</f>
        <v>0</v>
      </c>
      <c r="AF111" s="33">
        <f>AE107</f>
        <v>0</v>
      </c>
      <c r="AG111" s="40">
        <f>MAX(AG110-$Q$33+AF111,0)</f>
        <v>0</v>
      </c>
      <c r="AH111" s="224">
        <f>AG111*$P$33</f>
        <v>0</v>
      </c>
      <c r="AI111" s="227">
        <f>SUM(Z111,IF(Z111&lt;&gt;0,$F$31,0),IF(Z111&lt;&gt;0,$N$33,0),IF(Z111&lt;&gt;0,$T$33,0),IF(Z111=0,AH116,IF(Z111=1,AH117,IF(Z111=2,AH118,IF(Z111=3,AH119,IF(Z111=4,AH120,IF(Z111=5,AH121,IF(Z111=6,AH122,IF(Z111=7,AH123,IF(Z111=8,AH124,IF(Z111=9,AH125,IF(Z111=10,AH126,IF(Z111=11,AH127,IF(Z111=12,AH128,IF(Z111=13,AH129,IF(Z111=14,AH130,IF(Z111=15,AH131,IF(Z111=16,AH132,IF(Z111=17,AH133,IF(Z111=18,AH134,IF(Z111=19,AH135,IF(Z111=20,AH136,IF(Z111=21,AH137,IF(Z111=22,AH138,IF(Z111=23,AH139,IF(Z111=24,AH140,IF(Z111=25,AH141,IF(Z111=26,AH142,IF(Z111=27,AH143,IF(Z111=28,AH144,IF(Z111=29,AH145,IF(Z111=30,AH146))))))))))))))))))))))))))))))))</f>
        <v>0</v>
      </c>
    </row>
    <row r="112" spans="1:35" x14ac:dyDescent="0.35">
      <c r="A112" s="48">
        <v>1413</v>
      </c>
      <c r="B112" s="58">
        <f>SUMIF([2]!Table2_23[ETA],'FIS Optimal Model (3)'!A112,[2]!Table2_23[FIS PAX])</f>
        <v>0</v>
      </c>
      <c r="C112" s="44">
        <f>IF((D111-D112)&gt;-1,(D111-D112),18)</f>
        <v>0</v>
      </c>
      <c r="D112" s="52">
        <f>MAX(D111-$E$31+B111,0)</f>
        <v>0</v>
      </c>
      <c r="E112" s="26">
        <f>$C$30*C112</f>
        <v>0</v>
      </c>
      <c r="F112" s="26">
        <f>$C$31*C112</f>
        <v>0</v>
      </c>
      <c r="G112" s="26">
        <f>$C$32*C112</f>
        <v>0</v>
      </c>
      <c r="H112" s="26">
        <f>$C$33*C112</f>
        <v>0</v>
      </c>
      <c r="I112" s="27">
        <f>E107</f>
        <v>0</v>
      </c>
      <c r="J112" s="27">
        <f>F107</f>
        <v>0</v>
      </c>
      <c r="K112" s="27">
        <f>G107</f>
        <v>0</v>
      </c>
      <c r="L112" s="27">
        <f>H107</f>
        <v>0</v>
      </c>
      <c r="M112" s="28">
        <f>$M$100</f>
        <v>2</v>
      </c>
      <c r="N112" s="29">
        <f>$N$100</f>
        <v>4</v>
      </c>
      <c r="O112" s="28">
        <f>$O$100</f>
        <v>0</v>
      </c>
      <c r="P112" s="28">
        <f>$P$100</f>
        <v>0</v>
      </c>
      <c r="Q112" s="28">
        <f>SUM(M112:P112)</f>
        <v>6</v>
      </c>
      <c r="R112" s="22">
        <f>MAX(R111-($J$30*M112*$L$33)+I112,0)</f>
        <v>0</v>
      </c>
      <c r="S112" s="22">
        <f>IF(U112&lt;&gt;0,(MAX(S111-($J$31*N112*$L$33)+J112,0)),(MAX(S111-($J$31*(N112+P112)*$L$33)+J112,0)))</f>
        <v>0</v>
      </c>
      <c r="T112" s="22">
        <f>MAX(T111-($J$32*O112*$L$33)+K112,0)</f>
        <v>0</v>
      </c>
      <c r="U112" s="22">
        <f>MAX(U111-($J$33*P112*$L$33)+L112,0)</f>
        <v>0</v>
      </c>
      <c r="V112" s="21">
        <f>IFERROR(R112*($I$30/M112),0)</f>
        <v>0</v>
      </c>
      <c r="W112" s="21">
        <f>S112*($I$31/N112)</f>
        <v>0</v>
      </c>
      <c r="X112" s="21">
        <f>IFERROR(T112*($I$32/O112),0)</f>
        <v>0</v>
      </c>
      <c r="Y112" s="21">
        <f>IFERROR(U112*($I$33/P112),0)</f>
        <v>0</v>
      </c>
      <c r="Z112" s="221">
        <f>ROUNDUP(SUM(V112*$C$30,W112*$C$31,X112*$C$32,Y112*$C$33),0)</f>
        <v>0</v>
      </c>
      <c r="AA112" s="30">
        <f>IF(R112&lt;&gt;0,($J$30*M112*$L$33),0)</f>
        <v>0</v>
      </c>
      <c r="AB112" s="30">
        <f>IF(W112&lt;&gt;0,($J$31*N112*$L$33),0)</f>
        <v>0</v>
      </c>
      <c r="AC112" s="30">
        <f>IF(X112&lt;&gt;0,($J$32*O112*$L$33),0)</f>
        <v>0</v>
      </c>
      <c r="AD112" s="30">
        <f>IF(Y112&lt;&gt;0,($J$33*P112*$L$33),0)</f>
        <v>0</v>
      </c>
      <c r="AE112" s="32">
        <f>SUM(AA112:AD112)</f>
        <v>0</v>
      </c>
      <c r="AF112" s="33">
        <f>AE108</f>
        <v>0</v>
      </c>
      <c r="AG112" s="40">
        <f>MAX(AG111-$Q$33+AF112,0)</f>
        <v>0</v>
      </c>
      <c r="AH112" s="224">
        <f>AG112*$P$33</f>
        <v>0</v>
      </c>
      <c r="AI112" s="227">
        <f>SUM(Z112,IF(Z112&lt;&gt;0,$F$31,0),IF(Z112&lt;&gt;0,$N$33,0),IF(Z112&lt;&gt;0,$T$33,0),IF(Z112=0,AH117,IF(Z112=1,AH118,IF(Z112=2,AH119,IF(Z112=3,AH120,IF(Z112=4,AH121,IF(Z112=5,AH122,IF(Z112=6,AH123,IF(Z112=7,AH124,IF(Z112=8,AH125,IF(Z112=9,AH126,IF(Z112=10,AH127,IF(Z112=11,AH128,IF(Z112=12,AH129,IF(Z112=13,AH130,IF(Z112=14,AH131,IF(Z112=15,AH132,IF(Z112=16,AH133,IF(Z112=17,AH134,IF(Z112=18,AH135,IF(Z112=19,AH136,IF(Z112=20,AH137,IF(Z112=21,AH138,IF(Z112=22,AH139,IF(Z112=23,AH140,IF(Z112=24,AH141,IF(Z112=25,AH142,IF(Z112=26,AH143,IF(Z112=27,AH144,IF(Z112=28,AH145,IF(Z112=29,AH146,IF(Z112=30,AH147))))))))))))))))))))))))))))))))</f>
        <v>0</v>
      </c>
    </row>
    <row r="113" spans="1:35" x14ac:dyDescent="0.35">
      <c r="A113" s="48">
        <v>1414</v>
      </c>
      <c r="B113" s="58">
        <f>SUMIF([2]!Table2_23[ETA],'FIS Optimal Model (3)'!A113,[2]!Table2_23[FIS PAX])</f>
        <v>0</v>
      </c>
      <c r="C113" s="44">
        <f>IF((D112-D113)&gt;-1,(D112-D113),18)</f>
        <v>0</v>
      </c>
      <c r="D113" s="52">
        <f>MAX(D112-$E$31+B112,0)</f>
        <v>0</v>
      </c>
      <c r="E113" s="26">
        <f>$C$30*C113</f>
        <v>0</v>
      </c>
      <c r="F113" s="26">
        <f>$C$31*C113</f>
        <v>0</v>
      </c>
      <c r="G113" s="26">
        <f>$C$32*C113</f>
        <v>0</v>
      </c>
      <c r="H113" s="26">
        <f>$C$33*C113</f>
        <v>0</v>
      </c>
      <c r="I113" s="27">
        <f>E108</f>
        <v>0</v>
      </c>
      <c r="J113" s="27">
        <f>F108</f>
        <v>0</v>
      </c>
      <c r="K113" s="27">
        <f>G108</f>
        <v>0</v>
      </c>
      <c r="L113" s="27">
        <f>H108</f>
        <v>0</v>
      </c>
      <c r="M113" s="28">
        <f>$M$100</f>
        <v>2</v>
      </c>
      <c r="N113" s="29">
        <f>$N$100</f>
        <v>4</v>
      </c>
      <c r="O113" s="28">
        <f>$O$100</f>
        <v>0</v>
      </c>
      <c r="P113" s="28">
        <f>$P$100</f>
        <v>0</v>
      </c>
      <c r="Q113" s="28">
        <f>SUM(M113:P113)</f>
        <v>6</v>
      </c>
      <c r="R113" s="22">
        <f>MAX(R112-($J$30*M113*$L$33)+I113,0)</f>
        <v>0</v>
      </c>
      <c r="S113" s="22">
        <f>IF(U113&lt;&gt;0,(MAX(S112-($J$31*N113*$L$33)+J113,0)),(MAX(S112-($J$31*(N113+P113)*$L$33)+J113,0)))</f>
        <v>0</v>
      </c>
      <c r="T113" s="22">
        <f>MAX(T112-($J$32*O113*$L$33)+K113,0)</f>
        <v>0</v>
      </c>
      <c r="U113" s="22">
        <f>MAX(U112-($J$33*P113*$L$33)+L113,0)</f>
        <v>0</v>
      </c>
      <c r="V113" s="21">
        <f>IFERROR(R113*($I$30/M113),0)</f>
        <v>0</v>
      </c>
      <c r="W113" s="21">
        <f>S113*($I$31/N113)</f>
        <v>0</v>
      </c>
      <c r="X113" s="21">
        <f>IFERROR(T113*($I$32/O113),0)</f>
        <v>0</v>
      </c>
      <c r="Y113" s="21">
        <f>IFERROR(U113*($I$33/P113),0)</f>
        <v>0</v>
      </c>
      <c r="Z113" s="221">
        <f>ROUNDUP(SUM(V113*$C$30,W113*$C$31,X113*$C$32,Y113*$C$33),0)</f>
        <v>0</v>
      </c>
      <c r="AA113" s="30">
        <f>IF(R113&lt;&gt;0,($J$30*M113*$L$33),0)</f>
        <v>0</v>
      </c>
      <c r="AB113" s="30">
        <f>IF(W113&lt;&gt;0,($J$31*N113*$L$33),0)</f>
        <v>0</v>
      </c>
      <c r="AC113" s="30">
        <f>IF(X113&lt;&gt;0,($J$32*O113*$L$33),0)</f>
        <v>0</v>
      </c>
      <c r="AD113" s="30">
        <f>IF(Y113&lt;&gt;0,($J$33*P113*$L$33),0)</f>
        <v>0</v>
      </c>
      <c r="AE113" s="32">
        <f>SUM(AA113:AD113)</f>
        <v>0</v>
      </c>
      <c r="AF113" s="33">
        <f>AE109</f>
        <v>0</v>
      </c>
      <c r="AG113" s="40">
        <f>MAX(AG112-$Q$33+AF113,0)</f>
        <v>0</v>
      </c>
      <c r="AH113" s="224">
        <f>AG113*$P$33</f>
        <v>0</v>
      </c>
      <c r="AI113" s="227">
        <f>SUM(Z113,IF(Z113&lt;&gt;0,$F$31,0),IF(Z113&lt;&gt;0,$N$33,0),IF(Z113&lt;&gt;0,$T$33,0),IF(Z113=0,AH118,IF(Z113=1,AH119,IF(Z113=2,AH120,IF(Z113=3,AH121,IF(Z113=4,AH122,IF(Z113=5,AH123,IF(Z113=6,AH124,IF(Z113=7,AH125,IF(Z113=8,AH126,IF(Z113=9,AH127,IF(Z113=10,AH128,IF(Z113=11,AH129,IF(Z113=12,AH130,IF(Z113=13,AH131,IF(Z113=14,AH132,IF(Z113=15,AH133,IF(Z113=16,AH134,IF(Z113=17,AH135,IF(Z113=18,AH136,IF(Z113=19,AH137,IF(Z113=20,AH138,IF(Z113=21,AH139,IF(Z113=22,AH140,IF(Z113=23,AH141,IF(Z113=24,AH142,IF(Z113=25,AH143,IF(Z113=26,AH144,IF(Z113=27,AH145,IF(Z113=28,AH146,IF(Z113=29,AH147,IF(Z113=30,AH148))))))))))))))))))))))))))))))))</f>
        <v>0</v>
      </c>
    </row>
    <row r="114" spans="1:35" x14ac:dyDescent="0.35">
      <c r="A114" s="48">
        <v>1415</v>
      </c>
      <c r="B114" s="58">
        <f>SUMIF([2]!Table2_23[ETA],'FIS Optimal Model (3)'!A114,[2]!Table2_23[FIS PAX])</f>
        <v>0</v>
      </c>
      <c r="C114" s="44">
        <f>IF((D113-D114)&gt;-1,(D113-D114),18)</f>
        <v>0</v>
      </c>
      <c r="D114" s="52">
        <f>MAX(D113-$E$31+B113,0)</f>
        <v>0</v>
      </c>
      <c r="E114" s="26">
        <f>$C$30*C114</f>
        <v>0</v>
      </c>
      <c r="F114" s="26">
        <f>$C$31*C114</f>
        <v>0</v>
      </c>
      <c r="G114" s="26">
        <f>$C$32*C114</f>
        <v>0</v>
      </c>
      <c r="H114" s="26">
        <f>$C$33*C114</f>
        <v>0</v>
      </c>
      <c r="I114" s="27">
        <f>E109</f>
        <v>0</v>
      </c>
      <c r="J114" s="27">
        <f>F109</f>
        <v>0</v>
      </c>
      <c r="K114" s="27">
        <f>G109</f>
        <v>0</v>
      </c>
      <c r="L114" s="27">
        <f>H109</f>
        <v>0</v>
      </c>
      <c r="M114" s="28">
        <f>$M$100</f>
        <v>2</v>
      </c>
      <c r="N114" s="29">
        <f>$N$100</f>
        <v>4</v>
      </c>
      <c r="O114" s="28">
        <f>$O$100</f>
        <v>0</v>
      </c>
      <c r="P114" s="28">
        <f>$P$100</f>
        <v>0</v>
      </c>
      <c r="Q114" s="28">
        <f>SUM(M114:P114)</f>
        <v>6</v>
      </c>
      <c r="R114" s="22">
        <f>MAX(R113-($J$30*M114*$L$33)+I114,0)</f>
        <v>0</v>
      </c>
      <c r="S114" s="22">
        <f>IF(U114&lt;&gt;0,(MAX(S113-($J$31*N114*$L$33)+J114,0)),(MAX(S113-($J$31*(N114+P114)*$L$33)+J114,0)))</f>
        <v>0</v>
      </c>
      <c r="T114" s="22">
        <f>MAX(T113-($J$32*O114*$L$33)+K114,0)</f>
        <v>0</v>
      </c>
      <c r="U114" s="22">
        <f>MAX(U113-($J$33*P114*$L$33)+L114,0)</f>
        <v>0</v>
      </c>
      <c r="V114" s="21">
        <f>IFERROR(R114*($I$30/M114),0)</f>
        <v>0</v>
      </c>
      <c r="W114" s="21">
        <f>S114*($I$31/N114)</f>
        <v>0</v>
      </c>
      <c r="X114" s="21">
        <f>IFERROR(T114*($I$32/O114),0)</f>
        <v>0</v>
      </c>
      <c r="Y114" s="21">
        <f>IFERROR(U114*($I$33/P114),0)</f>
        <v>0</v>
      </c>
      <c r="Z114" s="221">
        <f>ROUNDUP(SUM(V114*$C$30,W114*$C$31,X114*$C$32,Y114*$C$33),0)</f>
        <v>0</v>
      </c>
      <c r="AA114" s="30">
        <f>IF(R114&lt;&gt;0,($J$30*M114*$L$33),0)</f>
        <v>0</v>
      </c>
      <c r="AB114" s="30">
        <f>IF(W114&lt;&gt;0,($J$31*N114*$L$33),0)</f>
        <v>0</v>
      </c>
      <c r="AC114" s="30">
        <f>IF(X114&lt;&gt;0,($J$32*O114*$L$33),0)</f>
        <v>0</v>
      </c>
      <c r="AD114" s="30">
        <f>IF(Y114&lt;&gt;0,($J$33*P114*$L$33),0)</f>
        <v>0</v>
      </c>
      <c r="AE114" s="32">
        <f>SUM(AA114:AD114)</f>
        <v>0</v>
      </c>
      <c r="AF114" s="33">
        <f>AE110</f>
        <v>0</v>
      </c>
      <c r="AG114" s="40">
        <f>MAX(AG113-$Q$33+AF114,0)</f>
        <v>0</v>
      </c>
      <c r="AH114" s="224">
        <f>AG114*$P$33</f>
        <v>0</v>
      </c>
      <c r="AI114" s="227">
        <f>SUM(Z114,IF(Z114&lt;&gt;0,$F$31,0),IF(Z114&lt;&gt;0,$N$33,0),IF(Z114&lt;&gt;0,$T$33,0),IF(Z114=0,AH119,IF(Z114=1,AH120,IF(Z114=2,AH121,IF(Z114=3,AH122,IF(Z114=4,AH123,IF(Z114=5,AH124,IF(Z114=6,AH125,IF(Z114=7,AH126,IF(Z114=8,AH127,IF(Z114=9,AH128,IF(Z114=10,AH129,IF(Z114=11,AH130,IF(Z114=12,AH131,IF(Z114=13,AH132,IF(Z114=14,AH133,IF(Z114=15,AH134,IF(Z114=16,AH135,IF(Z114=17,AH136,IF(Z114=18,AH137,IF(Z114=19,AH138,IF(Z114=20,AH139,IF(Z114=21,AH140,IF(Z114=22,AH141,IF(Z114=23,AH142,IF(Z114=24,AH143,IF(Z114=25,AH144,IF(Z114=26,AH145,IF(Z114=27,AH146,IF(Z114=28,AH147,IF(Z114=29,AH148,IF(Z114=30,AH149))))))))))))))))))))))))))))))))</f>
        <v>0</v>
      </c>
    </row>
    <row r="115" spans="1:35" x14ac:dyDescent="0.35">
      <c r="A115" s="48">
        <v>1416</v>
      </c>
      <c r="B115" s="58">
        <f>SUMIF([2]!Table2_23[ETA],'FIS Optimal Model (3)'!A115,[2]!Table2_23[FIS PAX])</f>
        <v>0</v>
      </c>
      <c r="C115" s="44">
        <f>IF((D114-D115)&gt;-1,(D114-D115),18)</f>
        <v>0</v>
      </c>
      <c r="D115" s="52">
        <f>MAX(D114-$E$31+B114,0)</f>
        <v>0</v>
      </c>
      <c r="E115" s="26">
        <f>$C$30*C115</f>
        <v>0</v>
      </c>
      <c r="F115" s="26">
        <f>$C$31*C115</f>
        <v>0</v>
      </c>
      <c r="G115" s="26">
        <f>$C$32*C115</f>
        <v>0</v>
      </c>
      <c r="H115" s="26">
        <f>$C$33*C115</f>
        <v>0</v>
      </c>
      <c r="I115" s="27">
        <f>E110</f>
        <v>0</v>
      </c>
      <c r="J115" s="27">
        <f>F110</f>
        <v>0</v>
      </c>
      <c r="K115" s="27">
        <f>G110</f>
        <v>0</v>
      </c>
      <c r="L115" s="27">
        <f>H110</f>
        <v>0</v>
      </c>
      <c r="M115" s="28">
        <f>IF(R114=0,0,$Q$11)</f>
        <v>0</v>
      </c>
      <c r="N115" s="29">
        <f>$U$11-M115-O115-P115</f>
        <v>6</v>
      </c>
      <c r="O115" s="28">
        <f>IF(T114=0,0,$S$11)</f>
        <v>0</v>
      </c>
      <c r="P115" s="28">
        <f>IF(U114=0,0,$T$11)</f>
        <v>0</v>
      </c>
      <c r="Q115" s="28">
        <f>SUM(M115:P115)</f>
        <v>6</v>
      </c>
      <c r="R115" s="22">
        <f>MAX(R114-($J$30*M115*$L$33)+I115,0)</f>
        <v>0</v>
      </c>
      <c r="S115" s="22">
        <f>IF(U115&lt;&gt;0,(MAX(S114-($J$31*N115*$L$33)+J115,0)),(MAX(S114-($J$31*(N115+P115)*$L$33)+J115,0)))</f>
        <v>0</v>
      </c>
      <c r="T115" s="22">
        <f>MAX(T114-($J$32*O115*$L$33)+K115,0)</f>
        <v>0</v>
      </c>
      <c r="U115" s="22">
        <f>MAX(U114-($J$33*P115*$L$33)+L115,0)</f>
        <v>0</v>
      </c>
      <c r="V115" s="21">
        <f>IFERROR(R115*($I$30/M115),0)</f>
        <v>0</v>
      </c>
      <c r="W115" s="21">
        <f>S115*($I$31/N115)</f>
        <v>0</v>
      </c>
      <c r="X115" s="21">
        <f>IFERROR(T115*($I$32/O115),0)</f>
        <v>0</v>
      </c>
      <c r="Y115" s="21">
        <f>IFERROR(U115*($I$33/P115),0)</f>
        <v>0</v>
      </c>
      <c r="Z115" s="221">
        <f>ROUNDUP(SUM(V115*$C$30,W115*$C$31,X115*$C$32,Y115*$C$33),0)</f>
        <v>0</v>
      </c>
      <c r="AA115" s="30">
        <f>IF(R115&lt;&gt;0,($J$30*M115*$L$33),0)</f>
        <v>0</v>
      </c>
      <c r="AB115" s="30">
        <f>IF(W115&lt;&gt;0,($J$31*N115*$L$33),0)</f>
        <v>0</v>
      </c>
      <c r="AC115" s="30">
        <f>IF(X115&lt;&gt;0,($J$32*O115*$L$33),0)</f>
        <v>0</v>
      </c>
      <c r="AD115" s="30">
        <f>IF(Y115&lt;&gt;0,($J$33*P115*$L$33),0)</f>
        <v>0</v>
      </c>
      <c r="AE115" s="32">
        <f>SUM(AA115:AD115)</f>
        <v>0</v>
      </c>
      <c r="AF115" s="33">
        <f>AE111</f>
        <v>0</v>
      </c>
      <c r="AG115" s="40">
        <f>MAX(AG114-$Q$33+AF115,0)</f>
        <v>0</v>
      </c>
      <c r="AH115" s="224">
        <f>AG115*$P$33</f>
        <v>0</v>
      </c>
      <c r="AI115" s="227">
        <f>SUM(Z115,IF(Z115&lt;&gt;0,$F$31,0),IF(Z115&lt;&gt;0,$N$33,0),IF(Z115&lt;&gt;0,$T$33,0),IF(Z115=0,AH120,IF(Z115=1,AH121,IF(Z115=2,AH122,IF(Z115=3,AH123,IF(Z115=4,AH124,IF(Z115=5,AH125,IF(Z115=6,AH126,IF(Z115=7,AH127,IF(Z115=8,AH128,IF(Z115=9,AH129,IF(Z115=10,AH130,IF(Z115=11,AH131,IF(Z115=12,AH132,IF(Z115=13,AH133,IF(Z115=14,AH134,IF(Z115=15,AH135,IF(Z115=16,AH136,IF(Z115=17,AH137,IF(Z115=18,AH138,IF(Z115=19,AH139,IF(Z115=20,AH140,IF(Z115=21,AH141,IF(Z115=22,AH142,IF(Z115=23,AH143,IF(Z115=24,AH144,IF(Z115=25,AH145,IF(Z115=26,AH146,IF(Z115=27,AH147,IF(Z115=28,AH148,IF(Z115=29,AH149,IF(Z115=30,AH150))))))))))))))))))))))))))))))))</f>
        <v>0</v>
      </c>
    </row>
    <row r="116" spans="1:35" x14ac:dyDescent="0.35">
      <c r="A116" s="48">
        <v>1417</v>
      </c>
      <c r="B116" s="58">
        <f>SUMIF([2]!Table2_23[ETA],'FIS Optimal Model (3)'!A116,[2]!Table2_23[FIS PAX])</f>
        <v>0</v>
      </c>
      <c r="C116" s="44">
        <f>IF((D115-D116)&gt;-1,(D115-D116),18)</f>
        <v>0</v>
      </c>
      <c r="D116" s="52">
        <f>MAX(D115-$E$31+B115,0)</f>
        <v>0</v>
      </c>
      <c r="E116" s="26">
        <f>$C$30*C116</f>
        <v>0</v>
      </c>
      <c r="F116" s="26">
        <f>$C$31*C116</f>
        <v>0</v>
      </c>
      <c r="G116" s="26">
        <f>$C$32*C116</f>
        <v>0</v>
      </c>
      <c r="H116" s="26">
        <f>$C$33*C116</f>
        <v>0</v>
      </c>
      <c r="I116" s="27">
        <f>E111</f>
        <v>0</v>
      </c>
      <c r="J116" s="27">
        <f>F111</f>
        <v>0</v>
      </c>
      <c r="K116" s="27">
        <f>G111</f>
        <v>0</v>
      </c>
      <c r="L116" s="27">
        <f>H111</f>
        <v>0</v>
      </c>
      <c r="M116" s="28">
        <f>$M$115</f>
        <v>0</v>
      </c>
      <c r="N116" s="29">
        <f>$N$115</f>
        <v>6</v>
      </c>
      <c r="O116" s="28">
        <f>$O$115</f>
        <v>0</v>
      </c>
      <c r="P116" s="28">
        <f>$P$115</f>
        <v>0</v>
      </c>
      <c r="Q116" s="28">
        <f>SUM(M116:P116)</f>
        <v>6</v>
      </c>
      <c r="R116" s="22">
        <f>MAX(R115-($J$30*M116*$L$33)+I116,0)</f>
        <v>0</v>
      </c>
      <c r="S116" s="22">
        <f>IF(U116&lt;&gt;0,(MAX(S115-($J$31*N116*$L$33)+J116,0)),(MAX(S115-($J$31*(N116+P116)*$L$33)+J116,0)))</f>
        <v>0</v>
      </c>
      <c r="T116" s="22">
        <f>MAX(T115-($J$32*O116*$L$33)+K116,0)</f>
        <v>0</v>
      </c>
      <c r="U116" s="22">
        <f>MAX(U115-($J$33*P116*$L$33)+L116,0)</f>
        <v>0</v>
      </c>
      <c r="V116" s="21">
        <f>IFERROR(R116*($I$30/M116),0)</f>
        <v>0</v>
      </c>
      <c r="W116" s="21">
        <f>IFERROR(S116*($I$31/N116),0)</f>
        <v>0</v>
      </c>
      <c r="X116" s="21">
        <f>IFERROR(T116*($I$32/O116),0)</f>
        <v>0</v>
      </c>
      <c r="Y116" s="21">
        <f>IFERROR(U116*($I$33/P116),0)</f>
        <v>0</v>
      </c>
      <c r="Z116" s="221">
        <f>ROUNDUP(SUM(V116*$C$30,W116*$C$31,X116*$C$32,Y116*$C$33),0)</f>
        <v>0</v>
      </c>
      <c r="AA116" s="30">
        <f>IF(R116&lt;&gt;0,($J$30*M116*$L$33),0)</f>
        <v>0</v>
      </c>
      <c r="AB116" s="30">
        <f>IF(W116&lt;&gt;0,($J$31*N116*$L$33),0)</f>
        <v>0</v>
      </c>
      <c r="AC116" s="30">
        <f>IF(X116&lt;&gt;0,($J$32*O116*$L$33),0)</f>
        <v>0</v>
      </c>
      <c r="AD116" s="30">
        <f>IF(Y116&lt;&gt;0,($J$33*P116*$L$33),0)</f>
        <v>0</v>
      </c>
      <c r="AE116" s="32">
        <f>SUM(AA116:AD116)</f>
        <v>0</v>
      </c>
      <c r="AF116" s="33">
        <f>AE112</f>
        <v>0</v>
      </c>
      <c r="AG116" s="40">
        <f>MAX(AG115-$Q$33+AF116,0)</f>
        <v>0</v>
      </c>
      <c r="AH116" s="224">
        <f>AG116*$P$33</f>
        <v>0</v>
      </c>
      <c r="AI116" s="227">
        <f>SUM(Z116,IF(Z116&lt;&gt;0,$F$31,0),IF(Z116&lt;&gt;0,$N$33,0),IF(Z116&lt;&gt;0,$T$33,0),IF(Z116=0,AH121,IF(Z116=1,AH122,IF(Z116=2,AH123,IF(Z116=3,AH124,IF(Z116=4,AH125,IF(Z116=5,AH126,IF(Z116=6,AH127,IF(Z116=7,AH128,IF(Z116=8,AH129,IF(Z116=9,AH130,IF(Z116=10,AH131,IF(Z116=11,AH132,IF(Z116=12,AH133,IF(Z116=13,AH134,IF(Z116=14,AH135,IF(Z116=15,AH136,IF(Z116=16,AH137,IF(Z116=17,AH138,IF(Z116=18,AH139,IF(Z116=19,AH140,IF(Z116=20,AH141,IF(Z116=21,AH142,IF(Z116=22,AH143,IF(Z116=23,AH144,IF(Z116=24,AH145,IF(Z116=25,AH146,IF(Z116=26,AH147,IF(Z116=27,AH148,IF(Z116=28,AH149,IF(Z116=29,AH150,IF(Z116=30,AH151))))))))))))))))))))))))))))))))</f>
        <v>0</v>
      </c>
    </row>
    <row r="117" spans="1:35" x14ac:dyDescent="0.35">
      <c r="A117" s="48">
        <v>1418</v>
      </c>
      <c r="B117" s="58">
        <f>SUMIF([2]!Table2_23[ETA],'FIS Optimal Model (3)'!A117,[2]!Table2_23[FIS PAX])</f>
        <v>0</v>
      </c>
      <c r="C117" s="44">
        <f>IF((D116-D117)&gt;-1,(D116-D117),18)</f>
        <v>0</v>
      </c>
      <c r="D117" s="52">
        <f>MAX(D116-$E$31+B116,0)</f>
        <v>0</v>
      </c>
      <c r="E117" s="26">
        <f>$C$30*C117</f>
        <v>0</v>
      </c>
      <c r="F117" s="26">
        <f>$C$31*C117</f>
        <v>0</v>
      </c>
      <c r="G117" s="26">
        <f>$C$32*C117</f>
        <v>0</v>
      </c>
      <c r="H117" s="26">
        <f>$C$33*C117</f>
        <v>0</v>
      </c>
      <c r="I117" s="27">
        <f>E112</f>
        <v>0</v>
      </c>
      <c r="J117" s="27">
        <f>F112</f>
        <v>0</v>
      </c>
      <c r="K117" s="27">
        <f>G112</f>
        <v>0</v>
      </c>
      <c r="L117" s="27">
        <f>H112</f>
        <v>0</v>
      </c>
      <c r="M117" s="28">
        <f>$M$115</f>
        <v>0</v>
      </c>
      <c r="N117" s="29">
        <f>$N$115</f>
        <v>6</v>
      </c>
      <c r="O117" s="28">
        <f>$O$115</f>
        <v>0</v>
      </c>
      <c r="P117" s="28">
        <f>$P$115</f>
        <v>0</v>
      </c>
      <c r="Q117" s="28">
        <f>SUM(M117:P117)</f>
        <v>6</v>
      </c>
      <c r="R117" s="22">
        <f>MAX(R116-($J$30*M117*$L$33)+I117,0)</f>
        <v>0</v>
      </c>
      <c r="S117" s="22">
        <f>IF(U117&lt;&gt;0,(MAX(S116-($J$31*N117*$L$33)+J117,0)),(MAX(S116-($J$31*(N117+P117)*$L$33)+J117,0)))</f>
        <v>0</v>
      </c>
      <c r="T117" s="22">
        <f>MAX(T116-($J$32*O117*$L$33)+K117,0)</f>
        <v>0</v>
      </c>
      <c r="U117" s="22">
        <f>MAX(U116-($J$33*P117*$L$33)+L117,0)</f>
        <v>0</v>
      </c>
      <c r="V117" s="21">
        <f>IFERROR(R117*($I$30/M117),0)</f>
        <v>0</v>
      </c>
      <c r="W117" s="21">
        <f>IFERROR(S117*($I$31/N117),0)</f>
        <v>0</v>
      </c>
      <c r="X117" s="21">
        <f>IFERROR(T117*($I$32/O117),0)</f>
        <v>0</v>
      </c>
      <c r="Y117" s="21">
        <f>IFERROR(U117*($I$33/P117),0)</f>
        <v>0</v>
      </c>
      <c r="Z117" s="221">
        <f>ROUNDUP(SUM(V117*$C$30,W117*$C$31,X117*$C$32,Y117*$C$33),0)</f>
        <v>0</v>
      </c>
      <c r="AA117" s="30">
        <f>IF(R117&lt;&gt;0,($J$30*M117*$L$33),0)</f>
        <v>0</v>
      </c>
      <c r="AB117" s="30">
        <f>IF(W117&lt;&gt;0,($J$31*N117*$L$33),0)</f>
        <v>0</v>
      </c>
      <c r="AC117" s="30">
        <f>IF(X117&lt;&gt;0,($J$32*O117*$L$33),0)</f>
        <v>0</v>
      </c>
      <c r="AD117" s="30">
        <f>IF(Y117&lt;&gt;0,($J$33*P117*$L$33),0)</f>
        <v>0</v>
      </c>
      <c r="AE117" s="32">
        <f>SUM(AA117:AD117)</f>
        <v>0</v>
      </c>
      <c r="AF117" s="33">
        <f>AE113</f>
        <v>0</v>
      </c>
      <c r="AG117" s="40">
        <f>MAX(AG116-$Q$33+AF117,0)</f>
        <v>0</v>
      </c>
      <c r="AH117" s="224">
        <f>AG117*$P$33</f>
        <v>0</v>
      </c>
      <c r="AI117" s="227">
        <f>SUM(Z117,IF(Z117&lt;&gt;0,$F$31,0),IF(Z117&lt;&gt;0,$N$33,0),IF(Z117&lt;&gt;0,$T$33,0),IF(Z117=0,AH122,IF(Z117=1,AH123,IF(Z117=2,AH124,IF(Z117=3,AH125,IF(Z117=4,AH126,IF(Z117=5,AH127,IF(Z117=6,AH128,IF(Z117=7,AH129,IF(Z117=8,AH130,IF(Z117=9,AH131,IF(Z117=10,AH132,IF(Z117=11,AH133,IF(Z117=12,AH134,IF(Z117=13,AH135,IF(Z117=14,AH136,IF(Z117=15,AH137,IF(Z117=16,AH138,IF(Z117=17,AH139,IF(Z117=18,AH140,IF(Z117=19,AH141,IF(Z117=20,AH142,IF(Z117=21,AH143,IF(Z117=22,AH144,IF(Z117=23,AH145,IF(Z117=24,AH146,IF(Z117=25,AH147,IF(Z117=26,AH148,IF(Z117=27,AH149,IF(Z117=28,AH150,IF(Z117=29,AH151,IF(Z117=30,AH152))))))))))))))))))))))))))))))))</f>
        <v>0</v>
      </c>
    </row>
    <row r="118" spans="1:35" x14ac:dyDescent="0.35">
      <c r="A118" s="48">
        <v>1419</v>
      </c>
      <c r="B118" s="58">
        <f>SUMIF([2]!Table2_23[ETA],'FIS Optimal Model (3)'!A118,[2]!Table2_23[FIS PAX])</f>
        <v>0</v>
      </c>
      <c r="C118" s="44">
        <f>IF((D117-D118)&gt;-1,(D117-D118),18)</f>
        <v>0</v>
      </c>
      <c r="D118" s="52">
        <f>MAX(D117-$E$31+B117,0)</f>
        <v>0</v>
      </c>
      <c r="E118" s="26">
        <f>$C$30*C118</f>
        <v>0</v>
      </c>
      <c r="F118" s="26">
        <f>$C$31*C118</f>
        <v>0</v>
      </c>
      <c r="G118" s="26">
        <f>$C$32*C118</f>
        <v>0</v>
      </c>
      <c r="H118" s="26">
        <f>$C$33*C118</f>
        <v>0</v>
      </c>
      <c r="I118" s="27">
        <f>E113</f>
        <v>0</v>
      </c>
      <c r="J118" s="27">
        <f>F113</f>
        <v>0</v>
      </c>
      <c r="K118" s="27">
        <f>G113</f>
        <v>0</v>
      </c>
      <c r="L118" s="27">
        <f>H113</f>
        <v>0</v>
      </c>
      <c r="M118" s="28">
        <f>$M$115</f>
        <v>0</v>
      </c>
      <c r="N118" s="29">
        <f>$N$115</f>
        <v>6</v>
      </c>
      <c r="O118" s="28">
        <f>$O$115</f>
        <v>0</v>
      </c>
      <c r="P118" s="28">
        <f>$P$115</f>
        <v>0</v>
      </c>
      <c r="Q118" s="28">
        <f>SUM(M118:P118)</f>
        <v>6</v>
      </c>
      <c r="R118" s="22">
        <f>MAX(R117-($J$30*M118*$L$33)+I118,0)</f>
        <v>0</v>
      </c>
      <c r="S118" s="22">
        <f>IF(U118&lt;&gt;0,(MAX(S117-($J$31*N118*$L$33)+J118,0)),(MAX(S117-($J$31*(N118+P118)*$L$33)+J118,0)))</f>
        <v>0</v>
      </c>
      <c r="T118" s="22">
        <f>MAX(T117-($J$32*O118*$L$33)+K118,0)</f>
        <v>0</v>
      </c>
      <c r="U118" s="22">
        <f>MAX(U117-($J$33*P118*$L$33)+L118,0)</f>
        <v>0</v>
      </c>
      <c r="V118" s="21">
        <f>IFERROR(R118*($I$30/M118),0)</f>
        <v>0</v>
      </c>
      <c r="W118" s="21">
        <f>IFERROR(S118*($I$31/N118),0)</f>
        <v>0</v>
      </c>
      <c r="X118" s="21">
        <f>IFERROR(T118*($I$32/O118),0)</f>
        <v>0</v>
      </c>
      <c r="Y118" s="21">
        <f>IFERROR(U118*($I$33/P118),0)</f>
        <v>0</v>
      </c>
      <c r="Z118" s="221">
        <f>ROUNDUP(SUM(V118*$C$30,W118*$C$31,X118*$C$32,Y118*$C$33),0)</f>
        <v>0</v>
      </c>
      <c r="AA118" s="30">
        <f>IF(R118&lt;&gt;0,($J$30*M118*$L$33),0)</f>
        <v>0</v>
      </c>
      <c r="AB118" s="30">
        <f>IF(W118&lt;&gt;0,($J$31*N118*$L$33),0)</f>
        <v>0</v>
      </c>
      <c r="AC118" s="30">
        <f>IF(X118&lt;&gt;0,($J$32*O118*$L$33),0)</f>
        <v>0</v>
      </c>
      <c r="AD118" s="30">
        <f>IF(Y118&lt;&gt;0,($J$33*P118*$L$33),0)</f>
        <v>0</v>
      </c>
      <c r="AE118" s="32">
        <f>SUM(AA118:AD118)</f>
        <v>0</v>
      </c>
      <c r="AF118" s="33">
        <f>AE114</f>
        <v>0</v>
      </c>
      <c r="AG118" s="40">
        <f>MAX(AG117-$Q$33+AF118,0)</f>
        <v>0</v>
      </c>
      <c r="AH118" s="224">
        <f>AG118*$P$33</f>
        <v>0</v>
      </c>
      <c r="AI118" s="227">
        <f>SUM(Z118,IF(Z118&lt;&gt;0,$F$31,0),IF(Z118&lt;&gt;0,$N$33,0),IF(Z118&lt;&gt;0,$T$33,0),IF(Z118=0,AH123,IF(Z118=1,AH124,IF(Z118=2,AH125,IF(Z118=3,AH126,IF(Z118=4,AH127,IF(Z118=5,AH128,IF(Z118=6,AH129,IF(Z118=7,AH130,IF(Z118=8,AH131,IF(Z118=9,AH132,IF(Z118=10,AH133,IF(Z118=11,AH134,IF(Z118=12,AH135,IF(Z118=13,AH136,IF(Z118=14,AH137,IF(Z118=15,AH138,IF(Z118=16,AH139,IF(Z118=17,AH140,IF(Z118=18,AH141,IF(Z118=19,AH142,IF(Z118=20,AH143,IF(Z118=21,AH144,IF(Z118=22,AH145,IF(Z118=23,AH146,IF(Z118=24,AH147,IF(Z118=25,AH148,IF(Z118=26,AH149,IF(Z118=27,AH150,IF(Z118=28,AH151,IF(Z118=29,AH152,IF(Z118=30,AH153))))))))))))))))))))))))))))))))</f>
        <v>0</v>
      </c>
    </row>
    <row r="119" spans="1:35" x14ac:dyDescent="0.35">
      <c r="A119" s="48">
        <v>1420</v>
      </c>
      <c r="B119" s="58">
        <f>SUMIF([2]!Table2_23[ETA],'FIS Optimal Model (3)'!A119,[2]!Table2_23[FIS PAX])</f>
        <v>0</v>
      </c>
      <c r="C119" s="44">
        <f>IF((D118-D119)&gt;-1,(D118-D119),18)</f>
        <v>0</v>
      </c>
      <c r="D119" s="52">
        <f>MAX(D118-$E$31+B118,0)</f>
        <v>0</v>
      </c>
      <c r="E119" s="26">
        <f>$C$30*C119</f>
        <v>0</v>
      </c>
      <c r="F119" s="26">
        <f>$C$31*C119</f>
        <v>0</v>
      </c>
      <c r="G119" s="26">
        <f>$C$32*C119</f>
        <v>0</v>
      </c>
      <c r="H119" s="26">
        <f>$C$33*C119</f>
        <v>0</v>
      </c>
      <c r="I119" s="27">
        <f>E114</f>
        <v>0</v>
      </c>
      <c r="J119" s="27">
        <f>F114</f>
        <v>0</v>
      </c>
      <c r="K119" s="27">
        <f>G114</f>
        <v>0</v>
      </c>
      <c r="L119" s="27">
        <f>H114</f>
        <v>0</v>
      </c>
      <c r="M119" s="28">
        <f>$M$115</f>
        <v>0</v>
      </c>
      <c r="N119" s="29">
        <f>$N$115</f>
        <v>6</v>
      </c>
      <c r="O119" s="28">
        <f>$O$115</f>
        <v>0</v>
      </c>
      <c r="P119" s="28">
        <f>$P$115</f>
        <v>0</v>
      </c>
      <c r="Q119" s="28">
        <f>SUM(M119:P119)</f>
        <v>6</v>
      </c>
      <c r="R119" s="22">
        <f>MAX(R118-($J$30*M119*$L$33)+I119,0)</f>
        <v>0</v>
      </c>
      <c r="S119" s="22">
        <f>IF(U119&lt;&gt;0,(MAX(S118-($J$31*N119*$L$33)+J119,0)),(MAX(S118-($J$31*(N119+P119)*$L$33)+J119,0)))</f>
        <v>0</v>
      </c>
      <c r="T119" s="22">
        <f>MAX(T118-($J$32*O119*$L$33)+K119,0)</f>
        <v>0</v>
      </c>
      <c r="U119" s="22">
        <f>MAX(U118-($J$33*P119*$L$33)+L119,0)</f>
        <v>0</v>
      </c>
      <c r="V119" s="21">
        <f>IFERROR(R119*($I$30/M119),0)</f>
        <v>0</v>
      </c>
      <c r="W119" s="21">
        <f>IFERROR(S119*($I$31/N119),0)</f>
        <v>0</v>
      </c>
      <c r="X119" s="21">
        <f>IFERROR(T119*($I$32/O119),0)</f>
        <v>0</v>
      </c>
      <c r="Y119" s="21">
        <f>IFERROR(U119*($I$33/P119),0)</f>
        <v>0</v>
      </c>
      <c r="Z119" s="221">
        <f>ROUNDUP(SUM(V119*$C$30,W119*$C$31,X119*$C$32,Y119*$C$33),0)</f>
        <v>0</v>
      </c>
      <c r="AA119" s="30">
        <f>IF(R119&lt;&gt;0,($J$30*M119*$L$33),0)</f>
        <v>0</v>
      </c>
      <c r="AB119" s="30">
        <f>IF(W119&lt;&gt;0,($J$31*N119*$L$33),0)</f>
        <v>0</v>
      </c>
      <c r="AC119" s="30">
        <f>IF(X119&lt;&gt;0,($J$32*O119*$L$33),0)</f>
        <v>0</v>
      </c>
      <c r="AD119" s="30">
        <f>IF(Y119&lt;&gt;0,($J$33*P119*$L$33),0)</f>
        <v>0</v>
      </c>
      <c r="AE119" s="32">
        <f>SUM(AA119:AD119)</f>
        <v>0</v>
      </c>
      <c r="AF119" s="33">
        <f>AE115</f>
        <v>0</v>
      </c>
      <c r="AG119" s="40">
        <f>MAX(AG118-$Q$33+AF119,0)</f>
        <v>0</v>
      </c>
      <c r="AH119" s="224">
        <f>AG119*$P$33</f>
        <v>0</v>
      </c>
      <c r="AI119" s="227">
        <f>SUM(Z119,IF(Z119&lt;&gt;0,$F$31,0),IF(Z119&lt;&gt;0,$N$33,0),IF(Z119&lt;&gt;0,$T$33,0),IF(Z119=0,AH124,IF(Z119=1,AH125,IF(Z119=2,AH126,IF(Z119=3,AH127,IF(Z119=4,AH128,IF(Z119=5,AH129,IF(Z119=6,AH130,IF(Z119=7,AH131,IF(Z119=8,AH132,IF(Z119=9,AH133,IF(Z119=10,AH134,IF(Z119=11,AH135,IF(Z119=12,AH136,IF(Z119=13,AH137,IF(Z119=14,AH138,IF(Z119=15,AH139,IF(Z119=16,AH140,IF(Z119=17,AH141,IF(Z119=18,AH142,IF(Z119=19,AH143,IF(Z119=20,AH144,IF(Z119=21,AH145,IF(Z119=22,AH146,IF(Z119=23,AH147,IF(Z119=24,AH148,IF(Z119=25,AH149,IF(Z119=26,AH150,IF(Z119=27,AH151,IF(Z119=28,AH152,IF(Z119=29,AH153,IF(Z119=30,AH154))))))))))))))))))))))))))))))))</f>
        <v>0</v>
      </c>
    </row>
    <row r="120" spans="1:35" x14ac:dyDescent="0.35">
      <c r="A120" s="48">
        <v>1421</v>
      </c>
      <c r="B120" s="58">
        <f>SUMIF([2]!Table2_23[ETA],'FIS Optimal Model (3)'!A120,[2]!Table2_23[FIS PAX])</f>
        <v>0</v>
      </c>
      <c r="C120" s="44">
        <f>IF((D119-D120)&gt;-1,(D119-D120),18)</f>
        <v>0</v>
      </c>
      <c r="D120" s="52">
        <f>MAX(D119-$E$31+B119,0)</f>
        <v>0</v>
      </c>
      <c r="E120" s="26">
        <f>$C$30*C120</f>
        <v>0</v>
      </c>
      <c r="F120" s="26">
        <f>$C$31*C120</f>
        <v>0</v>
      </c>
      <c r="G120" s="26">
        <f>$C$32*C120</f>
        <v>0</v>
      </c>
      <c r="H120" s="26">
        <f>$C$33*C120</f>
        <v>0</v>
      </c>
      <c r="I120" s="27">
        <f>E115</f>
        <v>0</v>
      </c>
      <c r="J120" s="27">
        <f>F115</f>
        <v>0</v>
      </c>
      <c r="K120" s="27">
        <f>G115</f>
        <v>0</v>
      </c>
      <c r="L120" s="27">
        <f>H115</f>
        <v>0</v>
      </c>
      <c r="M120" s="28">
        <f>$M$115</f>
        <v>0</v>
      </c>
      <c r="N120" s="29">
        <f>$N$115</f>
        <v>6</v>
      </c>
      <c r="O120" s="28">
        <f>$O$115</f>
        <v>0</v>
      </c>
      <c r="P120" s="28">
        <f>$P$115</f>
        <v>0</v>
      </c>
      <c r="Q120" s="28">
        <f>SUM(M120:P120)</f>
        <v>6</v>
      </c>
      <c r="R120" s="22">
        <f>MAX(R119-($J$30*M120*$L$33)+I120,0)</f>
        <v>0</v>
      </c>
      <c r="S120" s="22">
        <f>IF(U120&lt;&gt;0,(MAX(S119-($J$31*N120*$L$33)+J120,0)),(MAX(S119-($J$31*(N120+P120)*$L$33)+J120,0)))</f>
        <v>0</v>
      </c>
      <c r="T120" s="22">
        <f>MAX(T119-($J$32*O120*$L$33)+K120,0)</f>
        <v>0</v>
      </c>
      <c r="U120" s="22">
        <f>MAX(U119-($J$33*P120*$L$33)+L120,0)</f>
        <v>0</v>
      </c>
      <c r="V120" s="21">
        <f>IFERROR(R120*($I$30/M120),0)</f>
        <v>0</v>
      </c>
      <c r="W120" s="21">
        <f>IFERROR(S120*($I$31/N120),0)</f>
        <v>0</v>
      </c>
      <c r="X120" s="21">
        <f>IFERROR(T120*($I$32/O120),0)</f>
        <v>0</v>
      </c>
      <c r="Y120" s="21">
        <f>IFERROR(U120*($I$33/P120),0)</f>
        <v>0</v>
      </c>
      <c r="Z120" s="221">
        <f>ROUNDUP(SUM(V120*$C$30,W120*$C$31,X120*$C$32,Y120*$C$33),0)</f>
        <v>0</v>
      </c>
      <c r="AA120" s="30">
        <f>IF(R120&lt;&gt;0,($J$30*M120*$L$33),0)</f>
        <v>0</v>
      </c>
      <c r="AB120" s="30">
        <f>IF(W120&lt;&gt;0,($J$31*N120*$L$33),0)</f>
        <v>0</v>
      </c>
      <c r="AC120" s="30">
        <f>IF(X120&lt;&gt;0,($J$32*O120*$L$33),0)</f>
        <v>0</v>
      </c>
      <c r="AD120" s="30">
        <f>IF(Y120&lt;&gt;0,($J$33*P120*$L$33),0)</f>
        <v>0</v>
      </c>
      <c r="AE120" s="32">
        <f>SUM(AA120:AD120)</f>
        <v>0</v>
      </c>
      <c r="AF120" s="33">
        <f>AE116</f>
        <v>0</v>
      </c>
      <c r="AG120" s="40">
        <f>MAX(AG119-$Q$33+AF120,0)</f>
        <v>0</v>
      </c>
      <c r="AH120" s="224">
        <f>AG120*$P$33</f>
        <v>0</v>
      </c>
      <c r="AI120" s="227">
        <f>SUM(Z120,IF(Z120&lt;&gt;0,$F$31,0),IF(Z120&lt;&gt;0,$N$33,0),IF(Z120&lt;&gt;0,$T$33,0),IF(Z120=0,AH125,IF(Z120=1,AH126,IF(Z120=2,AH127,IF(Z120=3,AH128,IF(Z120=4,AH129,IF(Z120=5,AH130,IF(Z120=6,AH131,IF(Z120=7,AH132,IF(Z120=8,AH133,IF(Z120=9,AH134,IF(Z120=10,AH135,IF(Z120=11,AH136,IF(Z120=12,AH137,IF(Z120=13,AH138,IF(Z120=14,AH139,IF(Z120=15,AH140,IF(Z120=16,AH141,IF(Z120=17,AH142,IF(Z120=18,AH143,IF(Z120=19,AH144,IF(Z120=20,AH145,IF(Z120=21,AH146,IF(Z120=22,AH147,IF(Z120=23,AH148,IF(Z120=24,AH149,IF(Z120=25,AH150,IF(Z120=26,AH151,IF(Z120=27,AH152,IF(Z120=28,AH153,IF(Z120=29,AH154,IF(Z120=30,AH155))))))))))))))))))))))))))))))))</f>
        <v>0</v>
      </c>
    </row>
    <row r="121" spans="1:35" x14ac:dyDescent="0.35">
      <c r="A121" s="48">
        <v>1422</v>
      </c>
      <c r="B121" s="58">
        <f>SUMIF([2]!Table2_23[ETA],'FIS Optimal Model (3)'!A121,[2]!Table2_23[FIS PAX])</f>
        <v>0</v>
      </c>
      <c r="C121" s="44">
        <f>IF((D120-D121)&gt;-1,(D120-D121),18)</f>
        <v>0</v>
      </c>
      <c r="D121" s="52">
        <f>MAX(D120-$E$31+B120,0)</f>
        <v>0</v>
      </c>
      <c r="E121" s="26">
        <f>$C$30*C121</f>
        <v>0</v>
      </c>
      <c r="F121" s="26">
        <f>$C$31*C121</f>
        <v>0</v>
      </c>
      <c r="G121" s="26">
        <f>$C$32*C121</f>
        <v>0</v>
      </c>
      <c r="H121" s="26">
        <f>$C$33*C121</f>
        <v>0</v>
      </c>
      <c r="I121" s="27">
        <f>E116</f>
        <v>0</v>
      </c>
      <c r="J121" s="27">
        <f>F116</f>
        <v>0</v>
      </c>
      <c r="K121" s="27">
        <f>G116</f>
        <v>0</v>
      </c>
      <c r="L121" s="27">
        <f>H116</f>
        <v>0</v>
      </c>
      <c r="M121" s="28">
        <f>$M$115</f>
        <v>0</v>
      </c>
      <c r="N121" s="29">
        <f>$N$115</f>
        <v>6</v>
      </c>
      <c r="O121" s="28">
        <f>$O$115</f>
        <v>0</v>
      </c>
      <c r="P121" s="28">
        <f>$P$115</f>
        <v>0</v>
      </c>
      <c r="Q121" s="28">
        <f>SUM(M121:P121)</f>
        <v>6</v>
      </c>
      <c r="R121" s="22">
        <f>MAX(R120-($J$30*M121*$L$33)+I121,0)</f>
        <v>0</v>
      </c>
      <c r="S121" s="22">
        <f>IF(U121&lt;&gt;0,(MAX(S120-($J$31*N121*$L$33)+J121,0)),(MAX(S120-($J$31*(N121+P121)*$L$33)+J121,0)))</f>
        <v>0</v>
      </c>
      <c r="T121" s="22">
        <f>MAX(T120-($J$32*O121*$L$33)+K121,0)</f>
        <v>0</v>
      </c>
      <c r="U121" s="22">
        <f>MAX(U120-($J$33*P121*$L$33)+L121,0)</f>
        <v>0</v>
      </c>
      <c r="V121" s="21">
        <f>IFERROR(R121*($I$30/M121),0)</f>
        <v>0</v>
      </c>
      <c r="W121" s="21">
        <f>IFERROR(S121*($I$31/N121),0)</f>
        <v>0</v>
      </c>
      <c r="X121" s="21">
        <f>IFERROR(T121*($I$32/O121),0)</f>
        <v>0</v>
      </c>
      <c r="Y121" s="21">
        <f>IFERROR(U121*($I$33/P121),0)</f>
        <v>0</v>
      </c>
      <c r="Z121" s="221">
        <f>ROUNDUP(SUM(V121*$C$30,W121*$C$31,X121*$C$32,Y121*$C$33),0)</f>
        <v>0</v>
      </c>
      <c r="AA121" s="30">
        <f>IF(R121&lt;&gt;0,($J$30*M121*$L$33),0)</f>
        <v>0</v>
      </c>
      <c r="AB121" s="30">
        <f>IF(W121&lt;&gt;0,($J$31*N121*$L$33),0)</f>
        <v>0</v>
      </c>
      <c r="AC121" s="30">
        <f>IF(X121&lt;&gt;0,($J$32*O121*$L$33),0)</f>
        <v>0</v>
      </c>
      <c r="AD121" s="30">
        <f>IF(Y121&lt;&gt;0,($J$33*P121*$L$33),0)</f>
        <v>0</v>
      </c>
      <c r="AE121" s="32">
        <f>SUM(AA121:AD121)</f>
        <v>0</v>
      </c>
      <c r="AF121" s="33">
        <f>AE117</f>
        <v>0</v>
      </c>
      <c r="AG121" s="40">
        <f>MAX(AG120-$Q$33+AF121,0)</f>
        <v>0</v>
      </c>
      <c r="AH121" s="224">
        <f>AG121*$P$33</f>
        <v>0</v>
      </c>
      <c r="AI121" s="227">
        <f>SUM(Z121,IF(Z121&lt;&gt;0,$F$31,0),IF(Z121&lt;&gt;0,$N$33,0),IF(Z121&lt;&gt;0,$T$33,0),IF(Z121=0,AH126,IF(Z121=1,AH127,IF(Z121=2,AH128,IF(Z121=3,AH129,IF(Z121=4,AH130,IF(Z121=5,AH131,IF(Z121=6,AH132,IF(Z121=7,AH133,IF(Z121=8,AH134,IF(Z121=9,AH135,IF(Z121=10,AH136,IF(Z121=11,AH137,IF(Z121=12,AH138,IF(Z121=13,AH139,IF(Z121=14,AH140,IF(Z121=15,AH141,IF(Z121=16,AH142,IF(Z121=17,AH143,IF(Z121=18,AH144,IF(Z121=19,AH145,IF(Z121=20,AH146,IF(Z121=21,AH147,IF(Z121=22,AH148,IF(Z121=23,AH149,IF(Z121=24,AH150,IF(Z121=25,AH151,IF(Z121=26,AH152,IF(Z121=27,AH153,IF(Z121=28,AH154,IF(Z121=29,AH155,IF(Z121=30,AH156))))))))))))))))))))))))))))))))</f>
        <v>0</v>
      </c>
    </row>
    <row r="122" spans="1:35" x14ac:dyDescent="0.35">
      <c r="A122" s="48">
        <v>1423</v>
      </c>
      <c r="B122" s="58">
        <f>SUMIF([2]!Table2_23[ETA],'FIS Optimal Model (3)'!A122,[2]!Table2_23[FIS PAX])</f>
        <v>0</v>
      </c>
      <c r="C122" s="44">
        <f>IF((D121-D122)&gt;-1,(D121-D122),18)</f>
        <v>0</v>
      </c>
      <c r="D122" s="52">
        <f>MAX(D121-$E$31+B121,0)</f>
        <v>0</v>
      </c>
      <c r="E122" s="26">
        <f>$C$30*C122</f>
        <v>0</v>
      </c>
      <c r="F122" s="26">
        <f>$C$31*C122</f>
        <v>0</v>
      </c>
      <c r="G122" s="26">
        <f>$C$32*C122</f>
        <v>0</v>
      </c>
      <c r="H122" s="26">
        <f>$C$33*C122</f>
        <v>0</v>
      </c>
      <c r="I122" s="27">
        <f>E117</f>
        <v>0</v>
      </c>
      <c r="J122" s="27">
        <f>F117</f>
        <v>0</v>
      </c>
      <c r="K122" s="27">
        <f>G117</f>
        <v>0</v>
      </c>
      <c r="L122" s="27">
        <f>H117</f>
        <v>0</v>
      </c>
      <c r="M122" s="28">
        <f>$M$115</f>
        <v>0</v>
      </c>
      <c r="N122" s="29">
        <f>$N$115</f>
        <v>6</v>
      </c>
      <c r="O122" s="28">
        <f>$O$115</f>
        <v>0</v>
      </c>
      <c r="P122" s="28">
        <f>$P$115</f>
        <v>0</v>
      </c>
      <c r="Q122" s="28">
        <f>SUM(M122:P122)</f>
        <v>6</v>
      </c>
      <c r="R122" s="22">
        <f>MAX(R121-($J$30*M122*$L$33)+I122,0)</f>
        <v>0</v>
      </c>
      <c r="S122" s="22">
        <f>IF(U122&lt;&gt;0,(MAX(S121-($J$31*N122*$L$33)+J122,0)),(MAX(S121-($J$31*(N122+P122)*$L$33)+J122,0)))</f>
        <v>0</v>
      </c>
      <c r="T122" s="22">
        <f>MAX(T121-($J$32*O122*$L$33)+K122,0)</f>
        <v>0</v>
      </c>
      <c r="U122" s="22">
        <f>MAX(U121-($J$33*P122*$L$33)+L122,0)</f>
        <v>0</v>
      </c>
      <c r="V122" s="21">
        <f>IFERROR(R122*($I$30/M122),0)</f>
        <v>0</v>
      </c>
      <c r="W122" s="21">
        <f>IFERROR(S122*($I$31/N122),0)</f>
        <v>0</v>
      </c>
      <c r="X122" s="21">
        <f>IFERROR(T122*($I$32/O122),0)</f>
        <v>0</v>
      </c>
      <c r="Y122" s="21">
        <f>IFERROR(U122*($I$33/P122),0)</f>
        <v>0</v>
      </c>
      <c r="Z122" s="221">
        <f>ROUNDUP(SUM(V122*$C$30,W122*$C$31,X122*$C$32,Y122*$C$33),0)</f>
        <v>0</v>
      </c>
      <c r="AA122" s="30">
        <f>IF(R122&lt;&gt;0,($J$30*M122*$L$33),0)</f>
        <v>0</v>
      </c>
      <c r="AB122" s="30">
        <f>IF(W122&lt;&gt;0,($J$31*N122*$L$33),0)</f>
        <v>0</v>
      </c>
      <c r="AC122" s="30">
        <f>IF(X122&lt;&gt;0,($J$32*O122*$L$33),0)</f>
        <v>0</v>
      </c>
      <c r="AD122" s="30">
        <f>IF(Y122&lt;&gt;0,($J$33*P122*$L$33),0)</f>
        <v>0</v>
      </c>
      <c r="AE122" s="32">
        <f>SUM(AA122:AD122)</f>
        <v>0</v>
      </c>
      <c r="AF122" s="33">
        <f>AE118</f>
        <v>0</v>
      </c>
      <c r="AG122" s="40">
        <f>MAX(AG121-$Q$33+AF122,0)</f>
        <v>0</v>
      </c>
      <c r="AH122" s="224">
        <f>AG122*$P$33</f>
        <v>0</v>
      </c>
      <c r="AI122" s="227">
        <f>SUM(Z122,IF(Z122&lt;&gt;0,$F$31,0),IF(Z122&lt;&gt;0,$N$33,0),IF(Z122&lt;&gt;0,$T$33,0),IF(Z122=0,AH127,IF(Z122=1,AH128,IF(Z122=2,AH129,IF(Z122=3,AH130,IF(Z122=4,AH131,IF(Z122=5,AH132,IF(Z122=6,AH133,IF(Z122=7,AH134,IF(Z122=8,AH135,IF(Z122=9,AH136,IF(Z122=10,AH137,IF(Z122=11,AH138,IF(Z122=12,AH139,IF(Z122=13,AH140,IF(Z122=14,AH141,IF(Z122=15,AH142,IF(Z122=16,AH143,IF(Z122=17,AH144,IF(Z122=18,AH145,IF(Z122=19,AH146,IF(Z122=20,AH147,IF(Z122=21,AH148,IF(Z122=22,AH149,IF(Z122=23,AH150,IF(Z122=24,AH151,IF(Z122=25,AH152,IF(Z122=26,AH153,IF(Z122=27,AH154,IF(Z122=28,AH155,IF(Z122=29,AH156,IF(Z122=30,AH157))))))))))))))))))))))))))))))))</f>
        <v>0</v>
      </c>
    </row>
    <row r="123" spans="1:35" x14ac:dyDescent="0.35">
      <c r="A123" s="48">
        <v>1424</v>
      </c>
      <c r="B123" s="58">
        <f>SUMIF([2]!Table2_23[ETA],'FIS Optimal Model (3)'!A123,[2]!Table2_23[FIS PAX])</f>
        <v>0</v>
      </c>
      <c r="C123" s="44">
        <f>IF((D122-D123)&gt;-1,(D122-D123),18)</f>
        <v>0</v>
      </c>
      <c r="D123" s="52">
        <f>MAX(D122-$E$31+B122,0)</f>
        <v>0</v>
      </c>
      <c r="E123" s="26">
        <f>$C$30*C123</f>
        <v>0</v>
      </c>
      <c r="F123" s="26">
        <f>$C$31*C123</f>
        <v>0</v>
      </c>
      <c r="G123" s="26">
        <f>$C$32*C123</f>
        <v>0</v>
      </c>
      <c r="H123" s="26">
        <f>$C$33*C123</f>
        <v>0</v>
      </c>
      <c r="I123" s="27">
        <f>E118</f>
        <v>0</v>
      </c>
      <c r="J123" s="27">
        <f>F118</f>
        <v>0</v>
      </c>
      <c r="K123" s="27">
        <f>G118</f>
        <v>0</v>
      </c>
      <c r="L123" s="27">
        <f>H118</f>
        <v>0</v>
      </c>
      <c r="M123" s="28">
        <f>$M$115</f>
        <v>0</v>
      </c>
      <c r="N123" s="29">
        <f>$N$115</f>
        <v>6</v>
      </c>
      <c r="O123" s="28">
        <f>$O$115</f>
        <v>0</v>
      </c>
      <c r="P123" s="28">
        <f>$P$115</f>
        <v>0</v>
      </c>
      <c r="Q123" s="28">
        <f>SUM(M123:P123)</f>
        <v>6</v>
      </c>
      <c r="R123" s="22">
        <f>MAX(R122-($J$30*M123*$L$33)+I123,0)</f>
        <v>0</v>
      </c>
      <c r="S123" s="22">
        <f>IF(U123&lt;&gt;0,(MAX(S122-($J$31*N123*$L$33)+J123,0)),(MAX(S122-($J$31*(N123+P123)*$L$33)+J123,0)))</f>
        <v>0</v>
      </c>
      <c r="T123" s="22">
        <f>MAX(T122-($J$32*O123*$L$33)+K123,0)</f>
        <v>0</v>
      </c>
      <c r="U123" s="22">
        <f>MAX(U122-($J$33*P123*$L$33)+L123,0)</f>
        <v>0</v>
      </c>
      <c r="V123" s="21">
        <f>IFERROR(R123*($I$30/M123),0)</f>
        <v>0</v>
      </c>
      <c r="W123" s="21">
        <f>IFERROR(S123*($I$31/N123),0)</f>
        <v>0</v>
      </c>
      <c r="X123" s="21">
        <f>IFERROR(T123*($I$32/O123),0)</f>
        <v>0</v>
      </c>
      <c r="Y123" s="21">
        <f>IFERROR(U123*($I$33/P123),0)</f>
        <v>0</v>
      </c>
      <c r="Z123" s="221">
        <f>ROUNDUP(SUM(V123*$C$30,W123*$C$31,X123*$C$32,Y123*$C$33),0)</f>
        <v>0</v>
      </c>
      <c r="AA123" s="30">
        <f>IF(R123&lt;&gt;0,($J$30*M123*$L$33),0)</f>
        <v>0</v>
      </c>
      <c r="AB123" s="30">
        <f>IF(W123&lt;&gt;0,($J$31*N123*$L$33),0)</f>
        <v>0</v>
      </c>
      <c r="AC123" s="30">
        <f>IF(X123&lt;&gt;0,($J$32*O123*$L$33),0)</f>
        <v>0</v>
      </c>
      <c r="AD123" s="30">
        <f>IF(Y123&lt;&gt;0,($J$33*P123*$L$33),0)</f>
        <v>0</v>
      </c>
      <c r="AE123" s="32">
        <f>SUM(AA123:AD123)</f>
        <v>0</v>
      </c>
      <c r="AF123" s="33">
        <f>AE119</f>
        <v>0</v>
      </c>
      <c r="AG123" s="40">
        <f>MAX(AG122-$Q$33+AF123,0)</f>
        <v>0</v>
      </c>
      <c r="AH123" s="224">
        <f>AG123*$P$33</f>
        <v>0</v>
      </c>
      <c r="AI123" s="227">
        <f>SUM(Z123,IF(Z123&lt;&gt;0,$F$31,0),IF(Z123&lt;&gt;0,$N$33,0),IF(Z123&lt;&gt;0,$T$33,0),IF(Z123=0,AH128,IF(Z123=1,AH129,IF(Z123=2,AH130,IF(Z123=3,AH131,IF(Z123=4,AH132,IF(Z123=5,AH133,IF(Z123=6,AH134,IF(Z123=7,AH135,IF(Z123=8,AH136,IF(Z123=9,AH137,IF(Z123=10,AH138,IF(Z123=11,AH139,IF(Z123=12,AH140,IF(Z123=13,AH141,IF(Z123=14,AH142,IF(Z123=15,AH143,IF(Z123=16,AH144,IF(Z123=17,AH145,IF(Z123=18,AH146,IF(Z123=19,AH147,IF(Z123=20,AH148,IF(Z123=21,AH149,IF(Z123=22,AH150,IF(Z123=23,AH151,IF(Z123=24,AH152,IF(Z123=25,AH153,IF(Z123=26,AH154,IF(Z123=27,AH155,IF(Z123=28,AH156,IF(Z123=29,AH157,IF(Z123=30,AH158))))))))))))))))))))))))))))))))</f>
        <v>0</v>
      </c>
    </row>
    <row r="124" spans="1:35" x14ac:dyDescent="0.35">
      <c r="A124" s="48">
        <v>1425</v>
      </c>
      <c r="B124" s="58">
        <f>SUMIF([2]!Table2_23[ETA],'FIS Optimal Model (3)'!A124,[2]!Table2_23[FIS PAX])</f>
        <v>0</v>
      </c>
      <c r="C124" s="44">
        <f>IF((D123-D124)&gt;-1,(D123-D124),18)</f>
        <v>0</v>
      </c>
      <c r="D124" s="52">
        <f>MAX(D123-$E$31+B123,0)</f>
        <v>0</v>
      </c>
      <c r="E124" s="26">
        <f>$C$30*C124</f>
        <v>0</v>
      </c>
      <c r="F124" s="26">
        <f>$C$31*C124</f>
        <v>0</v>
      </c>
      <c r="G124" s="26">
        <f>$C$32*C124</f>
        <v>0</v>
      </c>
      <c r="H124" s="26">
        <f>$C$33*C124</f>
        <v>0</v>
      </c>
      <c r="I124" s="27">
        <f>E119</f>
        <v>0</v>
      </c>
      <c r="J124" s="27">
        <f>F119</f>
        <v>0</v>
      </c>
      <c r="K124" s="27">
        <f>G119</f>
        <v>0</v>
      </c>
      <c r="L124" s="27">
        <f>H119</f>
        <v>0</v>
      </c>
      <c r="M124" s="28">
        <f>$M$115</f>
        <v>0</v>
      </c>
      <c r="N124" s="29">
        <f>$N$115</f>
        <v>6</v>
      </c>
      <c r="O124" s="28">
        <f>$O$115</f>
        <v>0</v>
      </c>
      <c r="P124" s="28">
        <f>$P$115</f>
        <v>0</v>
      </c>
      <c r="Q124" s="28">
        <f>SUM(M124:P124)</f>
        <v>6</v>
      </c>
      <c r="R124" s="22">
        <f>MAX(R123-($J$30*M124*$L$33)+I124,0)</f>
        <v>0</v>
      </c>
      <c r="S124" s="22">
        <f>IF(U124&lt;&gt;0,(MAX(S123-($J$31*N124*$L$33)+J124,0)),(MAX(S123-($J$31*(N124+P124)*$L$33)+J124,0)))</f>
        <v>0</v>
      </c>
      <c r="T124" s="22">
        <f>MAX(T123-($J$32*O124*$L$33)+K124,0)</f>
        <v>0</v>
      </c>
      <c r="U124" s="22">
        <f>MAX(U123-($J$33*P124*$L$33)+L124,0)</f>
        <v>0</v>
      </c>
      <c r="V124" s="21">
        <f>IFERROR(R124*($I$30/M124),0)</f>
        <v>0</v>
      </c>
      <c r="W124" s="21">
        <f>IFERROR(S124*($I$31/N124),0)</f>
        <v>0</v>
      </c>
      <c r="X124" s="21">
        <f>IFERROR(T124*($I$32/O124),0)</f>
        <v>0</v>
      </c>
      <c r="Y124" s="21">
        <f>IFERROR(U124*($I$33/P124),0)</f>
        <v>0</v>
      </c>
      <c r="Z124" s="221">
        <f>ROUNDUP(SUM(V124*$C$30,W124*$C$31,X124*$C$32,Y124*$C$33),0)</f>
        <v>0</v>
      </c>
      <c r="AA124" s="30">
        <f>IF(R124&lt;&gt;0,($J$30*M124*$L$33),0)</f>
        <v>0</v>
      </c>
      <c r="AB124" s="30">
        <f>IF(W124&lt;&gt;0,($J$31*N124*$L$33),0)</f>
        <v>0</v>
      </c>
      <c r="AC124" s="30">
        <f>IF(X124&lt;&gt;0,($J$32*O124*$L$33),0)</f>
        <v>0</v>
      </c>
      <c r="AD124" s="30">
        <f>IF(Y124&lt;&gt;0,($J$33*P124*$L$33),0)</f>
        <v>0</v>
      </c>
      <c r="AE124" s="32">
        <f>SUM(AA124:AD124)</f>
        <v>0</v>
      </c>
      <c r="AF124" s="33">
        <f>AE120</f>
        <v>0</v>
      </c>
      <c r="AG124" s="40">
        <f>MAX(AG123-$Q$33+AF124,0)</f>
        <v>0</v>
      </c>
      <c r="AH124" s="224">
        <f>AG124*$P$33</f>
        <v>0</v>
      </c>
      <c r="AI124" s="227">
        <f>SUM(Z124,IF(Z124&lt;&gt;0,$F$31,0),IF(Z124&lt;&gt;0,$N$33,0),IF(Z124&lt;&gt;0,$T$33,0),IF(Z124=0,AH129,IF(Z124=1,AH130,IF(Z124=2,AH131,IF(Z124=3,AH132,IF(Z124=4,AH133,IF(Z124=5,AH134,IF(Z124=6,AH135,IF(Z124=7,AH136,IF(Z124=8,AH137,IF(Z124=9,AH138,IF(Z124=10,AH139,IF(Z124=11,AH140,IF(Z124=12,AH141,IF(Z124=13,AH142,IF(Z124=14,AH143,IF(Z124=15,AH144,IF(Z124=16,AH145,IF(Z124=17,AH146,IF(Z124=18,AH147,IF(Z124=19,AH148,IF(Z124=20,AH149,IF(Z124=21,AH150,IF(Z124=22,AH151,IF(Z124=23,AH152,IF(Z124=24,AH153,IF(Z124=25,AH154,IF(Z124=26,AH155,IF(Z124=27,AH156,IF(Z124=28,AH157,IF(Z124=29,AH158,IF(Z124=30,AH159))))))))))))))))))))))))))))))))</f>
        <v>0</v>
      </c>
    </row>
    <row r="125" spans="1:35" x14ac:dyDescent="0.35">
      <c r="A125" s="48">
        <v>1426</v>
      </c>
      <c r="B125" s="58">
        <f>SUMIF([2]!Table2_23[ETA],'FIS Optimal Model (3)'!A125,[2]!Table2_23[FIS PAX])</f>
        <v>0</v>
      </c>
      <c r="C125" s="44">
        <f>IF((D124-D125)&gt;-1,(D124-D125),18)</f>
        <v>0</v>
      </c>
      <c r="D125" s="52">
        <f>MAX(D124-$E$31+B124,0)</f>
        <v>0</v>
      </c>
      <c r="E125" s="26">
        <f>$C$30*C125</f>
        <v>0</v>
      </c>
      <c r="F125" s="26">
        <f>$C$31*C125</f>
        <v>0</v>
      </c>
      <c r="G125" s="26">
        <f>$C$32*C125</f>
        <v>0</v>
      </c>
      <c r="H125" s="26">
        <f>$C$33*C125</f>
        <v>0</v>
      </c>
      <c r="I125" s="27">
        <f>E120</f>
        <v>0</v>
      </c>
      <c r="J125" s="27">
        <f>F120</f>
        <v>0</v>
      </c>
      <c r="K125" s="27">
        <f>G120</f>
        <v>0</v>
      </c>
      <c r="L125" s="27">
        <f>H120</f>
        <v>0</v>
      </c>
      <c r="M125" s="28">
        <f>$M$115</f>
        <v>0</v>
      </c>
      <c r="N125" s="29">
        <f>$N$115</f>
        <v>6</v>
      </c>
      <c r="O125" s="28">
        <f>$O$115</f>
        <v>0</v>
      </c>
      <c r="P125" s="28">
        <f>$P$115</f>
        <v>0</v>
      </c>
      <c r="Q125" s="28">
        <f>SUM(M125:P125)</f>
        <v>6</v>
      </c>
      <c r="R125" s="22">
        <f>MAX(R124-($J$30*M125*$L$33)+I125,0)</f>
        <v>0</v>
      </c>
      <c r="S125" s="22">
        <f>IF(U125&lt;&gt;0,(MAX(S124-($J$31*N125*$L$33)+J125,0)),(MAX(S124-($J$31*(N125+P125)*$L$33)+J125,0)))</f>
        <v>0</v>
      </c>
      <c r="T125" s="22">
        <f>MAX(T124-($J$32*O125*$L$33)+K125,0)</f>
        <v>0</v>
      </c>
      <c r="U125" s="22">
        <f>MAX(U124-($J$33*P125*$L$33)+L125,0)</f>
        <v>0</v>
      </c>
      <c r="V125" s="21">
        <f>IFERROR(R125*($I$30/M125),0)</f>
        <v>0</v>
      </c>
      <c r="W125" s="21">
        <f>IFERROR(S125*($I$31/N125),0)</f>
        <v>0</v>
      </c>
      <c r="X125" s="21">
        <f>IFERROR(T125*($I$32/O125),0)</f>
        <v>0</v>
      </c>
      <c r="Y125" s="21">
        <f>IFERROR(U125*($I$33/P125),0)</f>
        <v>0</v>
      </c>
      <c r="Z125" s="221">
        <f>ROUNDUP(SUM(V125*$C$30,W125*$C$31,X125*$C$32,Y125*$C$33),0)</f>
        <v>0</v>
      </c>
      <c r="AA125" s="30">
        <f>IF(R125&lt;&gt;0,($J$30*M125*$L$33),0)</f>
        <v>0</v>
      </c>
      <c r="AB125" s="30">
        <f>IF(W125&lt;&gt;0,($J$31*N125*$L$33),0)</f>
        <v>0</v>
      </c>
      <c r="AC125" s="30">
        <f>IF(X125&lt;&gt;0,($J$32*O125*$L$33),0)</f>
        <v>0</v>
      </c>
      <c r="AD125" s="30">
        <f>IF(Y125&lt;&gt;0,($J$33*P125*$L$33),0)</f>
        <v>0</v>
      </c>
      <c r="AE125" s="32">
        <f>SUM(AA125:AD125)</f>
        <v>0</v>
      </c>
      <c r="AF125" s="33">
        <f>AE121</f>
        <v>0</v>
      </c>
      <c r="AG125" s="40">
        <f>MAX(AG124-$Q$33+AF125,0)</f>
        <v>0</v>
      </c>
      <c r="AH125" s="224">
        <f>AG125*$P$33</f>
        <v>0</v>
      </c>
      <c r="AI125" s="227">
        <f>SUM(Z125,IF(Z125&lt;&gt;0,$F$31,0),IF(Z125&lt;&gt;0,$N$33,0),IF(Z125&lt;&gt;0,$T$33,0),IF(Z125=0,AH130,IF(Z125=1,AH131,IF(Z125=2,AH132,IF(Z125=3,AH133,IF(Z125=4,AH134,IF(Z125=5,AH135,IF(Z125=6,AH136,IF(Z125=7,AH137,IF(Z125=8,AH138,IF(Z125=9,AH139,IF(Z125=10,AH140,IF(Z125=11,AH141,IF(Z125=12,AH142,IF(Z125=13,AH143,IF(Z125=14,AH144,IF(Z125=15,AH145,IF(Z125=16,AH146,IF(Z125=17,AH147,IF(Z125=18,AH148,IF(Z125=19,AH149,IF(Z125=20,AH150,IF(Z125=21,AH151,IF(Z125=22,AH152,IF(Z125=23,AH153,IF(Z125=24,AH154,IF(Z125=25,AH155,IF(Z125=26,AH156,IF(Z125=27,AH157,IF(Z125=28,AH158,IF(Z125=29,AH159,IF(Z125=30,AH160))))))))))))))))))))))))))))))))</f>
        <v>0</v>
      </c>
    </row>
    <row r="126" spans="1:35" x14ac:dyDescent="0.35">
      <c r="A126" s="48">
        <v>1427</v>
      </c>
      <c r="B126" s="58">
        <f>SUMIF([2]!Table2_23[ETA],'FIS Optimal Model (3)'!A126,[2]!Table2_23[FIS PAX])</f>
        <v>0</v>
      </c>
      <c r="C126" s="44">
        <f>IF((D125-D126)&gt;-1,(D125-D126),18)</f>
        <v>0</v>
      </c>
      <c r="D126" s="52">
        <f>MAX(D125-$E$31+B125,0)</f>
        <v>0</v>
      </c>
      <c r="E126" s="26">
        <f>$C$30*C126</f>
        <v>0</v>
      </c>
      <c r="F126" s="26">
        <f>$C$31*C126</f>
        <v>0</v>
      </c>
      <c r="G126" s="26">
        <f>$C$32*C126</f>
        <v>0</v>
      </c>
      <c r="H126" s="26">
        <f>$C$33*C126</f>
        <v>0</v>
      </c>
      <c r="I126" s="27">
        <f>E121</f>
        <v>0</v>
      </c>
      <c r="J126" s="27">
        <f>F121</f>
        <v>0</v>
      </c>
      <c r="K126" s="27">
        <f>G121</f>
        <v>0</v>
      </c>
      <c r="L126" s="27">
        <f>H121</f>
        <v>0</v>
      </c>
      <c r="M126" s="28">
        <f>$M$115</f>
        <v>0</v>
      </c>
      <c r="N126" s="29">
        <f>$N$115</f>
        <v>6</v>
      </c>
      <c r="O126" s="28">
        <f>$O$115</f>
        <v>0</v>
      </c>
      <c r="P126" s="28">
        <f>$P$115</f>
        <v>0</v>
      </c>
      <c r="Q126" s="28">
        <f>SUM(M126:P126)</f>
        <v>6</v>
      </c>
      <c r="R126" s="22">
        <f>MAX(R125-($J$30*M126*$L$33)+I126,0)</f>
        <v>0</v>
      </c>
      <c r="S126" s="22">
        <f>IF(U126&lt;&gt;0,(MAX(S125-($J$31*N126*$L$33)+J126,0)),(MAX(S125-($J$31*(N126+P126)*$L$33)+J126,0)))</f>
        <v>0</v>
      </c>
      <c r="T126" s="22">
        <f>MAX(T125-($J$32*O126*$L$33)+K126,0)</f>
        <v>0</v>
      </c>
      <c r="U126" s="22">
        <f>MAX(U125-($J$33*P126*$L$33)+L126,0)</f>
        <v>0</v>
      </c>
      <c r="V126" s="21">
        <f>IFERROR(R126*($I$30/M126),0)</f>
        <v>0</v>
      </c>
      <c r="W126" s="21">
        <f>IFERROR(S126*($I$31/N126),0)</f>
        <v>0</v>
      </c>
      <c r="X126" s="21">
        <f>IFERROR(T126*($I$32/O126),0)</f>
        <v>0</v>
      </c>
      <c r="Y126" s="21">
        <f>IFERROR(U126*($I$33/P126),0)</f>
        <v>0</v>
      </c>
      <c r="Z126" s="221">
        <f>ROUNDUP(SUM(V126*$C$30,W126*$C$31,X126*$C$32,Y126*$C$33),0)</f>
        <v>0</v>
      </c>
      <c r="AA126" s="30">
        <f>IF(R126&lt;&gt;0,($J$30*M126*$L$33),0)</f>
        <v>0</v>
      </c>
      <c r="AB126" s="30">
        <f>IF(W126&lt;&gt;0,($J$31*N126*$L$33),0)</f>
        <v>0</v>
      </c>
      <c r="AC126" s="30">
        <f>IF(X126&lt;&gt;0,($J$32*O126*$L$33),0)</f>
        <v>0</v>
      </c>
      <c r="AD126" s="30">
        <f>IF(Y126&lt;&gt;0,($J$33*P126*$L$33),0)</f>
        <v>0</v>
      </c>
      <c r="AE126" s="32">
        <f>SUM(AA126:AD126)</f>
        <v>0</v>
      </c>
      <c r="AF126" s="33">
        <f>AE122</f>
        <v>0</v>
      </c>
      <c r="AG126" s="40">
        <f>MAX(AG125-$Q$33+AF126,0)</f>
        <v>0</v>
      </c>
      <c r="AH126" s="224">
        <f>AG126*$P$33</f>
        <v>0</v>
      </c>
      <c r="AI126" s="227">
        <f>SUM(Z126,IF(Z126&lt;&gt;0,$F$31,0),IF(Z126&lt;&gt;0,$N$33,0),IF(Z126&lt;&gt;0,$T$33,0),IF(Z126=0,AH131,IF(Z126=1,AH132,IF(Z126=2,AH133,IF(Z126=3,AH134,IF(Z126=4,AH135,IF(Z126=5,AH136,IF(Z126=6,AH137,IF(Z126=7,AH138,IF(Z126=8,AH139,IF(Z126=9,AH140,IF(Z126=10,AH141,IF(Z126=11,AH142,IF(Z126=12,AH143,IF(Z126=13,AH144,IF(Z126=14,AH145,IF(Z126=15,AH146,IF(Z126=16,AH147,IF(Z126=17,AH148,IF(Z126=18,AH149,IF(Z126=19,AH150,IF(Z126=20,AH151,IF(Z126=21,AH152,IF(Z126=22,AH153,IF(Z126=23,AH154,IF(Z126=24,AH155,IF(Z126=25,AH156,IF(Z126=26,AH157,IF(Z126=27,AH158,IF(Z126=28,AH159,IF(Z126=29,AH160,IF(Z126=30,AH161))))))))))))))))))))))))))))))))</f>
        <v>0</v>
      </c>
    </row>
    <row r="127" spans="1:35" x14ac:dyDescent="0.35">
      <c r="A127" s="48">
        <v>1428</v>
      </c>
      <c r="B127" s="58">
        <f>SUMIF([2]!Table2_23[ETA],'FIS Optimal Model (3)'!A127,[2]!Table2_23[FIS PAX])</f>
        <v>0</v>
      </c>
      <c r="C127" s="44">
        <f>IF((D126-D127)&gt;-1,(D126-D127),18)</f>
        <v>0</v>
      </c>
      <c r="D127" s="52">
        <f>MAX(D126-$E$31+B126,0)</f>
        <v>0</v>
      </c>
      <c r="E127" s="26">
        <f>$C$30*C127</f>
        <v>0</v>
      </c>
      <c r="F127" s="26">
        <f>$C$31*C127</f>
        <v>0</v>
      </c>
      <c r="G127" s="26">
        <f>$C$32*C127</f>
        <v>0</v>
      </c>
      <c r="H127" s="26">
        <f>$C$33*C127</f>
        <v>0</v>
      </c>
      <c r="I127" s="27">
        <f>E122</f>
        <v>0</v>
      </c>
      <c r="J127" s="27">
        <f>F122</f>
        <v>0</v>
      </c>
      <c r="K127" s="27">
        <f>G122</f>
        <v>0</v>
      </c>
      <c r="L127" s="27">
        <f>H122</f>
        <v>0</v>
      </c>
      <c r="M127" s="28">
        <f>$M$115</f>
        <v>0</v>
      </c>
      <c r="N127" s="29">
        <f>$N$115</f>
        <v>6</v>
      </c>
      <c r="O127" s="28">
        <f>$O$115</f>
        <v>0</v>
      </c>
      <c r="P127" s="28">
        <f>$P$115</f>
        <v>0</v>
      </c>
      <c r="Q127" s="28">
        <f>SUM(M127:P127)</f>
        <v>6</v>
      </c>
      <c r="R127" s="22">
        <f>MAX(R126-($J$30*M127*$L$33)+I127,0)</f>
        <v>0</v>
      </c>
      <c r="S127" s="22">
        <f>IF(U127&lt;&gt;0,(MAX(S126-($J$31*N127*$L$33)+J127,0)),(MAX(S126-($J$31*(N127+P127)*$L$33)+J127,0)))</f>
        <v>0</v>
      </c>
      <c r="T127" s="22">
        <f>MAX(T126-($J$32*O127*$L$33)+K127,0)</f>
        <v>0</v>
      </c>
      <c r="U127" s="22">
        <f>MAX(U126-($J$33*P127*$L$33)+L127,0)</f>
        <v>0</v>
      </c>
      <c r="V127" s="21">
        <f>IFERROR(R127*($I$30/M127),0)</f>
        <v>0</v>
      </c>
      <c r="W127" s="21">
        <f>IFERROR(S127*($I$31/N127),0)</f>
        <v>0</v>
      </c>
      <c r="X127" s="21">
        <f>IFERROR(T127*($I$32/O127),0)</f>
        <v>0</v>
      </c>
      <c r="Y127" s="21">
        <f>IFERROR(U127*($I$33/P127),0)</f>
        <v>0</v>
      </c>
      <c r="Z127" s="221">
        <f>ROUNDUP(SUM(V127*$C$30,W127*$C$31,X127*$C$32,Y127*$C$33),0)</f>
        <v>0</v>
      </c>
      <c r="AA127" s="30">
        <f>IF(R127&lt;&gt;0,($J$30*M127*$L$33),0)</f>
        <v>0</v>
      </c>
      <c r="AB127" s="30">
        <f>IF(W127&lt;&gt;0,($J$31*N127*$L$33),0)</f>
        <v>0</v>
      </c>
      <c r="AC127" s="30">
        <f>IF(X127&lt;&gt;0,($J$32*O127*$L$33),0)</f>
        <v>0</v>
      </c>
      <c r="AD127" s="30">
        <f>IF(Y127&lt;&gt;0,($J$33*P127*$L$33),0)</f>
        <v>0</v>
      </c>
      <c r="AE127" s="32">
        <f>SUM(AA127:AD127)</f>
        <v>0</v>
      </c>
      <c r="AF127" s="33">
        <f>AE123</f>
        <v>0</v>
      </c>
      <c r="AG127" s="40">
        <f>MAX(AG126-$Q$33+AF127,0)</f>
        <v>0</v>
      </c>
      <c r="AH127" s="224">
        <f>AG127*$P$33</f>
        <v>0</v>
      </c>
      <c r="AI127" s="227">
        <f>SUM(Z127,IF(Z127&lt;&gt;0,$F$31,0),IF(Z127&lt;&gt;0,$N$33,0),IF(Z127&lt;&gt;0,$T$33,0),IF(Z127=0,AH132,IF(Z127=1,AH133,IF(Z127=2,AH134,IF(Z127=3,AH135,IF(Z127=4,AH136,IF(Z127=5,AH137,IF(Z127=6,AH138,IF(Z127=7,AH139,IF(Z127=8,AH140,IF(Z127=9,AH141,IF(Z127=10,AH142,IF(Z127=11,AH143,IF(Z127=12,AH144,IF(Z127=13,AH145,IF(Z127=14,AH146,IF(Z127=15,AH147,IF(Z127=16,AH148,IF(Z127=17,AH149,IF(Z127=18,AH150,IF(Z127=19,AH151,IF(Z127=20,AH152,IF(Z127=21,AH153,IF(Z127=22,AH154,IF(Z127=23,AH155,IF(Z127=24,AH156,IF(Z127=25,AH157,IF(Z127=26,AH158,IF(Z127=27,AH159,IF(Z127=28,AH160,IF(Z127=29,AH161,IF(Z127=30,AH162))))))))))))))))))))))))))))))))</f>
        <v>0</v>
      </c>
    </row>
    <row r="128" spans="1:35" x14ac:dyDescent="0.35">
      <c r="A128" s="48">
        <v>1429</v>
      </c>
      <c r="B128" s="58">
        <f>SUMIF([2]!Table2_23[ETA],'FIS Optimal Model (3)'!A128,[2]!Table2_23[FIS PAX])</f>
        <v>0</v>
      </c>
      <c r="C128" s="44">
        <f>IF((D127-D128)&gt;-1,(D127-D128),18)</f>
        <v>0</v>
      </c>
      <c r="D128" s="52">
        <f>MAX(D127-$E$31+B127,0)</f>
        <v>0</v>
      </c>
      <c r="E128" s="26">
        <f>$C$30*C128</f>
        <v>0</v>
      </c>
      <c r="F128" s="26">
        <f>$C$31*C128</f>
        <v>0</v>
      </c>
      <c r="G128" s="26">
        <f>$C$32*C128</f>
        <v>0</v>
      </c>
      <c r="H128" s="26">
        <f>$C$33*C128</f>
        <v>0</v>
      </c>
      <c r="I128" s="27">
        <f>E123</f>
        <v>0</v>
      </c>
      <c r="J128" s="27">
        <f>F123</f>
        <v>0</v>
      </c>
      <c r="K128" s="27">
        <f>G123</f>
        <v>0</v>
      </c>
      <c r="L128" s="27">
        <f>H123</f>
        <v>0</v>
      </c>
      <c r="M128" s="28">
        <f>$M$115</f>
        <v>0</v>
      </c>
      <c r="N128" s="29">
        <f>$N$115</f>
        <v>6</v>
      </c>
      <c r="O128" s="28">
        <f>$O$115</f>
        <v>0</v>
      </c>
      <c r="P128" s="28">
        <f>$P$115</f>
        <v>0</v>
      </c>
      <c r="Q128" s="28">
        <f>SUM(M128:P128)</f>
        <v>6</v>
      </c>
      <c r="R128" s="22">
        <f>MAX(R127-($J$30*M128*$L$33)+I128,0)</f>
        <v>0</v>
      </c>
      <c r="S128" s="22">
        <f>IF(U128&lt;&gt;0,(MAX(S127-($J$31*N128*$L$33)+J128,0)),(MAX(S127-($J$31*(N128+P128)*$L$33)+J128,0)))</f>
        <v>0</v>
      </c>
      <c r="T128" s="22">
        <f>MAX(T127-($J$32*O128*$L$33)+K128,0)</f>
        <v>0</v>
      </c>
      <c r="U128" s="22">
        <f>MAX(U127-($J$33*P128*$L$33)+L128,0)</f>
        <v>0</v>
      </c>
      <c r="V128" s="21">
        <f>IFERROR(R128*($I$30/M128),0)</f>
        <v>0</v>
      </c>
      <c r="W128" s="21">
        <f>IFERROR(S128*($I$31/N128),0)</f>
        <v>0</v>
      </c>
      <c r="X128" s="21">
        <f>IFERROR(T128*($I$32/O128),0)</f>
        <v>0</v>
      </c>
      <c r="Y128" s="21">
        <f>IFERROR(U128*($I$33/P128),0)</f>
        <v>0</v>
      </c>
      <c r="Z128" s="221">
        <f>ROUNDUP(SUM(V128*$C$30,W128*$C$31,X128*$C$32,Y128*$C$33),0)</f>
        <v>0</v>
      </c>
      <c r="AA128" s="30">
        <f>IF(R128&lt;&gt;0,($J$30*M128*$L$33),0)</f>
        <v>0</v>
      </c>
      <c r="AB128" s="30">
        <f>IF(W128&lt;&gt;0,($J$31*N128*$L$33),0)</f>
        <v>0</v>
      </c>
      <c r="AC128" s="30">
        <f>IF(X128&lt;&gt;0,($J$32*O128*$L$33),0)</f>
        <v>0</v>
      </c>
      <c r="AD128" s="30">
        <f>IF(Y128&lt;&gt;0,($J$33*P128*$L$33),0)</f>
        <v>0</v>
      </c>
      <c r="AE128" s="32">
        <f>SUM(AA128:AD128)</f>
        <v>0</v>
      </c>
      <c r="AF128" s="33">
        <f>AE124</f>
        <v>0</v>
      </c>
      <c r="AG128" s="40">
        <f>MAX(AG127-$Q$33+AF128,0)</f>
        <v>0</v>
      </c>
      <c r="AH128" s="224">
        <f>AG128*$P$33</f>
        <v>0</v>
      </c>
      <c r="AI128" s="227">
        <f>SUM(Z128,IF(Z128&lt;&gt;0,$F$31,0),IF(Z128&lt;&gt;0,$N$33,0),IF(Z128&lt;&gt;0,$T$33,0),IF(Z128=0,AH133,IF(Z128=1,AH134,IF(Z128=2,AH135,IF(Z128=3,AH136,IF(Z128=4,AH137,IF(Z128=5,AH138,IF(Z128=6,AH139,IF(Z128=7,AH140,IF(Z128=8,AH141,IF(Z128=9,AH142,IF(Z128=10,AH143,IF(Z128=11,AH144,IF(Z128=12,AH145,IF(Z128=13,AH146,IF(Z128=14,AH147,IF(Z128=15,AH148,IF(Z128=16,AH149,IF(Z128=17,AH150,IF(Z128=18,AH151,IF(Z128=19,AH152,IF(Z128=20,AH153,IF(Z128=21,AH154,IF(Z128=22,AH155,IF(Z128=23,AH156,IF(Z128=24,AH157,IF(Z128=25,AH158,IF(Z128=26,AH159,IF(Z128=27,AH160,IF(Z128=28,AH161,IF(Z128=29,AH162,IF(Z128=30,AH163))))))))))))))))))))))))))))))))</f>
        <v>0</v>
      </c>
    </row>
    <row r="129" spans="1:35" x14ac:dyDescent="0.35">
      <c r="A129" s="48">
        <v>1430</v>
      </c>
      <c r="B129" s="58">
        <f>SUMIF([2]!Table2_23[ETA],'FIS Optimal Model (3)'!A129,[2]!Table2_23[FIS PAX])</f>
        <v>11</v>
      </c>
      <c r="C129" s="44">
        <f>IF((D128-D129)&gt;-1,(D128-D129),18)</f>
        <v>0</v>
      </c>
      <c r="D129" s="52">
        <f>MAX(D128-$E$31+B128,0)</f>
        <v>0</v>
      </c>
      <c r="E129" s="26">
        <f>$C$30*C129</f>
        <v>0</v>
      </c>
      <c r="F129" s="26">
        <f>$C$31*C129</f>
        <v>0</v>
      </c>
      <c r="G129" s="26">
        <f>$C$32*C129</f>
        <v>0</v>
      </c>
      <c r="H129" s="26">
        <f>$C$33*C129</f>
        <v>0</v>
      </c>
      <c r="I129" s="27">
        <f>E124</f>
        <v>0</v>
      </c>
      <c r="J129" s="27">
        <f>F124</f>
        <v>0</v>
      </c>
      <c r="K129" s="27">
        <f>G124</f>
        <v>0</v>
      </c>
      <c r="L129" s="27">
        <f>H124</f>
        <v>0</v>
      </c>
      <c r="M129" s="28">
        <f>$M$115</f>
        <v>0</v>
      </c>
      <c r="N129" s="29">
        <f>$N$115</f>
        <v>6</v>
      </c>
      <c r="O129" s="28">
        <f>$O$115</f>
        <v>0</v>
      </c>
      <c r="P129" s="28">
        <f>$P$115</f>
        <v>0</v>
      </c>
      <c r="Q129" s="28">
        <f>SUM(M129:P129)</f>
        <v>6</v>
      </c>
      <c r="R129" s="22">
        <f>MAX(R128-($J$30*M129*$L$33)+I129,0)</f>
        <v>0</v>
      </c>
      <c r="S129" s="22">
        <f>IF(U129&lt;&gt;0,(MAX(S128-($J$31*N129*$L$33)+J129,0)),(MAX(S128-($J$31*(N129+P129)*$L$33)+J129,0)))</f>
        <v>0</v>
      </c>
      <c r="T129" s="22">
        <f>MAX(T128-($J$32*O129*$L$33)+K129,0)</f>
        <v>0</v>
      </c>
      <c r="U129" s="22">
        <f>MAX(U128-($J$33*P129*$L$33)+L129,0)</f>
        <v>0</v>
      </c>
      <c r="V129" s="21">
        <f>IFERROR(R129*($I$30/M129),0)</f>
        <v>0</v>
      </c>
      <c r="W129" s="21">
        <f>IFERROR(S129*($I$31/N129),0)</f>
        <v>0</v>
      </c>
      <c r="X129" s="21">
        <f>IFERROR(T129*($I$32/O129),0)</f>
        <v>0</v>
      </c>
      <c r="Y129" s="21">
        <f>IFERROR(U129*($I$33/P129),0)</f>
        <v>0</v>
      </c>
      <c r="Z129" s="221">
        <f>ROUNDUP(SUM(V129*$C$30,W129*$C$31,X129*$C$32,Y129*$C$33),0)</f>
        <v>0</v>
      </c>
      <c r="AA129" s="30">
        <f>IF(R129&lt;&gt;0,($J$30*M129*$L$33),0)</f>
        <v>0</v>
      </c>
      <c r="AB129" s="30">
        <f>IF(W129&lt;&gt;0,($J$31*N129*$L$33),0)</f>
        <v>0</v>
      </c>
      <c r="AC129" s="30">
        <f>IF(X129&lt;&gt;0,($J$32*O129*$L$33),0)</f>
        <v>0</v>
      </c>
      <c r="AD129" s="30">
        <f>IF(Y129&lt;&gt;0,($J$33*P129*$L$33),0)</f>
        <v>0</v>
      </c>
      <c r="AE129" s="32">
        <f>SUM(AA129:AD129)</f>
        <v>0</v>
      </c>
      <c r="AF129" s="33">
        <f>AE125</f>
        <v>0</v>
      </c>
      <c r="AG129" s="40">
        <f>MAX(AG128-$Q$33+AF129,0)</f>
        <v>0</v>
      </c>
      <c r="AH129" s="224">
        <f>AG129*$P$33</f>
        <v>0</v>
      </c>
      <c r="AI129" s="227">
        <f>SUM(Z129,IF(Z129&lt;&gt;0,$F$31,0),IF(Z129&lt;&gt;0,$N$33,0),IF(Z129&lt;&gt;0,$T$33,0),IF(Z129=0,AH134,IF(Z129=1,AH135,IF(Z129=2,AH136,IF(Z129=3,AH137,IF(Z129=4,AH138,IF(Z129=5,AH139,IF(Z129=6,AH140,IF(Z129=7,AH141,IF(Z129=8,AH142,IF(Z129=9,AH143,IF(Z129=10,AH144,IF(Z129=11,AH145,IF(Z129=12,AH146,IF(Z129=13,AH147,IF(Z129=14,AH148,IF(Z129=15,AH149,IF(Z129=16,AH150,IF(Z129=17,AH151,IF(Z129=18,AH152,IF(Z129=19,AH153,IF(Z129=20,AH154,IF(Z129=21,AH155,IF(Z129=22,AH156,IF(Z129=23,AH157,IF(Z129=24,AH158,IF(Z129=25,AH159,IF(Z129=26,AH160,IF(Z129=27,AH161,IF(Z129=28,AH162,IF(Z129=29,AH163,IF(Z129=30,AH164))))))))))))))))))))))))))))))))</f>
        <v>0</v>
      </c>
    </row>
    <row r="130" spans="1:35" x14ac:dyDescent="0.35">
      <c r="A130" s="48">
        <v>1431</v>
      </c>
      <c r="B130" s="58">
        <f>SUMIF([2]!Table2_23[ETA],'FIS Optimal Model (3)'!A130,[2]!Table2_23[FIS PAX])</f>
        <v>0</v>
      </c>
      <c r="C130" s="44">
        <f>IF((D129-D130)&gt;-1,(D129-D130),18)</f>
        <v>0</v>
      </c>
      <c r="D130" s="52">
        <f>MAX(D129-$E$31+B129,0)</f>
        <v>0</v>
      </c>
      <c r="E130" s="26">
        <f>$C$30*C130</f>
        <v>0</v>
      </c>
      <c r="F130" s="26">
        <f>$C$31*C130</f>
        <v>0</v>
      </c>
      <c r="G130" s="26">
        <f>$C$32*C130</f>
        <v>0</v>
      </c>
      <c r="H130" s="26">
        <f>$C$33*C130</f>
        <v>0</v>
      </c>
      <c r="I130" s="27">
        <f>E125</f>
        <v>0</v>
      </c>
      <c r="J130" s="27">
        <f>F125</f>
        <v>0</v>
      </c>
      <c r="K130" s="27">
        <f>G125</f>
        <v>0</v>
      </c>
      <c r="L130" s="27">
        <f>H125</f>
        <v>0</v>
      </c>
      <c r="M130" s="28">
        <f>IF(R129=0,0,$Q$12)</f>
        <v>0</v>
      </c>
      <c r="N130" s="29">
        <f>$U$12-M130-O130-P130</f>
        <v>16</v>
      </c>
      <c r="O130" s="28">
        <f>IF(T129=0,0,$S$12)</f>
        <v>0</v>
      </c>
      <c r="P130" s="28">
        <f>IF(U129=0,0,$T$12)</f>
        <v>0</v>
      </c>
      <c r="Q130" s="28">
        <f>SUM(M130:P130)</f>
        <v>16</v>
      </c>
      <c r="R130" s="22">
        <f>MAX(R129-($J$30*M130*$L$33)+I130,0)</f>
        <v>0</v>
      </c>
      <c r="S130" s="22">
        <f>IF(U130&lt;&gt;0,(MAX(S129-($J$31*N130*$L$33)+J130,0)),(MAX(S129-($J$31*(N130+P130)*$L$33)+J130,0)))</f>
        <v>0</v>
      </c>
      <c r="T130" s="22">
        <f>MAX(T129-($J$32*O130*$L$33)+K130,0)</f>
        <v>0</v>
      </c>
      <c r="U130" s="22">
        <f>MAX(U129-($J$33*P130*$L$33)+L130,0)</f>
        <v>0</v>
      </c>
      <c r="V130" s="21">
        <f>IFERROR(R130*($I$30/M130),0)</f>
        <v>0</v>
      </c>
      <c r="W130" s="21">
        <f>IFERROR(S130*($I$31/N130),0)</f>
        <v>0</v>
      </c>
      <c r="X130" s="21">
        <f>IFERROR(T130*($I$32/O130),0)</f>
        <v>0</v>
      </c>
      <c r="Y130" s="21">
        <f>IFERROR(U130*($I$33/P130),0)</f>
        <v>0</v>
      </c>
      <c r="Z130" s="221">
        <f>ROUNDUP(SUM(V130*$C$30,W130*$C$31,X130*$C$32,Y130*$C$33),0)</f>
        <v>0</v>
      </c>
      <c r="AA130" s="30">
        <f>IF(R130&lt;&gt;0,($J$30*M130*$L$33),0)</f>
        <v>0</v>
      </c>
      <c r="AB130" s="30">
        <f>IF(W130&lt;&gt;0,($J$31*N130*$L$33),0)</f>
        <v>0</v>
      </c>
      <c r="AC130" s="30">
        <f>IF(X130&lt;&gt;0,($J$32*O130*$L$33),0)</f>
        <v>0</v>
      </c>
      <c r="AD130" s="30">
        <f>IF(Y130&lt;&gt;0,($J$33*P130*$L$33),0)</f>
        <v>0</v>
      </c>
      <c r="AE130" s="32">
        <f>SUM(AA130:AD130)</f>
        <v>0</v>
      </c>
      <c r="AF130" s="33">
        <f>AE126</f>
        <v>0</v>
      </c>
      <c r="AG130" s="40">
        <f>MAX(AG129-$Q$33+AF130,0)</f>
        <v>0</v>
      </c>
      <c r="AH130" s="224">
        <f>AG130*$P$33</f>
        <v>0</v>
      </c>
      <c r="AI130" s="227">
        <f>SUM(Z130,IF(Z130&lt;&gt;0,$F$31,0),IF(Z130&lt;&gt;0,$N$33,0),IF(Z130&lt;&gt;0,$T$33,0),IF(Z130=0,AH135,IF(Z130=1,AH136,IF(Z130=2,AH137,IF(Z130=3,AH138,IF(Z130=4,AH139,IF(Z130=5,AH140,IF(Z130=6,AH141,IF(Z130=7,AH142,IF(Z130=8,AH143,IF(Z130=9,AH144,IF(Z130=10,AH145,IF(Z130=11,AH146,IF(Z130=12,AH147,IF(Z130=13,AH148,IF(Z130=14,AH149,IF(Z130=15,AH150,IF(Z130=16,AH151,IF(Z130=17,AH152,IF(Z130=18,AH153,IF(Z130=19,AH154,IF(Z130=20,AH155,IF(Z130=21,AH156,IF(Z130=22,AH157,IF(Z130=23,AH158,IF(Z130=24,AH159,IF(Z130=25,AH160,IF(Z130=26,AH161,IF(Z130=27,AH162,IF(Z130=28,AH163,IF(Z130=29,AH164,IF(Z130=30,AH165))))))))))))))))))))))))))))))))</f>
        <v>0</v>
      </c>
    </row>
    <row r="131" spans="1:35" x14ac:dyDescent="0.35">
      <c r="A131" s="48">
        <v>1432</v>
      </c>
      <c r="B131" s="58">
        <f>SUMIF([2]!Table2_23[ETA],'FIS Optimal Model (3)'!A131,[2]!Table2_23[FIS PAX])</f>
        <v>0</v>
      </c>
      <c r="C131" s="44">
        <f>IF((D130-D131)&gt;-1,(D130-D131),18)</f>
        <v>0</v>
      </c>
      <c r="D131" s="52">
        <f>MAX(D130-$E$31+B130,0)</f>
        <v>0</v>
      </c>
      <c r="E131" s="26">
        <f>$C$30*C131</f>
        <v>0</v>
      </c>
      <c r="F131" s="26">
        <f>$C$31*C131</f>
        <v>0</v>
      </c>
      <c r="G131" s="26">
        <f>$C$32*C131</f>
        <v>0</v>
      </c>
      <c r="H131" s="26">
        <f>$C$33*C131</f>
        <v>0</v>
      </c>
      <c r="I131" s="27">
        <f>E126</f>
        <v>0</v>
      </c>
      <c r="J131" s="27">
        <f>F126</f>
        <v>0</v>
      </c>
      <c r="K131" s="27">
        <f>G126</f>
        <v>0</v>
      </c>
      <c r="L131" s="27">
        <f>H126</f>
        <v>0</v>
      </c>
      <c r="M131" s="28">
        <f>$M$130</f>
        <v>0</v>
      </c>
      <c r="N131" s="29">
        <f>$N$130</f>
        <v>16</v>
      </c>
      <c r="O131" s="28">
        <f>$O$130</f>
        <v>0</v>
      </c>
      <c r="P131" s="28">
        <f>$P$130</f>
        <v>0</v>
      </c>
      <c r="Q131" s="28">
        <f>SUM(M131:P131)</f>
        <v>16</v>
      </c>
      <c r="R131" s="22">
        <f>MAX(R130-($J$30*M131*$L$33)+I131,0)</f>
        <v>0</v>
      </c>
      <c r="S131" s="22">
        <f>IF(U131&lt;&gt;0,(MAX(S130-($J$31*N131*$L$33)+J131,0)),(MAX(S130-($J$31*(N131+P131)*$L$33)+J131,0)))</f>
        <v>0</v>
      </c>
      <c r="T131" s="22">
        <f>MAX(T130-($J$32*O131*$L$33)+K131,0)</f>
        <v>0</v>
      </c>
      <c r="U131" s="22">
        <f>MAX(U130-($J$33*P131*$L$33)+L131,0)</f>
        <v>0</v>
      </c>
      <c r="V131" s="21">
        <f>IFERROR(R131*($I$30/M131),0)</f>
        <v>0</v>
      </c>
      <c r="W131" s="21">
        <f>IFERROR(S131*($I$31/N131),0)</f>
        <v>0</v>
      </c>
      <c r="X131" s="21">
        <f>IFERROR(T131*($I$32/O131),0)</f>
        <v>0</v>
      </c>
      <c r="Y131" s="21">
        <f>IFERROR(U131*($I$33/P131),0)</f>
        <v>0</v>
      </c>
      <c r="Z131" s="221">
        <f>ROUNDUP(SUM(V131*$C$30,W131*$C$31,X131*$C$32,Y131*$C$33),0)</f>
        <v>0</v>
      </c>
      <c r="AA131" s="30">
        <f>IF(R131&lt;&gt;0,($J$30*M131*$L$33),0)</f>
        <v>0</v>
      </c>
      <c r="AB131" s="30">
        <f>IF(W131&lt;&gt;0,($J$31*N131*$L$33),0)</f>
        <v>0</v>
      </c>
      <c r="AC131" s="30">
        <f>IF(X131&lt;&gt;0,($J$32*O131*$L$33),0)</f>
        <v>0</v>
      </c>
      <c r="AD131" s="30">
        <f>IF(Y131&lt;&gt;0,($J$33*P131*$L$33),0)</f>
        <v>0</v>
      </c>
      <c r="AE131" s="32">
        <f>SUM(AA131:AD131)</f>
        <v>0</v>
      </c>
      <c r="AF131" s="33">
        <f>AE127</f>
        <v>0</v>
      </c>
      <c r="AG131" s="40">
        <f>MAX(AG130-$Q$33+AF131,0)</f>
        <v>0</v>
      </c>
      <c r="AH131" s="224">
        <f>AG131*$P$33</f>
        <v>0</v>
      </c>
      <c r="AI131" s="227">
        <f>SUM(Z131,IF(Z131&lt;&gt;0,$F$31,0),IF(Z131&lt;&gt;0,$N$33,0),IF(Z131&lt;&gt;0,$T$33,0),IF(Z131=0,AH136,IF(Z131=1,AH137,IF(Z131=2,AH138,IF(Z131=3,AH139,IF(Z131=4,AH140,IF(Z131=5,AH141,IF(Z131=6,AH142,IF(Z131=7,AH143,IF(Z131=8,AH144,IF(Z131=9,AH145,IF(Z131=10,AH146,IF(Z131=11,AH147,IF(Z131=12,AH148,IF(Z131=13,AH149,IF(Z131=14,AH150,IF(Z131=15,AH151,IF(Z131=16,AH152,IF(Z131=17,AH153,IF(Z131=18,AH154,IF(Z131=19,AH155,IF(Z131=20,AH156,IF(Z131=21,AH157,IF(Z131=22,AH158,IF(Z131=23,AH159,IF(Z131=24,AH160,IF(Z131=25,AH161,IF(Z131=26,AH162,IF(Z131=27,AH163,IF(Z131=28,AH164,IF(Z131=29,AH165,IF(Z131=30,AH166))))))))))))))))))))))))))))))))</f>
        <v>0</v>
      </c>
    </row>
    <row r="132" spans="1:35" x14ac:dyDescent="0.35">
      <c r="A132" s="48">
        <v>1433</v>
      </c>
      <c r="B132" s="58">
        <f>SUMIF([2]!Table2_23[ETA],'FIS Optimal Model (3)'!A132,[2]!Table2_23[FIS PAX])</f>
        <v>0</v>
      </c>
      <c r="C132" s="44">
        <f>IF((D131-D132)&gt;-1,(D131-D132),18)</f>
        <v>0</v>
      </c>
      <c r="D132" s="52">
        <f>MAX(D131-$E$31+B131,0)</f>
        <v>0</v>
      </c>
      <c r="E132" s="26">
        <f>$C$30*C132</f>
        <v>0</v>
      </c>
      <c r="F132" s="26">
        <f>$C$31*C132</f>
        <v>0</v>
      </c>
      <c r="G132" s="26">
        <f>$C$32*C132</f>
        <v>0</v>
      </c>
      <c r="H132" s="26">
        <f>$C$33*C132</f>
        <v>0</v>
      </c>
      <c r="I132" s="27">
        <f>E127</f>
        <v>0</v>
      </c>
      <c r="J132" s="27">
        <f>F127</f>
        <v>0</v>
      </c>
      <c r="K132" s="27">
        <f>G127</f>
        <v>0</v>
      </c>
      <c r="L132" s="27">
        <f>H127</f>
        <v>0</v>
      </c>
      <c r="M132" s="28">
        <f>$M$130</f>
        <v>0</v>
      </c>
      <c r="N132" s="29">
        <f>$N$130</f>
        <v>16</v>
      </c>
      <c r="O132" s="28">
        <f>$O$130</f>
        <v>0</v>
      </c>
      <c r="P132" s="28">
        <f>$P$130</f>
        <v>0</v>
      </c>
      <c r="Q132" s="28">
        <f>SUM(M132:P132)</f>
        <v>16</v>
      </c>
      <c r="R132" s="22">
        <f>MAX(R131-($J$30*M132*$L$33)+I132,0)</f>
        <v>0</v>
      </c>
      <c r="S132" s="22">
        <f>IF(U132&lt;&gt;0,(MAX(S131-($J$31*N132*$L$33)+J132,0)),(MAX(S131-($J$31*(N132+P132)*$L$33)+J132,0)))</f>
        <v>0</v>
      </c>
      <c r="T132" s="22">
        <f>MAX(T131-($J$32*O132*$L$33)+K132,0)</f>
        <v>0</v>
      </c>
      <c r="U132" s="22">
        <f>MAX(U131-($J$33*P132*$L$33)+L132,0)</f>
        <v>0</v>
      </c>
      <c r="V132" s="21">
        <f>IFERROR(R132*($I$30/M132),0)</f>
        <v>0</v>
      </c>
      <c r="W132" s="21">
        <f>IFERROR(S132*($I$31/N132),0)</f>
        <v>0</v>
      </c>
      <c r="X132" s="21">
        <f>IFERROR(T132*($I$32/O132),0)</f>
        <v>0</v>
      </c>
      <c r="Y132" s="21">
        <f>IFERROR(U132*($I$33/P132),0)</f>
        <v>0</v>
      </c>
      <c r="Z132" s="221">
        <f>ROUNDUP(SUM(V132*$C$30,W132*$C$31,X132*$C$32,Y132*$C$33),0)</f>
        <v>0</v>
      </c>
      <c r="AA132" s="30">
        <f>IF(R132&lt;&gt;0,($J$30*M132*$L$33),0)</f>
        <v>0</v>
      </c>
      <c r="AB132" s="30">
        <f>IF(W132&lt;&gt;0,($J$31*N132*$L$33),0)</f>
        <v>0</v>
      </c>
      <c r="AC132" s="30">
        <f>IF(X132&lt;&gt;0,($J$32*O132*$L$33),0)</f>
        <v>0</v>
      </c>
      <c r="AD132" s="30">
        <f>IF(Y132&lt;&gt;0,($J$33*P132*$L$33),0)</f>
        <v>0</v>
      </c>
      <c r="AE132" s="32">
        <f>SUM(AA132:AD132)</f>
        <v>0</v>
      </c>
      <c r="AF132" s="33">
        <f>AE128</f>
        <v>0</v>
      </c>
      <c r="AG132" s="40">
        <f>MAX(AG131-$Q$33+AF132,0)</f>
        <v>0</v>
      </c>
      <c r="AH132" s="224">
        <f>AG132*$P$33</f>
        <v>0</v>
      </c>
      <c r="AI132" s="227">
        <f>SUM(Z132,IF(Z132&lt;&gt;0,$F$31,0),IF(Z132&lt;&gt;0,$N$33,0),IF(Z132&lt;&gt;0,$T$33,0),IF(Z132=0,AH137,IF(Z132=1,AH138,IF(Z132=2,AH139,IF(Z132=3,AH140,IF(Z132=4,AH141,IF(Z132=5,AH142,IF(Z132=6,AH143,IF(Z132=7,AH144,IF(Z132=8,AH145,IF(Z132=9,AH146,IF(Z132=10,AH147,IF(Z132=11,AH148,IF(Z132=12,AH149,IF(Z132=13,AH150,IF(Z132=14,AH151,IF(Z132=15,AH152,IF(Z132=16,AH153,IF(Z132=17,AH154,IF(Z132=18,AH155,IF(Z132=19,AH156,IF(Z132=20,AH157,IF(Z132=21,AH158,IF(Z132=22,AH159,IF(Z132=23,AH160,IF(Z132=24,AH161,IF(Z132=25,AH162,IF(Z132=26,AH163,IF(Z132=27,AH164,IF(Z132=28,AH165,IF(Z132=29,AH166,IF(Z132=30,AH167))))))))))))))))))))))))))))))))</f>
        <v>0</v>
      </c>
    </row>
    <row r="133" spans="1:35" x14ac:dyDescent="0.35">
      <c r="A133" s="48">
        <v>1434</v>
      </c>
      <c r="B133" s="58">
        <f>SUMIF([2]!Table2_23[ETA],'FIS Optimal Model (3)'!A133,[2]!Table2_23[FIS PAX])</f>
        <v>0</v>
      </c>
      <c r="C133" s="44">
        <f>IF((D132-D133)&gt;-1,(D132-D133),18)</f>
        <v>0</v>
      </c>
      <c r="D133" s="52">
        <f>MAX(D132-$E$31+B132,0)</f>
        <v>0</v>
      </c>
      <c r="E133" s="26">
        <f>$C$30*C133</f>
        <v>0</v>
      </c>
      <c r="F133" s="26">
        <f>$C$31*C133</f>
        <v>0</v>
      </c>
      <c r="G133" s="26">
        <f>$C$32*C133</f>
        <v>0</v>
      </c>
      <c r="H133" s="26">
        <f>$C$33*C133</f>
        <v>0</v>
      </c>
      <c r="I133" s="27">
        <f>E128</f>
        <v>0</v>
      </c>
      <c r="J133" s="27">
        <f>F128</f>
        <v>0</v>
      </c>
      <c r="K133" s="27">
        <f>G128</f>
        <v>0</v>
      </c>
      <c r="L133" s="27">
        <f>H128</f>
        <v>0</v>
      </c>
      <c r="M133" s="28">
        <f>$M$130</f>
        <v>0</v>
      </c>
      <c r="N133" s="29">
        <f>$N$130</f>
        <v>16</v>
      </c>
      <c r="O133" s="28">
        <f>$O$130</f>
        <v>0</v>
      </c>
      <c r="P133" s="28">
        <f>$P$130</f>
        <v>0</v>
      </c>
      <c r="Q133" s="28">
        <f>SUM(M133:P133)</f>
        <v>16</v>
      </c>
      <c r="R133" s="22">
        <f>MAX(R132-($J$30*M133*$L$33)+I133,0)</f>
        <v>0</v>
      </c>
      <c r="S133" s="22">
        <f>IF(U133&lt;&gt;0,(MAX(S132-($J$31*N133*$L$33)+J133,0)),(MAX(S132-($J$31*(N133+P133)*$L$33)+J133,0)))</f>
        <v>0</v>
      </c>
      <c r="T133" s="22">
        <f>MAX(T132-($J$32*O133*$L$33)+K133,0)</f>
        <v>0</v>
      </c>
      <c r="U133" s="22">
        <f>MAX(U132-($J$33*P133*$L$33)+L133,0)</f>
        <v>0</v>
      </c>
      <c r="V133" s="21">
        <f>IFERROR(R133*($I$30/M133),0)</f>
        <v>0</v>
      </c>
      <c r="W133" s="21">
        <f>IFERROR(S133*($I$31/N133),0)</f>
        <v>0</v>
      </c>
      <c r="X133" s="21">
        <f>IFERROR(T133*($I$32/O133),0)</f>
        <v>0</v>
      </c>
      <c r="Y133" s="21">
        <f>IFERROR(U133*($I$33/P133),0)</f>
        <v>0</v>
      </c>
      <c r="Z133" s="221">
        <f>ROUNDUP(SUM(V133*$C$30,W133*$C$31,X133*$C$32,Y133*$C$33),0)</f>
        <v>0</v>
      </c>
      <c r="AA133" s="30">
        <f>IF(R133&lt;&gt;0,($J$30*M133*$L$33),0)</f>
        <v>0</v>
      </c>
      <c r="AB133" s="30">
        <f>IF(W133&lt;&gt;0,($J$31*N133*$L$33),0)</f>
        <v>0</v>
      </c>
      <c r="AC133" s="30">
        <f>IF(X133&lt;&gt;0,($J$32*O133*$L$33),0)</f>
        <v>0</v>
      </c>
      <c r="AD133" s="30">
        <f>IF(Y133&lt;&gt;0,($J$33*P133*$L$33),0)</f>
        <v>0</v>
      </c>
      <c r="AE133" s="32">
        <f>SUM(AA133:AD133)</f>
        <v>0</v>
      </c>
      <c r="AF133" s="33">
        <f>AE129</f>
        <v>0</v>
      </c>
      <c r="AG133" s="40">
        <f>MAX(AG132-$Q$33+AF133,0)</f>
        <v>0</v>
      </c>
      <c r="AH133" s="224">
        <f>AG133*$P$33</f>
        <v>0</v>
      </c>
      <c r="AI133" s="227">
        <f>SUM(Z133,IF(Z133&lt;&gt;0,$F$31,0),IF(Z133&lt;&gt;0,$N$33,0),IF(Z133&lt;&gt;0,$T$33,0),IF(Z133=0,AH138,IF(Z133=1,AH139,IF(Z133=2,AH140,IF(Z133=3,AH141,IF(Z133=4,AH142,IF(Z133=5,AH143,IF(Z133=6,AH144,IF(Z133=7,AH145,IF(Z133=8,AH146,IF(Z133=9,AH147,IF(Z133=10,AH148,IF(Z133=11,AH149,IF(Z133=12,AH150,IF(Z133=13,AH151,IF(Z133=14,AH152,IF(Z133=15,AH153,IF(Z133=16,AH154,IF(Z133=17,AH155,IF(Z133=18,AH156,IF(Z133=19,AH157,IF(Z133=20,AH158,IF(Z133=21,AH159,IF(Z133=22,AH160,IF(Z133=23,AH161,IF(Z133=24,AH162,IF(Z133=25,AH163,IF(Z133=26,AH164,IF(Z133=27,AH165,IF(Z133=28,AH166,IF(Z133=29,AH167,IF(Z133=30,AH168))))))))))))))))))))))))))))))))</f>
        <v>0</v>
      </c>
    </row>
    <row r="134" spans="1:35" x14ac:dyDescent="0.35">
      <c r="A134" s="48">
        <v>1435</v>
      </c>
      <c r="B134" s="58">
        <f>SUMIF([2]!Table2_23[ETA],'FIS Optimal Model (3)'!A134,[2]!Table2_23[FIS PAX])</f>
        <v>0</v>
      </c>
      <c r="C134" s="44">
        <f>IF((D133-D134)&gt;-1,(D133-D134),18)</f>
        <v>0</v>
      </c>
      <c r="D134" s="52">
        <f>MAX(D133-$E$31+B133,0)</f>
        <v>0</v>
      </c>
      <c r="E134" s="26">
        <f>$C$30*C134</f>
        <v>0</v>
      </c>
      <c r="F134" s="26">
        <f>$C$31*C134</f>
        <v>0</v>
      </c>
      <c r="G134" s="26">
        <f>$C$32*C134</f>
        <v>0</v>
      </c>
      <c r="H134" s="26">
        <f>$C$33*C134</f>
        <v>0</v>
      </c>
      <c r="I134" s="27">
        <f>E129</f>
        <v>0</v>
      </c>
      <c r="J134" s="27">
        <f>F129</f>
        <v>0</v>
      </c>
      <c r="K134" s="27">
        <f>G129</f>
        <v>0</v>
      </c>
      <c r="L134" s="27">
        <f>H129</f>
        <v>0</v>
      </c>
      <c r="M134" s="28">
        <f>$M$130</f>
        <v>0</v>
      </c>
      <c r="N134" s="29">
        <f>$N$130</f>
        <v>16</v>
      </c>
      <c r="O134" s="28">
        <f>$O$130</f>
        <v>0</v>
      </c>
      <c r="P134" s="28">
        <f>$P$130</f>
        <v>0</v>
      </c>
      <c r="Q134" s="28">
        <f>SUM(M134:P134)</f>
        <v>16</v>
      </c>
      <c r="R134" s="22">
        <f>MAX(R133-($J$30*M134*$L$33)+I134,0)</f>
        <v>0</v>
      </c>
      <c r="S134" s="22">
        <f>IF(U134&lt;&gt;0,(MAX(S133-($J$31*N134*$L$33)+J134,0)),(MAX(S133-($J$31*(N134+P134)*$L$33)+J134,0)))</f>
        <v>0</v>
      </c>
      <c r="T134" s="22">
        <f>MAX(T133-($J$32*O134*$L$33)+K134,0)</f>
        <v>0</v>
      </c>
      <c r="U134" s="22">
        <f>MAX(U133-($J$33*P134*$L$33)+L134,0)</f>
        <v>0</v>
      </c>
      <c r="V134" s="21">
        <f>IFERROR(R134*($I$30/M134),0)</f>
        <v>0</v>
      </c>
      <c r="W134" s="21">
        <f>IFERROR(S134*($I$31/N134),0)</f>
        <v>0</v>
      </c>
      <c r="X134" s="21">
        <f>IFERROR(T134*($I$32/O134),0)</f>
        <v>0</v>
      </c>
      <c r="Y134" s="21">
        <f>IFERROR(U134*($I$33/P134),0)</f>
        <v>0</v>
      </c>
      <c r="Z134" s="221">
        <f>ROUNDUP(SUM(V134*$C$30,W134*$C$31,X134*$C$32,Y134*$C$33),0)</f>
        <v>0</v>
      </c>
      <c r="AA134" s="30">
        <f>IF(R134&lt;&gt;0,($J$30*M134*$L$33),0)</f>
        <v>0</v>
      </c>
      <c r="AB134" s="30">
        <f>IF(W134&lt;&gt;0,($J$31*N134*$L$33),0)</f>
        <v>0</v>
      </c>
      <c r="AC134" s="30">
        <f>IF(X134&lt;&gt;0,($J$32*O134*$L$33),0)</f>
        <v>0</v>
      </c>
      <c r="AD134" s="30">
        <f>IF(Y134&lt;&gt;0,($J$33*P134*$L$33),0)</f>
        <v>0</v>
      </c>
      <c r="AE134" s="32">
        <f>SUM(AA134:AD134)</f>
        <v>0</v>
      </c>
      <c r="AF134" s="33">
        <f>AE130</f>
        <v>0</v>
      </c>
      <c r="AG134" s="40">
        <f>MAX(AG133-$Q$33+AF134,0)</f>
        <v>0</v>
      </c>
      <c r="AH134" s="224">
        <f>AG134*$P$33</f>
        <v>0</v>
      </c>
      <c r="AI134" s="227">
        <f>SUM(Z134,IF(Z134&lt;&gt;0,$F$31,0),IF(Z134&lt;&gt;0,$N$33,0),IF(Z134&lt;&gt;0,$T$33,0),IF(Z134=0,AH139,IF(Z134=1,AH140,IF(Z134=2,AH141,IF(Z134=3,AH142,IF(Z134=4,AH143,IF(Z134=5,AH144,IF(Z134=6,AH145,IF(Z134=7,AH146,IF(Z134=8,AH147,IF(Z134=9,AH148,IF(Z134=10,AH149,IF(Z134=11,AH150,IF(Z134=12,AH151,IF(Z134=13,AH152,IF(Z134=14,AH153,IF(Z134=15,AH154,IF(Z134=16,AH155,IF(Z134=17,AH156,IF(Z134=18,AH157,IF(Z134=19,AH158,IF(Z134=20,AH159,IF(Z134=21,AH160,IF(Z134=22,AH161,IF(Z134=23,AH162,IF(Z134=24,AH163,IF(Z134=25,AH164,IF(Z134=26,AH165,IF(Z134=27,AH166,IF(Z134=28,AH167,IF(Z134=29,AH168,IF(Z134=30,AH169))))))))))))))))))))))))))))))))</f>
        <v>0</v>
      </c>
    </row>
    <row r="135" spans="1:35" x14ac:dyDescent="0.35">
      <c r="A135" s="48">
        <v>1436</v>
      </c>
      <c r="B135" s="58">
        <f>SUMIF([2]!Table2_23[ETA],'FIS Optimal Model (3)'!A135,[2]!Table2_23[FIS PAX])</f>
        <v>0</v>
      </c>
      <c r="C135" s="44">
        <f>IF((D134-D135)&gt;-1,(D134-D135),18)</f>
        <v>0</v>
      </c>
      <c r="D135" s="52">
        <f>MAX(D134-$E$31+B134,0)</f>
        <v>0</v>
      </c>
      <c r="E135" s="26">
        <f>$C$30*C135</f>
        <v>0</v>
      </c>
      <c r="F135" s="26">
        <f>$C$31*C135</f>
        <v>0</v>
      </c>
      <c r="G135" s="26">
        <f>$C$32*C135</f>
        <v>0</v>
      </c>
      <c r="H135" s="26">
        <f>$C$33*C135</f>
        <v>0</v>
      </c>
      <c r="I135" s="27">
        <f>E130</f>
        <v>0</v>
      </c>
      <c r="J135" s="27">
        <f>F130</f>
        <v>0</v>
      </c>
      <c r="K135" s="27">
        <f>G130</f>
        <v>0</v>
      </c>
      <c r="L135" s="27">
        <f>H130</f>
        <v>0</v>
      </c>
      <c r="M135" s="28">
        <f>$M$130</f>
        <v>0</v>
      </c>
      <c r="N135" s="29">
        <f>$N$130</f>
        <v>16</v>
      </c>
      <c r="O135" s="28">
        <f>$O$130</f>
        <v>0</v>
      </c>
      <c r="P135" s="28">
        <f>$P$130</f>
        <v>0</v>
      </c>
      <c r="Q135" s="28">
        <f>SUM(M135:P135)</f>
        <v>16</v>
      </c>
      <c r="R135" s="22">
        <f>MAX(R134-($J$30*M135*$L$33)+I135,0)</f>
        <v>0</v>
      </c>
      <c r="S135" s="22">
        <f>IF(U135&lt;&gt;0,(MAX(S134-($J$31*N135*$L$33)+J135,0)),(MAX(S134-($J$31*(N135+P135)*$L$33)+J135,0)))</f>
        <v>0</v>
      </c>
      <c r="T135" s="22">
        <f>MAX(T134-($J$32*O135*$L$33)+K135,0)</f>
        <v>0</v>
      </c>
      <c r="U135" s="22">
        <f>MAX(U134-($J$33*P135*$L$33)+L135,0)</f>
        <v>0</v>
      </c>
      <c r="V135" s="21">
        <f>IFERROR(R135*($I$30/M135),0)</f>
        <v>0</v>
      </c>
      <c r="W135" s="21">
        <f>IFERROR(S135*($I$31/N135),0)</f>
        <v>0</v>
      </c>
      <c r="X135" s="21">
        <f>IFERROR(T135*($I$32/O135),0)</f>
        <v>0</v>
      </c>
      <c r="Y135" s="21">
        <f>IFERROR(U135*($I$33/P135),0)</f>
        <v>0</v>
      </c>
      <c r="Z135" s="221">
        <f>ROUNDUP(SUM(V135*$C$30,W135*$C$31,X135*$C$32,Y135*$C$33),0)</f>
        <v>0</v>
      </c>
      <c r="AA135" s="30">
        <f>IF(R135&lt;&gt;0,($J$30*M135*$L$33),0)</f>
        <v>0</v>
      </c>
      <c r="AB135" s="30">
        <f>IF(W135&lt;&gt;0,($J$31*N135*$L$33),0)</f>
        <v>0</v>
      </c>
      <c r="AC135" s="30">
        <f>IF(X135&lt;&gt;0,($J$32*O135*$L$33),0)</f>
        <v>0</v>
      </c>
      <c r="AD135" s="30">
        <f>IF(Y135&lt;&gt;0,($J$33*P135*$L$33),0)</f>
        <v>0</v>
      </c>
      <c r="AE135" s="32">
        <f>SUM(AA135:AD135)</f>
        <v>0</v>
      </c>
      <c r="AF135" s="33">
        <f>AE131</f>
        <v>0</v>
      </c>
      <c r="AG135" s="40">
        <f>MAX(AG134-$Q$33+AF135,0)</f>
        <v>0</v>
      </c>
      <c r="AH135" s="224">
        <f>AG135*$P$33</f>
        <v>0</v>
      </c>
      <c r="AI135" s="227">
        <f>SUM(Z135,IF(Z135&lt;&gt;0,$F$31,0),IF(Z135&lt;&gt;0,$N$33,0),IF(Z135&lt;&gt;0,$T$33,0),IF(Z135=0,AH140,IF(Z135=1,AH141,IF(Z135=2,AH142,IF(Z135=3,AH143,IF(Z135=4,AH144,IF(Z135=5,AH145,IF(Z135=6,AH146,IF(Z135=7,AH147,IF(Z135=8,AH148,IF(Z135=9,AH149,IF(Z135=10,AH150,IF(Z135=11,AH151,IF(Z135=12,AH152,IF(Z135=13,AH153,IF(Z135=14,AH154,IF(Z135=15,AH155,IF(Z135=16,AH156,IF(Z135=17,AH157,IF(Z135=18,AH158,IF(Z135=19,AH159,IF(Z135=20,AH160,IF(Z135=21,AH161,IF(Z135=22,AH162,IF(Z135=23,AH163,IF(Z135=24,AH164,IF(Z135=25,AH165,IF(Z135=26,AH166,IF(Z135=27,AH167,IF(Z135=28,AH168,IF(Z135=29,AH169,IF(Z135=30,AH170))))))))))))))))))))))))))))))))</f>
        <v>0</v>
      </c>
    </row>
    <row r="136" spans="1:35" x14ac:dyDescent="0.35">
      <c r="A136" s="48">
        <v>1437</v>
      </c>
      <c r="B136" s="58">
        <f>SUMIF([2]!Table2_23[ETA],'FIS Optimal Model (3)'!A136,[2]!Table2_23[FIS PAX])</f>
        <v>106</v>
      </c>
      <c r="C136" s="44">
        <f>IF((D135-D136)&gt;-1,(D135-D136),18)</f>
        <v>0</v>
      </c>
      <c r="D136" s="52">
        <f>MAX(D135-$E$31+B135,0)</f>
        <v>0</v>
      </c>
      <c r="E136" s="26">
        <f>$C$30*C136</f>
        <v>0</v>
      </c>
      <c r="F136" s="26">
        <f>$C$31*C136</f>
        <v>0</v>
      </c>
      <c r="G136" s="26">
        <f>$C$32*C136</f>
        <v>0</v>
      </c>
      <c r="H136" s="26">
        <f>$C$33*C136</f>
        <v>0</v>
      </c>
      <c r="I136" s="27">
        <f>E131</f>
        <v>0</v>
      </c>
      <c r="J136" s="27">
        <f>F131</f>
        <v>0</v>
      </c>
      <c r="K136" s="27">
        <f>G131</f>
        <v>0</v>
      </c>
      <c r="L136" s="27">
        <f>H131</f>
        <v>0</v>
      </c>
      <c r="M136" s="28">
        <f>$M$130</f>
        <v>0</v>
      </c>
      <c r="N136" s="29">
        <f>$N$130</f>
        <v>16</v>
      </c>
      <c r="O136" s="28">
        <f>$O$130</f>
        <v>0</v>
      </c>
      <c r="P136" s="28">
        <f>$P$130</f>
        <v>0</v>
      </c>
      <c r="Q136" s="28">
        <f>SUM(M136:P136)</f>
        <v>16</v>
      </c>
      <c r="R136" s="22">
        <f>MAX(R135-($J$30*M136*$L$33)+I136,0)</f>
        <v>0</v>
      </c>
      <c r="S136" s="22">
        <f>IF(U136&lt;&gt;0,(MAX(S135-($J$31*N136*$L$33)+J136,0)),(MAX(S135-($J$31*(N136+P136)*$L$33)+J136,0)))</f>
        <v>0</v>
      </c>
      <c r="T136" s="22">
        <f>MAX(T135-($J$32*O136*$L$33)+K136,0)</f>
        <v>0</v>
      </c>
      <c r="U136" s="22">
        <f>MAX(U135-($J$33*P136*$L$33)+L136,0)</f>
        <v>0</v>
      </c>
      <c r="V136" s="21">
        <f>IFERROR(R136*($I$30/M136),0)</f>
        <v>0</v>
      </c>
      <c r="W136" s="21">
        <f>IFERROR(S136*($I$31/N136),0)</f>
        <v>0</v>
      </c>
      <c r="X136" s="21">
        <f>IFERROR(T136*($I$32/O136),0)</f>
        <v>0</v>
      </c>
      <c r="Y136" s="21">
        <f>IFERROR(U136*($I$33/P136),0)</f>
        <v>0</v>
      </c>
      <c r="Z136" s="221">
        <f>ROUNDUP(SUM(V136*$C$30,W136*$C$31,X136*$C$32,Y136*$C$33),0)</f>
        <v>0</v>
      </c>
      <c r="AA136" s="30">
        <f>IF(R136&lt;&gt;0,($J$30*M136*$L$33),0)</f>
        <v>0</v>
      </c>
      <c r="AB136" s="30">
        <f>IF(W136&lt;&gt;0,($J$31*N136*$L$33),0)</f>
        <v>0</v>
      </c>
      <c r="AC136" s="30">
        <f>IF(X136&lt;&gt;0,($J$32*O136*$L$33),0)</f>
        <v>0</v>
      </c>
      <c r="AD136" s="30">
        <f>IF(Y136&lt;&gt;0,($J$33*P136*$L$33),0)</f>
        <v>0</v>
      </c>
      <c r="AE136" s="32">
        <f>SUM(AA136:AD136)</f>
        <v>0</v>
      </c>
      <c r="AF136" s="33">
        <f>AE132</f>
        <v>0</v>
      </c>
      <c r="AG136" s="40">
        <f>MAX(AG135-$Q$33+AF136,0)</f>
        <v>0</v>
      </c>
      <c r="AH136" s="224">
        <f>AG136*$P$33</f>
        <v>0</v>
      </c>
      <c r="AI136" s="227">
        <f>SUM(Z136,IF(Z136&lt;&gt;0,$F$31,0),IF(Z136&lt;&gt;0,$N$33,0),IF(Z136&lt;&gt;0,$T$33,0),IF(Z136=0,AH141,IF(Z136=1,AH142,IF(Z136=2,AH143,IF(Z136=3,AH144,IF(Z136=4,AH145,IF(Z136=5,AH146,IF(Z136=6,AH147,IF(Z136=7,AH148,IF(Z136=8,AH149,IF(Z136=9,AH150,IF(Z136=10,AH151,IF(Z136=11,AH152,IF(Z136=12,AH153,IF(Z136=13,AH154,IF(Z136=14,AH155,IF(Z136=15,AH156,IF(Z136=16,AH157,IF(Z136=17,AH158,IF(Z136=18,AH159,IF(Z136=19,AH160,IF(Z136=20,AH161,IF(Z136=21,AH162,IF(Z136=22,AH163,IF(Z136=23,AH164,IF(Z136=24,AH165,IF(Z136=25,AH166,IF(Z136=26,AH167,IF(Z136=27,AH168,IF(Z136=28,AH169,IF(Z136=29,AH170,IF(Z136=30,AH171))))))))))))))))))))))))))))))))</f>
        <v>0</v>
      </c>
    </row>
    <row r="137" spans="1:35" x14ac:dyDescent="0.35">
      <c r="A137" s="48">
        <v>1438</v>
      </c>
      <c r="B137" s="58">
        <f>SUMIF([2]!Table2_23[ETA],'FIS Optimal Model (3)'!A137,[2]!Table2_23[FIS PAX])</f>
        <v>207</v>
      </c>
      <c r="C137" s="44">
        <f>IF((D136-D137)&gt;-1,(D136-D137),18)</f>
        <v>18</v>
      </c>
      <c r="D137" s="52">
        <f>MAX(D136-$E$31+B136,0)</f>
        <v>88</v>
      </c>
      <c r="E137" s="26">
        <f>$C$30*C137</f>
        <v>9.9503999999999984</v>
      </c>
      <c r="F137" s="26">
        <f>$C$31*C137</f>
        <v>4.2713999999999999</v>
      </c>
      <c r="G137" s="26">
        <f>$C$32*C137</f>
        <v>2.9447999999999999</v>
      </c>
      <c r="H137" s="26">
        <f>$C$33*C137</f>
        <v>0.83340000000000003</v>
      </c>
      <c r="I137" s="27">
        <f>E132</f>
        <v>0</v>
      </c>
      <c r="J137" s="27">
        <f>F132</f>
        <v>0</v>
      </c>
      <c r="K137" s="27">
        <f>G132</f>
        <v>0</v>
      </c>
      <c r="L137" s="27">
        <f>H132</f>
        <v>0</v>
      </c>
      <c r="M137" s="28">
        <f>$M$130</f>
        <v>0</v>
      </c>
      <c r="N137" s="29">
        <f>$N$130</f>
        <v>16</v>
      </c>
      <c r="O137" s="28">
        <f>$O$130</f>
        <v>0</v>
      </c>
      <c r="P137" s="28">
        <f>$P$130</f>
        <v>0</v>
      </c>
      <c r="Q137" s="28">
        <f>SUM(M137:P137)</f>
        <v>16</v>
      </c>
      <c r="R137" s="22">
        <f>MAX(R136-($J$30*M137*$L$33)+I137,0)</f>
        <v>0</v>
      </c>
      <c r="S137" s="22">
        <f>IF(U137&lt;&gt;0,(MAX(S136-($J$31*N137*$L$33)+J137,0)),(MAX(S136-($J$31*(N137+P137)*$L$33)+J137,0)))</f>
        <v>0</v>
      </c>
      <c r="T137" s="22">
        <f>MAX(T136-($J$32*O137*$L$33)+K137,0)</f>
        <v>0</v>
      </c>
      <c r="U137" s="22">
        <f>MAX(U136-($J$33*P137*$L$33)+L137,0)</f>
        <v>0</v>
      </c>
      <c r="V137" s="21">
        <f>IFERROR(R137*($I$30/M137),0)</f>
        <v>0</v>
      </c>
      <c r="W137" s="21">
        <f>IFERROR(S137*($I$31/N137),0)</f>
        <v>0</v>
      </c>
      <c r="X137" s="21">
        <f>IFERROR(T137*($I$32/O137),0)</f>
        <v>0</v>
      </c>
      <c r="Y137" s="21">
        <f>IFERROR(U137*($I$33/P137),0)</f>
        <v>0</v>
      </c>
      <c r="Z137" s="221">
        <f>ROUNDUP(SUM(V137*$C$30,W137*$C$31,X137*$C$32,Y137*$C$33),0)</f>
        <v>0</v>
      </c>
      <c r="AA137" s="30">
        <f>IF(R137&lt;&gt;0,($J$30*M137*$L$33),0)</f>
        <v>0</v>
      </c>
      <c r="AB137" s="30">
        <f>IF(W137&lt;&gt;0,($J$31*N137*$L$33),0)</f>
        <v>0</v>
      </c>
      <c r="AC137" s="30">
        <f>IF(X137&lt;&gt;0,($J$32*O137*$L$33),0)</f>
        <v>0</v>
      </c>
      <c r="AD137" s="30">
        <f>IF(Y137&lt;&gt;0,($J$33*P137*$L$33),0)</f>
        <v>0</v>
      </c>
      <c r="AE137" s="32">
        <f>SUM(AA137:AD137)</f>
        <v>0</v>
      </c>
      <c r="AF137" s="33">
        <f>AE133</f>
        <v>0</v>
      </c>
      <c r="AG137" s="40">
        <f>MAX(AG136-$Q$33+AF137,0)</f>
        <v>0</v>
      </c>
      <c r="AH137" s="224">
        <f>AG137*$P$33</f>
        <v>0</v>
      </c>
      <c r="AI137" s="227">
        <f>SUM(Z137,IF(Z137&lt;&gt;0,$F$31,0),IF(Z137&lt;&gt;0,$N$33,0),IF(Z137&lt;&gt;0,$T$33,0),IF(Z137=0,AH142,IF(Z137=1,AH143,IF(Z137=2,AH144,IF(Z137=3,AH145,IF(Z137=4,AH146,IF(Z137=5,AH147,IF(Z137=6,AH148,IF(Z137=7,AH149,IF(Z137=8,AH150,IF(Z137=9,AH151,IF(Z137=10,AH152,IF(Z137=11,AH153,IF(Z137=12,AH154,IF(Z137=13,AH155,IF(Z137=14,AH156,IF(Z137=15,AH157,IF(Z137=16,AH158,IF(Z137=17,AH159,IF(Z137=18,AH160,IF(Z137=19,AH161,IF(Z137=20,AH162,IF(Z137=21,AH163,IF(Z137=22,AH164,IF(Z137=23,AH165,IF(Z137=24,AH166,IF(Z137=25,AH167,IF(Z137=26,AH168,IF(Z137=27,AH169,IF(Z137=28,AH170,IF(Z137=29,AH171,IF(Z137=30,AH172))))))))))))))))))))))))))))))))</f>
        <v>0</v>
      </c>
    </row>
    <row r="138" spans="1:35" x14ac:dyDescent="0.35">
      <c r="A138" s="48">
        <v>1439</v>
      </c>
      <c r="B138" s="58">
        <f>SUMIF([2]!Table2_23[ETA],'FIS Optimal Model (3)'!A138,[2]!Table2_23[FIS PAX])</f>
        <v>0</v>
      </c>
      <c r="C138" s="44">
        <f>IF((D137-D138)&gt;-1,(D137-D138),18)</f>
        <v>18</v>
      </c>
      <c r="D138" s="52">
        <f>MAX(D137-$E$31+B137,0)</f>
        <v>277</v>
      </c>
      <c r="E138" s="26">
        <f>$C$30*C138</f>
        <v>9.9503999999999984</v>
      </c>
      <c r="F138" s="26">
        <f>$C$31*C138</f>
        <v>4.2713999999999999</v>
      </c>
      <c r="G138" s="26">
        <f>$C$32*C138</f>
        <v>2.9447999999999999</v>
      </c>
      <c r="H138" s="26">
        <f>$C$33*C138</f>
        <v>0.83340000000000003</v>
      </c>
      <c r="I138" s="27">
        <f>E133</f>
        <v>0</v>
      </c>
      <c r="J138" s="27">
        <f>F133</f>
        <v>0</v>
      </c>
      <c r="K138" s="27">
        <f>G133</f>
        <v>0</v>
      </c>
      <c r="L138" s="27">
        <f>H133</f>
        <v>0</v>
      </c>
      <c r="M138" s="28">
        <f>$M$130</f>
        <v>0</v>
      </c>
      <c r="N138" s="29">
        <f>$N$130</f>
        <v>16</v>
      </c>
      <c r="O138" s="28">
        <f>$O$130</f>
        <v>0</v>
      </c>
      <c r="P138" s="28">
        <f>$P$130</f>
        <v>0</v>
      </c>
      <c r="Q138" s="28">
        <f>SUM(M138:P138)</f>
        <v>16</v>
      </c>
      <c r="R138" s="22">
        <f>MAX(R137-($J$30*M138*$L$33)+I138,0)</f>
        <v>0</v>
      </c>
      <c r="S138" s="22">
        <f>IF(U138&lt;&gt;0,(MAX(S137-($J$31*N138*$L$33)+J138,0)),(MAX(S137-($J$31*(N138+P138)*$L$33)+J138,0)))</f>
        <v>0</v>
      </c>
      <c r="T138" s="22">
        <f>MAX(T137-($J$32*O138*$L$33)+K138,0)</f>
        <v>0</v>
      </c>
      <c r="U138" s="22">
        <f>MAX(U137-($J$33*P138*$L$33)+L138,0)</f>
        <v>0</v>
      </c>
      <c r="V138" s="21">
        <f>IFERROR(R138*($I$30/M138),0)</f>
        <v>0</v>
      </c>
      <c r="W138" s="21">
        <f>IFERROR(S138*($I$31/N138),0)</f>
        <v>0</v>
      </c>
      <c r="X138" s="21">
        <f>IFERROR(T138*($I$32/O138),0)</f>
        <v>0</v>
      </c>
      <c r="Y138" s="21">
        <f>IFERROR(U138*($I$33/P138),0)</f>
        <v>0</v>
      </c>
      <c r="Z138" s="221">
        <f>ROUNDUP(SUM(V138*$C$30,W138*$C$31,X138*$C$32,Y138*$C$33),0)</f>
        <v>0</v>
      </c>
      <c r="AA138" s="30">
        <f>IF(R138&lt;&gt;0,($J$30*M138*$L$33),0)</f>
        <v>0</v>
      </c>
      <c r="AB138" s="30">
        <f>IF(W138&lt;&gt;0,($J$31*N138*$L$33),0)</f>
        <v>0</v>
      </c>
      <c r="AC138" s="30">
        <f>IF(X138&lt;&gt;0,($J$32*O138*$L$33),0)</f>
        <v>0</v>
      </c>
      <c r="AD138" s="30">
        <f>IF(Y138&lt;&gt;0,($J$33*P138*$L$33),0)</f>
        <v>0</v>
      </c>
      <c r="AE138" s="32">
        <f>SUM(AA138:AD138)</f>
        <v>0</v>
      </c>
      <c r="AF138" s="33">
        <f>AE134</f>
        <v>0</v>
      </c>
      <c r="AG138" s="40">
        <f>MAX(AG137-$Q$33+AF138,0)</f>
        <v>0</v>
      </c>
      <c r="AH138" s="224">
        <f>AG138*$P$33</f>
        <v>0</v>
      </c>
      <c r="AI138" s="227">
        <f>SUM(Z138,IF(Z138&lt;&gt;0,$F$31,0),IF(Z138&lt;&gt;0,$N$33,0),IF(Z138&lt;&gt;0,$T$33,0),IF(Z138=0,AH143,IF(Z138=1,AH144,IF(Z138=2,AH145,IF(Z138=3,AH146,IF(Z138=4,AH147,IF(Z138=5,AH148,IF(Z138=6,AH149,IF(Z138=7,AH150,IF(Z138=8,AH151,IF(Z138=9,AH152,IF(Z138=10,AH153,IF(Z138=11,AH154,IF(Z138=12,AH155,IF(Z138=13,AH156,IF(Z138=14,AH157,IF(Z138=15,AH158,IF(Z138=16,AH159,IF(Z138=17,AH160,IF(Z138=18,AH161,IF(Z138=19,AH162,IF(Z138=20,AH163,IF(Z138=21,AH164,IF(Z138=22,AH165,IF(Z138=23,AH166,IF(Z138=24,AH167,IF(Z138=25,AH168,IF(Z138=26,AH169,IF(Z138=27,AH170,IF(Z138=28,AH171,IF(Z138=29,AH172,IF(Z138=30,AH173))))))))))))))))))))))))))))))))</f>
        <v>0</v>
      </c>
    </row>
    <row r="139" spans="1:35" x14ac:dyDescent="0.35">
      <c r="A139" s="48">
        <v>1440</v>
      </c>
      <c r="B139" s="58">
        <f>SUMIF([2]!Table2_23[ETA],'FIS Optimal Model (3)'!A139,[2]!Table2_23[FIS PAX])</f>
        <v>0</v>
      </c>
      <c r="C139" s="44">
        <f>IF((D138-D139)&gt;-1,(D138-D139),18)</f>
        <v>18</v>
      </c>
      <c r="D139" s="52">
        <f>MAX(D138-$E$31+B138,0)</f>
        <v>259</v>
      </c>
      <c r="E139" s="26">
        <f>$C$30*C139</f>
        <v>9.9503999999999984</v>
      </c>
      <c r="F139" s="26">
        <f>$C$31*C139</f>
        <v>4.2713999999999999</v>
      </c>
      <c r="G139" s="26">
        <f>$C$32*C139</f>
        <v>2.9447999999999999</v>
      </c>
      <c r="H139" s="26">
        <f>$C$33*C139</f>
        <v>0.83340000000000003</v>
      </c>
      <c r="I139" s="27">
        <f>E134</f>
        <v>0</v>
      </c>
      <c r="J139" s="27">
        <f>F134</f>
        <v>0</v>
      </c>
      <c r="K139" s="27">
        <f>G134</f>
        <v>0</v>
      </c>
      <c r="L139" s="27">
        <f>H134</f>
        <v>0</v>
      </c>
      <c r="M139" s="28">
        <f>$M$130</f>
        <v>0</v>
      </c>
      <c r="N139" s="29">
        <f>$N$130</f>
        <v>16</v>
      </c>
      <c r="O139" s="28">
        <f>$O$130</f>
        <v>0</v>
      </c>
      <c r="P139" s="28">
        <f>$P$130</f>
        <v>0</v>
      </c>
      <c r="Q139" s="28">
        <f>SUM(M139:P139)</f>
        <v>16</v>
      </c>
      <c r="R139" s="22">
        <f>MAX(R138-($J$30*M139*$L$33)+I139,0)</f>
        <v>0</v>
      </c>
      <c r="S139" s="22">
        <f>IF(U139&lt;&gt;0,(MAX(S138-($J$31*N139*$L$33)+J139,0)),(MAX(S138-($J$31*(N139+P139)*$L$33)+J139,0)))</f>
        <v>0</v>
      </c>
      <c r="T139" s="22">
        <f>MAX(T138-($J$32*O139*$L$33)+K139,0)</f>
        <v>0</v>
      </c>
      <c r="U139" s="22">
        <f>MAX(U138-($J$33*P139*$L$33)+L139,0)</f>
        <v>0</v>
      </c>
      <c r="V139" s="21">
        <f>IFERROR(R139*($I$30/M139),0)</f>
        <v>0</v>
      </c>
      <c r="W139" s="21">
        <f>IFERROR(S139*($I$31/N139),0)</f>
        <v>0</v>
      </c>
      <c r="X139" s="21">
        <f>IFERROR(T139*($I$32/O139),0)</f>
        <v>0</v>
      </c>
      <c r="Y139" s="21">
        <f>IFERROR(U139*($I$33/P139),0)</f>
        <v>0</v>
      </c>
      <c r="Z139" s="221">
        <f>ROUNDUP(SUM(V139*$C$30,W139*$C$31,X139*$C$32,Y139*$C$33),0)</f>
        <v>0</v>
      </c>
      <c r="AA139" s="30">
        <f>IF(R139&lt;&gt;0,($J$30*M139*$L$33),0)</f>
        <v>0</v>
      </c>
      <c r="AB139" s="30">
        <f>IF(W139&lt;&gt;0,($J$31*N139*$L$33),0)</f>
        <v>0</v>
      </c>
      <c r="AC139" s="30">
        <f>IF(X139&lt;&gt;0,($J$32*O139*$L$33),0)</f>
        <v>0</v>
      </c>
      <c r="AD139" s="30">
        <f>IF(Y139&lt;&gt;0,($J$33*P139*$L$33),0)</f>
        <v>0</v>
      </c>
      <c r="AE139" s="32">
        <f>SUM(AA139:AD139)</f>
        <v>0</v>
      </c>
      <c r="AF139" s="33">
        <f>AE135</f>
        <v>0</v>
      </c>
      <c r="AG139" s="40">
        <f>MAX(AG138-$Q$33+AF139,0)</f>
        <v>0</v>
      </c>
      <c r="AH139" s="224">
        <f>AG139*$P$33</f>
        <v>0</v>
      </c>
      <c r="AI139" s="227">
        <f>SUM(Z139,IF(Z139&lt;&gt;0,$F$31,0),IF(Z139&lt;&gt;0,$N$33,0),IF(Z139&lt;&gt;0,$T$33,0),IF(Z139=0,AH144,IF(Z139=1,AH145,IF(Z139=2,AH146,IF(Z139=3,AH147,IF(Z139=4,AH148,IF(Z139=5,AH149,IF(Z139=6,AH150,IF(Z139=7,AH151,IF(Z139=8,AH152,IF(Z139=9,AH153,IF(Z139=10,AH154,IF(Z139=11,AH155,IF(Z139=12,AH156,IF(Z139=13,AH157,IF(Z139=14,AH158,IF(Z139=15,AH159,IF(Z139=16,AH160,IF(Z139=17,AH161,IF(Z139=18,AH162,IF(Z139=19,AH163,IF(Z139=20,AH164,IF(Z139=21,AH165,IF(Z139=22,AH166,IF(Z139=23,AH167,IF(Z139=24,AH168,IF(Z139=25,AH169,IF(Z139=26,AH170,IF(Z139=27,AH171,IF(Z139=28,AH172,IF(Z139=29,AH173,IF(Z139=30,AH174))))))))))))))))))))))))))))))))</f>
        <v>0</v>
      </c>
    </row>
    <row r="140" spans="1:35" x14ac:dyDescent="0.35">
      <c r="A140" s="48">
        <v>1441</v>
      </c>
      <c r="B140" s="58">
        <f>SUMIF([2]!Table2_23[ETA],'FIS Optimal Model (3)'!A140,[2]!Table2_23[FIS PAX])</f>
        <v>0</v>
      </c>
      <c r="C140" s="44">
        <f>IF((D139-D140)&gt;-1,(D139-D140),18)</f>
        <v>18</v>
      </c>
      <c r="D140" s="52">
        <f>MAX(D139-$E$31+B139,0)</f>
        <v>241</v>
      </c>
      <c r="E140" s="26">
        <f>$C$30*C140</f>
        <v>9.9503999999999984</v>
      </c>
      <c r="F140" s="26">
        <f>$C$31*C140</f>
        <v>4.2713999999999999</v>
      </c>
      <c r="G140" s="26">
        <f>$C$32*C140</f>
        <v>2.9447999999999999</v>
      </c>
      <c r="H140" s="26">
        <f>$C$33*C140</f>
        <v>0.83340000000000003</v>
      </c>
      <c r="I140" s="27">
        <f>E135</f>
        <v>0</v>
      </c>
      <c r="J140" s="27">
        <f>F135</f>
        <v>0</v>
      </c>
      <c r="K140" s="27">
        <f>G135</f>
        <v>0</v>
      </c>
      <c r="L140" s="27">
        <f>H135</f>
        <v>0</v>
      </c>
      <c r="M140" s="28">
        <f>$M$130</f>
        <v>0</v>
      </c>
      <c r="N140" s="29">
        <f>$N$130</f>
        <v>16</v>
      </c>
      <c r="O140" s="28">
        <f>$O$130</f>
        <v>0</v>
      </c>
      <c r="P140" s="28">
        <f>$P$130</f>
        <v>0</v>
      </c>
      <c r="Q140" s="28">
        <f>SUM(M140:P140)</f>
        <v>16</v>
      </c>
      <c r="R140" s="22">
        <f>MAX(R139-($J$30*M140*$L$33)+I140,0)</f>
        <v>0</v>
      </c>
      <c r="S140" s="22">
        <f>IF(U140&lt;&gt;0,(MAX(S139-($J$31*N140*$L$33)+J140,0)),(MAX(S139-($J$31*(N140+P140)*$L$33)+J140,0)))</f>
        <v>0</v>
      </c>
      <c r="T140" s="22">
        <f>MAX(T139-($J$32*O140*$L$33)+K140,0)</f>
        <v>0</v>
      </c>
      <c r="U140" s="22">
        <f>MAX(U139-($J$33*P140*$L$33)+L140,0)</f>
        <v>0</v>
      </c>
      <c r="V140" s="21">
        <f>IFERROR(R140*($I$30/M140),0)</f>
        <v>0</v>
      </c>
      <c r="W140" s="21">
        <f>IFERROR(S140*($I$31/N140),0)</f>
        <v>0</v>
      </c>
      <c r="X140" s="21">
        <f>IFERROR(T140*($I$32/O140),0)</f>
        <v>0</v>
      </c>
      <c r="Y140" s="21">
        <f>IFERROR(U140*($I$33/P140),0)</f>
        <v>0</v>
      </c>
      <c r="Z140" s="221">
        <f>ROUNDUP(SUM(V140*$C$30,W140*$C$31,X140*$C$32,Y140*$C$33),0)</f>
        <v>0</v>
      </c>
      <c r="AA140" s="30">
        <f>IF(R140&lt;&gt;0,($J$30*M140*$L$33),0)</f>
        <v>0</v>
      </c>
      <c r="AB140" s="30">
        <f>IF(W140&lt;&gt;0,($J$31*N140*$L$33),0)</f>
        <v>0</v>
      </c>
      <c r="AC140" s="30">
        <f>IF(X140&lt;&gt;0,($J$32*O140*$L$33),0)</f>
        <v>0</v>
      </c>
      <c r="AD140" s="30">
        <f>IF(Y140&lt;&gt;0,($J$33*P140*$L$33),0)</f>
        <v>0</v>
      </c>
      <c r="AE140" s="32">
        <f>SUM(AA140:AD140)</f>
        <v>0</v>
      </c>
      <c r="AF140" s="33">
        <f>AE136</f>
        <v>0</v>
      </c>
      <c r="AG140" s="40">
        <f>MAX(AG139-$Q$33+AF140,0)</f>
        <v>0</v>
      </c>
      <c r="AH140" s="224">
        <f>AG140*$P$33</f>
        <v>0</v>
      </c>
      <c r="AI140" s="227">
        <f>SUM(Z140,IF(Z140&lt;&gt;0,$F$31,0),IF(Z140&lt;&gt;0,$N$33,0),IF(Z140&lt;&gt;0,$T$33,0),IF(Z140=0,AH145,IF(Z140=1,AH146,IF(Z140=2,AH147,IF(Z140=3,AH148,IF(Z140=4,AH149,IF(Z140=5,AH150,IF(Z140=6,AH151,IF(Z140=7,AH152,IF(Z140=8,AH153,IF(Z140=9,AH154,IF(Z140=10,AH155,IF(Z140=11,AH156,IF(Z140=12,AH157,IF(Z140=13,AH158,IF(Z140=14,AH159,IF(Z140=15,AH160,IF(Z140=16,AH161,IF(Z140=17,AH162,IF(Z140=18,AH163,IF(Z140=19,AH164,IF(Z140=20,AH165,IF(Z140=21,AH166,IF(Z140=22,AH167,IF(Z140=23,AH168,IF(Z140=24,AH169,IF(Z140=25,AH170,IF(Z140=26,AH171,IF(Z140=27,AH172,IF(Z140=28,AH173,IF(Z140=29,AH174,IF(Z140=30,AH175))))))))))))))))))))))))))))))))</f>
        <v>0</v>
      </c>
    </row>
    <row r="141" spans="1:35" x14ac:dyDescent="0.35">
      <c r="A141" s="48">
        <v>1442</v>
      </c>
      <c r="B141" s="58">
        <f>SUMIF([2]!Table2_23[ETA],'FIS Optimal Model (3)'!A141,[2]!Table2_23[FIS PAX])</f>
        <v>0</v>
      </c>
      <c r="C141" s="44">
        <f>IF((D140-D141)&gt;-1,(D140-D141),18)</f>
        <v>18</v>
      </c>
      <c r="D141" s="52">
        <f>MAX(D140-$E$31+B140,0)</f>
        <v>223</v>
      </c>
      <c r="E141" s="26">
        <f>$C$30*C141</f>
        <v>9.9503999999999984</v>
      </c>
      <c r="F141" s="26">
        <f>$C$31*C141</f>
        <v>4.2713999999999999</v>
      </c>
      <c r="G141" s="26">
        <f>$C$32*C141</f>
        <v>2.9447999999999999</v>
      </c>
      <c r="H141" s="26">
        <f>$C$33*C141</f>
        <v>0.83340000000000003</v>
      </c>
      <c r="I141" s="27">
        <f>E136</f>
        <v>0</v>
      </c>
      <c r="J141" s="27">
        <f>F136</f>
        <v>0</v>
      </c>
      <c r="K141" s="27">
        <f>G136</f>
        <v>0</v>
      </c>
      <c r="L141" s="27">
        <f>H136</f>
        <v>0</v>
      </c>
      <c r="M141" s="28">
        <f>$M$130</f>
        <v>0</v>
      </c>
      <c r="N141" s="29">
        <f>$N$130</f>
        <v>16</v>
      </c>
      <c r="O141" s="28">
        <f>$O$130</f>
        <v>0</v>
      </c>
      <c r="P141" s="28">
        <f>$P$130</f>
        <v>0</v>
      </c>
      <c r="Q141" s="28">
        <f>SUM(M141:P141)</f>
        <v>16</v>
      </c>
      <c r="R141" s="22">
        <f>MAX(R140-($J$30*M141*$L$33)+I141,0)</f>
        <v>0</v>
      </c>
      <c r="S141" s="22">
        <f>IF(U141&lt;&gt;0,(MAX(S140-($J$31*N141*$L$33)+J141,0)),(MAX(S140-($J$31*(N141+P141)*$L$33)+J141,0)))</f>
        <v>0</v>
      </c>
      <c r="T141" s="22">
        <f>MAX(T140-($J$32*O141*$L$33)+K141,0)</f>
        <v>0</v>
      </c>
      <c r="U141" s="22">
        <f>MAX(U140-($J$33*P141*$L$33)+L141,0)</f>
        <v>0</v>
      </c>
      <c r="V141" s="21">
        <f>IFERROR(R141*($I$30/M141),0)</f>
        <v>0</v>
      </c>
      <c r="W141" s="21">
        <f>IFERROR(S141*($I$31/N141),0)</f>
        <v>0</v>
      </c>
      <c r="X141" s="21">
        <f>IFERROR(T141*($I$32/O141),0)</f>
        <v>0</v>
      </c>
      <c r="Y141" s="21">
        <f>IFERROR(U141*($I$33/P141),0)</f>
        <v>0</v>
      </c>
      <c r="Z141" s="221">
        <f>ROUNDUP(SUM(V141*$C$30,W141*$C$31,X141*$C$32,Y141*$C$33),0)</f>
        <v>0</v>
      </c>
      <c r="AA141" s="30">
        <f>IF(R141&lt;&gt;0,($J$30*M141*$L$33),0)</f>
        <v>0</v>
      </c>
      <c r="AB141" s="30">
        <f>IF(W141&lt;&gt;0,($J$31*N141*$L$33),0)</f>
        <v>0</v>
      </c>
      <c r="AC141" s="30">
        <f>IF(X141&lt;&gt;0,($J$32*O141*$L$33),0)</f>
        <v>0</v>
      </c>
      <c r="AD141" s="30">
        <f>IF(Y141&lt;&gt;0,($J$33*P141*$L$33),0)</f>
        <v>0</v>
      </c>
      <c r="AE141" s="32">
        <f>SUM(AA141:AD141)</f>
        <v>0</v>
      </c>
      <c r="AF141" s="33">
        <f>AE137</f>
        <v>0</v>
      </c>
      <c r="AG141" s="40">
        <f>MAX(AG140-$Q$33+AF141,0)</f>
        <v>0</v>
      </c>
      <c r="AH141" s="224">
        <f>AG141*$P$33</f>
        <v>0</v>
      </c>
      <c r="AI141" s="227">
        <f>SUM(Z141,IF(Z141&lt;&gt;0,$F$31,0),IF(Z141&lt;&gt;0,$N$33,0),IF(Z141&lt;&gt;0,$T$33,0),IF(Z141=0,AH146,IF(Z141=1,AH147,IF(Z141=2,AH148,IF(Z141=3,AH149,IF(Z141=4,AH150,IF(Z141=5,AH151,IF(Z141=6,AH152,IF(Z141=7,AH153,IF(Z141=8,AH154,IF(Z141=9,AH155,IF(Z141=10,AH156,IF(Z141=11,AH157,IF(Z141=12,AH158,IF(Z141=13,AH159,IF(Z141=14,AH160,IF(Z141=15,AH161,IF(Z141=16,AH162,IF(Z141=17,AH163,IF(Z141=18,AH164,IF(Z141=19,AH165,IF(Z141=20,AH166,IF(Z141=21,AH167,IF(Z141=22,AH168,IF(Z141=23,AH169,IF(Z141=24,AH170,IF(Z141=25,AH171,IF(Z141=26,AH172,IF(Z141=27,AH173,IF(Z141=28,AH174,IF(Z141=29,AH175,IF(Z141=30,AH176))))))))))))))))))))))))))))))))</f>
        <v>0</v>
      </c>
    </row>
    <row r="142" spans="1:35" x14ac:dyDescent="0.35">
      <c r="A142" s="48">
        <v>1443</v>
      </c>
      <c r="B142" s="58">
        <f>SUMIF([2]!Table2_23[ETA],'FIS Optimal Model (3)'!A142,[2]!Table2_23[FIS PAX])</f>
        <v>0</v>
      </c>
      <c r="C142" s="44">
        <f>IF((D141-D142)&gt;-1,(D141-D142),18)</f>
        <v>18</v>
      </c>
      <c r="D142" s="52">
        <f>MAX(D141-$E$31+B141,0)</f>
        <v>205</v>
      </c>
      <c r="E142" s="26">
        <f>$C$30*C142</f>
        <v>9.9503999999999984</v>
      </c>
      <c r="F142" s="26">
        <f>$C$31*C142</f>
        <v>4.2713999999999999</v>
      </c>
      <c r="G142" s="26">
        <f>$C$32*C142</f>
        <v>2.9447999999999999</v>
      </c>
      <c r="H142" s="26">
        <f>$C$33*C142</f>
        <v>0.83340000000000003</v>
      </c>
      <c r="I142" s="27">
        <f>E137</f>
        <v>9.9503999999999984</v>
      </c>
      <c r="J142" s="27">
        <f>F137</f>
        <v>4.2713999999999999</v>
      </c>
      <c r="K142" s="27">
        <f>G137</f>
        <v>2.9447999999999999</v>
      </c>
      <c r="L142" s="27">
        <f>H137</f>
        <v>0.83340000000000003</v>
      </c>
      <c r="M142" s="28">
        <f>$M$130</f>
        <v>0</v>
      </c>
      <c r="N142" s="29">
        <f>$N$130</f>
        <v>16</v>
      </c>
      <c r="O142" s="28">
        <f>$O$130</f>
        <v>0</v>
      </c>
      <c r="P142" s="28">
        <f>$P$130</f>
        <v>0</v>
      </c>
      <c r="Q142" s="28">
        <f>SUM(M142:P142)</f>
        <v>16</v>
      </c>
      <c r="R142" s="22">
        <f>MAX(R141-($J$30*M142*$L$33)+I142,0)</f>
        <v>9.9503999999999984</v>
      </c>
      <c r="S142" s="22">
        <f>IF(U142&lt;&gt;0,(MAX(S141-($J$31*N142*$L$33)+J142,0)),(MAX(S141-($J$31*(N142+P142)*$L$33)+J142,0)))</f>
        <v>0</v>
      </c>
      <c r="T142" s="22">
        <f>MAX(T141-($J$32*O142*$L$33)+K142,0)</f>
        <v>2.9447999999999999</v>
      </c>
      <c r="U142" s="22">
        <f>MAX(U141-($J$33*P142*$L$33)+L142,0)</f>
        <v>0.83340000000000003</v>
      </c>
      <c r="V142" s="21">
        <f>IFERROR(R142*($I$30/M142),0)</f>
        <v>0</v>
      </c>
      <c r="W142" s="21">
        <f>IFERROR(S142*($I$31/N142),0)</f>
        <v>0</v>
      </c>
      <c r="X142" s="21">
        <f>IFERROR(T142*($I$32/O142),0)</f>
        <v>0</v>
      </c>
      <c r="Y142" s="21">
        <f>IFERROR(U142*($I$33/P142),0)</f>
        <v>0</v>
      </c>
      <c r="Z142" s="221">
        <f>ROUNDUP(SUM(V142*$C$30,W142*$C$31,X142*$C$32,Y142*$C$33),0)</f>
        <v>0</v>
      </c>
      <c r="AA142" s="30">
        <f>IF(R142&lt;&gt;0,($J$30*M142*$L$33),0)</f>
        <v>0</v>
      </c>
      <c r="AB142" s="30">
        <f>IF(W142&lt;&gt;0,($J$31*N142*$L$33),0)</f>
        <v>0</v>
      </c>
      <c r="AC142" s="30">
        <f>IF(X142&lt;&gt;0,($J$32*O142*$L$33),0)</f>
        <v>0</v>
      </c>
      <c r="AD142" s="30">
        <f>IF(Y142&lt;&gt;0,($J$33*P142*$L$33),0)</f>
        <v>0</v>
      </c>
      <c r="AE142" s="32">
        <f>SUM(AA142:AD142)</f>
        <v>0</v>
      </c>
      <c r="AF142" s="33">
        <f>AE138</f>
        <v>0</v>
      </c>
      <c r="AG142" s="40">
        <f>MAX(AG141-$Q$33+AF142,0)</f>
        <v>0</v>
      </c>
      <c r="AH142" s="224">
        <f>AG142*$P$33</f>
        <v>0</v>
      </c>
      <c r="AI142" s="227">
        <f>SUM(Z142,IF(Z142&lt;&gt;0,$F$31,0),IF(Z142&lt;&gt;0,$N$33,0),IF(Z142&lt;&gt;0,$T$33,0),IF(Z142=0,AH147,IF(Z142=1,AH148,IF(Z142=2,AH149,IF(Z142=3,AH150,IF(Z142=4,AH151,IF(Z142=5,AH152,IF(Z142=6,AH153,IF(Z142=7,AH154,IF(Z142=8,AH155,IF(Z142=9,AH156,IF(Z142=10,AH157,IF(Z142=11,AH158,IF(Z142=12,AH159,IF(Z142=13,AH160,IF(Z142=14,AH161,IF(Z142=15,AH162,IF(Z142=16,AH163,IF(Z142=17,AH164,IF(Z142=18,AH165,IF(Z142=19,AH166,IF(Z142=20,AH167,IF(Z142=21,AH168,IF(Z142=22,AH169,IF(Z142=23,AH170,IF(Z142=24,AH171,IF(Z142=25,AH172,IF(Z142=26,AH173,IF(Z142=27,AH174,IF(Z142=28,AH175,IF(Z142=29,AH176,IF(Z142=30,AH177))))))))))))))))))))))))))))))))</f>
        <v>0</v>
      </c>
    </row>
    <row r="143" spans="1:35" x14ac:dyDescent="0.35">
      <c r="A143" s="48">
        <v>1444</v>
      </c>
      <c r="B143" s="58">
        <f>SUMIF([2]!Table2_23[ETA],'FIS Optimal Model (3)'!A143,[2]!Table2_23[FIS PAX])</f>
        <v>140</v>
      </c>
      <c r="C143" s="44">
        <f>IF((D142-D143)&gt;-1,(D142-D143),18)</f>
        <v>18</v>
      </c>
      <c r="D143" s="52">
        <f>MAX(D142-$E$31+B142,0)</f>
        <v>187</v>
      </c>
      <c r="E143" s="26">
        <f>$C$30*C143</f>
        <v>9.9503999999999984</v>
      </c>
      <c r="F143" s="26">
        <f>$C$31*C143</f>
        <v>4.2713999999999999</v>
      </c>
      <c r="G143" s="26">
        <f>$C$32*C143</f>
        <v>2.9447999999999999</v>
      </c>
      <c r="H143" s="26">
        <f>$C$33*C143</f>
        <v>0.83340000000000003</v>
      </c>
      <c r="I143" s="27">
        <f>E138</f>
        <v>9.9503999999999984</v>
      </c>
      <c r="J143" s="27">
        <f>F138</f>
        <v>4.2713999999999999</v>
      </c>
      <c r="K143" s="27">
        <f>G138</f>
        <v>2.9447999999999999</v>
      </c>
      <c r="L143" s="27">
        <f>H138</f>
        <v>0.83340000000000003</v>
      </c>
      <c r="M143" s="28">
        <f>$M$130</f>
        <v>0</v>
      </c>
      <c r="N143" s="29">
        <f>$N$130</f>
        <v>16</v>
      </c>
      <c r="O143" s="28">
        <f>$O$130</f>
        <v>0</v>
      </c>
      <c r="P143" s="28">
        <f>$P$130</f>
        <v>0</v>
      </c>
      <c r="Q143" s="28">
        <f>SUM(M143:P143)</f>
        <v>16</v>
      </c>
      <c r="R143" s="22">
        <f>MAX(R142-($J$30*M143*$L$33)+I143,0)</f>
        <v>19.900799999999997</v>
      </c>
      <c r="S143" s="22">
        <f>IF(U143&lt;&gt;0,(MAX(S142-($J$31*N143*$L$33)+J143,0)),(MAX(S142-($J$31*(N143+P143)*$L$33)+J143,0)))</f>
        <v>0</v>
      </c>
      <c r="T143" s="22">
        <f>MAX(T142-($J$32*O143*$L$33)+K143,0)</f>
        <v>5.8895999999999997</v>
      </c>
      <c r="U143" s="22">
        <f>MAX(U142-($J$33*P143*$L$33)+L143,0)</f>
        <v>1.6668000000000001</v>
      </c>
      <c r="V143" s="21">
        <f>IFERROR(R143*($I$30/M143),0)</f>
        <v>0</v>
      </c>
      <c r="W143" s="21">
        <f>IFERROR(S143*($I$31/N143),0)</f>
        <v>0</v>
      </c>
      <c r="X143" s="21">
        <f>IFERROR(T143*($I$32/O143),0)</f>
        <v>0</v>
      </c>
      <c r="Y143" s="21">
        <f>IFERROR(U143*($I$33/P143),0)</f>
        <v>0</v>
      </c>
      <c r="Z143" s="221">
        <f>ROUNDUP(SUM(V143*$C$30,W143*$C$31,X143*$C$32,Y143*$C$33),0)</f>
        <v>0</v>
      </c>
      <c r="AA143" s="30">
        <f>IF(R143&lt;&gt;0,($J$30*M143*$L$33),0)</f>
        <v>0</v>
      </c>
      <c r="AB143" s="30">
        <f>IF(W143&lt;&gt;0,($J$31*N143*$L$33),0)</f>
        <v>0</v>
      </c>
      <c r="AC143" s="30">
        <f>IF(X143&lt;&gt;0,($J$32*O143*$L$33),0)</f>
        <v>0</v>
      </c>
      <c r="AD143" s="30">
        <f>IF(Y143&lt;&gt;0,($J$33*P143*$L$33),0)</f>
        <v>0</v>
      </c>
      <c r="AE143" s="32">
        <f>SUM(AA143:AD143)</f>
        <v>0</v>
      </c>
      <c r="AF143" s="33">
        <f>AE139</f>
        <v>0</v>
      </c>
      <c r="AG143" s="40">
        <f>MAX(AG142-$Q$33+AF143,0)</f>
        <v>0</v>
      </c>
      <c r="AH143" s="224">
        <f>AG143*$P$33</f>
        <v>0</v>
      </c>
      <c r="AI143" s="227">
        <f>SUM(Z143,IF(Z143&lt;&gt;0,$F$31,0),IF(Z143&lt;&gt;0,$N$33,0),IF(Z143&lt;&gt;0,$T$33,0),IF(Z143=0,AH148,IF(Z143=1,AH149,IF(Z143=2,AH150,IF(Z143=3,AH151,IF(Z143=4,AH152,IF(Z143=5,AH153,IF(Z143=6,AH154,IF(Z143=7,AH155,IF(Z143=8,AH156,IF(Z143=9,AH157,IF(Z143=10,AH158,IF(Z143=11,AH159,IF(Z143=12,AH160,IF(Z143=13,AH161,IF(Z143=14,AH162,IF(Z143=15,AH163,IF(Z143=16,AH164,IF(Z143=17,AH165,IF(Z143=18,AH166,IF(Z143=19,AH167,IF(Z143=20,AH168,IF(Z143=21,AH169,IF(Z143=22,AH170,IF(Z143=23,AH171,IF(Z143=24,AH172,IF(Z143=25,AH173,IF(Z143=26,AH174,IF(Z143=27,AH175,IF(Z143=28,AH176,IF(Z143=29,AH177,IF(Z143=30,AH178))))))))))))))))))))))))))))))))</f>
        <v>0</v>
      </c>
    </row>
    <row r="144" spans="1:35" x14ac:dyDescent="0.35">
      <c r="A144" s="48">
        <v>1445</v>
      </c>
      <c r="B144" s="58">
        <f>SUMIF([2]!Table2_23[ETA],'FIS Optimal Model (3)'!A144,[2]!Table2_23[FIS PAX])</f>
        <v>0</v>
      </c>
      <c r="C144" s="44">
        <f>IF((D143-D144)&gt;-1,(D143-D144),18)</f>
        <v>18</v>
      </c>
      <c r="D144" s="52">
        <f>MAX(D143-$E$31+B143,0)</f>
        <v>309</v>
      </c>
      <c r="E144" s="26">
        <f>$C$30*C144</f>
        <v>9.9503999999999984</v>
      </c>
      <c r="F144" s="26">
        <f>$C$31*C144</f>
        <v>4.2713999999999999</v>
      </c>
      <c r="G144" s="26">
        <f>$C$32*C144</f>
        <v>2.9447999999999999</v>
      </c>
      <c r="H144" s="26">
        <f>$C$33*C144</f>
        <v>0.83340000000000003</v>
      </c>
      <c r="I144" s="27">
        <f>E139</f>
        <v>9.9503999999999984</v>
      </c>
      <c r="J144" s="27">
        <f>F139</f>
        <v>4.2713999999999999</v>
      </c>
      <c r="K144" s="27">
        <f>G139</f>
        <v>2.9447999999999999</v>
      </c>
      <c r="L144" s="27">
        <f>H139</f>
        <v>0.83340000000000003</v>
      </c>
      <c r="M144" s="28">
        <f>$M$130</f>
        <v>0</v>
      </c>
      <c r="N144" s="29">
        <f>$N$130</f>
        <v>16</v>
      </c>
      <c r="O144" s="28">
        <f>$O$130</f>
        <v>0</v>
      </c>
      <c r="P144" s="28">
        <f>$P$130</f>
        <v>0</v>
      </c>
      <c r="Q144" s="28">
        <f>SUM(M144:P144)</f>
        <v>16</v>
      </c>
      <c r="R144" s="22">
        <f>MAX(R143-($J$30*M144*$L$33)+I144,0)</f>
        <v>29.851199999999995</v>
      </c>
      <c r="S144" s="22">
        <f>IF(U144&lt;&gt;0,(MAX(S143-($J$31*N144*$L$33)+J144,0)),(MAX(S143-($J$31*(N144+P144)*$L$33)+J144,0)))</f>
        <v>0</v>
      </c>
      <c r="T144" s="22">
        <f>MAX(T143-($J$32*O144*$L$33)+K144,0)</f>
        <v>8.8343999999999987</v>
      </c>
      <c r="U144" s="22">
        <f>MAX(U143-($J$33*P144*$L$33)+L144,0)</f>
        <v>2.5002</v>
      </c>
      <c r="V144" s="21">
        <f>IFERROR(R144*($I$30/M144),0)</f>
        <v>0</v>
      </c>
      <c r="W144" s="21">
        <f>IFERROR(S144*($I$31/N144),0)</f>
        <v>0</v>
      </c>
      <c r="X144" s="21">
        <f>IFERROR(T144*($I$32/O144),0)</f>
        <v>0</v>
      </c>
      <c r="Y144" s="21">
        <f>IFERROR(U144*($I$33/P144),0)</f>
        <v>0</v>
      </c>
      <c r="Z144" s="221">
        <f>ROUNDUP(SUM(V144*$C$30,W144*$C$31,X144*$C$32,Y144*$C$33),0)</f>
        <v>0</v>
      </c>
      <c r="AA144" s="30">
        <f>IF(R144&lt;&gt;0,($J$30*M144*$L$33),0)</f>
        <v>0</v>
      </c>
      <c r="AB144" s="30">
        <f>IF(W144&lt;&gt;0,($J$31*N144*$L$33),0)</f>
        <v>0</v>
      </c>
      <c r="AC144" s="30">
        <f>IF(X144&lt;&gt;0,($J$32*O144*$L$33),0)</f>
        <v>0</v>
      </c>
      <c r="AD144" s="30">
        <f>IF(Y144&lt;&gt;0,($J$33*P144*$L$33),0)</f>
        <v>0</v>
      </c>
      <c r="AE144" s="32">
        <f>SUM(AA144:AD144)</f>
        <v>0</v>
      </c>
      <c r="AF144" s="33">
        <f>AE140</f>
        <v>0</v>
      </c>
      <c r="AG144" s="40">
        <f>MAX(AG143-$Q$33+AF144,0)</f>
        <v>0</v>
      </c>
      <c r="AH144" s="224">
        <f>AG144*$P$33</f>
        <v>0</v>
      </c>
      <c r="AI144" s="227">
        <f>SUM(Z144,IF(Z144&lt;&gt;0,$F$31,0),IF(Z144&lt;&gt;0,$N$33,0),IF(Z144&lt;&gt;0,$T$33,0),IF(Z144=0,AH149,IF(Z144=1,AH150,IF(Z144=2,AH151,IF(Z144=3,AH152,IF(Z144=4,AH153,IF(Z144=5,AH154,IF(Z144=6,AH155,IF(Z144=7,AH156,IF(Z144=8,AH157,IF(Z144=9,AH158,IF(Z144=10,AH159,IF(Z144=11,AH160,IF(Z144=12,AH161,IF(Z144=13,AH162,IF(Z144=14,AH163,IF(Z144=15,AH164,IF(Z144=16,AH165,IF(Z144=17,AH166,IF(Z144=18,AH167,IF(Z144=19,AH168,IF(Z144=20,AH169,IF(Z144=21,AH170,IF(Z144=22,AH171,IF(Z144=23,AH172,IF(Z144=24,AH173,IF(Z144=25,AH174,IF(Z144=26,AH175,IF(Z144=27,AH176,IF(Z144=28,AH177,IF(Z144=29,AH178,IF(Z144=30,AH179))))))))))))))))))))))))))))))))</f>
        <v>0.72462564677526209</v>
      </c>
    </row>
    <row r="145" spans="1:35" x14ac:dyDescent="0.35">
      <c r="A145" s="48">
        <v>1446</v>
      </c>
      <c r="B145" s="58">
        <f>SUMIF([2]!Table2_23[ETA],'FIS Optimal Model (3)'!A145,[2]!Table2_23[FIS PAX])</f>
        <v>0</v>
      </c>
      <c r="C145" s="44">
        <f>IF((D144-D145)&gt;-1,(D144-D145),18)</f>
        <v>18</v>
      </c>
      <c r="D145" s="52">
        <f>MAX(D144-$E$31+B144,0)</f>
        <v>291</v>
      </c>
      <c r="E145" s="26">
        <f>$C$30*C145</f>
        <v>9.9503999999999984</v>
      </c>
      <c r="F145" s="26">
        <f>$C$31*C145</f>
        <v>4.2713999999999999</v>
      </c>
      <c r="G145" s="26">
        <f>$C$32*C145</f>
        <v>2.9447999999999999</v>
      </c>
      <c r="H145" s="26">
        <f>$C$33*C145</f>
        <v>0.83340000000000003</v>
      </c>
      <c r="I145" s="27">
        <f>E140</f>
        <v>9.9503999999999984</v>
      </c>
      <c r="J145" s="27">
        <f>F140</f>
        <v>4.2713999999999999</v>
      </c>
      <c r="K145" s="27">
        <f>G140</f>
        <v>2.9447999999999999</v>
      </c>
      <c r="L145" s="27">
        <f>H140</f>
        <v>0.83340000000000003</v>
      </c>
      <c r="M145" s="28">
        <f>IF(R144=0,0,$Q$13)</f>
        <v>6</v>
      </c>
      <c r="N145" s="29">
        <f>$U$13-M145-O145-P145</f>
        <v>6</v>
      </c>
      <c r="O145" s="28">
        <f>IF(T144=0,0,$S$13)</f>
        <v>2</v>
      </c>
      <c r="P145" s="28">
        <f>IF(U144=0,0,$T$13)</f>
        <v>2</v>
      </c>
      <c r="Q145" s="28">
        <f>SUM(M145:P145)</f>
        <v>16</v>
      </c>
      <c r="R145" s="22">
        <f>MAX(R144-($J$30*M145*$L$33)+I145,0)</f>
        <v>27.173461536175896</v>
      </c>
      <c r="S145" s="22">
        <f>IF(U145&lt;&gt;0,(MAX(S144-($J$31*N145*$L$33)+J145,0)),(MAX(S144-($J$31*(N145+P145)*$L$33)+J145,0)))</f>
        <v>0.30697257409106715</v>
      </c>
      <c r="T145" s="22">
        <f>MAX(T144-($J$32*O145*$L$33)+K145,0)</f>
        <v>6.817246508098199</v>
      </c>
      <c r="U145" s="22">
        <f>MAX(U144-($J$33*P145*$L$33)+L145,0)</f>
        <v>0</v>
      </c>
      <c r="V145" s="21">
        <f>IFERROR(R145*($I$30/M145),0)</f>
        <v>1.8290456959999994</v>
      </c>
      <c r="W145" s="21">
        <f>IFERROR(S145*($I$31/N145),0)</f>
        <v>8.7755989266666556E-2</v>
      </c>
      <c r="X145" s="21">
        <f>IFERROR(T145*($I$32/O145),0)</f>
        <v>1.1678181871999997</v>
      </c>
      <c r="Y145" s="21">
        <f>IFERROR(U145*($I$33/P145),0)</f>
        <v>0</v>
      </c>
      <c r="Z145" s="221">
        <f>ROUNDUP(SUM(V145*$C$30,W145*$C$31,X145*$C$32,Y145*$C$33),0)</f>
        <v>2</v>
      </c>
      <c r="AA145" s="30">
        <f>IF(R145&lt;&gt;0,($J$30*M145*$L$33),0)</f>
        <v>12.628138463824097</v>
      </c>
      <c r="AB145" s="30">
        <f>IF(W145&lt;&gt;0,($J$31*N145*$L$33),0)</f>
        <v>2.9733205694316993</v>
      </c>
      <c r="AC145" s="30">
        <f>IF(X145&lt;&gt;0,($J$32*O145*$L$33),0)</f>
        <v>4.9619534919017996</v>
      </c>
      <c r="AD145" s="30">
        <f>IF(Y145&lt;&gt;0,($J$33*P145*$L$33),0)</f>
        <v>0</v>
      </c>
      <c r="AE145" s="32">
        <f>SUM(AA145:AD145)</f>
        <v>20.563412525157595</v>
      </c>
      <c r="AF145" s="33">
        <f>AE141</f>
        <v>0</v>
      </c>
      <c r="AG145" s="40">
        <f>MAX(AG144-$Q$33+AF145,0)</f>
        <v>0</v>
      </c>
      <c r="AH145" s="224">
        <f>AG145*$P$33</f>
        <v>0</v>
      </c>
      <c r="AI145" s="227">
        <f>SUM(Z145,IF(Z145&lt;&gt;0,$F$31,0),IF(Z145&lt;&gt;0,$N$33,0),IF(Z145&lt;&gt;0,$T$33,0),IF(Z145=0,AH150,IF(Z145=1,AH151,IF(Z145=2,AH152,IF(Z145=3,AH153,IF(Z145=4,AH154,IF(Z145=5,AH155,IF(Z145=6,AH156,IF(Z145=7,AH157,IF(Z145=8,AH158,IF(Z145=9,AH159,IF(Z145=10,AH160,IF(Z145=11,AH161,IF(Z145=12,AH162,IF(Z145=13,AH163,IF(Z145=14,AH164,IF(Z145=15,AH165,IF(Z145=16,AH166,IF(Z145=17,AH167,IF(Z145=18,AH168,IF(Z145=19,AH169,IF(Z145=20,AH170,IF(Z145=21,AH171,IF(Z145=22,AH172,IF(Z145=23,AH173,IF(Z145=24,AH174,IF(Z145=25,AH175,IF(Z145=26,AH176,IF(Z145=27,AH177,IF(Z145=28,AH178,IF(Z145=29,AH179,IF(Z145=30,AH180))))))))))))))))))))))))))))))))</f>
        <v>25.898502587101049</v>
      </c>
    </row>
    <row r="146" spans="1:35" x14ac:dyDescent="0.35">
      <c r="A146" s="48">
        <v>1447</v>
      </c>
      <c r="B146" s="58">
        <f>SUMIF([2]!Table2_23[ETA],'FIS Optimal Model (3)'!A146,[2]!Table2_23[FIS PAX])</f>
        <v>0</v>
      </c>
      <c r="C146" s="44">
        <f>IF((D145-D146)&gt;-1,(D145-D146),18)</f>
        <v>18</v>
      </c>
      <c r="D146" s="52">
        <f>MAX(D145-$E$31+B145,0)</f>
        <v>273</v>
      </c>
      <c r="E146" s="26">
        <f>$C$30*C146</f>
        <v>9.9503999999999984</v>
      </c>
      <c r="F146" s="26">
        <f>$C$31*C146</f>
        <v>4.2713999999999999</v>
      </c>
      <c r="G146" s="26">
        <f>$C$32*C146</f>
        <v>2.9447999999999999</v>
      </c>
      <c r="H146" s="26">
        <f>$C$33*C146</f>
        <v>0.83340000000000003</v>
      </c>
      <c r="I146" s="27">
        <f>E141</f>
        <v>9.9503999999999984</v>
      </c>
      <c r="J146" s="27">
        <f>F141</f>
        <v>4.2713999999999999</v>
      </c>
      <c r="K146" s="27">
        <f>G141</f>
        <v>2.9447999999999999</v>
      </c>
      <c r="L146" s="27">
        <f>H141</f>
        <v>0.83340000000000003</v>
      </c>
      <c r="M146" s="28">
        <f>$M$145</f>
        <v>6</v>
      </c>
      <c r="N146" s="29">
        <f>$N$145</f>
        <v>6</v>
      </c>
      <c r="O146" s="28">
        <f>$O$145</f>
        <v>2</v>
      </c>
      <c r="P146" s="28">
        <f>$P$145</f>
        <v>2</v>
      </c>
      <c r="Q146" s="28">
        <f>SUM(M146:P146)</f>
        <v>16</v>
      </c>
      <c r="R146" s="22">
        <f>MAX(R145-($J$30*M146*$L$33)+I146,0)</f>
        <v>24.495723072351797</v>
      </c>
      <c r="S146" s="22">
        <f>IF(U146&lt;&gt;0,(MAX(S145-($J$31*N146*$L$33)+J146,0)),(MAX(S145-($J$31*(N146+P146)*$L$33)+J146,0)))</f>
        <v>0.6139451481821343</v>
      </c>
      <c r="T146" s="22">
        <f>MAX(T145-($J$32*O146*$L$33)+K146,0)</f>
        <v>4.8000930161963993</v>
      </c>
      <c r="U146" s="22">
        <f>MAX(U145-($J$33*P146*$L$33)+L146,0)</f>
        <v>0</v>
      </c>
      <c r="V146" s="21">
        <f>IFERROR(R146*($I$30/M146),0)</f>
        <v>1.6488071199999994</v>
      </c>
      <c r="W146" s="21">
        <f>IFERROR(S146*($I$31/N146),0)</f>
        <v>0.17551197853333311</v>
      </c>
      <c r="X146" s="21">
        <f>IFERROR(T146*($I$32/O146),0)</f>
        <v>0.82227273399999989</v>
      </c>
      <c r="Y146" s="21">
        <f>IFERROR(U146*($I$33/P146),0)</f>
        <v>0</v>
      </c>
      <c r="Z146" s="221">
        <f>ROUNDUP(SUM(V146*$C$30,W146*$C$31,X146*$C$32,Y146*$C$33),0)</f>
        <v>2</v>
      </c>
      <c r="AA146" s="30">
        <f>IF(R146&lt;&gt;0,($J$30*M146*$L$33),0)</f>
        <v>12.628138463824097</v>
      </c>
      <c r="AB146" s="30">
        <f>IF(W146&lt;&gt;0,($J$31*N146*$L$33),0)</f>
        <v>2.9733205694316993</v>
      </c>
      <c r="AC146" s="30">
        <f>IF(X146&lt;&gt;0,($J$32*O146*$L$33),0)</f>
        <v>4.9619534919017996</v>
      </c>
      <c r="AD146" s="30">
        <f>IF(Y146&lt;&gt;0,($J$33*P146*$L$33),0)</f>
        <v>0</v>
      </c>
      <c r="AE146" s="32">
        <f>SUM(AA146:AD146)</f>
        <v>20.563412525157595</v>
      </c>
      <c r="AF146" s="33">
        <f>AE142</f>
        <v>0</v>
      </c>
      <c r="AG146" s="40">
        <f>MAX(AG145-$Q$33+AF146,0)</f>
        <v>0</v>
      </c>
      <c r="AH146" s="224">
        <f>AG146*$P$33</f>
        <v>0</v>
      </c>
      <c r="AI146" s="227">
        <f>SUM(Z146,IF(Z146&lt;&gt;0,$F$31,0),IF(Z146&lt;&gt;0,$N$33,0),IF(Z146&lt;&gt;0,$T$33,0),IF(Z146=0,AH151,IF(Z146=1,AH152,IF(Z146=2,AH153,IF(Z146=3,AH154,IF(Z146=4,AH155,IF(Z146=5,AH156,IF(Z146=6,AH157,IF(Z146=7,AH158,IF(Z146=8,AH159,IF(Z146=9,AH160,IF(Z146=10,AH161,IF(Z146=11,AH162,IF(Z146=12,AH163,IF(Z146=13,AH164,IF(Z146=14,AH165,IF(Z146=15,AH166,IF(Z146=16,AH167,IF(Z146=17,AH168,IF(Z146=18,AH169,IF(Z146=19,AH170,IF(Z146=20,AH171,IF(Z146=21,AH172,IF(Z146=22,AH173,IF(Z146=23,AH174,IF(Z146=24,AH175,IF(Z146=25,AH176,IF(Z146=26,AH177,IF(Z146=27,AH178,IF(Z146=28,AH179,IF(Z146=29,AH180,IF(Z146=30,AH181))))))))))))))))))))))))))))))))</f>
        <v>26.206975893413826</v>
      </c>
    </row>
    <row r="147" spans="1:35" x14ac:dyDescent="0.35">
      <c r="A147" s="48">
        <v>1448</v>
      </c>
      <c r="B147" s="58">
        <f>SUMIF([2]!Table2_23[ETA],'FIS Optimal Model (3)'!A147,[2]!Table2_23[FIS PAX])</f>
        <v>0</v>
      </c>
      <c r="C147" s="44">
        <f>IF((D146-D147)&gt;-1,(D146-D147),18)</f>
        <v>18</v>
      </c>
      <c r="D147" s="52">
        <f>MAX(D146-$E$31+B146,0)</f>
        <v>255</v>
      </c>
      <c r="E147" s="26">
        <f>$C$30*C147</f>
        <v>9.9503999999999984</v>
      </c>
      <c r="F147" s="26">
        <f>$C$31*C147</f>
        <v>4.2713999999999999</v>
      </c>
      <c r="G147" s="26">
        <f>$C$32*C147</f>
        <v>2.9447999999999999</v>
      </c>
      <c r="H147" s="26">
        <f>$C$33*C147</f>
        <v>0.83340000000000003</v>
      </c>
      <c r="I147" s="27">
        <f>E142</f>
        <v>9.9503999999999984</v>
      </c>
      <c r="J147" s="27">
        <f>F142</f>
        <v>4.2713999999999999</v>
      </c>
      <c r="K147" s="27">
        <f>G142</f>
        <v>2.9447999999999999</v>
      </c>
      <c r="L147" s="27">
        <f>H142</f>
        <v>0.83340000000000003</v>
      </c>
      <c r="M147" s="28">
        <f>$M$145</f>
        <v>6</v>
      </c>
      <c r="N147" s="29">
        <f>$N$145</f>
        <v>6</v>
      </c>
      <c r="O147" s="28">
        <f>$O$145</f>
        <v>2</v>
      </c>
      <c r="P147" s="28">
        <f>$P$145</f>
        <v>2</v>
      </c>
      <c r="Q147" s="28">
        <f>SUM(M147:P147)</f>
        <v>16</v>
      </c>
      <c r="R147" s="22">
        <f>MAX(R146-($J$30*M147*$L$33)+I147,0)</f>
        <v>21.817984608527698</v>
      </c>
      <c r="S147" s="22">
        <f>IF(U147&lt;&gt;0,(MAX(S146-($J$31*N147*$L$33)+J147,0)),(MAX(S146-($J$31*(N147+P147)*$L$33)+J147,0)))</f>
        <v>0.92091772227320146</v>
      </c>
      <c r="T147" s="22">
        <f>MAX(T146-($J$32*O147*$L$33)+K147,0)</f>
        <v>2.7829395242945996</v>
      </c>
      <c r="U147" s="22">
        <f>MAX(U146-($J$33*P147*$L$33)+L147,0)</f>
        <v>0</v>
      </c>
      <c r="V147" s="21">
        <f>IFERROR(R147*($I$30/M147),0)</f>
        <v>1.4685685439999994</v>
      </c>
      <c r="W147" s="21">
        <f>IFERROR(S147*($I$31/N147),0)</f>
        <v>0.26326796779999967</v>
      </c>
      <c r="X147" s="21">
        <f>IFERROR(T147*($I$32/O147),0)</f>
        <v>0.47672728079999993</v>
      </c>
      <c r="Y147" s="21">
        <f>IFERROR(U147*($I$33/P147),0)</f>
        <v>0</v>
      </c>
      <c r="Z147" s="221">
        <f>ROUNDUP(SUM(V147*$C$30,W147*$C$31,X147*$C$32,Y147*$C$33),0)</f>
        <v>1</v>
      </c>
      <c r="AA147" s="30">
        <f>IF(R147&lt;&gt;0,($J$30*M147*$L$33),0)</f>
        <v>12.628138463824097</v>
      </c>
      <c r="AB147" s="30">
        <f>IF(W147&lt;&gt;0,($J$31*N147*$L$33),0)</f>
        <v>2.9733205694316993</v>
      </c>
      <c r="AC147" s="30">
        <f>IF(X147&lt;&gt;0,($J$32*O147*$L$33),0)</f>
        <v>4.9619534919017996</v>
      </c>
      <c r="AD147" s="30">
        <f>IF(Y147&lt;&gt;0,($J$33*P147*$L$33),0)</f>
        <v>0</v>
      </c>
      <c r="AE147" s="32">
        <f>SUM(AA147:AD147)</f>
        <v>20.563412525157595</v>
      </c>
      <c r="AF147" s="33">
        <f>AE143</f>
        <v>0</v>
      </c>
      <c r="AG147" s="40">
        <f>MAX(AG146-$Q$33+AF147,0)</f>
        <v>0</v>
      </c>
      <c r="AH147" s="224">
        <f>AG147*$P$33</f>
        <v>0</v>
      </c>
      <c r="AI147" s="227">
        <f>SUM(Z147,IF(Z147&lt;&gt;0,$F$31,0),IF(Z147&lt;&gt;0,$N$33,0),IF(Z147&lt;&gt;0,$T$33,0),IF(Z147=0,AH152,IF(Z147=1,AH153,IF(Z147=2,AH154,IF(Z147=3,AH155,IF(Z147=4,AH156,IF(Z147=5,AH157,IF(Z147=6,AH158,IF(Z147=7,AH159,IF(Z147=8,AH160,IF(Z147=9,AH161,IF(Z147=10,AH162,IF(Z147=11,AH163,IF(Z147=12,AH164,IF(Z147=13,AH165,IF(Z147=14,AH166,IF(Z147=15,AH167,IF(Z147=16,AH168,IF(Z147=17,AH169,IF(Z147=18,AH170,IF(Z147=19,AH171,IF(Z147=20,AH172,IF(Z147=21,AH173,IF(Z147=22,AH174,IF(Z147=23,AH175,IF(Z147=24,AH176,IF(Z147=25,AH177,IF(Z147=26,AH178,IF(Z147=27,AH179,IF(Z147=28,AH180,IF(Z147=29,AH181,IF(Z147=30,AH182))))))))))))))))))))))))))))))))</f>
        <v>25.206975893413826</v>
      </c>
    </row>
    <row r="148" spans="1:35" x14ac:dyDescent="0.35">
      <c r="A148" s="48">
        <v>1449</v>
      </c>
      <c r="B148" s="58">
        <f>SUMIF([2]!Table2_23[ETA],'FIS Optimal Model (3)'!A148,[2]!Table2_23[FIS PAX])</f>
        <v>0</v>
      </c>
      <c r="C148" s="44">
        <f>IF((D147-D148)&gt;-1,(D147-D148),18)</f>
        <v>18</v>
      </c>
      <c r="D148" s="52">
        <f>MAX(D147-$E$31+B147,0)</f>
        <v>237</v>
      </c>
      <c r="E148" s="26">
        <f>$C$30*C148</f>
        <v>9.9503999999999984</v>
      </c>
      <c r="F148" s="26">
        <f>$C$31*C148</f>
        <v>4.2713999999999999</v>
      </c>
      <c r="G148" s="26">
        <f>$C$32*C148</f>
        <v>2.9447999999999999</v>
      </c>
      <c r="H148" s="26">
        <f>$C$33*C148</f>
        <v>0.83340000000000003</v>
      </c>
      <c r="I148" s="27">
        <f>E143</f>
        <v>9.9503999999999984</v>
      </c>
      <c r="J148" s="27">
        <f>F143</f>
        <v>4.2713999999999999</v>
      </c>
      <c r="K148" s="27">
        <f>G143</f>
        <v>2.9447999999999999</v>
      </c>
      <c r="L148" s="27">
        <f>H143</f>
        <v>0.83340000000000003</v>
      </c>
      <c r="M148" s="28">
        <f>$M$145</f>
        <v>6</v>
      </c>
      <c r="N148" s="29">
        <f>$N$145</f>
        <v>6</v>
      </c>
      <c r="O148" s="28">
        <f>$O$145</f>
        <v>2</v>
      </c>
      <c r="P148" s="28">
        <f>$P$145</f>
        <v>2</v>
      </c>
      <c r="Q148" s="28">
        <f>SUM(M148:P148)</f>
        <v>16</v>
      </c>
      <c r="R148" s="22">
        <f>MAX(R147-($J$30*M148*$L$33)+I148,0)</f>
        <v>19.1402461447036</v>
      </c>
      <c r="S148" s="22">
        <f>IF(U148&lt;&gt;0,(MAX(S147-($J$31*N148*$L$33)+J148,0)),(MAX(S147-($J$31*(N148+P148)*$L$33)+J148,0)))</f>
        <v>1.2278902963642686</v>
      </c>
      <c r="T148" s="22">
        <f>MAX(T147-($J$32*O148*$L$33)+K148,0)</f>
        <v>0.76578603239279985</v>
      </c>
      <c r="U148" s="22">
        <f>MAX(U147-($J$33*P148*$L$33)+L148,0)</f>
        <v>0</v>
      </c>
      <c r="V148" s="21">
        <f>IFERROR(R148*($I$30/M148),0)</f>
        <v>1.2883299679999991</v>
      </c>
      <c r="W148" s="21">
        <f>IFERROR(S148*($I$31/N148),0)</f>
        <v>0.35102395706666623</v>
      </c>
      <c r="X148" s="21">
        <f>IFERROR(T148*($I$32/O148),0)</f>
        <v>0.13118182759999999</v>
      </c>
      <c r="Y148" s="21">
        <f>IFERROR(U148*($I$33/P148),0)</f>
        <v>0</v>
      </c>
      <c r="Z148" s="221">
        <f>ROUNDUP(SUM(V148*$C$30,W148*$C$31,X148*$C$32,Y148*$C$33),0)</f>
        <v>1</v>
      </c>
      <c r="AA148" s="30">
        <f>IF(R148&lt;&gt;0,($J$30*M148*$L$33),0)</f>
        <v>12.628138463824097</v>
      </c>
      <c r="AB148" s="30">
        <f>IF(W148&lt;&gt;0,($J$31*N148*$L$33),0)</f>
        <v>2.9733205694316993</v>
      </c>
      <c r="AC148" s="30">
        <f>IF(X148&lt;&gt;0,($J$32*O148*$L$33),0)</f>
        <v>4.9619534919017996</v>
      </c>
      <c r="AD148" s="30">
        <f>IF(Y148&lt;&gt;0,($J$33*P148*$L$33),0)</f>
        <v>0</v>
      </c>
      <c r="AE148" s="32">
        <f>SUM(AA148:AD148)</f>
        <v>20.563412525157595</v>
      </c>
      <c r="AF148" s="33">
        <f>AE144</f>
        <v>0</v>
      </c>
      <c r="AG148" s="40">
        <f>MAX(AG147-$Q$33+AF148,0)</f>
        <v>0</v>
      </c>
      <c r="AH148" s="224">
        <f>AG148*$P$33</f>
        <v>0</v>
      </c>
      <c r="AI148" s="227">
        <f>SUM(Z148,IF(Z148&lt;&gt;0,$F$31,0),IF(Z148&lt;&gt;0,$N$33,0),IF(Z148&lt;&gt;0,$T$33,0),IF(Z148=0,AH153,IF(Z148=1,AH154,IF(Z148=2,AH155,IF(Z148=3,AH156,IF(Z148=4,AH157,IF(Z148=5,AH158,IF(Z148=6,AH159,IF(Z148=7,AH160,IF(Z148=8,AH161,IF(Z148=9,AH162,IF(Z148=10,AH163,IF(Z148=11,AH164,IF(Z148=12,AH165,IF(Z148=13,AH166,IF(Z148=14,AH167,IF(Z148=15,AH168,IF(Z148=16,AH169,IF(Z148=17,AH170,IF(Z148=18,AH171,IF(Z148=19,AH172,IF(Z148=20,AH173,IF(Z148=21,AH174,IF(Z148=22,AH175,IF(Z148=23,AH176,IF(Z148=24,AH177,IF(Z148=25,AH178,IF(Z148=26,AH179,IF(Z148=27,AH180,IF(Z148=28,AH181,IF(Z148=29,AH182,IF(Z148=30,AH183))))))))))))))))))))))))))))))))</f>
        <v>25.515449199726604</v>
      </c>
    </row>
    <row r="149" spans="1:35" x14ac:dyDescent="0.35">
      <c r="A149" s="48">
        <v>1450</v>
      </c>
      <c r="B149" s="58">
        <f>SUMIF([2]!Table2_23[ETA],'FIS Optimal Model (3)'!A149,[2]!Table2_23[FIS PAX])</f>
        <v>0</v>
      </c>
      <c r="C149" s="44">
        <f>IF((D148-D149)&gt;-1,(D148-D149),18)</f>
        <v>18</v>
      </c>
      <c r="D149" s="52">
        <f>MAX(D148-$E$31+B148,0)</f>
        <v>219</v>
      </c>
      <c r="E149" s="26">
        <f>$C$30*C149</f>
        <v>9.9503999999999984</v>
      </c>
      <c r="F149" s="26">
        <f>$C$31*C149</f>
        <v>4.2713999999999999</v>
      </c>
      <c r="G149" s="26">
        <f>$C$32*C149</f>
        <v>2.9447999999999999</v>
      </c>
      <c r="H149" s="26">
        <f>$C$33*C149</f>
        <v>0.83340000000000003</v>
      </c>
      <c r="I149" s="27">
        <f>E144</f>
        <v>9.9503999999999984</v>
      </c>
      <c r="J149" s="27">
        <f>F144</f>
        <v>4.2713999999999999</v>
      </c>
      <c r="K149" s="27">
        <f>G144</f>
        <v>2.9447999999999999</v>
      </c>
      <c r="L149" s="27">
        <f>H144</f>
        <v>0.83340000000000003</v>
      </c>
      <c r="M149" s="28">
        <f>$M$145</f>
        <v>6</v>
      </c>
      <c r="N149" s="29">
        <f>$N$145</f>
        <v>6</v>
      </c>
      <c r="O149" s="28">
        <f>$O$145</f>
        <v>2</v>
      </c>
      <c r="P149" s="28">
        <f>$P$145</f>
        <v>2</v>
      </c>
      <c r="Q149" s="28">
        <f>SUM(M149:P149)</f>
        <v>16</v>
      </c>
      <c r="R149" s="22">
        <f>MAX(R148-($J$30*M149*$L$33)+I149,0)</f>
        <v>16.462507680879501</v>
      </c>
      <c r="S149" s="22">
        <f>IF(U149&lt;&gt;0,(MAX(S148-($J$31*N149*$L$33)+J149,0)),(MAX(S148-($J$31*(N149+P149)*$L$33)+J149,0)))</f>
        <v>1.5348628704553358</v>
      </c>
      <c r="T149" s="22">
        <f>MAX(T148-($J$32*O149*$L$33)+K149,0)</f>
        <v>0</v>
      </c>
      <c r="U149" s="22">
        <f>MAX(U148-($J$33*P149*$L$33)+L149,0)</f>
        <v>0</v>
      </c>
      <c r="V149" s="21">
        <f>IFERROR(R149*($I$30/M149),0)</f>
        <v>1.1080913919999991</v>
      </c>
      <c r="W149" s="21">
        <f>IFERROR(S149*($I$31/N149),0)</f>
        <v>0.43877994633333278</v>
      </c>
      <c r="X149" s="21">
        <f>IFERROR(T149*($I$32/O149),0)</f>
        <v>0</v>
      </c>
      <c r="Y149" s="21">
        <f>IFERROR(U149*($I$33/P149),0)</f>
        <v>0</v>
      </c>
      <c r="Z149" s="221">
        <f>ROUNDUP(SUM(V149*$C$30,W149*$C$31,X149*$C$32,Y149*$C$33),0)</f>
        <v>1</v>
      </c>
      <c r="AA149" s="30">
        <f>IF(R149&lt;&gt;0,($J$30*M149*$L$33),0)</f>
        <v>12.628138463824097</v>
      </c>
      <c r="AB149" s="30">
        <f>IF(W149&lt;&gt;0,($J$31*N149*$L$33),0)</f>
        <v>2.9733205694316993</v>
      </c>
      <c r="AC149" s="30">
        <f>IF(X149&lt;&gt;0,($J$32*O149*$L$33),0)</f>
        <v>0</v>
      </c>
      <c r="AD149" s="30">
        <f>IF(Y149&lt;&gt;0,($J$33*P149*$L$33),0)</f>
        <v>0</v>
      </c>
      <c r="AE149" s="32">
        <f>SUM(AA149:AD149)</f>
        <v>15.601459033255797</v>
      </c>
      <c r="AF149" s="33">
        <f>AE145</f>
        <v>20.563412525157595</v>
      </c>
      <c r="AG149" s="40">
        <f>MAX(AG148-$Q$33+AF149,0)</f>
        <v>8.6400060957058145</v>
      </c>
      <c r="AH149" s="224">
        <f>AG149*$P$33</f>
        <v>0.72462564677526209</v>
      </c>
      <c r="AI149" s="227">
        <f>SUM(Z149,IF(Z149&lt;&gt;0,$F$31,0),IF(Z149&lt;&gt;0,$N$33,0),IF(Z149&lt;&gt;0,$T$33,0),IF(Z149=0,AH154,IF(Z149=1,AH155,IF(Z149=2,AH156,IF(Z149=3,AH157,IF(Z149=4,AH158,IF(Z149=5,AH159,IF(Z149=6,AH160,IF(Z149=7,AH161,IF(Z149=8,AH162,IF(Z149=9,AH163,IF(Z149=10,AH164,IF(Z149=11,AH165,IF(Z149=12,AH166,IF(Z149=13,AH167,IF(Z149=14,AH168,IF(Z149=15,AH169,IF(Z149=16,AH170,IF(Z149=17,AH171,IF(Z149=18,AH172,IF(Z149=19,AH173,IF(Z149=20,AH174,IF(Z149=21,AH175,IF(Z149=22,AH176,IF(Z149=23,AH177,IF(Z149=24,AH178,IF(Z149=25,AH179,IF(Z149=26,AH180,IF(Z149=27,AH181,IF(Z149=28,AH182,IF(Z149=29,AH183,IF(Z149=30,AH184))))))))))))))))))))))))))))))))</f>
        <v>25.823922506039381</v>
      </c>
    </row>
    <row r="150" spans="1:35" x14ac:dyDescent="0.35">
      <c r="A150" s="48">
        <v>1451</v>
      </c>
      <c r="B150" s="58">
        <f>SUMIF([2]!Table2_23[ETA],'FIS Optimal Model (3)'!A150,[2]!Table2_23[FIS PAX])</f>
        <v>0</v>
      </c>
      <c r="C150" s="44">
        <f>IF((D149-D150)&gt;-1,(D149-D150),18)</f>
        <v>18</v>
      </c>
      <c r="D150" s="52">
        <f>MAX(D149-$E$31+B149,0)</f>
        <v>201</v>
      </c>
      <c r="E150" s="26">
        <f>$C$30*C150</f>
        <v>9.9503999999999984</v>
      </c>
      <c r="F150" s="26">
        <f>$C$31*C150</f>
        <v>4.2713999999999999</v>
      </c>
      <c r="G150" s="26">
        <f>$C$32*C150</f>
        <v>2.9447999999999999</v>
      </c>
      <c r="H150" s="26">
        <f>$C$33*C150</f>
        <v>0.83340000000000003</v>
      </c>
      <c r="I150" s="27">
        <f>E145</f>
        <v>9.9503999999999984</v>
      </c>
      <c r="J150" s="27">
        <f>F145</f>
        <v>4.2713999999999999</v>
      </c>
      <c r="K150" s="27">
        <f>G145</f>
        <v>2.9447999999999999</v>
      </c>
      <c r="L150" s="27">
        <f>H145</f>
        <v>0.83340000000000003</v>
      </c>
      <c r="M150" s="28">
        <f>$M$145</f>
        <v>6</v>
      </c>
      <c r="N150" s="29">
        <f>$N$145</f>
        <v>6</v>
      </c>
      <c r="O150" s="28">
        <f>$O$145</f>
        <v>2</v>
      </c>
      <c r="P150" s="28">
        <f>$P$145</f>
        <v>2</v>
      </c>
      <c r="Q150" s="28">
        <f>SUM(M150:P150)</f>
        <v>16</v>
      </c>
      <c r="R150" s="22">
        <f>MAX(R149-($J$30*M150*$L$33)+I150,0)</f>
        <v>13.784769217055402</v>
      </c>
      <c r="S150" s="22">
        <f>IF(U150&lt;&gt;0,(MAX(S149-($J$31*N150*$L$33)+J150,0)),(MAX(S149-($J$31*(N150+P150)*$L$33)+J150,0)))</f>
        <v>1.8418354445464029</v>
      </c>
      <c r="T150" s="22">
        <f>MAX(T149-($J$32*O150*$L$33)+K150,0)</f>
        <v>0</v>
      </c>
      <c r="U150" s="22">
        <f>MAX(U149-($J$33*P150*$L$33)+L150,0)</f>
        <v>0</v>
      </c>
      <c r="V150" s="21">
        <f>IFERROR(R150*($I$30/M150),0)</f>
        <v>0.92785281599999903</v>
      </c>
      <c r="W150" s="21">
        <f>IFERROR(S150*($I$31/N150),0)</f>
        <v>0.52653593559999934</v>
      </c>
      <c r="X150" s="21">
        <f>IFERROR(T150*($I$32/O150),0)</f>
        <v>0</v>
      </c>
      <c r="Y150" s="21">
        <f>IFERROR(U150*($I$33/P150),0)</f>
        <v>0</v>
      </c>
      <c r="Z150" s="221">
        <f>ROUNDUP(SUM(V150*$C$30,W150*$C$31,X150*$C$32,Y150*$C$33),0)</f>
        <v>1</v>
      </c>
      <c r="AA150" s="30">
        <f>IF(R150&lt;&gt;0,($J$30*M150*$L$33),0)</f>
        <v>12.628138463824097</v>
      </c>
      <c r="AB150" s="30">
        <f>IF(W150&lt;&gt;0,($J$31*N150*$L$33),0)</f>
        <v>2.9733205694316993</v>
      </c>
      <c r="AC150" s="30">
        <f>IF(X150&lt;&gt;0,($J$32*O150*$L$33),0)</f>
        <v>0</v>
      </c>
      <c r="AD150" s="30">
        <f>IF(Y150&lt;&gt;0,($J$33*P150*$L$33),0)</f>
        <v>0</v>
      </c>
      <c r="AE150" s="32">
        <f>SUM(AA150:AD150)</f>
        <v>15.601459033255797</v>
      </c>
      <c r="AF150" s="33">
        <f>AE146</f>
        <v>20.563412525157595</v>
      </c>
      <c r="AG150" s="40">
        <f>MAX(AG149-$Q$33+AF150,0)</f>
        <v>17.280012191411629</v>
      </c>
      <c r="AH150" s="224">
        <f>AG150*$P$33</f>
        <v>1.4492512935505242</v>
      </c>
      <c r="AI150" s="227">
        <f>SUM(Z150,IF(Z150&lt;&gt;0,$F$31,0),IF(Z150&lt;&gt;0,$N$33,0),IF(Z150&lt;&gt;0,$T$33,0),IF(Z150=0,AH155,IF(Z150=1,AH156,IF(Z150=2,AH157,IF(Z150=3,AH158,IF(Z150=4,AH159,IF(Z150=5,AH160,IF(Z150=6,AH161,IF(Z150=7,AH162,IF(Z150=8,AH163,IF(Z150=9,AH164,IF(Z150=10,AH165,IF(Z150=11,AH166,IF(Z150=12,AH167,IF(Z150=13,AH168,IF(Z150=14,AH169,IF(Z150=15,AH170,IF(Z150=16,AH171,IF(Z150=17,AH172,IF(Z150=18,AH173,IF(Z150=19,AH174,IF(Z150=20,AH175,IF(Z150=21,AH176,IF(Z150=22,AH177,IF(Z150=23,AH178,IF(Z150=24,AH179,IF(Z150=25,AH180,IF(Z150=26,AH181,IF(Z150=27,AH182,IF(Z150=28,AH183,IF(Z150=29,AH184,IF(Z150=30,AH185))))))))))))))))))))))))))))))))</f>
        <v>26.132395812352158</v>
      </c>
    </row>
    <row r="151" spans="1:35" x14ac:dyDescent="0.35">
      <c r="A151" s="48">
        <v>1452</v>
      </c>
      <c r="B151" s="58">
        <f>SUMIF([2]!Table2_23[ETA],'FIS Optimal Model (3)'!A151,[2]!Table2_23[FIS PAX])</f>
        <v>0</v>
      </c>
      <c r="C151" s="44">
        <f>IF((D150-D151)&gt;-1,(D150-D151),18)</f>
        <v>18</v>
      </c>
      <c r="D151" s="52">
        <f>MAX(D150-$E$31+B150,0)</f>
        <v>183</v>
      </c>
      <c r="E151" s="26">
        <f>$C$30*C151</f>
        <v>9.9503999999999984</v>
      </c>
      <c r="F151" s="26">
        <f>$C$31*C151</f>
        <v>4.2713999999999999</v>
      </c>
      <c r="G151" s="26">
        <f>$C$32*C151</f>
        <v>2.9447999999999999</v>
      </c>
      <c r="H151" s="26">
        <f>$C$33*C151</f>
        <v>0.83340000000000003</v>
      </c>
      <c r="I151" s="27">
        <f>E146</f>
        <v>9.9503999999999984</v>
      </c>
      <c r="J151" s="27">
        <f>F146</f>
        <v>4.2713999999999999</v>
      </c>
      <c r="K151" s="27">
        <f>G146</f>
        <v>2.9447999999999999</v>
      </c>
      <c r="L151" s="27">
        <f>H146</f>
        <v>0.83340000000000003</v>
      </c>
      <c r="M151" s="28">
        <f>$M$145</f>
        <v>6</v>
      </c>
      <c r="N151" s="29">
        <f>$N$145</f>
        <v>6</v>
      </c>
      <c r="O151" s="28">
        <f>$O$145</f>
        <v>2</v>
      </c>
      <c r="P151" s="28">
        <f>$P$145</f>
        <v>2</v>
      </c>
      <c r="Q151" s="28">
        <f>SUM(M151:P151)</f>
        <v>16</v>
      </c>
      <c r="R151" s="22">
        <f>MAX(R150-($J$30*M151*$L$33)+I151,0)</f>
        <v>11.107030753231303</v>
      </c>
      <c r="S151" s="22">
        <f>IF(U151&lt;&gt;0,(MAX(S150-($J$31*N151*$L$33)+J151,0)),(MAX(S150-($J$31*(N151+P151)*$L$33)+J151,0)))</f>
        <v>2.1488080186374701</v>
      </c>
      <c r="T151" s="22">
        <f>MAX(T150-($J$32*O151*$L$33)+K151,0)</f>
        <v>0</v>
      </c>
      <c r="U151" s="22">
        <f>MAX(U150-($J$33*P151*$L$33)+L151,0)</f>
        <v>0</v>
      </c>
      <c r="V151" s="21">
        <f>IFERROR(R151*($I$30/M151),0)</f>
        <v>0.74761423999999899</v>
      </c>
      <c r="W151" s="21">
        <f>IFERROR(S151*($I$31/N151),0)</f>
        <v>0.61429192486666595</v>
      </c>
      <c r="X151" s="21">
        <f>IFERROR(T151*($I$32/O151),0)</f>
        <v>0</v>
      </c>
      <c r="Y151" s="21">
        <f>IFERROR(U151*($I$33/P151),0)</f>
        <v>0</v>
      </c>
      <c r="Z151" s="221">
        <f>ROUNDUP(SUM(V151*$C$30,W151*$C$31,X151*$C$32,Y151*$C$33),0)</f>
        <v>1</v>
      </c>
      <c r="AA151" s="30">
        <f>IF(R151&lt;&gt;0,($J$30*M151*$L$33),0)</f>
        <v>12.628138463824097</v>
      </c>
      <c r="AB151" s="30">
        <f>IF(W151&lt;&gt;0,($J$31*N151*$L$33),0)</f>
        <v>2.9733205694316993</v>
      </c>
      <c r="AC151" s="30">
        <f>IF(X151&lt;&gt;0,($J$32*O151*$L$33),0)</f>
        <v>0</v>
      </c>
      <c r="AD151" s="30">
        <f>IF(Y151&lt;&gt;0,($J$33*P151*$L$33),0)</f>
        <v>0</v>
      </c>
      <c r="AE151" s="32">
        <f>SUM(AA151:AD151)</f>
        <v>15.601459033255797</v>
      </c>
      <c r="AF151" s="33">
        <f>AE147</f>
        <v>20.563412525157595</v>
      </c>
      <c r="AG151" s="40">
        <f>MAX(AG150-$Q$33+AF151,0)</f>
        <v>25.920018287117443</v>
      </c>
      <c r="AH151" s="224">
        <f>AG151*$P$33</f>
        <v>2.173876940325786</v>
      </c>
      <c r="AI151" s="227">
        <f>SUM(Z151,IF(Z151&lt;&gt;0,$F$31,0),IF(Z151&lt;&gt;0,$N$33,0),IF(Z151&lt;&gt;0,$T$33,0),IF(Z151=0,AH156,IF(Z151=1,AH157,IF(Z151=2,AH158,IF(Z151=3,AH159,IF(Z151=4,AH160,IF(Z151=5,AH161,IF(Z151=6,AH162,IF(Z151=7,AH163,IF(Z151=8,AH164,IF(Z151=9,AH165,IF(Z151=10,AH166,IF(Z151=11,AH167,IF(Z151=12,AH168,IF(Z151=13,AH169,IF(Z151=14,AH170,IF(Z151=15,AH171,IF(Z151=16,AH172,IF(Z151=17,AH173,IF(Z151=18,AH174,IF(Z151=19,AH175,IF(Z151=20,AH176,IF(Z151=21,AH177,IF(Z151=22,AH178,IF(Z151=23,AH179,IF(Z151=24,AH180,IF(Z151=25,AH181,IF(Z151=26,AH182,IF(Z151=27,AH183,IF(Z151=28,AH184,IF(Z151=29,AH185,IF(Z151=30,AH186))))))))))))))))))))))))))))))))</f>
        <v>26.440869118664935</v>
      </c>
    </row>
    <row r="152" spans="1:35" x14ac:dyDescent="0.35">
      <c r="A152" s="48">
        <v>1453</v>
      </c>
      <c r="B152" s="58">
        <f>SUMIF([2]!Table2_23[ETA],'FIS Optimal Model (3)'!A152,[2]!Table2_23[FIS PAX])</f>
        <v>0</v>
      </c>
      <c r="C152" s="44">
        <f>IF((D151-D152)&gt;-1,(D151-D152),18)</f>
        <v>18</v>
      </c>
      <c r="D152" s="52">
        <f>MAX(D151-$E$31+B151,0)</f>
        <v>165</v>
      </c>
      <c r="E152" s="26">
        <f>$C$30*C152</f>
        <v>9.9503999999999984</v>
      </c>
      <c r="F152" s="26">
        <f>$C$31*C152</f>
        <v>4.2713999999999999</v>
      </c>
      <c r="G152" s="26">
        <f>$C$32*C152</f>
        <v>2.9447999999999999</v>
      </c>
      <c r="H152" s="26">
        <f>$C$33*C152</f>
        <v>0.83340000000000003</v>
      </c>
      <c r="I152" s="27">
        <f>E147</f>
        <v>9.9503999999999984</v>
      </c>
      <c r="J152" s="27">
        <f>F147</f>
        <v>4.2713999999999999</v>
      </c>
      <c r="K152" s="27">
        <f>G147</f>
        <v>2.9447999999999999</v>
      </c>
      <c r="L152" s="27">
        <f>H147</f>
        <v>0.83340000000000003</v>
      </c>
      <c r="M152" s="28">
        <f>$M$145</f>
        <v>6</v>
      </c>
      <c r="N152" s="29">
        <f>$N$145</f>
        <v>6</v>
      </c>
      <c r="O152" s="28">
        <f>$O$145</f>
        <v>2</v>
      </c>
      <c r="P152" s="28">
        <f>$P$145</f>
        <v>2</v>
      </c>
      <c r="Q152" s="28">
        <f>SUM(M152:P152)</f>
        <v>16</v>
      </c>
      <c r="R152" s="22">
        <f>MAX(R151-($J$30*M152*$L$33)+I152,0)</f>
        <v>8.4292922894072042</v>
      </c>
      <c r="S152" s="22">
        <f>IF(U152&lt;&gt;0,(MAX(S151-($J$31*N152*$L$33)+J152,0)),(MAX(S151-($J$31*(N152+P152)*$L$33)+J152,0)))</f>
        <v>2.4557805927285372</v>
      </c>
      <c r="T152" s="22">
        <f>MAX(T151-($J$32*O152*$L$33)+K152,0)</f>
        <v>0</v>
      </c>
      <c r="U152" s="22">
        <f>MAX(U151-($J$33*P152*$L$33)+L152,0)</f>
        <v>0</v>
      </c>
      <c r="V152" s="21">
        <f>IFERROR(R152*($I$30/M152),0)</f>
        <v>0.56737566399999884</v>
      </c>
      <c r="W152" s="21">
        <f>IFERROR(S152*($I$31/N152),0)</f>
        <v>0.70204791413333245</v>
      </c>
      <c r="X152" s="21">
        <f>IFERROR(T152*($I$32/O152),0)</f>
        <v>0</v>
      </c>
      <c r="Y152" s="21">
        <f>IFERROR(U152*($I$33/P152),0)</f>
        <v>0</v>
      </c>
      <c r="Z152" s="221">
        <f>ROUNDUP(SUM(V152*$C$30,W152*$C$31,X152*$C$32,Y152*$C$33),0)</f>
        <v>1</v>
      </c>
      <c r="AA152" s="30">
        <f>IF(R152&lt;&gt;0,($J$30*M152*$L$33),0)</f>
        <v>12.628138463824097</v>
      </c>
      <c r="AB152" s="30">
        <f>IF(W152&lt;&gt;0,($J$31*N152*$L$33),0)</f>
        <v>2.9733205694316993</v>
      </c>
      <c r="AC152" s="30">
        <f>IF(X152&lt;&gt;0,($J$32*O152*$L$33),0)</f>
        <v>0</v>
      </c>
      <c r="AD152" s="30">
        <f>IF(Y152&lt;&gt;0,($J$33*P152*$L$33),0)</f>
        <v>0</v>
      </c>
      <c r="AE152" s="32">
        <f>SUM(AA152:AD152)</f>
        <v>15.601459033255797</v>
      </c>
      <c r="AF152" s="33">
        <f>AE148</f>
        <v>20.563412525157595</v>
      </c>
      <c r="AG152" s="40">
        <f>MAX(AG151-$Q$33+AF152,0)</f>
        <v>34.560024382823258</v>
      </c>
      <c r="AH152" s="224">
        <f>AG152*$P$33</f>
        <v>2.8985025871010484</v>
      </c>
      <c r="AI152" s="227">
        <f>SUM(Z152,IF(Z152&lt;&gt;0,$F$31,0),IF(Z152&lt;&gt;0,$N$33,0),IF(Z152&lt;&gt;0,$T$33,0),IF(Z152=0,AH157,IF(Z152=1,AH158,IF(Z152=2,AH159,IF(Z152=3,AH160,IF(Z152=4,AH161,IF(Z152=5,AH162,IF(Z152=6,AH163,IF(Z152=7,AH164,IF(Z152=8,AH165,IF(Z152=9,AH166,IF(Z152=10,AH167,IF(Z152=11,AH168,IF(Z152=12,AH169,IF(Z152=13,AH170,IF(Z152=14,AH171,IF(Z152=15,AH172,IF(Z152=16,AH173,IF(Z152=17,AH174,IF(Z152=18,AH175,IF(Z152=19,AH176,IF(Z152=20,AH177,IF(Z152=21,AH178,IF(Z152=22,AH179,IF(Z152=23,AH180,IF(Z152=24,AH181,IF(Z152=25,AH182,IF(Z152=26,AH183,IF(Z152=27,AH184,IF(Z152=28,AH185,IF(Z152=29,AH186,IF(Z152=30,AH187))))))))))))))))))))))))))))))))</f>
        <v>26.749342424977712</v>
      </c>
    </row>
    <row r="153" spans="1:35" x14ac:dyDescent="0.35">
      <c r="A153" s="48">
        <v>1454</v>
      </c>
      <c r="B153" s="58">
        <f>SUMIF([2]!Table2_23[ETA],'FIS Optimal Model (3)'!A153,[2]!Table2_23[FIS PAX])</f>
        <v>0</v>
      </c>
      <c r="C153" s="44">
        <f>IF((D152-D153)&gt;-1,(D152-D153),18)</f>
        <v>18</v>
      </c>
      <c r="D153" s="52">
        <f>MAX(D152-$E$31+B152,0)</f>
        <v>147</v>
      </c>
      <c r="E153" s="26">
        <f>$C$30*C153</f>
        <v>9.9503999999999984</v>
      </c>
      <c r="F153" s="26">
        <f>$C$31*C153</f>
        <v>4.2713999999999999</v>
      </c>
      <c r="G153" s="26">
        <f>$C$32*C153</f>
        <v>2.9447999999999999</v>
      </c>
      <c r="H153" s="26">
        <f>$C$33*C153</f>
        <v>0.83340000000000003</v>
      </c>
      <c r="I153" s="27">
        <f>E148</f>
        <v>9.9503999999999984</v>
      </c>
      <c r="J153" s="27">
        <f>F148</f>
        <v>4.2713999999999999</v>
      </c>
      <c r="K153" s="27">
        <f>G148</f>
        <v>2.9447999999999999</v>
      </c>
      <c r="L153" s="27">
        <f>H148</f>
        <v>0.83340000000000003</v>
      </c>
      <c r="M153" s="28">
        <f>$M$145</f>
        <v>6</v>
      </c>
      <c r="N153" s="29">
        <f>$N$145</f>
        <v>6</v>
      </c>
      <c r="O153" s="28">
        <f>$O$145</f>
        <v>2</v>
      </c>
      <c r="P153" s="28">
        <f>$P$145</f>
        <v>2</v>
      </c>
      <c r="Q153" s="28">
        <f>SUM(M153:P153)</f>
        <v>16</v>
      </c>
      <c r="R153" s="22">
        <f>MAX(R152-($J$30*M153*$L$33)+I153,0)</f>
        <v>5.7515538255831054</v>
      </c>
      <c r="S153" s="22">
        <f>IF(U153&lt;&gt;0,(MAX(S152-($J$31*N153*$L$33)+J153,0)),(MAX(S152-($J$31*(N153+P153)*$L$33)+J153,0)))</f>
        <v>2.7627531668196044</v>
      </c>
      <c r="T153" s="22">
        <f>MAX(T152-($J$32*O153*$L$33)+K153,0)</f>
        <v>0</v>
      </c>
      <c r="U153" s="22">
        <f>MAX(U152-($J$33*P153*$L$33)+L153,0)</f>
        <v>0</v>
      </c>
      <c r="V153" s="21">
        <f>IFERROR(R153*($I$30/M153),0)</f>
        <v>0.3871370879999988</v>
      </c>
      <c r="W153" s="21">
        <f>IFERROR(S153*($I$31/N153),0)</f>
        <v>0.78980390339999906</v>
      </c>
      <c r="X153" s="21">
        <f>IFERROR(T153*($I$32/O153),0)</f>
        <v>0</v>
      </c>
      <c r="Y153" s="21">
        <f>IFERROR(U153*($I$33/P153),0)</f>
        <v>0</v>
      </c>
      <c r="Z153" s="221">
        <f>ROUNDUP(SUM(V153*$C$30,W153*$C$31,X153*$C$32,Y153*$C$33),0)</f>
        <v>1</v>
      </c>
      <c r="AA153" s="30">
        <f>IF(R153&lt;&gt;0,($J$30*M153*$L$33),0)</f>
        <v>12.628138463824097</v>
      </c>
      <c r="AB153" s="30">
        <f>IF(W153&lt;&gt;0,($J$31*N153*$L$33),0)</f>
        <v>2.9733205694316993</v>
      </c>
      <c r="AC153" s="30">
        <f>IF(X153&lt;&gt;0,($J$32*O153*$L$33),0)</f>
        <v>0</v>
      </c>
      <c r="AD153" s="30">
        <f>IF(Y153&lt;&gt;0,($J$33*P153*$L$33),0)</f>
        <v>0</v>
      </c>
      <c r="AE153" s="32">
        <f>SUM(AA153:AD153)</f>
        <v>15.601459033255797</v>
      </c>
      <c r="AF153" s="33">
        <f>AE149</f>
        <v>15.601459033255797</v>
      </c>
      <c r="AG153" s="40">
        <f>MAX(AG152-$Q$33+AF153,0)</f>
        <v>38.238076986627277</v>
      </c>
      <c r="AH153" s="224">
        <f>AG153*$P$33</f>
        <v>3.2069758934138259</v>
      </c>
      <c r="AI153" s="227">
        <f>SUM(Z153,IF(Z153&lt;&gt;0,$F$31,0),IF(Z153&lt;&gt;0,$N$33,0),IF(Z153&lt;&gt;0,$T$33,0),IF(Z153=0,AH158,IF(Z153=1,AH159,IF(Z153=2,AH160,IF(Z153=3,AH161,IF(Z153=4,AH162,IF(Z153=5,AH163,IF(Z153=6,AH164,IF(Z153=7,AH165,IF(Z153=8,AH166,IF(Z153=9,AH167,IF(Z153=10,AH168,IF(Z153=11,AH169,IF(Z153=12,AH170,IF(Z153=13,AH171,IF(Z153=14,AH172,IF(Z153=15,AH173,IF(Z153=16,AH174,IF(Z153=17,AH175,IF(Z153=18,AH176,IF(Z153=19,AH177,IF(Z153=20,AH178,IF(Z153=21,AH179,IF(Z153=22,AH180,IF(Z153=23,AH181,IF(Z153=24,AH182,IF(Z153=25,AH183,IF(Z153=26,AH184,IF(Z153=27,AH185,IF(Z153=28,AH186,IF(Z153=29,AH187,IF(Z153=30,AH188))))))))))))))))))))))))))))))))</f>
        <v>27.057815731290489</v>
      </c>
    </row>
    <row r="154" spans="1:35" x14ac:dyDescent="0.35">
      <c r="A154" s="48">
        <v>1455</v>
      </c>
      <c r="B154" s="58">
        <f>SUMIF([2]!Table2_23[ETA],'FIS Optimal Model (3)'!A154,[2]!Table2_23[FIS PAX])</f>
        <v>186</v>
      </c>
      <c r="C154" s="44">
        <f>IF((D153-D154)&gt;-1,(D153-D154),18)</f>
        <v>18</v>
      </c>
      <c r="D154" s="52">
        <f>MAX(D153-$E$31+B153,0)</f>
        <v>129</v>
      </c>
      <c r="E154" s="26">
        <f>$C$30*C154</f>
        <v>9.9503999999999984</v>
      </c>
      <c r="F154" s="26">
        <f>$C$31*C154</f>
        <v>4.2713999999999999</v>
      </c>
      <c r="G154" s="26">
        <f>$C$32*C154</f>
        <v>2.9447999999999999</v>
      </c>
      <c r="H154" s="26">
        <f>$C$33*C154</f>
        <v>0.83340000000000003</v>
      </c>
      <c r="I154" s="27">
        <f>E149</f>
        <v>9.9503999999999984</v>
      </c>
      <c r="J154" s="27">
        <f>F149</f>
        <v>4.2713999999999999</v>
      </c>
      <c r="K154" s="27">
        <f>G149</f>
        <v>2.9447999999999999</v>
      </c>
      <c r="L154" s="27">
        <f>H149</f>
        <v>0.83340000000000003</v>
      </c>
      <c r="M154" s="28">
        <f>$M$145</f>
        <v>6</v>
      </c>
      <c r="N154" s="29">
        <f>$N$145</f>
        <v>6</v>
      </c>
      <c r="O154" s="28">
        <f>$O$145</f>
        <v>2</v>
      </c>
      <c r="P154" s="28">
        <f>$P$145</f>
        <v>2</v>
      </c>
      <c r="Q154" s="28">
        <f>SUM(M154:P154)</f>
        <v>16</v>
      </c>
      <c r="R154" s="22">
        <f>MAX(R153-($J$30*M154*$L$33)+I154,0)</f>
        <v>3.0738153617590065</v>
      </c>
      <c r="S154" s="22">
        <f>IF(U154&lt;&gt;0,(MAX(S153-($J$31*N154*$L$33)+J154,0)),(MAX(S153-($J$31*(N154+P154)*$L$33)+J154,0)))</f>
        <v>3.0697257409106715</v>
      </c>
      <c r="T154" s="22">
        <f>MAX(T153-($J$32*O154*$L$33)+K154,0)</f>
        <v>0</v>
      </c>
      <c r="U154" s="22">
        <f>MAX(U153-($J$33*P154*$L$33)+L154,0)</f>
        <v>0</v>
      </c>
      <c r="V154" s="21">
        <f>IFERROR(R154*($I$30/M154),0)</f>
        <v>0.2068985119999987</v>
      </c>
      <c r="W154" s="21">
        <f>IFERROR(S154*($I$31/N154),0)</f>
        <v>0.87755989266666556</v>
      </c>
      <c r="X154" s="21">
        <f>IFERROR(T154*($I$32/O154),0)</f>
        <v>0</v>
      </c>
      <c r="Y154" s="21">
        <f>IFERROR(U154*($I$33/P154),0)</f>
        <v>0</v>
      </c>
      <c r="Z154" s="221">
        <f>ROUNDUP(SUM(V154*$C$30,W154*$C$31,X154*$C$32,Y154*$C$33),0)</f>
        <v>1</v>
      </c>
      <c r="AA154" s="30">
        <f>IF(R154&lt;&gt;0,($J$30*M154*$L$33),0)</f>
        <v>12.628138463824097</v>
      </c>
      <c r="AB154" s="30">
        <f>IF(W154&lt;&gt;0,($J$31*N154*$L$33),0)</f>
        <v>2.9733205694316993</v>
      </c>
      <c r="AC154" s="30">
        <f>IF(X154&lt;&gt;0,($J$32*O154*$L$33),0)</f>
        <v>0</v>
      </c>
      <c r="AD154" s="30">
        <f>IF(Y154&lt;&gt;0,($J$33*P154*$L$33),0)</f>
        <v>0</v>
      </c>
      <c r="AE154" s="32">
        <f>SUM(AA154:AD154)</f>
        <v>15.601459033255797</v>
      </c>
      <c r="AF154" s="33">
        <f>AE150</f>
        <v>15.601459033255797</v>
      </c>
      <c r="AG154" s="40">
        <f>MAX(AG153-$Q$33+AF154,0)</f>
        <v>41.916129590431296</v>
      </c>
      <c r="AH154" s="224">
        <f>AG154*$P$33</f>
        <v>3.5154491997266031</v>
      </c>
      <c r="AI154" s="227">
        <f>SUM(Z154,IF(Z154&lt;&gt;0,$F$31,0),IF(Z154&lt;&gt;0,$N$33,0),IF(Z154&lt;&gt;0,$T$33,0),IF(Z154=0,AH159,IF(Z154=1,AH160,IF(Z154=2,AH161,IF(Z154=3,AH162,IF(Z154=4,AH163,IF(Z154=5,AH164,IF(Z154=6,AH165,IF(Z154=7,AH166,IF(Z154=8,AH167,IF(Z154=9,AH168,IF(Z154=10,AH169,IF(Z154=11,AH170,IF(Z154=12,AH171,IF(Z154=13,AH172,IF(Z154=14,AH173,IF(Z154=15,AH174,IF(Z154=16,AH175,IF(Z154=17,AH176,IF(Z154=18,AH177,IF(Z154=19,AH178,IF(Z154=20,AH179,IF(Z154=21,AH180,IF(Z154=22,AH181,IF(Z154=23,AH182,IF(Z154=24,AH183,IF(Z154=25,AH184,IF(Z154=26,AH185,IF(Z154=27,AH186,IF(Z154=28,AH187,IF(Z154=29,AH188,IF(Z154=30,AH189))))))))))))))))))))))))))))))))</f>
        <v>26.307184113306501</v>
      </c>
    </row>
    <row r="155" spans="1:35" x14ac:dyDescent="0.35">
      <c r="A155" s="48">
        <v>1456</v>
      </c>
      <c r="B155" s="58">
        <f>SUMIF([2]!Table2_23[ETA],'FIS Optimal Model (3)'!A155,[2]!Table2_23[FIS PAX])</f>
        <v>0</v>
      </c>
      <c r="C155" s="44">
        <f>IF((D154-D155)&gt;-1,(D154-D155),18)</f>
        <v>18</v>
      </c>
      <c r="D155" s="52">
        <f>MAX(D154-$E$31+B154,0)</f>
        <v>297</v>
      </c>
      <c r="E155" s="26">
        <f>$C$30*C155</f>
        <v>9.9503999999999984</v>
      </c>
      <c r="F155" s="26">
        <f>$C$31*C155</f>
        <v>4.2713999999999999</v>
      </c>
      <c r="G155" s="26">
        <f>$C$32*C155</f>
        <v>2.9447999999999999</v>
      </c>
      <c r="H155" s="26">
        <f>$C$33*C155</f>
        <v>0.83340000000000003</v>
      </c>
      <c r="I155" s="27">
        <f>E150</f>
        <v>9.9503999999999984</v>
      </c>
      <c r="J155" s="27">
        <f>F150</f>
        <v>4.2713999999999999</v>
      </c>
      <c r="K155" s="27">
        <f>G150</f>
        <v>2.9447999999999999</v>
      </c>
      <c r="L155" s="27">
        <f>H150</f>
        <v>0.83340000000000003</v>
      </c>
      <c r="M155" s="28">
        <f>$M$145</f>
        <v>6</v>
      </c>
      <c r="N155" s="29">
        <f>$N$145</f>
        <v>6</v>
      </c>
      <c r="O155" s="28">
        <f>$O$145</f>
        <v>2</v>
      </c>
      <c r="P155" s="28">
        <f>$P$145</f>
        <v>2</v>
      </c>
      <c r="Q155" s="28">
        <f>SUM(M155:P155)</f>
        <v>16</v>
      </c>
      <c r="R155" s="22">
        <f>MAX(R154-($J$30*M155*$L$33)+I155,0)</f>
        <v>0.39607689793490763</v>
      </c>
      <c r="S155" s="22">
        <f>IF(U155&lt;&gt;0,(MAX(S154-($J$31*N155*$L$33)+J155,0)),(MAX(S154-($J$31*(N155+P155)*$L$33)+J155,0)))</f>
        <v>3.3766983150017387</v>
      </c>
      <c r="T155" s="22">
        <f>MAX(T154-($J$32*O155*$L$33)+K155,0)</f>
        <v>0</v>
      </c>
      <c r="U155" s="22">
        <f>MAX(U154-($J$33*P155*$L$33)+L155,0)</f>
        <v>0</v>
      </c>
      <c r="V155" s="21">
        <f>IFERROR(R155*($I$30/M155),0)</f>
        <v>2.6659935999998632E-2</v>
      </c>
      <c r="W155" s="21">
        <f>IFERROR(S155*($I$31/N155),0)</f>
        <v>0.96531588193333218</v>
      </c>
      <c r="X155" s="21">
        <f>IFERROR(T155*($I$32/O155),0)</f>
        <v>0</v>
      </c>
      <c r="Y155" s="21">
        <f>IFERROR(U155*($I$33/P155),0)</f>
        <v>0</v>
      </c>
      <c r="Z155" s="221">
        <f>ROUNDUP(SUM(V155*$C$30,W155*$C$31,X155*$C$32,Y155*$C$33),0)</f>
        <v>1</v>
      </c>
      <c r="AA155" s="30">
        <f>IF(R155&lt;&gt;0,($J$30*M155*$L$33),0)</f>
        <v>12.628138463824097</v>
      </c>
      <c r="AB155" s="30">
        <f>IF(W155&lt;&gt;0,($J$31*N155*$L$33),0)</f>
        <v>2.9733205694316993</v>
      </c>
      <c r="AC155" s="30">
        <f>IF(X155&lt;&gt;0,($J$32*O155*$L$33),0)</f>
        <v>0</v>
      </c>
      <c r="AD155" s="30">
        <f>IF(Y155&lt;&gt;0,($J$33*P155*$L$33),0)</f>
        <v>0</v>
      </c>
      <c r="AE155" s="32">
        <f>SUM(AA155:AD155)</f>
        <v>15.601459033255797</v>
      </c>
      <c r="AF155" s="33">
        <f>AE151</f>
        <v>15.601459033255797</v>
      </c>
      <c r="AG155" s="40">
        <f>MAX(AG154-$Q$33+AF155,0)</f>
        <v>45.594182194235316</v>
      </c>
      <c r="AH155" s="224">
        <f>AG155*$P$33</f>
        <v>3.8239225060393807</v>
      </c>
      <c r="AI155" s="227">
        <f>SUM(Z155,IF(Z155&lt;&gt;0,$F$31,0),IF(Z155&lt;&gt;0,$N$33,0),IF(Z155&lt;&gt;0,$T$33,0),IF(Z155=0,AH160,IF(Z155=1,AH161,IF(Z155=2,AH162,IF(Z155=3,AH163,IF(Z155=4,AH164,IF(Z155=5,AH165,IF(Z155=6,AH166,IF(Z155=7,AH167,IF(Z155=8,AH168,IF(Z155=9,AH169,IF(Z155=10,AH170,IF(Z155=11,AH171,IF(Z155=12,AH172,IF(Z155=13,AH173,IF(Z155=14,AH174,IF(Z155=15,AH175,IF(Z155=16,AH176,IF(Z155=17,AH177,IF(Z155=18,AH178,IF(Z155=19,AH179,IF(Z155=20,AH180,IF(Z155=21,AH181,IF(Z155=22,AH182,IF(Z155=23,AH183,IF(Z155=24,AH184,IF(Z155=25,AH185,IF(Z155=26,AH186,IF(Z155=27,AH187,IF(Z155=28,AH188,IF(Z155=29,AH189,IF(Z155=30,AH190))))))))))))))))))))))))))))))))</f>
        <v>25.556552495322514</v>
      </c>
    </row>
    <row r="156" spans="1:35" x14ac:dyDescent="0.35">
      <c r="A156" s="48">
        <v>1457</v>
      </c>
      <c r="B156" s="58">
        <f>SUMIF([2]!Table2_23[ETA],'FIS Optimal Model (3)'!A156,[2]!Table2_23[FIS PAX])</f>
        <v>0</v>
      </c>
      <c r="C156" s="44">
        <f>IF((D155-D156)&gt;-1,(D155-D156),18)</f>
        <v>18</v>
      </c>
      <c r="D156" s="52">
        <f>MAX(D155-$E$31+B155,0)</f>
        <v>279</v>
      </c>
      <c r="E156" s="26">
        <f>$C$30*C156</f>
        <v>9.9503999999999984</v>
      </c>
      <c r="F156" s="26">
        <f>$C$31*C156</f>
        <v>4.2713999999999999</v>
      </c>
      <c r="G156" s="26">
        <f>$C$32*C156</f>
        <v>2.9447999999999999</v>
      </c>
      <c r="H156" s="26">
        <f>$C$33*C156</f>
        <v>0.83340000000000003</v>
      </c>
      <c r="I156" s="27">
        <f>E151</f>
        <v>9.9503999999999984</v>
      </c>
      <c r="J156" s="27">
        <f>F151</f>
        <v>4.2713999999999999</v>
      </c>
      <c r="K156" s="27">
        <f>G151</f>
        <v>2.9447999999999999</v>
      </c>
      <c r="L156" s="27">
        <f>H151</f>
        <v>0.83340000000000003</v>
      </c>
      <c r="M156" s="28">
        <f>$M$145</f>
        <v>6</v>
      </c>
      <c r="N156" s="29">
        <f>$N$145</f>
        <v>6</v>
      </c>
      <c r="O156" s="28">
        <f>$O$145</f>
        <v>2</v>
      </c>
      <c r="P156" s="28">
        <f>$P$145</f>
        <v>2</v>
      </c>
      <c r="Q156" s="28">
        <f>SUM(M156:P156)</f>
        <v>16</v>
      </c>
      <c r="R156" s="22">
        <f>MAX(R155-($J$30*M156*$L$33)+I156,0)</f>
        <v>0</v>
      </c>
      <c r="S156" s="22">
        <f>IF(U156&lt;&gt;0,(MAX(S155-($J$31*N156*$L$33)+J156,0)),(MAX(S155-($J$31*(N156+P156)*$L$33)+J156,0)))</f>
        <v>3.6836708890928058</v>
      </c>
      <c r="T156" s="22">
        <f>MAX(T155-($J$32*O156*$L$33)+K156,0)</f>
        <v>0</v>
      </c>
      <c r="U156" s="22">
        <f>MAX(U155-($J$33*P156*$L$33)+L156,0)</f>
        <v>0</v>
      </c>
      <c r="V156" s="21">
        <f>IFERROR(R156*($I$30/M156),0)</f>
        <v>0</v>
      </c>
      <c r="W156" s="21">
        <f>IFERROR(S156*($I$31/N156),0)</f>
        <v>1.0530718711999987</v>
      </c>
      <c r="X156" s="21">
        <f>IFERROR(T156*($I$32/O156),0)</f>
        <v>0</v>
      </c>
      <c r="Y156" s="21">
        <f>IFERROR(U156*($I$33/P156),0)</f>
        <v>0</v>
      </c>
      <c r="Z156" s="221">
        <f>ROUNDUP(SUM(V156*$C$30,W156*$C$31,X156*$C$32,Y156*$C$33),0)</f>
        <v>1</v>
      </c>
      <c r="AA156" s="30">
        <f>IF(R156&lt;&gt;0,($J$30*M156*$L$33),0)</f>
        <v>0</v>
      </c>
      <c r="AB156" s="30">
        <f>IF(W156&lt;&gt;0,($J$31*N156*$L$33),0)</f>
        <v>2.9733205694316993</v>
      </c>
      <c r="AC156" s="30">
        <f>IF(X156&lt;&gt;0,($J$32*O156*$L$33),0)</f>
        <v>0</v>
      </c>
      <c r="AD156" s="30">
        <f>IF(Y156&lt;&gt;0,($J$33*P156*$L$33),0)</f>
        <v>0</v>
      </c>
      <c r="AE156" s="32">
        <f>SUM(AA156:AD156)</f>
        <v>2.9733205694316993</v>
      </c>
      <c r="AF156" s="33">
        <f>AE152</f>
        <v>15.601459033255797</v>
      </c>
      <c r="AG156" s="40">
        <f>MAX(AG155-$Q$33+AF156,0)</f>
        <v>49.272234798039335</v>
      </c>
      <c r="AH156" s="224">
        <f>AG156*$P$33</f>
        <v>4.1323958123521578</v>
      </c>
      <c r="AI156" s="227">
        <f>SUM(Z156,IF(Z156&lt;&gt;0,$F$31,0),IF(Z156&lt;&gt;0,$N$33,0),IF(Z156&lt;&gt;0,$T$33,0),IF(Z156=0,AH161,IF(Z156=1,AH162,IF(Z156=2,AH163,IF(Z156=3,AH164,IF(Z156=4,AH165,IF(Z156=5,AH166,IF(Z156=6,AH167,IF(Z156=7,AH168,IF(Z156=8,AH169,IF(Z156=9,AH170,IF(Z156=10,AH171,IF(Z156=11,AH172,IF(Z156=12,AH173,IF(Z156=13,AH174,IF(Z156=14,AH175,IF(Z156=15,AH176,IF(Z156=16,AH177,IF(Z156=17,AH178,IF(Z156=18,AH179,IF(Z156=19,AH180,IF(Z156=20,AH181,IF(Z156=21,AH182,IF(Z156=22,AH183,IF(Z156=23,AH184,IF(Z156=24,AH185,IF(Z156=25,AH186,IF(Z156=26,AH187,IF(Z156=27,AH188,IF(Z156=28,AH189,IF(Z156=29,AH190,IF(Z156=30,AH191))))))))))))))))))))))))))))))))</f>
        <v>24.805920877338526</v>
      </c>
    </row>
    <row r="157" spans="1:35" x14ac:dyDescent="0.35">
      <c r="A157" s="48">
        <v>1458</v>
      </c>
      <c r="B157" s="58">
        <f>SUMIF([2]!Table2_23[ETA],'FIS Optimal Model (3)'!A157,[2]!Table2_23[FIS PAX])</f>
        <v>0</v>
      </c>
      <c r="C157" s="44">
        <f>IF((D156-D157)&gt;-1,(D156-D157),18)</f>
        <v>18</v>
      </c>
      <c r="D157" s="52">
        <f>MAX(D156-$E$31+B156,0)</f>
        <v>261</v>
      </c>
      <c r="E157" s="26">
        <f>$C$30*C157</f>
        <v>9.9503999999999984</v>
      </c>
      <c r="F157" s="26">
        <f>$C$31*C157</f>
        <v>4.2713999999999999</v>
      </c>
      <c r="G157" s="26">
        <f>$C$32*C157</f>
        <v>2.9447999999999999</v>
      </c>
      <c r="H157" s="26">
        <f>$C$33*C157</f>
        <v>0.83340000000000003</v>
      </c>
      <c r="I157" s="27">
        <f>E152</f>
        <v>9.9503999999999984</v>
      </c>
      <c r="J157" s="27">
        <f>F152</f>
        <v>4.2713999999999999</v>
      </c>
      <c r="K157" s="27">
        <f>G152</f>
        <v>2.9447999999999999</v>
      </c>
      <c r="L157" s="27">
        <f>H152</f>
        <v>0.83340000000000003</v>
      </c>
      <c r="M157" s="28">
        <f>$M$145</f>
        <v>6</v>
      </c>
      <c r="N157" s="29">
        <f>$N$145</f>
        <v>6</v>
      </c>
      <c r="O157" s="28">
        <f>$O$145</f>
        <v>2</v>
      </c>
      <c r="P157" s="28">
        <f>$P$145</f>
        <v>2</v>
      </c>
      <c r="Q157" s="28">
        <f>SUM(M157:P157)</f>
        <v>16</v>
      </c>
      <c r="R157" s="22">
        <f>MAX(R156-($J$30*M157*$L$33)+I157,0)</f>
        <v>0</v>
      </c>
      <c r="S157" s="22">
        <f>IF(U157&lt;&gt;0,(MAX(S156-($J$31*N157*$L$33)+J157,0)),(MAX(S156-($J$31*(N157+P157)*$L$33)+J157,0)))</f>
        <v>3.990643463183873</v>
      </c>
      <c r="T157" s="22">
        <f>MAX(T156-($J$32*O157*$L$33)+K157,0)</f>
        <v>0</v>
      </c>
      <c r="U157" s="22">
        <f>MAX(U156-($J$33*P157*$L$33)+L157,0)</f>
        <v>0</v>
      </c>
      <c r="V157" s="21">
        <f>IFERROR(R157*($I$30/M157),0)</f>
        <v>0</v>
      </c>
      <c r="W157" s="21">
        <f>IFERROR(S157*($I$31/N157),0)</f>
        <v>1.1408278604666653</v>
      </c>
      <c r="X157" s="21">
        <f>IFERROR(T157*($I$32/O157),0)</f>
        <v>0</v>
      </c>
      <c r="Y157" s="21">
        <f>IFERROR(U157*($I$33/P157),0)</f>
        <v>0</v>
      </c>
      <c r="Z157" s="221">
        <f>ROUNDUP(SUM(V157*$C$30,W157*$C$31,X157*$C$32,Y157*$C$33),0)</f>
        <v>1</v>
      </c>
      <c r="AA157" s="30">
        <f>IF(R157&lt;&gt;0,($J$30*M157*$L$33),0)</f>
        <v>0</v>
      </c>
      <c r="AB157" s="30">
        <f>IF(W157&lt;&gt;0,($J$31*N157*$L$33),0)</f>
        <v>2.9733205694316993</v>
      </c>
      <c r="AC157" s="30">
        <f>IF(X157&lt;&gt;0,($J$32*O157*$L$33),0)</f>
        <v>0</v>
      </c>
      <c r="AD157" s="30">
        <f>IF(Y157&lt;&gt;0,($J$33*P157*$L$33),0)</f>
        <v>0</v>
      </c>
      <c r="AE157" s="32">
        <f>SUM(AA157:AD157)</f>
        <v>2.9733205694316993</v>
      </c>
      <c r="AF157" s="33">
        <f>AE153</f>
        <v>15.601459033255797</v>
      </c>
      <c r="AG157" s="40">
        <f>MAX(AG156-$Q$33+AF157,0)</f>
        <v>52.950287401843354</v>
      </c>
      <c r="AH157" s="224">
        <f>AG157*$P$33</f>
        <v>4.4408691186649358</v>
      </c>
      <c r="AI157" s="227">
        <f>SUM(Z157,IF(Z157&lt;&gt;0,$F$31,0),IF(Z157&lt;&gt;0,$N$33,0),IF(Z157&lt;&gt;0,$T$33,0),IF(Z157=0,AH162,IF(Z157=1,AH163,IF(Z157=2,AH164,IF(Z157=3,AH165,IF(Z157=4,AH166,IF(Z157=5,AH167,IF(Z157=6,AH168,IF(Z157=7,AH169,IF(Z157=8,AH170,IF(Z157=9,AH171,IF(Z157=10,AH172,IF(Z157=11,AH173,IF(Z157=12,AH174,IF(Z157=13,AH175,IF(Z157=14,AH176,IF(Z157=15,AH177,IF(Z157=16,AH178,IF(Z157=17,AH179,IF(Z157=18,AH180,IF(Z157=19,AH181,IF(Z157=20,AH182,IF(Z157=21,AH183,IF(Z157=22,AH184,IF(Z157=23,AH185,IF(Z157=24,AH186,IF(Z157=25,AH187,IF(Z157=26,AH188,IF(Z157=27,AH189,IF(Z157=28,AH190,IF(Z157=29,AH191,IF(Z157=30,AH192))))))))))))))))))))))))))))))))</f>
        <v>24.055289259354538</v>
      </c>
    </row>
    <row r="158" spans="1:35" x14ac:dyDescent="0.35">
      <c r="A158" s="48">
        <v>1459</v>
      </c>
      <c r="B158" s="58">
        <f>SUMIF([2]!Table2_23[ETA],'FIS Optimal Model (3)'!A158,[2]!Table2_23[FIS PAX])</f>
        <v>0</v>
      </c>
      <c r="C158" s="44">
        <f>IF((D157-D158)&gt;-1,(D157-D158),18)</f>
        <v>18</v>
      </c>
      <c r="D158" s="52">
        <f>MAX(D157-$E$31+B157,0)</f>
        <v>243</v>
      </c>
      <c r="E158" s="26">
        <f>$C$30*C158</f>
        <v>9.9503999999999984</v>
      </c>
      <c r="F158" s="26">
        <f>$C$31*C158</f>
        <v>4.2713999999999999</v>
      </c>
      <c r="G158" s="26">
        <f>$C$32*C158</f>
        <v>2.9447999999999999</v>
      </c>
      <c r="H158" s="26">
        <f>$C$33*C158</f>
        <v>0.83340000000000003</v>
      </c>
      <c r="I158" s="27">
        <f>E153</f>
        <v>9.9503999999999984</v>
      </c>
      <c r="J158" s="27">
        <f>F153</f>
        <v>4.2713999999999999</v>
      </c>
      <c r="K158" s="27">
        <f>G153</f>
        <v>2.9447999999999999</v>
      </c>
      <c r="L158" s="27">
        <f>H153</f>
        <v>0.83340000000000003</v>
      </c>
      <c r="M158" s="28">
        <f>$M$145</f>
        <v>6</v>
      </c>
      <c r="N158" s="29">
        <f>$N$145</f>
        <v>6</v>
      </c>
      <c r="O158" s="28">
        <f>$O$145</f>
        <v>2</v>
      </c>
      <c r="P158" s="28">
        <f>$P$145</f>
        <v>2</v>
      </c>
      <c r="Q158" s="28">
        <f>SUM(M158:P158)</f>
        <v>16</v>
      </c>
      <c r="R158" s="22">
        <f>MAX(R157-($J$30*M158*$L$33)+I158,0)</f>
        <v>0</v>
      </c>
      <c r="S158" s="22">
        <f>IF(U158&lt;&gt;0,(MAX(S157-($J$31*N158*$L$33)+J158,0)),(MAX(S157-($J$31*(N158+P158)*$L$33)+J158,0)))</f>
        <v>4.2976160372749401</v>
      </c>
      <c r="T158" s="22">
        <f>MAX(T157-($J$32*O158*$L$33)+K158,0)</f>
        <v>0</v>
      </c>
      <c r="U158" s="22">
        <f>MAX(U157-($J$33*P158*$L$33)+L158,0)</f>
        <v>0</v>
      </c>
      <c r="V158" s="21">
        <f>IFERROR(R158*($I$30/M158),0)</f>
        <v>0</v>
      </c>
      <c r="W158" s="21">
        <f>IFERROR(S158*($I$31/N158),0)</f>
        <v>1.2285838497333319</v>
      </c>
      <c r="X158" s="21">
        <f>IFERROR(T158*($I$32/O158),0)</f>
        <v>0</v>
      </c>
      <c r="Y158" s="21">
        <f>IFERROR(U158*($I$33/P158),0)</f>
        <v>0</v>
      </c>
      <c r="Z158" s="221">
        <f>ROUNDUP(SUM(V158*$C$30,W158*$C$31,X158*$C$32,Y158*$C$33),0)</f>
        <v>1</v>
      </c>
      <c r="AA158" s="30">
        <f>IF(R158&lt;&gt;0,($J$30*M158*$L$33),0)</f>
        <v>0</v>
      </c>
      <c r="AB158" s="30">
        <f>IF(W158&lt;&gt;0,($J$31*N158*$L$33),0)</f>
        <v>2.9733205694316993</v>
      </c>
      <c r="AC158" s="30">
        <f>IF(X158&lt;&gt;0,($J$32*O158*$L$33),0)</f>
        <v>0</v>
      </c>
      <c r="AD158" s="30">
        <f>IF(Y158&lt;&gt;0,($J$33*P158*$L$33),0)</f>
        <v>0</v>
      </c>
      <c r="AE158" s="32">
        <f>SUM(AA158:AD158)</f>
        <v>2.9733205694316993</v>
      </c>
      <c r="AF158" s="33">
        <f>AE154</f>
        <v>15.601459033255797</v>
      </c>
      <c r="AG158" s="40">
        <f>MAX(AG157-$Q$33+AF158,0)</f>
        <v>56.628340005647374</v>
      </c>
      <c r="AH158" s="224">
        <f>AG158*$P$33</f>
        <v>4.749342424977713</v>
      </c>
      <c r="AI158" s="227">
        <f>SUM(Z158,IF(Z158&lt;&gt;0,$F$31,0),IF(Z158&lt;&gt;0,$N$33,0),IF(Z158&lt;&gt;0,$T$33,0),IF(Z158=0,AH163,IF(Z158=1,AH164,IF(Z158=2,AH165,IF(Z158=3,AH166,IF(Z158=4,AH167,IF(Z158=5,AH168,IF(Z158=6,AH169,IF(Z158=7,AH170,IF(Z158=8,AH171,IF(Z158=9,AH172,IF(Z158=10,AH173,IF(Z158=11,AH174,IF(Z158=12,AH175,IF(Z158=13,AH176,IF(Z158=14,AH177,IF(Z158=15,AH178,IF(Z158=16,AH179,IF(Z158=17,AH180,IF(Z158=18,AH181,IF(Z158=19,AH182,IF(Z158=20,AH183,IF(Z158=21,AH184,IF(Z158=22,AH185,IF(Z158=23,AH186,IF(Z158=24,AH187,IF(Z158=25,AH188,IF(Z158=26,AH189,IF(Z158=27,AH190,IF(Z158=28,AH191,IF(Z158=29,AH192,IF(Z158=30,AH193))))))))))))))))))))))))))))))))</f>
        <v>23.720271611397234</v>
      </c>
    </row>
    <row r="159" spans="1:35" x14ac:dyDescent="0.35">
      <c r="A159" s="48">
        <v>1500</v>
      </c>
      <c r="B159" s="58">
        <f>SUMIF([2]!Table2_23[ETA],'FIS Optimal Model (3)'!A159,[2]!Table2_23[FIS PAX])</f>
        <v>0</v>
      </c>
      <c r="C159" s="44">
        <f>IF((D158-D159)&gt;-1,(D158-D159),18)</f>
        <v>18</v>
      </c>
      <c r="D159" s="52">
        <f>MAX(D158-$E$31+B158,0)</f>
        <v>225</v>
      </c>
      <c r="E159" s="26">
        <f>$C$30*C159</f>
        <v>9.9503999999999984</v>
      </c>
      <c r="F159" s="26">
        <f>$C$31*C159</f>
        <v>4.2713999999999999</v>
      </c>
      <c r="G159" s="26">
        <f>$C$32*C159</f>
        <v>2.9447999999999999</v>
      </c>
      <c r="H159" s="26">
        <f>$C$33*C159</f>
        <v>0.83340000000000003</v>
      </c>
      <c r="I159" s="27">
        <f>E154</f>
        <v>9.9503999999999984</v>
      </c>
      <c r="J159" s="27">
        <f>F154</f>
        <v>4.2713999999999999</v>
      </c>
      <c r="K159" s="27">
        <f>G154</f>
        <v>2.9447999999999999</v>
      </c>
      <c r="L159" s="27">
        <f>H154</f>
        <v>0.83340000000000003</v>
      </c>
      <c r="M159" s="28">
        <f>$M$145</f>
        <v>6</v>
      </c>
      <c r="N159" s="29">
        <f>$N$145</f>
        <v>6</v>
      </c>
      <c r="O159" s="28">
        <f>$O$145</f>
        <v>2</v>
      </c>
      <c r="P159" s="28">
        <f>$P$145</f>
        <v>2</v>
      </c>
      <c r="Q159" s="28">
        <f>SUM(M159:P159)</f>
        <v>16</v>
      </c>
      <c r="R159" s="22">
        <f>MAX(R158-($J$30*M159*$L$33)+I159,0)</f>
        <v>0</v>
      </c>
      <c r="S159" s="22">
        <f>IF(U159&lt;&gt;0,(MAX(S158-($J$31*N159*$L$33)+J159,0)),(MAX(S158-($J$31*(N159+P159)*$L$33)+J159,0)))</f>
        <v>4.6045886113660073</v>
      </c>
      <c r="T159" s="22">
        <f>MAX(T158-($J$32*O159*$L$33)+K159,0)</f>
        <v>0</v>
      </c>
      <c r="U159" s="22">
        <f>MAX(U158-($J$33*P159*$L$33)+L159,0)</f>
        <v>0</v>
      </c>
      <c r="V159" s="21">
        <f>IFERROR(R159*($I$30/M159),0)</f>
        <v>0</v>
      </c>
      <c r="W159" s="21">
        <f>IFERROR(S159*($I$31/N159),0)</f>
        <v>1.3163398389999983</v>
      </c>
      <c r="X159" s="21">
        <f>IFERROR(T159*($I$32/O159),0)</f>
        <v>0</v>
      </c>
      <c r="Y159" s="21">
        <f>IFERROR(U159*($I$33/P159),0)</f>
        <v>0</v>
      </c>
      <c r="Z159" s="221">
        <f>ROUNDUP(SUM(V159*$C$30,W159*$C$31,X159*$C$32,Y159*$C$33),0)</f>
        <v>1</v>
      </c>
      <c r="AA159" s="30">
        <f>IF(R159&lt;&gt;0,($J$30*M159*$L$33),0)</f>
        <v>0</v>
      </c>
      <c r="AB159" s="30">
        <f>IF(W159&lt;&gt;0,($J$31*N159*$L$33),0)</f>
        <v>2.9733205694316993</v>
      </c>
      <c r="AC159" s="30">
        <f>IF(X159&lt;&gt;0,($J$32*O159*$L$33),0)</f>
        <v>0</v>
      </c>
      <c r="AD159" s="30">
        <f>IF(Y159&lt;&gt;0,($J$33*P159*$L$33),0)</f>
        <v>0</v>
      </c>
      <c r="AE159" s="32">
        <f>SUM(AA159:AD159)</f>
        <v>2.9733205694316993</v>
      </c>
      <c r="AF159" s="33">
        <f>AE155</f>
        <v>15.601459033255797</v>
      </c>
      <c r="AG159" s="40">
        <f>MAX(AG158-$Q$33+AF159,0)</f>
        <v>60.306392609451393</v>
      </c>
      <c r="AH159" s="224">
        <f>AG159*$P$33</f>
        <v>5.057815731290491</v>
      </c>
      <c r="AI159" s="227">
        <f>SUM(Z159,IF(Z159&lt;&gt;0,$F$31,0),IF(Z159&lt;&gt;0,$N$33,0),IF(Z159&lt;&gt;0,$T$33,0),IF(Z159=0,AH164,IF(Z159=1,AH165,IF(Z159=2,AH166,IF(Z159=3,AH167,IF(Z159=4,AH168,IF(Z159=5,AH169,IF(Z159=6,AH170,IF(Z159=7,AH171,IF(Z159=8,AH172,IF(Z159=9,AH173,IF(Z159=10,AH174,IF(Z159=11,AH175,IF(Z159=12,AH176,IF(Z159=13,AH177,IF(Z159=14,AH178,IF(Z159=15,AH179,IF(Z159=16,AH180,IF(Z159=17,AH181,IF(Z159=18,AH182,IF(Z159=19,AH183,IF(Z159=20,AH184,IF(Z159=21,AH185,IF(Z159=22,AH186,IF(Z159=23,AH187,IF(Z159=24,AH188,IF(Z159=25,AH189,IF(Z159=26,AH190,IF(Z159=27,AH191,IF(Z159=28,AH192,IF(Z159=29,AH193,IF(Z159=30,AH194))))))))))))))))))))))))))))))))</f>
        <v>22.720271611397234</v>
      </c>
    </row>
    <row r="160" spans="1:35" x14ac:dyDescent="0.35">
      <c r="A160" s="48">
        <v>1501</v>
      </c>
      <c r="B160" s="58">
        <f>SUMIF([2]!Table2_23[ETA],'FIS Optimal Model (3)'!A160,[2]!Table2_23[FIS PAX])</f>
        <v>0</v>
      </c>
      <c r="C160" s="44">
        <f>IF((D159-D160)&gt;-1,(D159-D160),18)</f>
        <v>18</v>
      </c>
      <c r="D160" s="52">
        <f>MAX(D159-$E$31+B159,0)</f>
        <v>207</v>
      </c>
      <c r="E160" s="26">
        <f>$C$30*C160</f>
        <v>9.9503999999999984</v>
      </c>
      <c r="F160" s="26">
        <f>$C$31*C160</f>
        <v>4.2713999999999999</v>
      </c>
      <c r="G160" s="26">
        <f>$C$32*C160</f>
        <v>2.9447999999999999</v>
      </c>
      <c r="H160" s="26">
        <f>$C$33*C160</f>
        <v>0.83340000000000003</v>
      </c>
      <c r="I160" s="27">
        <f>E155</f>
        <v>9.9503999999999984</v>
      </c>
      <c r="J160" s="27">
        <f>F155</f>
        <v>4.2713999999999999</v>
      </c>
      <c r="K160" s="27">
        <f>G155</f>
        <v>2.9447999999999999</v>
      </c>
      <c r="L160" s="27">
        <f>H155</f>
        <v>0.83340000000000003</v>
      </c>
      <c r="M160" s="28">
        <f>IF(R159=0,0,$Q$14)</f>
        <v>0</v>
      </c>
      <c r="N160" s="29">
        <f>$U$14-M160-O160-P160</f>
        <v>16</v>
      </c>
      <c r="O160" s="28">
        <f>IF(T159=0,0,$S$14)</f>
        <v>0</v>
      </c>
      <c r="P160" s="28">
        <f>IF(U159=0,0,$T$14)</f>
        <v>0</v>
      </c>
      <c r="Q160" s="28">
        <f>SUM(M160:P160)</f>
        <v>16</v>
      </c>
      <c r="R160" s="22">
        <f>MAX(R159-($J$30*M160*$L$33)+I160,0)</f>
        <v>9.9503999999999984</v>
      </c>
      <c r="S160" s="22">
        <f>IF(U160&lt;&gt;0,(MAX(S159-($J$31*N160*$L$33)+J160,0)),(MAX(S159-($J$31*(N160+P160)*$L$33)+J160,0)))</f>
        <v>0.94713375954814172</v>
      </c>
      <c r="T160" s="22">
        <f>MAX(T159-($J$32*O160*$L$33)+K160,0)</f>
        <v>2.9447999999999999</v>
      </c>
      <c r="U160" s="22">
        <f>MAX(U159-($J$33*P160*$L$33)+L160,0)</f>
        <v>0.83340000000000003</v>
      </c>
      <c r="V160" s="21">
        <f>IFERROR(R160*($I$30/M160),0)</f>
        <v>0</v>
      </c>
      <c r="W160" s="21">
        <f>IFERROR(S160*($I$31/N160),0)</f>
        <v>0.10153593559999927</v>
      </c>
      <c r="X160" s="21">
        <f>IFERROR(T160*($I$32/O160),0)</f>
        <v>0</v>
      </c>
      <c r="Y160" s="21">
        <f>IFERROR(U160*($I$33/P160),0)</f>
        <v>0</v>
      </c>
      <c r="Z160" s="221">
        <f>ROUNDUP(SUM(V160*$C$30,W160*$C$31,X160*$C$32,Y160*$C$33),0)</f>
        <v>1</v>
      </c>
      <c r="AA160" s="30">
        <f>IF(R160&lt;&gt;0,($J$30*M160*$L$33),0)</f>
        <v>0</v>
      </c>
      <c r="AB160" s="30">
        <f>IF(W160&lt;&gt;0,($J$31*N160*$L$33),0)</f>
        <v>7.9288548518178654</v>
      </c>
      <c r="AC160" s="30">
        <f>IF(X160&lt;&gt;0,($J$32*O160*$L$33),0)</f>
        <v>0</v>
      </c>
      <c r="AD160" s="30">
        <f>IF(Y160&lt;&gt;0,($J$33*P160*$L$33),0)</f>
        <v>0</v>
      </c>
      <c r="AE160" s="32">
        <f>SUM(AA160:AD160)</f>
        <v>7.9288548518178654</v>
      </c>
      <c r="AF160" s="33">
        <f>AE156</f>
        <v>2.9733205694316993</v>
      </c>
      <c r="AG160" s="40">
        <f>MAX(AG159-$Q$33+AF160,0)</f>
        <v>51.356306749431312</v>
      </c>
      <c r="AH160" s="224">
        <f>AG160*$P$33</f>
        <v>4.3071841133065023</v>
      </c>
      <c r="AI160" s="227">
        <f>SUM(Z160,IF(Z160&lt;&gt;0,$F$31,0),IF(Z160&lt;&gt;0,$N$33,0),IF(Z160&lt;&gt;0,$T$33,0),IF(Z160=0,AH165,IF(Z160=1,AH166,IF(Z160=2,AH167,IF(Z160=3,AH168,IF(Z160=4,AH169,IF(Z160=5,AH170,IF(Z160=6,AH171,IF(Z160=7,AH172,IF(Z160=8,AH173,IF(Z160=9,AH174,IF(Z160=10,AH175,IF(Z160=11,AH176,IF(Z160=12,AH177,IF(Z160=13,AH178,IF(Z160=14,AH179,IF(Z160=15,AH180,IF(Z160=16,AH181,IF(Z160=17,AH182,IF(Z160=18,AH183,IF(Z160=19,AH184,IF(Z160=20,AH185,IF(Z160=21,AH186,IF(Z160=22,AH187,IF(Z160=23,AH188,IF(Z160=24,AH189,IF(Z160=25,AH190,IF(Z160=26,AH191,IF(Z160=27,AH192,IF(Z160=28,AH193,IF(Z160=29,AH194,IF(Z160=30,AH195))))))))))))))))))))))))))))))))</f>
        <v>22</v>
      </c>
    </row>
    <row r="161" spans="1:35" x14ac:dyDescent="0.35">
      <c r="A161" s="48">
        <v>1502</v>
      </c>
      <c r="B161" s="58">
        <f>SUMIF([2]!Table2_23[ETA],'FIS Optimal Model (3)'!A161,[2]!Table2_23[FIS PAX])</f>
        <v>0</v>
      </c>
      <c r="C161" s="44">
        <f>IF((D160-D161)&gt;-1,(D160-D161),18)</f>
        <v>18</v>
      </c>
      <c r="D161" s="52">
        <f>MAX(D160-$E$31+B160,0)</f>
        <v>189</v>
      </c>
      <c r="E161" s="26">
        <f>$C$30*C161</f>
        <v>9.9503999999999984</v>
      </c>
      <c r="F161" s="26">
        <f>$C$31*C161</f>
        <v>4.2713999999999999</v>
      </c>
      <c r="G161" s="26">
        <f>$C$32*C161</f>
        <v>2.9447999999999999</v>
      </c>
      <c r="H161" s="26">
        <f>$C$33*C161</f>
        <v>0.83340000000000003</v>
      </c>
      <c r="I161" s="27">
        <f>E156</f>
        <v>9.9503999999999984</v>
      </c>
      <c r="J161" s="27">
        <f>F156</f>
        <v>4.2713999999999999</v>
      </c>
      <c r="K161" s="27">
        <f>G156</f>
        <v>2.9447999999999999</v>
      </c>
      <c r="L161" s="27">
        <f>H156</f>
        <v>0.83340000000000003</v>
      </c>
      <c r="M161" s="28">
        <f>$M$160</f>
        <v>0</v>
      </c>
      <c r="N161" s="29">
        <f>$N$160</f>
        <v>16</v>
      </c>
      <c r="O161" s="28">
        <f>$O$160</f>
        <v>0</v>
      </c>
      <c r="P161" s="28">
        <f>$P$160</f>
        <v>0</v>
      </c>
      <c r="Q161" s="28">
        <f>SUM(M161:P161)</f>
        <v>16</v>
      </c>
      <c r="R161" s="22">
        <f>MAX(R160-($J$30*M161*$L$33)+I161,0)</f>
        <v>19.900799999999997</v>
      </c>
      <c r="S161" s="22">
        <f>IF(U161&lt;&gt;0,(MAX(S160-($J$31*N161*$L$33)+J161,0)),(MAX(S160-($J$31*(N161+P161)*$L$33)+J161,0)))</f>
        <v>0</v>
      </c>
      <c r="T161" s="22">
        <f>MAX(T160-($J$32*O161*$L$33)+K161,0)</f>
        <v>5.8895999999999997</v>
      </c>
      <c r="U161" s="22">
        <f>MAX(U160-($J$33*P161*$L$33)+L161,0)</f>
        <v>1.6668000000000001</v>
      </c>
      <c r="V161" s="21">
        <f>IFERROR(R161*($I$30/M161),0)</f>
        <v>0</v>
      </c>
      <c r="W161" s="21">
        <f>IFERROR(S161*($I$31/N161),0)</f>
        <v>0</v>
      </c>
      <c r="X161" s="21">
        <f>IFERROR(T161*($I$32/O161),0)</f>
        <v>0</v>
      </c>
      <c r="Y161" s="21">
        <f>IFERROR(U161*($I$33/P161),0)</f>
        <v>0</v>
      </c>
      <c r="Z161" s="221">
        <f>ROUNDUP(SUM(V161*$C$30,W161*$C$31,X161*$C$32,Y161*$C$33),0)</f>
        <v>0</v>
      </c>
      <c r="AA161" s="30">
        <f>IF(R161&lt;&gt;0,($J$30*M161*$L$33),0)</f>
        <v>0</v>
      </c>
      <c r="AB161" s="30">
        <f>IF(W161&lt;&gt;0,($J$31*N161*$L$33),0)</f>
        <v>0</v>
      </c>
      <c r="AC161" s="30">
        <f>IF(X161&lt;&gt;0,($J$32*O161*$L$33),0)</f>
        <v>0</v>
      </c>
      <c r="AD161" s="30">
        <f>IF(Y161&lt;&gt;0,($J$33*P161*$L$33),0)</f>
        <v>0</v>
      </c>
      <c r="AE161" s="32">
        <f>SUM(AA161:AD161)</f>
        <v>0</v>
      </c>
      <c r="AF161" s="33">
        <f>AE157</f>
        <v>2.9733205694316993</v>
      </c>
      <c r="AG161" s="40">
        <f>MAX(AG160-$Q$33+AF161,0)</f>
        <v>42.40622088941123</v>
      </c>
      <c r="AH161" s="224">
        <f>AG161*$P$33</f>
        <v>3.5565524953225136</v>
      </c>
      <c r="AI161" s="227">
        <f>SUM(Z161,IF(Z161&lt;&gt;0,$F$31,0),IF(Z161&lt;&gt;0,$N$33,0),IF(Z161&lt;&gt;0,$T$33,0),IF(Z161=0,AH166,IF(Z161=1,AH167,IF(Z161=2,AH168,IF(Z161=3,AH169,IF(Z161=4,AH170,IF(Z161=5,AH171,IF(Z161=6,AH172,IF(Z161=7,AH173,IF(Z161=8,AH174,IF(Z161=9,AH175,IF(Z161=10,AH176,IF(Z161=11,AH177,IF(Z161=12,AH178,IF(Z161=13,AH179,IF(Z161=14,AH180,IF(Z161=15,AH181,IF(Z161=16,AH182,IF(Z161=17,AH183,IF(Z161=18,AH184,IF(Z161=19,AH185,IF(Z161=20,AH186,IF(Z161=21,AH187,IF(Z161=22,AH188,IF(Z161=23,AH189,IF(Z161=24,AH190,IF(Z161=25,AH191,IF(Z161=26,AH192,IF(Z161=27,AH193,IF(Z161=28,AH194,IF(Z161=29,AH195,IF(Z161=30,AH196))))))))))))))))))))))))))))))))</f>
        <v>0</v>
      </c>
    </row>
    <row r="162" spans="1:35" x14ac:dyDescent="0.35">
      <c r="A162" s="48">
        <v>1503</v>
      </c>
      <c r="B162" s="58">
        <f>SUMIF([2]!Table2_23[ETA],'FIS Optimal Model (3)'!A162,[2]!Table2_23[FIS PAX])</f>
        <v>0</v>
      </c>
      <c r="C162" s="44">
        <f>IF((D161-D162)&gt;-1,(D161-D162),18)</f>
        <v>18</v>
      </c>
      <c r="D162" s="52">
        <f>MAX(D161-$E$31+B161,0)</f>
        <v>171</v>
      </c>
      <c r="E162" s="26">
        <f>$C$30*C162</f>
        <v>9.9503999999999984</v>
      </c>
      <c r="F162" s="26">
        <f>$C$31*C162</f>
        <v>4.2713999999999999</v>
      </c>
      <c r="G162" s="26">
        <f>$C$32*C162</f>
        <v>2.9447999999999999</v>
      </c>
      <c r="H162" s="26">
        <f>$C$33*C162</f>
        <v>0.83340000000000003</v>
      </c>
      <c r="I162" s="27">
        <f>E157</f>
        <v>9.9503999999999984</v>
      </c>
      <c r="J162" s="27">
        <f>F157</f>
        <v>4.2713999999999999</v>
      </c>
      <c r="K162" s="27">
        <f>G157</f>
        <v>2.9447999999999999</v>
      </c>
      <c r="L162" s="27">
        <f>H157</f>
        <v>0.83340000000000003</v>
      </c>
      <c r="M162" s="28">
        <f>$M$160</f>
        <v>0</v>
      </c>
      <c r="N162" s="29">
        <f>$N$160</f>
        <v>16</v>
      </c>
      <c r="O162" s="28">
        <f>$O$160</f>
        <v>0</v>
      </c>
      <c r="P162" s="28">
        <f>$P$160</f>
        <v>0</v>
      </c>
      <c r="Q162" s="28">
        <f>SUM(M162:P162)</f>
        <v>16</v>
      </c>
      <c r="R162" s="22">
        <f>MAX(R161-($J$30*M162*$L$33)+I162,0)</f>
        <v>29.851199999999995</v>
      </c>
      <c r="S162" s="22">
        <f>IF(U162&lt;&gt;0,(MAX(S161-($J$31*N162*$L$33)+J162,0)),(MAX(S161-($J$31*(N162+P162)*$L$33)+J162,0)))</f>
        <v>0</v>
      </c>
      <c r="T162" s="22">
        <f>MAX(T161-($J$32*O162*$L$33)+K162,0)</f>
        <v>8.8343999999999987</v>
      </c>
      <c r="U162" s="22">
        <f>MAX(U161-($J$33*P162*$L$33)+L162,0)</f>
        <v>2.5002</v>
      </c>
      <c r="V162" s="21">
        <f>IFERROR(R162*($I$30/M162),0)</f>
        <v>0</v>
      </c>
      <c r="W162" s="21">
        <f>IFERROR(S162*($I$31/N162),0)</f>
        <v>0</v>
      </c>
      <c r="X162" s="21">
        <f>IFERROR(T162*($I$32/O162),0)</f>
        <v>0</v>
      </c>
      <c r="Y162" s="21">
        <f>IFERROR(U162*($I$33/P162),0)</f>
        <v>0</v>
      </c>
      <c r="Z162" s="221">
        <f>ROUNDUP(SUM(V162*$C$30,W162*$C$31,X162*$C$32,Y162*$C$33),0)</f>
        <v>0</v>
      </c>
      <c r="AA162" s="30">
        <f>IF(R162&lt;&gt;0,($J$30*M162*$L$33),0)</f>
        <v>0</v>
      </c>
      <c r="AB162" s="30">
        <f>IF(W162&lt;&gt;0,($J$31*N162*$L$33),0)</f>
        <v>0</v>
      </c>
      <c r="AC162" s="30">
        <f>IF(X162&lt;&gt;0,($J$32*O162*$L$33),0)</f>
        <v>0</v>
      </c>
      <c r="AD162" s="30">
        <f>IF(Y162&lt;&gt;0,($J$33*P162*$L$33),0)</f>
        <v>0</v>
      </c>
      <c r="AE162" s="32">
        <f>SUM(AA162:AD162)</f>
        <v>0</v>
      </c>
      <c r="AF162" s="33">
        <f>AE158</f>
        <v>2.9733205694316993</v>
      </c>
      <c r="AG162" s="40">
        <f>MAX(AG161-$Q$33+AF162,0)</f>
        <v>33.456135029391149</v>
      </c>
      <c r="AH162" s="224">
        <f>AG162*$P$33</f>
        <v>2.8059208773385249</v>
      </c>
      <c r="AI162" s="227">
        <f>SUM(Z162,IF(Z162&lt;&gt;0,$F$31,0),IF(Z162&lt;&gt;0,$N$33,0),IF(Z162&lt;&gt;0,$T$33,0),IF(Z162=0,AH167,IF(Z162=1,AH168,IF(Z162=2,AH169,IF(Z162=3,AH170,IF(Z162=4,AH171,IF(Z162=5,AH172,IF(Z162=6,AH173,IF(Z162=7,AH174,IF(Z162=8,AH175,IF(Z162=9,AH176,IF(Z162=10,AH177,IF(Z162=11,AH178,IF(Z162=12,AH179,IF(Z162=13,AH180,IF(Z162=14,AH181,IF(Z162=15,AH182,IF(Z162=16,AH183,IF(Z162=17,AH184,IF(Z162=18,AH185,IF(Z162=19,AH186,IF(Z162=20,AH187,IF(Z162=21,AH188,IF(Z162=22,AH189,IF(Z162=23,AH190,IF(Z162=24,AH191,IF(Z162=25,AH192,IF(Z162=26,AH193,IF(Z162=27,AH194,IF(Z162=28,AH195,IF(Z162=29,AH196,IF(Z162=30,AH197))))))))))))))))))))))))))))))))</f>
        <v>0</v>
      </c>
    </row>
    <row r="163" spans="1:35" x14ac:dyDescent="0.35">
      <c r="A163" s="48">
        <v>1504</v>
      </c>
      <c r="B163" s="58">
        <f>SUMIF([2]!Table2_23[ETA],'FIS Optimal Model (3)'!A163,[2]!Table2_23[FIS PAX])</f>
        <v>0</v>
      </c>
      <c r="C163" s="44">
        <f>IF((D162-D163)&gt;-1,(D162-D163),18)</f>
        <v>18</v>
      </c>
      <c r="D163" s="52">
        <f>MAX(D162-$E$31+B162,0)</f>
        <v>153</v>
      </c>
      <c r="E163" s="26">
        <f>$C$30*C163</f>
        <v>9.9503999999999984</v>
      </c>
      <c r="F163" s="26">
        <f>$C$31*C163</f>
        <v>4.2713999999999999</v>
      </c>
      <c r="G163" s="26">
        <f>$C$32*C163</f>
        <v>2.9447999999999999</v>
      </c>
      <c r="H163" s="26">
        <f>$C$33*C163</f>
        <v>0.83340000000000003</v>
      </c>
      <c r="I163" s="27">
        <f>E158</f>
        <v>9.9503999999999984</v>
      </c>
      <c r="J163" s="27">
        <f>F158</f>
        <v>4.2713999999999999</v>
      </c>
      <c r="K163" s="27">
        <f>G158</f>
        <v>2.9447999999999999</v>
      </c>
      <c r="L163" s="27">
        <f>H158</f>
        <v>0.83340000000000003</v>
      </c>
      <c r="M163" s="28">
        <f>$M$160</f>
        <v>0</v>
      </c>
      <c r="N163" s="29">
        <f>$N$160</f>
        <v>16</v>
      </c>
      <c r="O163" s="28">
        <f>$O$160</f>
        <v>0</v>
      </c>
      <c r="P163" s="28">
        <f>$P$160</f>
        <v>0</v>
      </c>
      <c r="Q163" s="28">
        <f>SUM(M163:P163)</f>
        <v>16</v>
      </c>
      <c r="R163" s="22">
        <f>MAX(R162-($J$30*M163*$L$33)+I163,0)</f>
        <v>39.801599999999993</v>
      </c>
      <c r="S163" s="22">
        <f>IF(U163&lt;&gt;0,(MAX(S162-($J$31*N163*$L$33)+J163,0)),(MAX(S162-($J$31*(N163+P163)*$L$33)+J163,0)))</f>
        <v>0</v>
      </c>
      <c r="T163" s="22">
        <f>MAX(T162-($J$32*O163*$L$33)+K163,0)</f>
        <v>11.779199999999999</v>
      </c>
      <c r="U163" s="22">
        <f>MAX(U162-($J$33*P163*$L$33)+L163,0)</f>
        <v>3.3336000000000001</v>
      </c>
      <c r="V163" s="21">
        <f>IFERROR(R163*($I$30/M163),0)</f>
        <v>0</v>
      </c>
      <c r="W163" s="21">
        <f>IFERROR(S163*($I$31/N163),0)</f>
        <v>0</v>
      </c>
      <c r="X163" s="21">
        <f>IFERROR(T163*($I$32/O163),0)</f>
        <v>0</v>
      </c>
      <c r="Y163" s="21">
        <f>IFERROR(U163*($I$33/P163),0)</f>
        <v>0</v>
      </c>
      <c r="Z163" s="221">
        <f>ROUNDUP(SUM(V163*$C$30,W163*$C$31,X163*$C$32,Y163*$C$33),0)</f>
        <v>0</v>
      </c>
      <c r="AA163" s="30">
        <f>IF(R163&lt;&gt;0,($J$30*M163*$L$33),0)</f>
        <v>0</v>
      </c>
      <c r="AB163" s="30">
        <f>IF(W163&lt;&gt;0,($J$31*N163*$L$33),0)</f>
        <v>0</v>
      </c>
      <c r="AC163" s="30">
        <f>IF(X163&lt;&gt;0,($J$32*O163*$L$33),0)</f>
        <v>0</v>
      </c>
      <c r="AD163" s="30">
        <f>IF(Y163&lt;&gt;0,($J$33*P163*$L$33),0)</f>
        <v>0</v>
      </c>
      <c r="AE163" s="32">
        <f>SUM(AA163:AD163)</f>
        <v>0</v>
      </c>
      <c r="AF163" s="33">
        <f>AE159</f>
        <v>2.9733205694316993</v>
      </c>
      <c r="AG163" s="40">
        <f>MAX(AG162-$Q$33+AF163,0)</f>
        <v>24.506049169371067</v>
      </c>
      <c r="AH163" s="224">
        <f>AG163*$P$33</f>
        <v>2.0552892593545367</v>
      </c>
      <c r="AI163" s="227">
        <f>SUM(Z163,IF(Z163&lt;&gt;0,$F$31,0),IF(Z163&lt;&gt;0,$N$33,0),IF(Z163&lt;&gt;0,$T$33,0),IF(Z163=0,AH168,IF(Z163=1,AH169,IF(Z163=2,AH170,IF(Z163=3,AH171,IF(Z163=4,AH172,IF(Z163=5,AH173,IF(Z163=6,AH174,IF(Z163=7,AH175,IF(Z163=8,AH176,IF(Z163=9,AH177,IF(Z163=10,AH178,IF(Z163=11,AH179,IF(Z163=12,AH180,IF(Z163=13,AH181,IF(Z163=14,AH182,IF(Z163=15,AH183,IF(Z163=16,AH184,IF(Z163=17,AH185,IF(Z163=18,AH186,IF(Z163=19,AH187,IF(Z163=20,AH188,IF(Z163=21,AH189,IF(Z163=22,AH190,IF(Z163=23,AH191,IF(Z163=24,AH192,IF(Z163=25,AH193,IF(Z163=26,AH194,IF(Z163=27,AH195,IF(Z163=28,AH196,IF(Z163=29,AH197,IF(Z163=30,AH198))))))))))))))))))))))))))))))))</f>
        <v>0</v>
      </c>
    </row>
    <row r="164" spans="1:35" x14ac:dyDescent="0.35">
      <c r="A164" s="48">
        <v>1505</v>
      </c>
      <c r="B164" s="58">
        <f>SUMIF([2]!Table2_23[ETA],'FIS Optimal Model (3)'!A164,[2]!Table2_23[FIS PAX])</f>
        <v>0</v>
      </c>
      <c r="C164" s="44">
        <f>IF((D163-D164)&gt;-1,(D163-D164),18)</f>
        <v>18</v>
      </c>
      <c r="D164" s="52">
        <f>MAX(D163-$E$31+B163,0)</f>
        <v>135</v>
      </c>
      <c r="E164" s="26">
        <f>$C$30*C164</f>
        <v>9.9503999999999984</v>
      </c>
      <c r="F164" s="26">
        <f>$C$31*C164</f>
        <v>4.2713999999999999</v>
      </c>
      <c r="G164" s="26">
        <f>$C$32*C164</f>
        <v>2.9447999999999999</v>
      </c>
      <c r="H164" s="26">
        <f>$C$33*C164</f>
        <v>0.83340000000000003</v>
      </c>
      <c r="I164" s="27">
        <f>E159</f>
        <v>9.9503999999999984</v>
      </c>
      <c r="J164" s="27">
        <f>F159</f>
        <v>4.2713999999999999</v>
      </c>
      <c r="K164" s="27">
        <f>G159</f>
        <v>2.9447999999999999</v>
      </c>
      <c r="L164" s="27">
        <f>H159</f>
        <v>0.83340000000000003</v>
      </c>
      <c r="M164" s="28">
        <f>$M$160</f>
        <v>0</v>
      </c>
      <c r="N164" s="29">
        <f>$N$160</f>
        <v>16</v>
      </c>
      <c r="O164" s="28">
        <f>$O$160</f>
        <v>0</v>
      </c>
      <c r="P164" s="28">
        <f>$P$160</f>
        <v>0</v>
      </c>
      <c r="Q164" s="28">
        <f>SUM(M164:P164)</f>
        <v>16</v>
      </c>
      <c r="R164" s="22">
        <f>MAX(R163-($J$30*M164*$L$33)+I164,0)</f>
        <v>49.751999999999995</v>
      </c>
      <c r="S164" s="22">
        <f>IF(U164&lt;&gt;0,(MAX(S163-($J$31*N164*$L$33)+J164,0)),(MAX(S163-($J$31*(N164+P164)*$L$33)+J164,0)))</f>
        <v>0</v>
      </c>
      <c r="T164" s="22">
        <f>MAX(T163-($J$32*O164*$L$33)+K164,0)</f>
        <v>14.724</v>
      </c>
      <c r="U164" s="22">
        <f>MAX(U163-($J$33*P164*$L$33)+L164,0)</f>
        <v>4.1669999999999998</v>
      </c>
      <c r="V164" s="21">
        <f>IFERROR(R164*($I$30/M164),0)</f>
        <v>0</v>
      </c>
      <c r="W164" s="21">
        <f>IFERROR(S164*($I$31/N164),0)</f>
        <v>0</v>
      </c>
      <c r="X164" s="21">
        <f>IFERROR(T164*($I$32/O164),0)</f>
        <v>0</v>
      </c>
      <c r="Y164" s="21">
        <f>IFERROR(U164*($I$33/P164),0)</f>
        <v>0</v>
      </c>
      <c r="Z164" s="221">
        <f>ROUNDUP(SUM(V164*$C$30,W164*$C$31,X164*$C$32,Y164*$C$33),0)</f>
        <v>0</v>
      </c>
      <c r="AA164" s="30">
        <f>IF(R164&lt;&gt;0,($J$30*M164*$L$33),0)</f>
        <v>0</v>
      </c>
      <c r="AB164" s="30">
        <f>IF(W164&lt;&gt;0,($J$31*N164*$L$33),0)</f>
        <v>0</v>
      </c>
      <c r="AC164" s="30">
        <f>IF(X164&lt;&gt;0,($J$32*O164*$L$33),0)</f>
        <v>0</v>
      </c>
      <c r="AD164" s="30">
        <f>IF(Y164&lt;&gt;0,($J$33*P164*$L$33),0)</f>
        <v>0</v>
      </c>
      <c r="AE164" s="32">
        <f>SUM(AA164:AD164)</f>
        <v>0</v>
      </c>
      <c r="AF164" s="33">
        <f>AE160</f>
        <v>7.9288548518178654</v>
      </c>
      <c r="AG164" s="40">
        <f>MAX(AG163-$Q$33+AF164,0)</f>
        <v>20.511497591737154</v>
      </c>
      <c r="AH164" s="224">
        <f>AG164*$P$33</f>
        <v>1.7202716113972341</v>
      </c>
      <c r="AI164" s="227">
        <f>SUM(Z164,IF(Z164&lt;&gt;0,$F$31,0),IF(Z164&lt;&gt;0,$N$33,0),IF(Z164&lt;&gt;0,$T$33,0),IF(Z164=0,AH169,IF(Z164=1,AH170,IF(Z164=2,AH171,IF(Z164=3,AH172,IF(Z164=4,AH173,IF(Z164=5,AH174,IF(Z164=6,AH175,IF(Z164=7,AH176,IF(Z164=8,AH177,IF(Z164=9,AH178,IF(Z164=10,AH179,IF(Z164=11,AH180,IF(Z164=12,AH181,IF(Z164=13,AH182,IF(Z164=14,AH183,IF(Z164=15,AH184,IF(Z164=16,AH185,IF(Z164=17,AH186,IF(Z164=18,AH187,IF(Z164=19,AH188,IF(Z164=20,AH189,IF(Z164=21,AH190,IF(Z164=22,AH191,IF(Z164=23,AH192,IF(Z164=24,AH193,IF(Z164=25,AH194,IF(Z164=26,AH195,IF(Z164=27,AH196,IF(Z164=28,AH197,IF(Z164=29,AH198,IF(Z164=30,AH199))))))))))))))))))))))))))))))))</f>
        <v>0</v>
      </c>
    </row>
    <row r="165" spans="1:35" x14ac:dyDescent="0.35">
      <c r="A165" s="48">
        <v>1506</v>
      </c>
      <c r="B165" s="58">
        <f>SUMIF([2]!Table2_23[ETA],'FIS Optimal Model (3)'!A165,[2]!Table2_23[FIS PAX])</f>
        <v>86</v>
      </c>
      <c r="C165" s="44">
        <f>IF((D164-D165)&gt;-1,(D164-D165),18)</f>
        <v>18</v>
      </c>
      <c r="D165" s="52">
        <f>MAX(D164-$E$31+B164,0)</f>
        <v>117</v>
      </c>
      <c r="E165" s="26">
        <f>$C$30*C165</f>
        <v>9.9503999999999984</v>
      </c>
      <c r="F165" s="26">
        <f>$C$31*C165</f>
        <v>4.2713999999999999</v>
      </c>
      <c r="G165" s="26">
        <f>$C$32*C165</f>
        <v>2.9447999999999999</v>
      </c>
      <c r="H165" s="26">
        <f>$C$33*C165</f>
        <v>0.83340000000000003</v>
      </c>
      <c r="I165" s="27">
        <f>E160</f>
        <v>9.9503999999999984</v>
      </c>
      <c r="J165" s="27">
        <f>F160</f>
        <v>4.2713999999999999</v>
      </c>
      <c r="K165" s="27">
        <f>G160</f>
        <v>2.9447999999999999</v>
      </c>
      <c r="L165" s="27">
        <f>H160</f>
        <v>0.83340000000000003</v>
      </c>
      <c r="M165" s="28">
        <f>$M$160</f>
        <v>0</v>
      </c>
      <c r="N165" s="29">
        <f>$N$160</f>
        <v>16</v>
      </c>
      <c r="O165" s="28">
        <f>$O$160</f>
        <v>0</v>
      </c>
      <c r="P165" s="28">
        <f>$P$160</f>
        <v>0</v>
      </c>
      <c r="Q165" s="28">
        <f>SUM(M165:P165)</f>
        <v>16</v>
      </c>
      <c r="R165" s="22">
        <f>MAX(R164-($J$30*M165*$L$33)+I165,0)</f>
        <v>59.702399999999997</v>
      </c>
      <c r="S165" s="22">
        <f>IF(U165&lt;&gt;0,(MAX(S164-($J$31*N165*$L$33)+J165,0)),(MAX(S164-($J$31*(N165+P165)*$L$33)+J165,0)))</f>
        <v>0</v>
      </c>
      <c r="T165" s="22">
        <f>MAX(T164-($J$32*O165*$L$33)+K165,0)</f>
        <v>17.668800000000001</v>
      </c>
      <c r="U165" s="22">
        <f>MAX(U164-($J$33*P165*$L$33)+L165,0)</f>
        <v>5.0004</v>
      </c>
      <c r="V165" s="21">
        <f>IFERROR(R165*($I$30/M165),0)</f>
        <v>0</v>
      </c>
      <c r="W165" s="21">
        <f>IFERROR(S165*($I$31/N165),0)</f>
        <v>0</v>
      </c>
      <c r="X165" s="21">
        <f>IFERROR(T165*($I$32/O165),0)</f>
        <v>0</v>
      </c>
      <c r="Y165" s="21">
        <f>IFERROR(U165*($I$33/P165),0)</f>
        <v>0</v>
      </c>
      <c r="Z165" s="221">
        <f>ROUNDUP(SUM(V165*$C$30,W165*$C$31,X165*$C$32,Y165*$C$33),0)</f>
        <v>0</v>
      </c>
      <c r="AA165" s="30">
        <f>IF(R165&lt;&gt;0,($J$30*M165*$L$33),0)</f>
        <v>0</v>
      </c>
      <c r="AB165" s="30">
        <f>IF(W165&lt;&gt;0,($J$31*N165*$L$33),0)</f>
        <v>0</v>
      </c>
      <c r="AC165" s="30">
        <f>IF(X165&lt;&gt;0,($J$32*O165*$L$33),0)</f>
        <v>0</v>
      </c>
      <c r="AD165" s="30">
        <f>IF(Y165&lt;&gt;0,($J$33*P165*$L$33),0)</f>
        <v>0</v>
      </c>
      <c r="AE165" s="32">
        <f>SUM(AA165:AD165)</f>
        <v>0</v>
      </c>
      <c r="AF165" s="33">
        <f>AE161</f>
        <v>0</v>
      </c>
      <c r="AG165" s="40">
        <f>MAX(AG164-$Q$33+AF165,0)</f>
        <v>8.5880911622853731</v>
      </c>
      <c r="AH165" s="224">
        <f>AG165*$P$33</f>
        <v>0.72027161139723395</v>
      </c>
      <c r="AI165" s="227">
        <f>SUM(Z165,IF(Z165&lt;&gt;0,$F$31,0),IF(Z165&lt;&gt;0,$N$33,0),IF(Z165&lt;&gt;0,$T$33,0),IF(Z165=0,AH170,IF(Z165=1,AH171,IF(Z165=2,AH172,IF(Z165=3,AH173,IF(Z165=4,AH174,IF(Z165=5,AH175,IF(Z165=6,AH176,IF(Z165=7,AH177,IF(Z165=8,AH178,IF(Z165=9,AH179,IF(Z165=10,AH180,IF(Z165=11,AH181,IF(Z165=12,AH182,IF(Z165=13,AH183,IF(Z165=14,AH184,IF(Z165=15,AH185,IF(Z165=16,AH186,IF(Z165=17,AH187,IF(Z165=18,AH188,IF(Z165=19,AH189,IF(Z165=20,AH190,IF(Z165=21,AH191,IF(Z165=22,AH192,IF(Z165=23,AH193,IF(Z165=24,AH194,IF(Z165=25,AH195,IF(Z165=26,AH196,IF(Z165=27,AH197,IF(Z165=28,AH198,IF(Z165=29,AH199,IF(Z165=30,AH200))))))))))))))))))))))))))))))))</f>
        <v>0</v>
      </c>
    </row>
    <row r="166" spans="1:35" x14ac:dyDescent="0.35">
      <c r="A166" s="48">
        <v>1507</v>
      </c>
      <c r="B166" s="58">
        <f>SUMIF([2]!Table2_23[ETA],'FIS Optimal Model (3)'!A166,[2]!Table2_23[FIS PAX])</f>
        <v>0</v>
      </c>
      <c r="C166" s="44">
        <f>IF((D165-D166)&gt;-1,(D165-D166),18)</f>
        <v>18</v>
      </c>
      <c r="D166" s="52">
        <f>MAX(D165-$E$31+B165,0)</f>
        <v>185</v>
      </c>
      <c r="E166" s="26">
        <f>$C$30*C166</f>
        <v>9.9503999999999984</v>
      </c>
      <c r="F166" s="26">
        <f>$C$31*C166</f>
        <v>4.2713999999999999</v>
      </c>
      <c r="G166" s="26">
        <f>$C$32*C166</f>
        <v>2.9447999999999999</v>
      </c>
      <c r="H166" s="26">
        <f>$C$33*C166</f>
        <v>0.83340000000000003</v>
      </c>
      <c r="I166" s="27">
        <f>E161</f>
        <v>9.9503999999999984</v>
      </c>
      <c r="J166" s="27">
        <f>F161</f>
        <v>4.2713999999999999</v>
      </c>
      <c r="K166" s="27">
        <f>G161</f>
        <v>2.9447999999999999</v>
      </c>
      <c r="L166" s="27">
        <f>H161</f>
        <v>0.83340000000000003</v>
      </c>
      <c r="M166" s="28">
        <f>$M$160</f>
        <v>0</v>
      </c>
      <c r="N166" s="29">
        <f>$N$160</f>
        <v>16</v>
      </c>
      <c r="O166" s="28">
        <f>$O$160</f>
        <v>0</v>
      </c>
      <c r="P166" s="28">
        <f>$P$160</f>
        <v>0</v>
      </c>
      <c r="Q166" s="28">
        <f>SUM(M166:P166)</f>
        <v>16</v>
      </c>
      <c r="R166" s="22">
        <f>MAX(R165-($J$30*M166*$L$33)+I166,0)</f>
        <v>69.652799999999999</v>
      </c>
      <c r="S166" s="22">
        <f>IF(U166&lt;&gt;0,(MAX(S165-($J$31*N166*$L$33)+J166,0)),(MAX(S165-($J$31*(N166+P166)*$L$33)+J166,0)))</f>
        <v>0</v>
      </c>
      <c r="T166" s="22">
        <f>MAX(T165-($J$32*O166*$L$33)+K166,0)</f>
        <v>20.613600000000002</v>
      </c>
      <c r="U166" s="22">
        <f>MAX(U165-($J$33*P166*$L$33)+L166,0)</f>
        <v>5.8338000000000001</v>
      </c>
      <c r="V166" s="21">
        <f>IFERROR(R166*($I$30/M166),0)</f>
        <v>0</v>
      </c>
      <c r="W166" s="21">
        <f>IFERROR(S166*($I$31/N166),0)</f>
        <v>0</v>
      </c>
      <c r="X166" s="21">
        <f>IFERROR(T166*($I$32/O166),0)</f>
        <v>0</v>
      </c>
      <c r="Y166" s="21">
        <f>IFERROR(U166*($I$33/P166),0)</f>
        <v>0</v>
      </c>
      <c r="Z166" s="221">
        <f>ROUNDUP(SUM(V166*$C$30,W166*$C$31,X166*$C$32,Y166*$C$33),0)</f>
        <v>0</v>
      </c>
      <c r="AA166" s="30">
        <f>IF(R166&lt;&gt;0,($J$30*M166*$L$33),0)</f>
        <v>0</v>
      </c>
      <c r="AB166" s="30">
        <f>IF(W166&lt;&gt;0,($J$31*N166*$L$33),0)</f>
        <v>0</v>
      </c>
      <c r="AC166" s="30">
        <f>IF(X166&lt;&gt;0,($J$32*O166*$L$33),0)</f>
        <v>0</v>
      </c>
      <c r="AD166" s="30">
        <f>IF(Y166&lt;&gt;0,($J$33*P166*$L$33),0)</f>
        <v>0</v>
      </c>
      <c r="AE166" s="32">
        <f>SUM(AA166:AD166)</f>
        <v>0</v>
      </c>
      <c r="AF166" s="33">
        <f>AE162</f>
        <v>0</v>
      </c>
      <c r="AG166" s="40">
        <f>MAX(AG165-$Q$33+AF166,0)</f>
        <v>0</v>
      </c>
      <c r="AH166" s="224">
        <f>AG166*$P$33</f>
        <v>0</v>
      </c>
      <c r="AI166" s="227">
        <f>SUM(Z166,IF(Z166&lt;&gt;0,$F$31,0),IF(Z166&lt;&gt;0,$N$33,0),IF(Z166&lt;&gt;0,$T$33,0),IF(Z166=0,AH171,IF(Z166=1,AH172,IF(Z166=2,AH173,IF(Z166=3,AH174,IF(Z166=4,AH175,IF(Z166=5,AH176,IF(Z166=6,AH177,IF(Z166=7,AH178,IF(Z166=8,AH179,IF(Z166=9,AH180,IF(Z166=10,AH181,IF(Z166=11,AH182,IF(Z166=12,AH183,IF(Z166=13,AH184,IF(Z166=14,AH185,IF(Z166=15,AH186,IF(Z166=16,AH187,IF(Z166=17,AH188,IF(Z166=18,AH189,IF(Z166=19,AH190,IF(Z166=20,AH191,IF(Z166=21,AH192,IF(Z166=22,AH193,IF(Z166=23,AH194,IF(Z166=24,AH195,IF(Z166=25,AH196,IF(Z166=26,AH197,IF(Z166=27,AH198,IF(Z166=28,AH199,IF(Z166=29,AH200,IF(Z166=30,AH201))))))))))))))))))))))))))))))))</f>
        <v>0</v>
      </c>
    </row>
    <row r="167" spans="1:35" x14ac:dyDescent="0.35">
      <c r="A167" s="48">
        <v>1508</v>
      </c>
      <c r="B167" s="58">
        <f>SUMIF([2]!Table2_23[ETA],'FIS Optimal Model (3)'!A167,[2]!Table2_23[FIS PAX])</f>
        <v>0</v>
      </c>
      <c r="C167" s="44">
        <f>IF((D166-D167)&gt;-1,(D166-D167),18)</f>
        <v>18</v>
      </c>
      <c r="D167" s="52">
        <f>MAX(D166-$E$31+B166,0)</f>
        <v>167</v>
      </c>
      <c r="E167" s="26">
        <f>$C$30*C167</f>
        <v>9.9503999999999984</v>
      </c>
      <c r="F167" s="26">
        <f>$C$31*C167</f>
        <v>4.2713999999999999</v>
      </c>
      <c r="G167" s="26">
        <f>$C$32*C167</f>
        <v>2.9447999999999999</v>
      </c>
      <c r="H167" s="26">
        <f>$C$33*C167</f>
        <v>0.83340000000000003</v>
      </c>
      <c r="I167" s="27">
        <f>E162</f>
        <v>9.9503999999999984</v>
      </c>
      <c r="J167" s="27">
        <f>F162</f>
        <v>4.2713999999999999</v>
      </c>
      <c r="K167" s="27">
        <f>G162</f>
        <v>2.9447999999999999</v>
      </c>
      <c r="L167" s="27">
        <f>H162</f>
        <v>0.83340000000000003</v>
      </c>
      <c r="M167" s="28">
        <f>$M$160</f>
        <v>0</v>
      </c>
      <c r="N167" s="29">
        <f>$N$160</f>
        <v>16</v>
      </c>
      <c r="O167" s="28">
        <f>$O$160</f>
        <v>0</v>
      </c>
      <c r="P167" s="28">
        <f>$P$160</f>
        <v>0</v>
      </c>
      <c r="Q167" s="28">
        <f>SUM(M167:P167)</f>
        <v>16</v>
      </c>
      <c r="R167" s="22">
        <f>MAX(R166-($J$30*M167*$L$33)+I167,0)</f>
        <v>79.603200000000001</v>
      </c>
      <c r="S167" s="22">
        <f>IF(U167&lt;&gt;0,(MAX(S166-($J$31*N167*$L$33)+J167,0)),(MAX(S166-($J$31*(N167+P167)*$L$33)+J167,0)))</f>
        <v>0</v>
      </c>
      <c r="T167" s="22">
        <f>MAX(T166-($J$32*O167*$L$33)+K167,0)</f>
        <v>23.558400000000002</v>
      </c>
      <c r="U167" s="22">
        <f>MAX(U166-($J$33*P167*$L$33)+L167,0)</f>
        <v>6.6672000000000002</v>
      </c>
      <c r="V167" s="21">
        <f>IFERROR(R167*($I$30/M167),0)</f>
        <v>0</v>
      </c>
      <c r="W167" s="21">
        <f>IFERROR(S167*($I$31/N167),0)</f>
        <v>0</v>
      </c>
      <c r="X167" s="21">
        <f>IFERROR(T167*($I$32/O167),0)</f>
        <v>0</v>
      </c>
      <c r="Y167" s="21">
        <f>IFERROR(U167*($I$33/P167),0)</f>
        <v>0</v>
      </c>
      <c r="Z167" s="221">
        <f>ROUNDUP(SUM(V167*$C$30,W167*$C$31,X167*$C$32,Y167*$C$33),0)</f>
        <v>0</v>
      </c>
      <c r="AA167" s="30">
        <f>IF(R167&lt;&gt;0,($J$30*M167*$L$33),0)</f>
        <v>0</v>
      </c>
      <c r="AB167" s="30">
        <f>IF(W167&lt;&gt;0,($J$31*N167*$L$33),0)</f>
        <v>0</v>
      </c>
      <c r="AC167" s="30">
        <f>IF(X167&lt;&gt;0,($J$32*O167*$L$33),0)</f>
        <v>0</v>
      </c>
      <c r="AD167" s="30">
        <f>IF(Y167&lt;&gt;0,($J$33*P167*$L$33),0)</f>
        <v>0</v>
      </c>
      <c r="AE167" s="32">
        <f>SUM(AA167:AD167)</f>
        <v>0</v>
      </c>
      <c r="AF167" s="33">
        <f>AE163</f>
        <v>0</v>
      </c>
      <c r="AG167" s="40">
        <f>MAX(AG166-$Q$33+AF167,0)</f>
        <v>0</v>
      </c>
      <c r="AH167" s="224">
        <f>AG167*$P$33</f>
        <v>0</v>
      </c>
      <c r="AI167" s="227">
        <f>SUM(Z167,IF(Z167&lt;&gt;0,$F$31,0),IF(Z167&lt;&gt;0,$N$33,0),IF(Z167&lt;&gt;0,$T$33,0),IF(Z167=0,AH172,IF(Z167=1,AH173,IF(Z167=2,AH174,IF(Z167=3,AH175,IF(Z167=4,AH176,IF(Z167=5,AH177,IF(Z167=6,AH178,IF(Z167=7,AH179,IF(Z167=8,AH180,IF(Z167=9,AH181,IF(Z167=10,AH182,IF(Z167=11,AH183,IF(Z167=12,AH184,IF(Z167=13,AH185,IF(Z167=14,AH186,IF(Z167=15,AH187,IF(Z167=16,AH188,IF(Z167=17,AH189,IF(Z167=18,AH190,IF(Z167=19,AH191,IF(Z167=20,AH192,IF(Z167=21,AH193,IF(Z167=22,AH194,IF(Z167=23,AH195,IF(Z167=24,AH196,IF(Z167=25,AH197,IF(Z167=26,AH198,IF(Z167=27,AH199,IF(Z167=28,AH200,IF(Z167=29,AH201,IF(Z167=30,AH202))))))))))))))))))))))))))))))))</f>
        <v>0</v>
      </c>
    </row>
    <row r="168" spans="1:35" x14ac:dyDescent="0.35">
      <c r="A168" s="48">
        <v>1509</v>
      </c>
      <c r="B168" s="58">
        <f>SUMIF([2]!Table2_23[ETA],'FIS Optimal Model (3)'!A168,[2]!Table2_23[FIS PAX])</f>
        <v>0</v>
      </c>
      <c r="C168" s="44">
        <f>IF((D167-D168)&gt;-1,(D167-D168),18)</f>
        <v>18</v>
      </c>
      <c r="D168" s="52">
        <f>MAX(D167-$E$31+B167,0)</f>
        <v>149</v>
      </c>
      <c r="E168" s="26">
        <f>$C$30*C168</f>
        <v>9.9503999999999984</v>
      </c>
      <c r="F168" s="26">
        <f>$C$31*C168</f>
        <v>4.2713999999999999</v>
      </c>
      <c r="G168" s="26">
        <f>$C$32*C168</f>
        <v>2.9447999999999999</v>
      </c>
      <c r="H168" s="26">
        <f>$C$33*C168</f>
        <v>0.83340000000000003</v>
      </c>
      <c r="I168" s="27">
        <f>E163</f>
        <v>9.9503999999999984</v>
      </c>
      <c r="J168" s="27">
        <f>F163</f>
        <v>4.2713999999999999</v>
      </c>
      <c r="K168" s="27">
        <f>G163</f>
        <v>2.9447999999999999</v>
      </c>
      <c r="L168" s="27">
        <f>H163</f>
        <v>0.83340000000000003</v>
      </c>
      <c r="M168" s="28">
        <f>$M$160</f>
        <v>0</v>
      </c>
      <c r="N168" s="29">
        <f>$N$160</f>
        <v>16</v>
      </c>
      <c r="O168" s="28">
        <f>$O$160</f>
        <v>0</v>
      </c>
      <c r="P168" s="28">
        <f>$P$160</f>
        <v>0</v>
      </c>
      <c r="Q168" s="28">
        <f>SUM(M168:P168)</f>
        <v>16</v>
      </c>
      <c r="R168" s="22">
        <f>MAX(R167-($J$30*M168*$L$33)+I168,0)</f>
        <v>89.553600000000003</v>
      </c>
      <c r="S168" s="22">
        <f>IF(U168&lt;&gt;0,(MAX(S167-($J$31*N168*$L$33)+J168,0)),(MAX(S167-($J$31*(N168+P168)*$L$33)+J168,0)))</f>
        <v>0</v>
      </c>
      <c r="T168" s="22">
        <f>MAX(T167-($J$32*O168*$L$33)+K168,0)</f>
        <v>26.503200000000003</v>
      </c>
      <c r="U168" s="22">
        <f>MAX(U167-($J$33*P168*$L$33)+L168,0)</f>
        <v>7.5006000000000004</v>
      </c>
      <c r="V168" s="21">
        <f>IFERROR(R168*($I$30/M168),0)</f>
        <v>0</v>
      </c>
      <c r="W168" s="21">
        <f>IFERROR(S168*($I$31/N168),0)</f>
        <v>0</v>
      </c>
      <c r="X168" s="21">
        <f>IFERROR(T168*($I$32/O168),0)</f>
        <v>0</v>
      </c>
      <c r="Y168" s="21">
        <f>IFERROR(U168*($I$33/P168),0)</f>
        <v>0</v>
      </c>
      <c r="Z168" s="221">
        <f>ROUNDUP(SUM(V168*$C$30,W168*$C$31,X168*$C$32,Y168*$C$33),0)</f>
        <v>0</v>
      </c>
      <c r="AA168" s="30">
        <f>IF(R168&lt;&gt;0,($J$30*M168*$L$33),0)</f>
        <v>0</v>
      </c>
      <c r="AB168" s="30">
        <f>IF(W168&lt;&gt;0,($J$31*N168*$L$33),0)</f>
        <v>0</v>
      </c>
      <c r="AC168" s="30">
        <f>IF(X168&lt;&gt;0,($J$32*O168*$L$33),0)</f>
        <v>0</v>
      </c>
      <c r="AD168" s="30">
        <f>IF(Y168&lt;&gt;0,($J$33*P168*$L$33),0)</f>
        <v>0</v>
      </c>
      <c r="AE168" s="32">
        <f>SUM(AA168:AD168)</f>
        <v>0</v>
      </c>
      <c r="AF168" s="33">
        <f>AE164</f>
        <v>0</v>
      </c>
      <c r="AG168" s="40">
        <f>MAX(AG167-$Q$33+AF168,0)</f>
        <v>0</v>
      </c>
      <c r="AH168" s="224">
        <f>AG168*$P$33</f>
        <v>0</v>
      </c>
      <c r="AI168" s="227">
        <f>SUM(Z168,IF(Z168&lt;&gt;0,$F$31,0),IF(Z168&lt;&gt;0,$N$33,0),IF(Z168&lt;&gt;0,$T$33,0),IF(Z168=0,AH173,IF(Z168=1,AH174,IF(Z168=2,AH175,IF(Z168=3,AH176,IF(Z168=4,AH177,IF(Z168=5,AH178,IF(Z168=6,AH179,IF(Z168=7,AH180,IF(Z168=8,AH181,IF(Z168=9,AH182,IF(Z168=10,AH183,IF(Z168=11,AH184,IF(Z168=12,AH185,IF(Z168=13,AH186,IF(Z168=14,AH187,IF(Z168=15,AH188,IF(Z168=16,AH189,IF(Z168=17,AH190,IF(Z168=18,AH191,IF(Z168=19,AH192,IF(Z168=20,AH193,IF(Z168=21,AH194,IF(Z168=22,AH195,IF(Z168=23,AH196,IF(Z168=24,AH197,IF(Z168=25,AH198,IF(Z168=26,AH199,IF(Z168=27,AH200,IF(Z168=28,AH201,IF(Z168=29,AH202,IF(Z168=30,AH203))))))))))))))))))))))))))))))))</f>
        <v>0</v>
      </c>
    </row>
    <row r="169" spans="1:35" x14ac:dyDescent="0.35">
      <c r="A169" s="48">
        <v>1510</v>
      </c>
      <c r="B169" s="58">
        <f>SUMIF([2]!Table2_23[ETA],'FIS Optimal Model (3)'!A169,[2]!Table2_23[FIS PAX])</f>
        <v>0</v>
      </c>
      <c r="C169" s="44">
        <f>IF((D168-D169)&gt;-1,(D168-D169),18)</f>
        <v>18</v>
      </c>
      <c r="D169" s="52">
        <f>MAX(D168-$E$31+B168,0)</f>
        <v>131</v>
      </c>
      <c r="E169" s="26">
        <f>$C$30*C169</f>
        <v>9.9503999999999984</v>
      </c>
      <c r="F169" s="26">
        <f>$C$31*C169</f>
        <v>4.2713999999999999</v>
      </c>
      <c r="G169" s="26">
        <f>$C$32*C169</f>
        <v>2.9447999999999999</v>
      </c>
      <c r="H169" s="26">
        <f>$C$33*C169</f>
        <v>0.83340000000000003</v>
      </c>
      <c r="I169" s="27">
        <f>E164</f>
        <v>9.9503999999999984</v>
      </c>
      <c r="J169" s="27">
        <f>F164</f>
        <v>4.2713999999999999</v>
      </c>
      <c r="K169" s="27">
        <f>G164</f>
        <v>2.9447999999999999</v>
      </c>
      <c r="L169" s="27">
        <f>H164</f>
        <v>0.83340000000000003</v>
      </c>
      <c r="M169" s="28">
        <f>$M$160</f>
        <v>0</v>
      </c>
      <c r="N169" s="29">
        <f>$N$160</f>
        <v>16</v>
      </c>
      <c r="O169" s="28">
        <f>$O$160</f>
        <v>0</v>
      </c>
      <c r="P169" s="28">
        <f>$P$160</f>
        <v>0</v>
      </c>
      <c r="Q169" s="28">
        <f>SUM(M169:P169)</f>
        <v>16</v>
      </c>
      <c r="R169" s="22">
        <f>MAX(R168-($J$30*M169*$L$33)+I169,0)</f>
        <v>99.504000000000005</v>
      </c>
      <c r="S169" s="22">
        <f>IF(U169&lt;&gt;0,(MAX(S168-($J$31*N169*$L$33)+J169,0)),(MAX(S168-($J$31*(N169+P169)*$L$33)+J169,0)))</f>
        <v>0</v>
      </c>
      <c r="T169" s="22">
        <f>MAX(T168-($J$32*O169*$L$33)+K169,0)</f>
        <v>29.448000000000004</v>
      </c>
      <c r="U169" s="22">
        <f>MAX(U168-($J$33*P169*$L$33)+L169,0)</f>
        <v>8.3339999999999996</v>
      </c>
      <c r="V169" s="21">
        <f>IFERROR(R169*($I$30/M169),0)</f>
        <v>0</v>
      </c>
      <c r="W169" s="21">
        <f>IFERROR(S169*($I$31/N169),0)</f>
        <v>0</v>
      </c>
      <c r="X169" s="21">
        <f>IFERROR(T169*($I$32/O169),0)</f>
        <v>0</v>
      </c>
      <c r="Y169" s="21">
        <f>IFERROR(U169*($I$33/P169),0)</f>
        <v>0</v>
      </c>
      <c r="Z169" s="221">
        <f>ROUNDUP(SUM(V169*$C$30,W169*$C$31,X169*$C$32,Y169*$C$33),0)</f>
        <v>0</v>
      </c>
      <c r="AA169" s="30">
        <f>IF(R169&lt;&gt;0,($J$30*M169*$L$33),0)</f>
        <v>0</v>
      </c>
      <c r="AB169" s="30">
        <f>IF(W169&lt;&gt;0,($J$31*N169*$L$33),0)</f>
        <v>0</v>
      </c>
      <c r="AC169" s="30">
        <f>IF(X169&lt;&gt;0,($J$32*O169*$L$33),0)</f>
        <v>0</v>
      </c>
      <c r="AD169" s="30">
        <f>IF(Y169&lt;&gt;0,($J$33*P169*$L$33),0)</f>
        <v>0</v>
      </c>
      <c r="AE169" s="32">
        <f>SUM(AA169:AD169)</f>
        <v>0</v>
      </c>
      <c r="AF169" s="33">
        <f>AE165</f>
        <v>0</v>
      </c>
      <c r="AG169" s="40">
        <f>MAX(AG168-$Q$33+AF169,0)</f>
        <v>0</v>
      </c>
      <c r="AH169" s="224">
        <f>AG169*$P$33</f>
        <v>0</v>
      </c>
      <c r="AI169" s="227">
        <f>SUM(Z169,IF(Z169&lt;&gt;0,$F$31,0),IF(Z169&lt;&gt;0,$N$33,0),IF(Z169&lt;&gt;0,$T$33,0),IF(Z169=0,AH174,IF(Z169=1,AH175,IF(Z169=2,AH176,IF(Z169=3,AH177,IF(Z169=4,AH178,IF(Z169=5,AH179,IF(Z169=6,AH180,IF(Z169=7,AH181,IF(Z169=8,AH182,IF(Z169=9,AH183,IF(Z169=10,AH184,IF(Z169=11,AH185,IF(Z169=12,AH186,IF(Z169=13,AH187,IF(Z169=14,AH188,IF(Z169=15,AH189,IF(Z169=16,AH190,IF(Z169=17,AH191,IF(Z169=18,AH192,IF(Z169=19,AH193,IF(Z169=20,AH194,IF(Z169=21,AH195,IF(Z169=22,AH196,IF(Z169=23,AH197,IF(Z169=24,AH198,IF(Z169=25,AH199,IF(Z169=26,AH200,IF(Z169=27,AH201,IF(Z169=28,AH202,IF(Z169=29,AH203,IF(Z169=30,AH204))))))))))))))))))))))))))))))))</f>
        <v>0</v>
      </c>
    </row>
    <row r="170" spans="1:35" x14ac:dyDescent="0.35">
      <c r="A170" s="48">
        <v>1511</v>
      </c>
      <c r="B170" s="58">
        <f>SUMIF([2]!Table2_23[ETA],'FIS Optimal Model (3)'!A170,[2]!Table2_23[FIS PAX])</f>
        <v>0</v>
      </c>
      <c r="C170" s="44">
        <f>IF((D169-D170)&gt;-1,(D169-D170),18)</f>
        <v>18</v>
      </c>
      <c r="D170" s="52">
        <f>MAX(D169-$E$31+B169,0)</f>
        <v>113</v>
      </c>
      <c r="E170" s="26">
        <f>$C$30*C170</f>
        <v>9.9503999999999984</v>
      </c>
      <c r="F170" s="26">
        <f>$C$31*C170</f>
        <v>4.2713999999999999</v>
      </c>
      <c r="G170" s="26">
        <f>$C$32*C170</f>
        <v>2.9447999999999999</v>
      </c>
      <c r="H170" s="26">
        <f>$C$33*C170</f>
        <v>0.83340000000000003</v>
      </c>
      <c r="I170" s="27">
        <f>E165</f>
        <v>9.9503999999999984</v>
      </c>
      <c r="J170" s="27">
        <f>F165</f>
        <v>4.2713999999999999</v>
      </c>
      <c r="K170" s="27">
        <f>G165</f>
        <v>2.9447999999999999</v>
      </c>
      <c r="L170" s="27">
        <f>H165</f>
        <v>0.83340000000000003</v>
      </c>
      <c r="M170" s="28">
        <f>$M$160</f>
        <v>0</v>
      </c>
      <c r="N170" s="29">
        <f>$N$160</f>
        <v>16</v>
      </c>
      <c r="O170" s="28">
        <f>$O$160</f>
        <v>0</v>
      </c>
      <c r="P170" s="28">
        <f>$P$160</f>
        <v>0</v>
      </c>
      <c r="Q170" s="28">
        <f>SUM(M170:P170)</f>
        <v>16</v>
      </c>
      <c r="R170" s="22">
        <f>MAX(R169-($J$30*M170*$L$33)+I170,0)</f>
        <v>109.45440000000001</v>
      </c>
      <c r="S170" s="22">
        <f>IF(U170&lt;&gt;0,(MAX(S169-($J$31*N170*$L$33)+J170,0)),(MAX(S169-($J$31*(N170+P170)*$L$33)+J170,0)))</f>
        <v>0</v>
      </c>
      <c r="T170" s="22">
        <f>MAX(T169-($J$32*O170*$L$33)+K170,0)</f>
        <v>32.392800000000001</v>
      </c>
      <c r="U170" s="22">
        <f>MAX(U169-($J$33*P170*$L$33)+L170,0)</f>
        <v>9.1673999999999989</v>
      </c>
      <c r="V170" s="21">
        <f>IFERROR(R170*($I$30/M170),0)</f>
        <v>0</v>
      </c>
      <c r="W170" s="21">
        <f>IFERROR(S170*($I$31/N170),0)</f>
        <v>0</v>
      </c>
      <c r="X170" s="21">
        <f>IFERROR(T170*($I$32/O170),0)</f>
        <v>0</v>
      </c>
      <c r="Y170" s="21">
        <f>IFERROR(U170*($I$33/P170),0)</f>
        <v>0</v>
      </c>
      <c r="Z170" s="221">
        <f>ROUNDUP(SUM(V170*$C$30,W170*$C$31,X170*$C$32,Y170*$C$33),0)</f>
        <v>0</v>
      </c>
      <c r="AA170" s="30">
        <f>IF(R170&lt;&gt;0,($J$30*M170*$L$33),0)</f>
        <v>0</v>
      </c>
      <c r="AB170" s="30">
        <f>IF(W170&lt;&gt;0,($J$31*N170*$L$33),0)</f>
        <v>0</v>
      </c>
      <c r="AC170" s="30">
        <f>IF(X170&lt;&gt;0,($J$32*O170*$L$33),0)</f>
        <v>0</v>
      </c>
      <c r="AD170" s="30">
        <f>IF(Y170&lt;&gt;0,($J$33*P170*$L$33),0)</f>
        <v>0</v>
      </c>
      <c r="AE170" s="32">
        <f>SUM(AA170:AD170)</f>
        <v>0</v>
      </c>
      <c r="AF170" s="33">
        <f>AE166</f>
        <v>0</v>
      </c>
      <c r="AG170" s="40">
        <f>MAX(AG169-$Q$33+AF170,0)</f>
        <v>0</v>
      </c>
      <c r="AH170" s="224">
        <f>AG170*$P$33</f>
        <v>0</v>
      </c>
      <c r="AI170" s="227">
        <f>SUM(Z170,IF(Z170&lt;&gt;0,$F$31,0),IF(Z170&lt;&gt;0,$N$33,0),IF(Z170&lt;&gt;0,$T$33,0),IF(Z170=0,AH175,IF(Z170=1,AH176,IF(Z170=2,AH177,IF(Z170=3,AH178,IF(Z170=4,AH179,IF(Z170=5,AH180,IF(Z170=6,AH181,IF(Z170=7,AH182,IF(Z170=8,AH183,IF(Z170=9,AH184,IF(Z170=10,AH185,IF(Z170=11,AH186,IF(Z170=12,AH187,IF(Z170=13,AH188,IF(Z170=14,AH189,IF(Z170=15,AH190,IF(Z170=16,AH191,IF(Z170=17,AH192,IF(Z170=18,AH193,IF(Z170=19,AH194,IF(Z170=20,AH195,IF(Z170=21,AH196,IF(Z170=22,AH197,IF(Z170=23,AH198,IF(Z170=24,AH199,IF(Z170=25,AH200,IF(Z170=26,AH201,IF(Z170=27,AH202,IF(Z170=28,AH203,IF(Z170=29,AH204,IF(Z170=30,AH205))))))))))))))))))))))))))))))))</f>
        <v>0</v>
      </c>
    </row>
    <row r="171" spans="1:35" x14ac:dyDescent="0.35">
      <c r="A171" s="48">
        <v>1512</v>
      </c>
      <c r="B171" s="58">
        <f>SUMIF([2]!Table2_23[ETA],'FIS Optimal Model (3)'!A171,[2]!Table2_23[FIS PAX])</f>
        <v>0</v>
      </c>
      <c r="C171" s="44">
        <f>IF((D170-D171)&gt;-1,(D170-D171),18)</f>
        <v>18</v>
      </c>
      <c r="D171" s="52">
        <f>MAX(D170-$E$31+B170,0)</f>
        <v>95</v>
      </c>
      <c r="E171" s="26">
        <f>$C$30*C171</f>
        <v>9.9503999999999984</v>
      </c>
      <c r="F171" s="26">
        <f>$C$31*C171</f>
        <v>4.2713999999999999</v>
      </c>
      <c r="G171" s="26">
        <f>$C$32*C171</f>
        <v>2.9447999999999999</v>
      </c>
      <c r="H171" s="26">
        <f>$C$33*C171</f>
        <v>0.83340000000000003</v>
      </c>
      <c r="I171" s="27">
        <f>E166</f>
        <v>9.9503999999999984</v>
      </c>
      <c r="J171" s="27">
        <f>F166</f>
        <v>4.2713999999999999</v>
      </c>
      <c r="K171" s="27">
        <f>G166</f>
        <v>2.9447999999999999</v>
      </c>
      <c r="L171" s="27">
        <f>H166</f>
        <v>0.83340000000000003</v>
      </c>
      <c r="M171" s="28">
        <f>$M$160</f>
        <v>0</v>
      </c>
      <c r="N171" s="29">
        <f>$N$160</f>
        <v>16</v>
      </c>
      <c r="O171" s="28">
        <f>$O$160</f>
        <v>0</v>
      </c>
      <c r="P171" s="28">
        <f>$P$160</f>
        <v>0</v>
      </c>
      <c r="Q171" s="28">
        <f>SUM(M171:P171)</f>
        <v>16</v>
      </c>
      <c r="R171" s="22">
        <f>MAX(R170-($J$30*M171*$L$33)+I171,0)</f>
        <v>119.40480000000001</v>
      </c>
      <c r="S171" s="22">
        <f>IF(U171&lt;&gt;0,(MAX(S170-($J$31*N171*$L$33)+J171,0)),(MAX(S170-($J$31*(N171+P171)*$L$33)+J171,0)))</f>
        <v>0</v>
      </c>
      <c r="T171" s="22">
        <f>MAX(T170-($J$32*O171*$L$33)+K171,0)</f>
        <v>35.337600000000002</v>
      </c>
      <c r="U171" s="22">
        <f>MAX(U170-($J$33*P171*$L$33)+L171,0)</f>
        <v>10.000799999999998</v>
      </c>
      <c r="V171" s="21">
        <f>IFERROR(R171*($I$30/M171),0)</f>
        <v>0</v>
      </c>
      <c r="W171" s="21">
        <f>IFERROR(S171*($I$31/N171),0)</f>
        <v>0</v>
      </c>
      <c r="X171" s="21">
        <f>IFERROR(T171*($I$32/O171),0)</f>
        <v>0</v>
      </c>
      <c r="Y171" s="21">
        <f>IFERROR(U171*($I$33/P171),0)</f>
        <v>0</v>
      </c>
      <c r="Z171" s="221">
        <f>ROUNDUP(SUM(V171*$C$30,W171*$C$31,X171*$C$32,Y171*$C$33),0)</f>
        <v>0</v>
      </c>
      <c r="AA171" s="30">
        <f>IF(R171&lt;&gt;0,($J$30*M171*$L$33),0)</f>
        <v>0</v>
      </c>
      <c r="AB171" s="30">
        <f>IF(W171&lt;&gt;0,($J$31*N171*$L$33),0)</f>
        <v>0</v>
      </c>
      <c r="AC171" s="30">
        <f>IF(X171&lt;&gt;0,($J$32*O171*$L$33),0)</f>
        <v>0</v>
      </c>
      <c r="AD171" s="30">
        <f>IF(Y171&lt;&gt;0,($J$33*P171*$L$33),0)</f>
        <v>0</v>
      </c>
      <c r="AE171" s="32">
        <f>SUM(AA171:AD171)</f>
        <v>0</v>
      </c>
      <c r="AF171" s="33">
        <f>AE167</f>
        <v>0</v>
      </c>
      <c r="AG171" s="40">
        <f>MAX(AG170-$Q$33+AF171,0)</f>
        <v>0</v>
      </c>
      <c r="AH171" s="224">
        <f>AG171*$P$33</f>
        <v>0</v>
      </c>
      <c r="AI171" s="227">
        <f>SUM(Z171,IF(Z171&lt;&gt;0,$F$31,0),IF(Z171&lt;&gt;0,$N$33,0),IF(Z171&lt;&gt;0,$T$33,0),IF(Z171=0,AH176,IF(Z171=1,AH177,IF(Z171=2,AH178,IF(Z171=3,AH179,IF(Z171=4,AH180,IF(Z171=5,AH181,IF(Z171=6,AH182,IF(Z171=7,AH183,IF(Z171=8,AH184,IF(Z171=9,AH185,IF(Z171=10,AH186,IF(Z171=11,AH187,IF(Z171=12,AH188,IF(Z171=13,AH189,IF(Z171=14,AH190,IF(Z171=15,AH191,IF(Z171=16,AH192,IF(Z171=17,AH193,IF(Z171=18,AH194,IF(Z171=19,AH195,IF(Z171=20,AH196,IF(Z171=21,AH197,IF(Z171=22,AH198,IF(Z171=23,AH199,IF(Z171=24,AH200,IF(Z171=25,AH201,IF(Z171=26,AH202,IF(Z171=27,AH203,IF(Z171=28,AH204,IF(Z171=29,AH205,IF(Z171=30,AH206))))))))))))))))))))))))))))))))</f>
        <v>0</v>
      </c>
    </row>
    <row r="172" spans="1:35" x14ac:dyDescent="0.35">
      <c r="A172" s="48">
        <v>1513</v>
      </c>
      <c r="B172" s="58">
        <f>SUMIF([2]!Table2_23[ETA],'FIS Optimal Model (3)'!A172,[2]!Table2_23[FIS PAX])</f>
        <v>0</v>
      </c>
      <c r="C172" s="44">
        <f>IF((D171-D172)&gt;-1,(D171-D172),18)</f>
        <v>18</v>
      </c>
      <c r="D172" s="52">
        <f>MAX(D171-$E$31+B171,0)</f>
        <v>77</v>
      </c>
      <c r="E172" s="26">
        <f>$C$30*C172</f>
        <v>9.9503999999999984</v>
      </c>
      <c r="F172" s="26">
        <f>$C$31*C172</f>
        <v>4.2713999999999999</v>
      </c>
      <c r="G172" s="26">
        <f>$C$32*C172</f>
        <v>2.9447999999999999</v>
      </c>
      <c r="H172" s="26">
        <f>$C$33*C172</f>
        <v>0.83340000000000003</v>
      </c>
      <c r="I172" s="27">
        <f>E167</f>
        <v>9.9503999999999984</v>
      </c>
      <c r="J172" s="27">
        <f>F167</f>
        <v>4.2713999999999999</v>
      </c>
      <c r="K172" s="27">
        <f>G167</f>
        <v>2.9447999999999999</v>
      </c>
      <c r="L172" s="27">
        <f>H167</f>
        <v>0.83340000000000003</v>
      </c>
      <c r="M172" s="28">
        <f>$M$160</f>
        <v>0</v>
      </c>
      <c r="N172" s="29">
        <f>$N$160</f>
        <v>16</v>
      </c>
      <c r="O172" s="28">
        <f>$O$160</f>
        <v>0</v>
      </c>
      <c r="P172" s="28">
        <f>$P$160</f>
        <v>0</v>
      </c>
      <c r="Q172" s="28">
        <f>SUM(M172:P172)</f>
        <v>16</v>
      </c>
      <c r="R172" s="22">
        <f>MAX(R171-($J$30*M172*$L$33)+I172,0)</f>
        <v>129.3552</v>
      </c>
      <c r="S172" s="22">
        <f>IF(U172&lt;&gt;0,(MAX(S171-($J$31*N172*$L$33)+J172,0)),(MAX(S171-($J$31*(N172+P172)*$L$33)+J172,0)))</f>
        <v>0</v>
      </c>
      <c r="T172" s="22">
        <f>MAX(T171-($J$32*O172*$L$33)+K172,0)</f>
        <v>38.282400000000003</v>
      </c>
      <c r="U172" s="22">
        <f>MAX(U171-($J$33*P172*$L$33)+L172,0)</f>
        <v>10.834199999999997</v>
      </c>
      <c r="V172" s="21">
        <f>IFERROR(R172*($I$30/M172),0)</f>
        <v>0</v>
      </c>
      <c r="W172" s="21">
        <f>IFERROR(S172*($I$31/N172),0)</f>
        <v>0</v>
      </c>
      <c r="X172" s="21">
        <f>IFERROR(T172*($I$32/O172),0)</f>
        <v>0</v>
      </c>
      <c r="Y172" s="21">
        <f>IFERROR(U172*($I$33/P172),0)</f>
        <v>0</v>
      </c>
      <c r="Z172" s="221">
        <f>ROUNDUP(SUM(V172*$C$30,W172*$C$31,X172*$C$32,Y172*$C$33),0)</f>
        <v>0</v>
      </c>
      <c r="AA172" s="30">
        <f>IF(R172&lt;&gt;0,($J$30*M172*$L$33),0)</f>
        <v>0</v>
      </c>
      <c r="AB172" s="30">
        <f>IF(W172&lt;&gt;0,($J$31*N172*$L$33),0)</f>
        <v>0</v>
      </c>
      <c r="AC172" s="30">
        <f>IF(X172&lt;&gt;0,($J$32*O172*$L$33),0)</f>
        <v>0</v>
      </c>
      <c r="AD172" s="30">
        <f>IF(Y172&lt;&gt;0,($J$33*P172*$L$33),0)</f>
        <v>0</v>
      </c>
      <c r="AE172" s="32">
        <f>SUM(AA172:AD172)</f>
        <v>0</v>
      </c>
      <c r="AF172" s="33">
        <f>AE168</f>
        <v>0</v>
      </c>
      <c r="AG172" s="40">
        <f>MAX(AG171-$Q$33+AF172,0)</f>
        <v>0</v>
      </c>
      <c r="AH172" s="224">
        <f>AG172*$P$33</f>
        <v>0</v>
      </c>
      <c r="AI172" s="227">
        <f>SUM(Z172,IF(Z172&lt;&gt;0,$F$31,0),IF(Z172&lt;&gt;0,$N$33,0),IF(Z172&lt;&gt;0,$T$33,0),IF(Z172=0,AH177,IF(Z172=1,AH178,IF(Z172=2,AH179,IF(Z172=3,AH180,IF(Z172=4,AH181,IF(Z172=5,AH182,IF(Z172=6,AH183,IF(Z172=7,AH184,IF(Z172=8,AH185,IF(Z172=9,AH186,IF(Z172=10,AH187,IF(Z172=11,AH188,IF(Z172=12,AH189,IF(Z172=13,AH190,IF(Z172=14,AH191,IF(Z172=15,AH192,IF(Z172=16,AH193,IF(Z172=17,AH194,IF(Z172=18,AH195,IF(Z172=19,AH196,IF(Z172=20,AH197,IF(Z172=21,AH198,IF(Z172=22,AH199,IF(Z172=23,AH200,IF(Z172=24,AH201,IF(Z172=25,AH202,IF(Z172=26,AH203,IF(Z172=27,AH204,IF(Z172=28,AH205,IF(Z172=29,AH206,IF(Z172=30,AH207))))))))))))))))))))))))))))))))</f>
        <v>0</v>
      </c>
    </row>
    <row r="173" spans="1:35" x14ac:dyDescent="0.35">
      <c r="A173" s="48">
        <v>1514</v>
      </c>
      <c r="B173" s="58">
        <f>SUMIF([2]!Table2_23[ETA],'FIS Optimal Model (3)'!A173,[2]!Table2_23[FIS PAX])</f>
        <v>0</v>
      </c>
      <c r="C173" s="44">
        <f>IF((D172-D173)&gt;-1,(D172-D173),18)</f>
        <v>18</v>
      </c>
      <c r="D173" s="52">
        <f>MAX(D172-$E$31+B172,0)</f>
        <v>59</v>
      </c>
      <c r="E173" s="26">
        <f>$C$30*C173</f>
        <v>9.9503999999999984</v>
      </c>
      <c r="F173" s="26">
        <f>$C$31*C173</f>
        <v>4.2713999999999999</v>
      </c>
      <c r="G173" s="26">
        <f>$C$32*C173</f>
        <v>2.9447999999999999</v>
      </c>
      <c r="H173" s="26">
        <f>$C$33*C173</f>
        <v>0.83340000000000003</v>
      </c>
      <c r="I173" s="27">
        <f>E168</f>
        <v>9.9503999999999984</v>
      </c>
      <c r="J173" s="27">
        <f>F168</f>
        <v>4.2713999999999999</v>
      </c>
      <c r="K173" s="27">
        <f>G168</f>
        <v>2.9447999999999999</v>
      </c>
      <c r="L173" s="27">
        <f>H168</f>
        <v>0.83340000000000003</v>
      </c>
      <c r="M173" s="28">
        <f>$M$160</f>
        <v>0</v>
      </c>
      <c r="N173" s="29">
        <f>$N$160</f>
        <v>16</v>
      </c>
      <c r="O173" s="28">
        <f>$O$160</f>
        <v>0</v>
      </c>
      <c r="P173" s="28">
        <f>$P$160</f>
        <v>0</v>
      </c>
      <c r="Q173" s="28">
        <f>SUM(M173:P173)</f>
        <v>16</v>
      </c>
      <c r="R173" s="22">
        <f>MAX(R172-($J$30*M173*$L$33)+I173,0)</f>
        <v>139.3056</v>
      </c>
      <c r="S173" s="22">
        <f>IF(U173&lt;&gt;0,(MAX(S172-($J$31*N173*$L$33)+J173,0)),(MAX(S172-($J$31*(N173+P173)*$L$33)+J173,0)))</f>
        <v>0</v>
      </c>
      <c r="T173" s="22">
        <f>MAX(T172-($J$32*O173*$L$33)+K173,0)</f>
        <v>41.227200000000003</v>
      </c>
      <c r="U173" s="22">
        <f>MAX(U172-($J$33*P173*$L$33)+L173,0)</f>
        <v>11.667599999999997</v>
      </c>
      <c r="V173" s="21">
        <f>IFERROR(R173*($I$30/M173),0)</f>
        <v>0</v>
      </c>
      <c r="W173" s="21">
        <f>IFERROR(S173*($I$31/N173),0)</f>
        <v>0</v>
      </c>
      <c r="X173" s="21">
        <f>IFERROR(T173*($I$32/O173),0)</f>
        <v>0</v>
      </c>
      <c r="Y173" s="21">
        <f>IFERROR(U173*($I$33/P173),0)</f>
        <v>0</v>
      </c>
      <c r="Z173" s="221">
        <f>ROUNDUP(SUM(V173*$C$30,W173*$C$31,X173*$C$32,Y173*$C$33),0)</f>
        <v>0</v>
      </c>
      <c r="AA173" s="30">
        <f>IF(R173&lt;&gt;0,($J$30*M173*$L$33),0)</f>
        <v>0</v>
      </c>
      <c r="AB173" s="30">
        <f>IF(W173&lt;&gt;0,($J$31*N173*$L$33),0)</f>
        <v>0</v>
      </c>
      <c r="AC173" s="30">
        <f>IF(X173&lt;&gt;0,($J$32*O173*$L$33),0)</f>
        <v>0</v>
      </c>
      <c r="AD173" s="30">
        <f>IF(Y173&lt;&gt;0,($J$33*P173*$L$33),0)</f>
        <v>0</v>
      </c>
      <c r="AE173" s="32">
        <f>SUM(AA173:AD173)</f>
        <v>0</v>
      </c>
      <c r="AF173" s="33">
        <f>AE169</f>
        <v>0</v>
      </c>
      <c r="AG173" s="40">
        <f>MAX(AG172-$Q$33+AF173,0)</f>
        <v>0</v>
      </c>
      <c r="AH173" s="224">
        <f>AG173*$P$33</f>
        <v>0</v>
      </c>
      <c r="AI173" s="227">
        <f>SUM(Z173,IF(Z173&lt;&gt;0,$F$31,0),IF(Z173&lt;&gt;0,$N$33,0),IF(Z173&lt;&gt;0,$T$33,0),IF(Z173=0,AH178,IF(Z173=1,AH179,IF(Z173=2,AH180,IF(Z173=3,AH181,IF(Z173=4,AH182,IF(Z173=5,AH183,IF(Z173=6,AH184,IF(Z173=7,AH185,IF(Z173=8,AH186,IF(Z173=9,AH187,IF(Z173=10,AH188,IF(Z173=11,AH189,IF(Z173=12,AH190,IF(Z173=13,AH191,IF(Z173=14,AH192,IF(Z173=15,AH193,IF(Z173=16,AH194,IF(Z173=17,AH195,IF(Z173=18,AH196,IF(Z173=19,AH197,IF(Z173=20,AH198,IF(Z173=21,AH199,IF(Z173=22,AH200,IF(Z173=23,AH201,IF(Z173=24,AH202,IF(Z173=25,AH203,IF(Z173=26,AH204,IF(Z173=27,AH205,IF(Z173=28,AH206,IF(Z173=29,AH207,IF(Z173=30,AH208))))))))))))))))))))))))))))))))</f>
        <v>0</v>
      </c>
    </row>
    <row r="174" spans="1:35" x14ac:dyDescent="0.35">
      <c r="A174" s="48">
        <v>1515</v>
      </c>
      <c r="B174" s="58">
        <f>SUMIF([2]!Table2_23[ETA],'FIS Optimal Model (3)'!A174,[2]!Table2_23[FIS PAX])</f>
        <v>0</v>
      </c>
      <c r="C174" s="44">
        <f>IF((D173-D174)&gt;-1,(D173-D174),18)</f>
        <v>18</v>
      </c>
      <c r="D174" s="52">
        <f>MAX(D173-$E$31+B173,0)</f>
        <v>41</v>
      </c>
      <c r="E174" s="26">
        <f>$C$30*C174</f>
        <v>9.9503999999999984</v>
      </c>
      <c r="F174" s="26">
        <f>$C$31*C174</f>
        <v>4.2713999999999999</v>
      </c>
      <c r="G174" s="26">
        <f>$C$32*C174</f>
        <v>2.9447999999999999</v>
      </c>
      <c r="H174" s="26">
        <f>$C$33*C174</f>
        <v>0.83340000000000003</v>
      </c>
      <c r="I174" s="27">
        <f>E169</f>
        <v>9.9503999999999984</v>
      </c>
      <c r="J174" s="27">
        <f>F169</f>
        <v>4.2713999999999999</v>
      </c>
      <c r="K174" s="27">
        <f>G169</f>
        <v>2.9447999999999999</v>
      </c>
      <c r="L174" s="27">
        <f>H169</f>
        <v>0.83340000000000003</v>
      </c>
      <c r="M174" s="28">
        <f>$M$160</f>
        <v>0</v>
      </c>
      <c r="N174" s="29">
        <f>$N$160</f>
        <v>16</v>
      </c>
      <c r="O174" s="28">
        <f>$O$160</f>
        <v>0</v>
      </c>
      <c r="P174" s="28">
        <f>$P$160</f>
        <v>0</v>
      </c>
      <c r="Q174" s="28">
        <f>SUM(M174:P174)</f>
        <v>16</v>
      </c>
      <c r="R174" s="22">
        <f>MAX(R173-($J$30*M174*$L$33)+I174,0)</f>
        <v>149.256</v>
      </c>
      <c r="S174" s="22">
        <f>IF(U174&lt;&gt;0,(MAX(S173-($J$31*N174*$L$33)+J174,0)),(MAX(S173-($J$31*(N174+P174)*$L$33)+J174,0)))</f>
        <v>0</v>
      </c>
      <c r="T174" s="22">
        <f>MAX(T173-($J$32*O174*$L$33)+K174,0)</f>
        <v>44.172000000000004</v>
      </c>
      <c r="U174" s="22">
        <f>MAX(U173-($J$33*P174*$L$33)+L174,0)</f>
        <v>12.500999999999996</v>
      </c>
      <c r="V174" s="21">
        <f>IFERROR(R174*($I$30/M174),0)</f>
        <v>0</v>
      </c>
      <c r="W174" s="21">
        <f>IFERROR(S174*($I$31/N174),0)</f>
        <v>0</v>
      </c>
      <c r="X174" s="21">
        <f>IFERROR(T174*($I$32/O174),0)</f>
        <v>0</v>
      </c>
      <c r="Y174" s="21">
        <f>IFERROR(U174*($I$33/P174),0)</f>
        <v>0</v>
      </c>
      <c r="Z174" s="221">
        <f>ROUNDUP(SUM(V174*$C$30,W174*$C$31,X174*$C$32,Y174*$C$33),0)</f>
        <v>0</v>
      </c>
      <c r="AA174" s="30">
        <f>IF(R174&lt;&gt;0,($J$30*M174*$L$33),0)</f>
        <v>0</v>
      </c>
      <c r="AB174" s="30">
        <f>IF(W174&lt;&gt;0,($J$31*N174*$L$33),0)</f>
        <v>0</v>
      </c>
      <c r="AC174" s="30">
        <f>IF(X174&lt;&gt;0,($J$32*O174*$L$33),0)</f>
        <v>0</v>
      </c>
      <c r="AD174" s="30">
        <f>IF(Y174&lt;&gt;0,($J$33*P174*$L$33),0)</f>
        <v>0</v>
      </c>
      <c r="AE174" s="32">
        <f>SUM(AA174:AD174)</f>
        <v>0</v>
      </c>
      <c r="AF174" s="33">
        <f>AE170</f>
        <v>0</v>
      </c>
      <c r="AG174" s="40">
        <f>MAX(AG173-$Q$33+AF174,0)</f>
        <v>0</v>
      </c>
      <c r="AH174" s="224">
        <f>AG174*$P$33</f>
        <v>0</v>
      </c>
      <c r="AI174" s="227">
        <f>SUM(Z174,IF(Z174&lt;&gt;0,$F$31,0),IF(Z174&lt;&gt;0,$N$33,0),IF(Z174&lt;&gt;0,$T$33,0),IF(Z174=0,AH179,IF(Z174=1,AH180,IF(Z174=2,AH181,IF(Z174=3,AH182,IF(Z174=4,AH183,IF(Z174=5,AH184,IF(Z174=6,AH185,IF(Z174=7,AH186,IF(Z174=8,AH187,IF(Z174=9,AH188,IF(Z174=10,AH189,IF(Z174=11,AH190,IF(Z174=12,AH191,IF(Z174=13,AH192,IF(Z174=14,AH193,IF(Z174=15,AH194,IF(Z174=16,AH195,IF(Z174=17,AH196,IF(Z174=18,AH197,IF(Z174=19,AH198,IF(Z174=20,AH199,IF(Z174=21,AH200,IF(Z174=22,AH201,IF(Z174=23,AH202,IF(Z174=24,AH203,IF(Z174=25,AH204,IF(Z174=26,AH205,IF(Z174=27,AH206,IF(Z174=28,AH207,IF(Z174=29,AH208,IF(Z174=30,AH209))))))))))))))))))))))))))))))))</f>
        <v>1.032647192165808</v>
      </c>
    </row>
    <row r="175" spans="1:35" x14ac:dyDescent="0.35">
      <c r="A175" s="48">
        <v>1516</v>
      </c>
      <c r="B175" s="58">
        <f>SUMIF([2]!Table2_23[ETA],'FIS Optimal Model (3)'!A175,[2]!Table2_23[FIS PAX])</f>
        <v>0</v>
      </c>
      <c r="C175" s="44">
        <f>IF((D174-D175)&gt;-1,(D174-D175),18)</f>
        <v>18</v>
      </c>
      <c r="D175" s="52">
        <f>MAX(D174-$E$31+B174,0)</f>
        <v>23</v>
      </c>
      <c r="E175" s="26">
        <f>$C$30*C175</f>
        <v>9.9503999999999984</v>
      </c>
      <c r="F175" s="26">
        <f>$C$31*C175</f>
        <v>4.2713999999999999</v>
      </c>
      <c r="G175" s="26">
        <f>$C$32*C175</f>
        <v>2.9447999999999999</v>
      </c>
      <c r="H175" s="26">
        <f>$C$33*C175</f>
        <v>0.83340000000000003</v>
      </c>
      <c r="I175" s="27">
        <f>E170</f>
        <v>9.9503999999999984</v>
      </c>
      <c r="J175" s="27">
        <f>F170</f>
        <v>4.2713999999999999</v>
      </c>
      <c r="K175" s="27">
        <f>G170</f>
        <v>2.9447999999999999</v>
      </c>
      <c r="L175" s="27">
        <f>H170</f>
        <v>0.83340000000000003</v>
      </c>
      <c r="M175" s="28">
        <f>IF(R174=0,0,$Q$15)</f>
        <v>6</v>
      </c>
      <c r="N175" s="29">
        <f>$U$15-M175-O175-P175</f>
        <v>6</v>
      </c>
      <c r="O175" s="28">
        <f>IF(T174=0,0,$S$15)</f>
        <v>2</v>
      </c>
      <c r="P175" s="28">
        <f>IF(U174=0,0,$T$15)</f>
        <v>2</v>
      </c>
      <c r="Q175" s="28">
        <f>SUM(M175:P175)</f>
        <v>16</v>
      </c>
      <c r="R175" s="22">
        <f>MAX(R174-($J$30*M175*$L$33)+I175,0)</f>
        <v>146.57826153617592</v>
      </c>
      <c r="S175" s="22">
        <f>IF(U175&lt;&gt;0,(MAX(S174-($J$31*N175*$L$33)+J175,0)),(MAX(S174-($J$31*(N175+P175)*$L$33)+J175,0)))</f>
        <v>1.2980794305683006</v>
      </c>
      <c r="T175" s="22">
        <f>MAX(T174-($J$32*O175*$L$33)+K175,0)</f>
        <v>42.154846508098203</v>
      </c>
      <c r="U175" s="22">
        <f>MAX(U174-($J$33*P175*$L$33)+L175,0)</f>
        <v>9.661733925280684</v>
      </c>
      <c r="V175" s="21">
        <f>IFERROR(R175*($I$30/M175),0)</f>
        <v>9.8661827839999994</v>
      </c>
      <c r="W175" s="21">
        <f>IFERROR(S175*($I$31/N175),0)</f>
        <v>0.37108932259999999</v>
      </c>
      <c r="X175" s="21">
        <f>IFERROR(T175*($I$32/O175),0)</f>
        <v>7.2212727488000006</v>
      </c>
      <c r="Y175" s="21">
        <f>IFERROR(U175*($I$33/P175),0)</f>
        <v>2.236106868799999</v>
      </c>
      <c r="Z175" s="221">
        <f>ROUNDUP(SUM(V175*$C$30,W175*$C$31,X175*$C$32,Y175*$C$33),0)</f>
        <v>7</v>
      </c>
      <c r="AA175" s="30">
        <f>IF(R175&lt;&gt;0,($J$30*M175*$L$33),0)</f>
        <v>12.628138463824097</v>
      </c>
      <c r="AB175" s="30">
        <f>IF(W175&lt;&gt;0,($J$31*N175*$L$33),0)</f>
        <v>2.9733205694316993</v>
      </c>
      <c r="AC175" s="30">
        <f>IF(X175&lt;&gt;0,($J$32*O175*$L$33),0)</f>
        <v>4.9619534919017996</v>
      </c>
      <c r="AD175" s="30">
        <f>IF(Y175&lt;&gt;0,($J$33*P175*$L$33),0)</f>
        <v>3.6726660747193107</v>
      </c>
      <c r="AE175" s="32">
        <f>SUM(AA175:AD175)</f>
        <v>24.236078599876905</v>
      </c>
      <c r="AF175" s="33">
        <f>AE171</f>
        <v>0</v>
      </c>
      <c r="AG175" s="40">
        <f>MAX(AG174-$Q$33+AF175,0)</f>
        <v>0</v>
      </c>
      <c r="AH175" s="224">
        <f>AG175*$P$33</f>
        <v>0</v>
      </c>
      <c r="AI175" s="227">
        <f>SUM(Z175,IF(Z175&lt;&gt;0,$F$31,0),IF(Z175&lt;&gt;0,$N$33,0),IF(Z175&lt;&gt;0,$T$33,0),IF(Z175=0,AH180,IF(Z175=1,AH181,IF(Z175=2,AH182,IF(Z175=3,AH183,IF(Z175=4,AH184,IF(Z175=5,AH185,IF(Z175=6,AH186,IF(Z175=7,AH187,IF(Z175=8,AH188,IF(Z175=9,AH189,IF(Z175=10,AH190,IF(Z175=11,AH191,IF(Z175=12,AH192,IF(Z175=13,AH193,IF(Z175=14,AH194,IF(Z175=15,AH195,IF(Z175=16,AH196,IF(Z175=17,AH197,IF(Z175=18,AH198,IF(Z175=19,AH199,IF(Z175=20,AH200,IF(Z175=21,AH201,IF(Z175=22,AH202,IF(Z175=23,AH203,IF(Z175=24,AH204,IF(Z175=25,AH205,IF(Z175=26,AH206,IF(Z175=27,AH207,IF(Z175=28,AH208,IF(Z175=29,AH209,IF(Z175=30,AH210))))))))))))))))))))))))))))))))</f>
        <v>35.50434862052353</v>
      </c>
    </row>
    <row r="176" spans="1:35" x14ac:dyDescent="0.35">
      <c r="A176" s="48">
        <v>1517</v>
      </c>
      <c r="B176" s="58">
        <f>SUMIF([2]!Table2_23[ETA],'FIS Optimal Model (3)'!A176,[2]!Table2_23[FIS PAX])</f>
        <v>0</v>
      </c>
      <c r="C176" s="44">
        <f>IF((D175-D176)&gt;-1,(D175-D176),18)</f>
        <v>18</v>
      </c>
      <c r="D176" s="52">
        <f>MAX(D175-$E$31+B175,0)</f>
        <v>5</v>
      </c>
      <c r="E176" s="26">
        <f>$C$30*C176</f>
        <v>9.9503999999999984</v>
      </c>
      <c r="F176" s="26">
        <f>$C$31*C176</f>
        <v>4.2713999999999999</v>
      </c>
      <c r="G176" s="26">
        <f>$C$32*C176</f>
        <v>2.9447999999999999</v>
      </c>
      <c r="H176" s="26">
        <f>$C$33*C176</f>
        <v>0.83340000000000003</v>
      </c>
      <c r="I176" s="27">
        <f>E171</f>
        <v>9.9503999999999984</v>
      </c>
      <c r="J176" s="27">
        <f>F171</f>
        <v>4.2713999999999999</v>
      </c>
      <c r="K176" s="27">
        <f>G171</f>
        <v>2.9447999999999999</v>
      </c>
      <c r="L176" s="27">
        <f>H171</f>
        <v>0.83340000000000003</v>
      </c>
      <c r="M176" s="28">
        <f>$M$175</f>
        <v>6</v>
      </c>
      <c r="N176" s="29">
        <f>$N$175</f>
        <v>6</v>
      </c>
      <c r="O176" s="28">
        <f>$O$175</f>
        <v>2</v>
      </c>
      <c r="P176" s="28">
        <f>$P$175</f>
        <v>2</v>
      </c>
      <c r="Q176" s="28">
        <f>SUM(M176:P176)</f>
        <v>16</v>
      </c>
      <c r="R176" s="22">
        <f>MAX(R175-($J$30*M176*$L$33)+I176,0)</f>
        <v>143.90052307235183</v>
      </c>
      <c r="S176" s="22">
        <f>IF(U176&lt;&gt;0,(MAX(S175-($J$31*N176*$L$33)+J176,0)),(MAX(S175-($J$31*(N176+P176)*$L$33)+J176,0)))</f>
        <v>2.5961588611366011</v>
      </c>
      <c r="T176" s="22">
        <f>MAX(T175-($J$32*O176*$L$33)+K176,0)</f>
        <v>40.137693016196401</v>
      </c>
      <c r="U176" s="22">
        <f>MAX(U175-($J$33*P176*$L$33)+L176,0)</f>
        <v>6.8224678505613729</v>
      </c>
      <c r="V176" s="21">
        <f>IFERROR(R176*($I$30/M176),0)</f>
        <v>9.6859442080000004</v>
      </c>
      <c r="W176" s="21">
        <f>IFERROR(S176*($I$31/N176),0)</f>
        <v>0.74217864519999999</v>
      </c>
      <c r="X176" s="21">
        <f>IFERROR(T176*($I$32/O176),0)</f>
        <v>6.8757272956</v>
      </c>
      <c r="Y176" s="21">
        <f>IFERROR(U176*($I$33/P176),0)</f>
        <v>1.5789885480999988</v>
      </c>
      <c r="Z176" s="221">
        <f>ROUNDUP(SUM(V176*$C$30,W176*$C$31,X176*$C$32,Y176*$C$33),0)</f>
        <v>7</v>
      </c>
      <c r="AA176" s="30">
        <f>IF(R176&lt;&gt;0,($J$30*M176*$L$33),0)</f>
        <v>12.628138463824097</v>
      </c>
      <c r="AB176" s="30">
        <f>IF(W176&lt;&gt;0,($J$31*N176*$L$33),0)</f>
        <v>2.9733205694316993</v>
      </c>
      <c r="AC176" s="30">
        <f>IF(X176&lt;&gt;0,($J$32*O176*$L$33),0)</f>
        <v>4.9619534919017996</v>
      </c>
      <c r="AD176" s="30">
        <f>IF(Y176&lt;&gt;0,($J$33*P176*$L$33),0)</f>
        <v>3.6726660747193107</v>
      </c>
      <c r="AE176" s="32">
        <f>SUM(AA176:AD176)</f>
        <v>24.236078599876905</v>
      </c>
      <c r="AF176" s="33">
        <f>AE172</f>
        <v>0</v>
      </c>
      <c r="AG176" s="40">
        <f>MAX(AG175-$Q$33+AF176,0)</f>
        <v>0</v>
      </c>
      <c r="AH176" s="224">
        <f>AG176*$P$33</f>
        <v>0</v>
      </c>
      <c r="AI176" s="227">
        <f>SUM(Z176,IF(Z176&lt;&gt;0,$F$31,0),IF(Z176&lt;&gt;0,$N$33,0),IF(Z176&lt;&gt;0,$T$33,0),IF(Z176=0,AH181,IF(Z176=1,AH182,IF(Z176=2,AH183,IF(Z176=3,AH184,IF(Z176=4,AH185,IF(Z176=5,AH186,IF(Z176=6,AH187,IF(Z176=7,AH188,IF(Z176=8,AH189,IF(Z176=9,AH190,IF(Z176=10,AH191,IF(Z176=11,AH192,IF(Z176=12,AH193,IF(Z176=13,AH194,IF(Z176=14,AH195,IF(Z176=15,AH196,IF(Z176=16,AH197,IF(Z176=17,AH198,IF(Z176=18,AH199,IF(Z176=19,AH200,IF(Z176=20,AH201,IF(Z176=21,AH202,IF(Z176=22,AH203,IF(Z176=23,AH204,IF(Z176=24,AH205,IF(Z176=25,AH206,IF(Z176=26,AH207,IF(Z176=27,AH208,IF(Z176=28,AH209,IF(Z176=29,AH210,IF(Z176=30,AH211))))))))))))))))))))))))))))))))</f>
        <v>35.97960588528278</v>
      </c>
    </row>
    <row r="177" spans="1:35" x14ac:dyDescent="0.35">
      <c r="A177" s="48">
        <v>1518</v>
      </c>
      <c r="B177" s="58">
        <f>SUMIF([2]!Table2_23[ETA],'FIS Optimal Model (3)'!A177,[2]!Table2_23[FIS PAX])</f>
        <v>0</v>
      </c>
      <c r="C177" s="44">
        <f>IF((D176-D177)&gt;-1,(D176-D177),18)</f>
        <v>5</v>
      </c>
      <c r="D177" s="52">
        <f>MAX(D176-$E$31+B176,0)</f>
        <v>0</v>
      </c>
      <c r="E177" s="26">
        <f>$C$30*C177</f>
        <v>2.7639999999999998</v>
      </c>
      <c r="F177" s="26">
        <f>$C$31*C177</f>
        <v>1.1865000000000001</v>
      </c>
      <c r="G177" s="26">
        <f>$C$32*C177</f>
        <v>0.81799999999999995</v>
      </c>
      <c r="H177" s="26">
        <f>$C$33*C177</f>
        <v>0.23150000000000001</v>
      </c>
      <c r="I177" s="27">
        <f>E172</f>
        <v>9.9503999999999984</v>
      </c>
      <c r="J177" s="27">
        <f>F172</f>
        <v>4.2713999999999999</v>
      </c>
      <c r="K177" s="27">
        <f>G172</f>
        <v>2.9447999999999999</v>
      </c>
      <c r="L177" s="27">
        <f>H172</f>
        <v>0.83340000000000003</v>
      </c>
      <c r="M177" s="28">
        <f>$M$175</f>
        <v>6</v>
      </c>
      <c r="N177" s="29">
        <f>$N$175</f>
        <v>6</v>
      </c>
      <c r="O177" s="28">
        <f>$O$175</f>
        <v>2</v>
      </c>
      <c r="P177" s="28">
        <f>$P$175</f>
        <v>2</v>
      </c>
      <c r="Q177" s="28">
        <f>SUM(M177:P177)</f>
        <v>16</v>
      </c>
      <c r="R177" s="22">
        <f>MAX(R176-($J$30*M177*$L$33)+I177,0)</f>
        <v>141.22278460852775</v>
      </c>
      <c r="S177" s="22">
        <f>IF(U177&lt;&gt;0,(MAX(S176-($J$31*N177*$L$33)+J177,0)),(MAX(S176-($J$31*(N177+P177)*$L$33)+J177,0)))</f>
        <v>3.8942382917049017</v>
      </c>
      <c r="T177" s="22">
        <f>MAX(T176-($J$32*O177*$L$33)+K177,0)</f>
        <v>38.1205395242946</v>
      </c>
      <c r="U177" s="22">
        <f>MAX(U176-($J$33*P177*$L$33)+L177,0)</f>
        <v>3.9832017758420624</v>
      </c>
      <c r="V177" s="21">
        <f>IFERROR(R177*($I$30/M177),0)</f>
        <v>9.5057056320000015</v>
      </c>
      <c r="W177" s="21">
        <f>IFERROR(S177*($I$31/N177),0)</f>
        <v>1.1132679677999999</v>
      </c>
      <c r="X177" s="21">
        <f>IFERROR(T177*($I$32/O177),0)</f>
        <v>6.5301818424000002</v>
      </c>
      <c r="Y177" s="21">
        <f>IFERROR(U177*($I$33/P177),0)</f>
        <v>0.92187022739999891</v>
      </c>
      <c r="Z177" s="221">
        <f>ROUNDUP(SUM(V177*$C$30,W177*$C$31,X177*$C$32,Y177*$C$33),0)</f>
        <v>7</v>
      </c>
      <c r="AA177" s="30">
        <f>IF(R177&lt;&gt;0,($J$30*M177*$L$33),0)</f>
        <v>12.628138463824097</v>
      </c>
      <c r="AB177" s="30">
        <f>IF(W177&lt;&gt;0,($J$31*N177*$L$33),0)</f>
        <v>2.9733205694316993</v>
      </c>
      <c r="AC177" s="30">
        <f>IF(X177&lt;&gt;0,($J$32*O177*$L$33),0)</f>
        <v>4.9619534919017996</v>
      </c>
      <c r="AD177" s="30">
        <f>IF(Y177&lt;&gt;0,($J$33*P177*$L$33),0)</f>
        <v>3.6726660747193107</v>
      </c>
      <c r="AE177" s="32">
        <f>SUM(AA177:AD177)</f>
        <v>24.236078599876905</v>
      </c>
      <c r="AF177" s="33">
        <f>AE173</f>
        <v>0</v>
      </c>
      <c r="AG177" s="40">
        <f>MAX(AG176-$Q$33+AF177,0)</f>
        <v>0</v>
      </c>
      <c r="AH177" s="224">
        <f>AG177*$P$33</f>
        <v>0</v>
      </c>
      <c r="AI177" s="227">
        <f>SUM(Z177,IF(Z177&lt;&gt;0,$F$31,0),IF(Z177&lt;&gt;0,$N$33,0),IF(Z177&lt;&gt;0,$T$33,0),IF(Z177=0,AH182,IF(Z177=1,AH183,IF(Z177=2,AH184,IF(Z177=3,AH185,IF(Z177=4,AH186,IF(Z177=5,AH187,IF(Z177=6,AH188,IF(Z177=7,AH189,IF(Z177=8,AH190,IF(Z177=9,AH191,IF(Z177=10,AH192,IF(Z177=11,AH193,IF(Z177=12,AH194,IF(Z177=13,AH195,IF(Z177=14,AH196,IF(Z177=15,AH197,IF(Z177=16,AH198,IF(Z177=17,AH199,IF(Z177=18,AH200,IF(Z177=19,AH201,IF(Z177=20,AH202,IF(Z177=21,AH203,IF(Z177=22,AH204,IF(Z177=23,AH205,IF(Z177=24,AH206,IF(Z177=25,AH207,IF(Z177=26,AH208,IF(Z177=27,AH209,IF(Z177=28,AH210,IF(Z177=29,AH211,IF(Z177=30,AH212))))))))))))))))))))))))))))))))</f>
        <v>36.45486315004203</v>
      </c>
    </row>
    <row r="178" spans="1:35" x14ac:dyDescent="0.35">
      <c r="A178" s="48">
        <v>1519</v>
      </c>
      <c r="B178" s="58">
        <f>SUMIF([2]!Table2_23[ETA],'FIS Optimal Model (3)'!A178,[2]!Table2_23[FIS PAX])</f>
        <v>0</v>
      </c>
      <c r="C178" s="44">
        <f>IF((D177-D178)&gt;-1,(D177-D178),18)</f>
        <v>0</v>
      </c>
      <c r="D178" s="52">
        <f>MAX(D177-$E$31+B177,0)</f>
        <v>0</v>
      </c>
      <c r="E178" s="26">
        <f>$C$30*C178</f>
        <v>0</v>
      </c>
      <c r="F178" s="26">
        <f>$C$31*C178</f>
        <v>0</v>
      </c>
      <c r="G178" s="26">
        <f>$C$32*C178</f>
        <v>0</v>
      </c>
      <c r="H178" s="26">
        <f>$C$33*C178</f>
        <v>0</v>
      </c>
      <c r="I178" s="27">
        <f>E173</f>
        <v>9.9503999999999984</v>
      </c>
      <c r="J178" s="27">
        <f>F173</f>
        <v>4.2713999999999999</v>
      </c>
      <c r="K178" s="27">
        <f>G173</f>
        <v>2.9447999999999999</v>
      </c>
      <c r="L178" s="27">
        <f>H173</f>
        <v>0.83340000000000003</v>
      </c>
      <c r="M178" s="28">
        <f>$M$175</f>
        <v>6</v>
      </c>
      <c r="N178" s="29">
        <f>$N$175</f>
        <v>6</v>
      </c>
      <c r="O178" s="28">
        <f>$O$175</f>
        <v>2</v>
      </c>
      <c r="P178" s="28">
        <f>$P$175</f>
        <v>2</v>
      </c>
      <c r="Q178" s="28">
        <f>SUM(M178:P178)</f>
        <v>16</v>
      </c>
      <c r="R178" s="22">
        <f>MAX(R177-($J$30*M178*$L$33)+I178,0)</f>
        <v>138.54504614470366</v>
      </c>
      <c r="S178" s="22">
        <f>IF(U178&lt;&gt;0,(MAX(S177-($J$31*N178*$L$33)+J178,0)),(MAX(S177-($J$31*(N178+P178)*$L$33)+J178,0)))</f>
        <v>5.1923177222732022</v>
      </c>
      <c r="T178" s="22">
        <f>MAX(T177-($J$32*O178*$L$33)+K178,0)</f>
        <v>36.103386032392798</v>
      </c>
      <c r="U178" s="22">
        <f>MAX(U177-($J$33*P178*$L$33)+L178,0)</f>
        <v>1.1439357011227518</v>
      </c>
      <c r="V178" s="21">
        <f>IFERROR(R178*($I$30/M178),0)</f>
        <v>9.3254670560000026</v>
      </c>
      <c r="W178" s="21">
        <f>IFERROR(S178*($I$31/N178),0)</f>
        <v>1.4843572904</v>
      </c>
      <c r="X178" s="21">
        <f>IFERROR(T178*($I$32/O178),0)</f>
        <v>6.1846363891999996</v>
      </c>
      <c r="Y178" s="21">
        <f>IFERROR(U178*($I$33/P178),0)</f>
        <v>0.2647519066999991</v>
      </c>
      <c r="Z178" s="221">
        <f>ROUNDUP(SUM(V178*$C$30,W178*$C$31,X178*$C$32,Y178*$C$33),0)</f>
        <v>7</v>
      </c>
      <c r="AA178" s="30">
        <f>IF(R178&lt;&gt;0,($J$30*M178*$L$33),0)</f>
        <v>12.628138463824097</v>
      </c>
      <c r="AB178" s="30">
        <f>IF(W178&lt;&gt;0,($J$31*N178*$L$33),0)</f>
        <v>2.9733205694316993</v>
      </c>
      <c r="AC178" s="30">
        <f>IF(X178&lt;&gt;0,($J$32*O178*$L$33),0)</f>
        <v>4.9619534919017996</v>
      </c>
      <c r="AD178" s="30">
        <f>IF(Y178&lt;&gt;0,($J$33*P178*$L$33),0)</f>
        <v>3.6726660747193107</v>
      </c>
      <c r="AE178" s="32">
        <f>SUM(AA178:AD178)</f>
        <v>24.236078599876905</v>
      </c>
      <c r="AF178" s="33">
        <f>AE174</f>
        <v>0</v>
      </c>
      <c r="AG178" s="40">
        <f>MAX(AG177-$Q$33+AF178,0)</f>
        <v>0</v>
      </c>
      <c r="AH178" s="224">
        <f>AG178*$P$33</f>
        <v>0</v>
      </c>
      <c r="AI178" s="227">
        <f>SUM(Z178,IF(Z178&lt;&gt;0,$F$31,0),IF(Z178&lt;&gt;0,$N$33,0),IF(Z178&lt;&gt;0,$T$33,0),IF(Z178=0,AH183,IF(Z178=1,AH184,IF(Z178=2,AH185,IF(Z178=3,AH186,IF(Z178=4,AH187,IF(Z178=5,AH188,IF(Z178=6,AH189,IF(Z178=7,AH190,IF(Z178=8,AH191,IF(Z178=9,AH192,IF(Z178=10,AH193,IF(Z178=11,AH194,IF(Z178=12,AH195,IF(Z178=13,AH196,IF(Z178=14,AH197,IF(Z178=15,AH198,IF(Z178=16,AH199,IF(Z178=17,AH200,IF(Z178=18,AH201,IF(Z178=19,AH202,IF(Z178=20,AH203,IF(Z178=21,AH204,IF(Z178=22,AH205,IF(Z178=23,AH206,IF(Z178=24,AH207,IF(Z178=25,AH208,IF(Z178=26,AH209,IF(Z178=27,AH210,IF(Z178=28,AH211,IF(Z178=29,AH212,IF(Z178=30,AH213))))))))))))))))))))))))))))))))</f>
        <v>36.93012041480128</v>
      </c>
    </row>
    <row r="179" spans="1:35" x14ac:dyDescent="0.35">
      <c r="A179" s="48">
        <v>1520</v>
      </c>
      <c r="B179" s="58">
        <f>SUMIF([2]!Table2_23[ETA],'FIS Optimal Model (3)'!A179,[2]!Table2_23[FIS PAX])</f>
        <v>0</v>
      </c>
      <c r="C179" s="44">
        <f>IF((D178-D179)&gt;-1,(D178-D179),18)</f>
        <v>0</v>
      </c>
      <c r="D179" s="52">
        <f>MAX(D178-$E$31+B178,0)</f>
        <v>0</v>
      </c>
      <c r="E179" s="26">
        <f>$C$30*C179</f>
        <v>0</v>
      </c>
      <c r="F179" s="26">
        <f>$C$31*C179</f>
        <v>0</v>
      </c>
      <c r="G179" s="26">
        <f>$C$32*C179</f>
        <v>0</v>
      </c>
      <c r="H179" s="26">
        <f>$C$33*C179</f>
        <v>0</v>
      </c>
      <c r="I179" s="27">
        <f>E174</f>
        <v>9.9503999999999984</v>
      </c>
      <c r="J179" s="27">
        <f>F174</f>
        <v>4.2713999999999999</v>
      </c>
      <c r="K179" s="27">
        <f>G174</f>
        <v>2.9447999999999999</v>
      </c>
      <c r="L179" s="27">
        <f>H174</f>
        <v>0.83340000000000003</v>
      </c>
      <c r="M179" s="28">
        <f>$M$175</f>
        <v>6</v>
      </c>
      <c r="N179" s="29">
        <f>$N$175</f>
        <v>6</v>
      </c>
      <c r="O179" s="28">
        <f>$O$175</f>
        <v>2</v>
      </c>
      <c r="P179" s="28">
        <f>$P$175</f>
        <v>2</v>
      </c>
      <c r="Q179" s="28">
        <f>SUM(M179:P179)</f>
        <v>16</v>
      </c>
      <c r="R179" s="22">
        <f>MAX(R178-($J$30*M179*$L$33)+I179,0)</f>
        <v>135.86730768087955</v>
      </c>
      <c r="S179" s="22">
        <f>IF(U179&lt;&gt;0,(MAX(S178-($J$31*N179*$L$33)+J179,0)),(MAX(S178-($J$31*(N179+P179)*$L$33)+J179,0)))</f>
        <v>5.4992902963642694</v>
      </c>
      <c r="T179" s="22">
        <f>MAX(T178-($J$32*O179*$L$33)+K179,0)</f>
        <v>34.086232540490997</v>
      </c>
      <c r="U179" s="22">
        <f>MAX(U178-($J$33*P179*$L$33)+L179,0)</f>
        <v>0</v>
      </c>
      <c r="V179" s="21">
        <f>IFERROR(R179*($I$30/M179),0)</f>
        <v>9.1452284800000019</v>
      </c>
      <c r="W179" s="21">
        <f>IFERROR(S179*($I$31/N179),0)</f>
        <v>1.5721132796666666</v>
      </c>
      <c r="X179" s="21">
        <f>IFERROR(T179*($I$32/O179),0)</f>
        <v>5.839090935999999</v>
      </c>
      <c r="Y179" s="21">
        <f>IFERROR(U179*($I$33/P179),0)</f>
        <v>0</v>
      </c>
      <c r="Z179" s="221">
        <f>ROUNDUP(SUM(V179*$C$30,W179*$C$31,X179*$C$32,Y179*$C$33),0)</f>
        <v>7</v>
      </c>
      <c r="AA179" s="30">
        <f>IF(R179&lt;&gt;0,($J$30*M179*$L$33),0)</f>
        <v>12.628138463824097</v>
      </c>
      <c r="AB179" s="30">
        <f>IF(W179&lt;&gt;0,($J$31*N179*$L$33),0)</f>
        <v>2.9733205694316993</v>
      </c>
      <c r="AC179" s="30">
        <f>IF(X179&lt;&gt;0,($J$32*O179*$L$33),0)</f>
        <v>4.9619534919017996</v>
      </c>
      <c r="AD179" s="30">
        <f>IF(Y179&lt;&gt;0,($J$33*P179*$L$33),0)</f>
        <v>0</v>
      </c>
      <c r="AE179" s="32">
        <f>SUM(AA179:AD179)</f>
        <v>20.563412525157595</v>
      </c>
      <c r="AF179" s="33">
        <f>AE175</f>
        <v>24.236078599876905</v>
      </c>
      <c r="AG179" s="40">
        <f>MAX(AG178-$Q$33+AF179,0)</f>
        <v>12.312672170425124</v>
      </c>
      <c r="AH179" s="224">
        <f>AG179*$P$33</f>
        <v>1.032647192165808</v>
      </c>
      <c r="AI179" s="227">
        <f>SUM(Z179,IF(Z179&lt;&gt;0,$F$31,0),IF(Z179&lt;&gt;0,$N$33,0),IF(Z179&lt;&gt;0,$T$33,0),IF(Z179=0,AH184,IF(Z179=1,AH185,IF(Z179=2,AH186,IF(Z179=3,AH187,IF(Z179=4,AH188,IF(Z179=5,AH189,IF(Z179=6,AH190,IF(Z179=7,AH191,IF(Z179=8,AH192,IF(Z179=9,AH193,IF(Z179=10,AH194,IF(Z179=11,AH195,IF(Z179=12,AH196,IF(Z179=13,AH197,IF(Z179=14,AH198,IF(Z179=15,AH199,IF(Z179=16,AH200,IF(Z179=17,AH201,IF(Z179=18,AH202,IF(Z179=19,AH203,IF(Z179=20,AH204,IF(Z179=21,AH205,IF(Z179=22,AH206,IF(Z179=23,AH207,IF(Z179=24,AH208,IF(Z179=25,AH209,IF(Z179=26,AH210,IF(Z179=27,AH211,IF(Z179=28,AH212,IF(Z179=29,AH213,IF(Z179=30,AH214))))))))))))))))))))))))))))))))</f>
        <v>37.40537767956053</v>
      </c>
    </row>
    <row r="180" spans="1:35" x14ac:dyDescent="0.35">
      <c r="A180" s="48">
        <v>1521</v>
      </c>
      <c r="B180" s="58">
        <f>SUMIF([2]!Table2_23[ETA],'FIS Optimal Model (3)'!A180,[2]!Table2_23[FIS PAX])</f>
        <v>0</v>
      </c>
      <c r="C180" s="44">
        <f>IF((D179-D180)&gt;-1,(D179-D180),18)</f>
        <v>0</v>
      </c>
      <c r="D180" s="52">
        <f>MAX(D179-$E$31+B179,0)</f>
        <v>0</v>
      </c>
      <c r="E180" s="26">
        <f>$C$30*C180</f>
        <v>0</v>
      </c>
      <c r="F180" s="26">
        <f>$C$31*C180</f>
        <v>0</v>
      </c>
      <c r="G180" s="26">
        <f>$C$32*C180</f>
        <v>0</v>
      </c>
      <c r="H180" s="26">
        <f>$C$33*C180</f>
        <v>0</v>
      </c>
      <c r="I180" s="27">
        <f>E175</f>
        <v>9.9503999999999984</v>
      </c>
      <c r="J180" s="27">
        <f>F175</f>
        <v>4.2713999999999999</v>
      </c>
      <c r="K180" s="27">
        <f>G175</f>
        <v>2.9447999999999999</v>
      </c>
      <c r="L180" s="27">
        <f>H175</f>
        <v>0.83340000000000003</v>
      </c>
      <c r="M180" s="28">
        <f>$M$175</f>
        <v>6</v>
      </c>
      <c r="N180" s="29">
        <f>$N$175</f>
        <v>6</v>
      </c>
      <c r="O180" s="28">
        <f>$O$175</f>
        <v>2</v>
      </c>
      <c r="P180" s="28">
        <f>$P$175</f>
        <v>2</v>
      </c>
      <c r="Q180" s="28">
        <f>SUM(M180:P180)</f>
        <v>16</v>
      </c>
      <c r="R180" s="22">
        <f>MAX(R179-($J$30*M180*$L$33)+I180,0)</f>
        <v>133.18956921705544</v>
      </c>
      <c r="S180" s="22">
        <f>IF(U180&lt;&gt;0,(MAX(S179-($J$31*N180*$L$33)+J180,0)),(MAX(S179-($J$31*(N180+P180)*$L$33)+J180,0)))</f>
        <v>5.8062628704553365</v>
      </c>
      <c r="T180" s="22">
        <f>MAX(T179-($J$32*O180*$L$33)+K180,0)</f>
        <v>32.069079048589195</v>
      </c>
      <c r="U180" s="22">
        <f>MAX(U179-($J$33*P180*$L$33)+L180,0)</f>
        <v>0</v>
      </c>
      <c r="V180" s="21">
        <f>IFERROR(R180*($I$30/M180),0)</f>
        <v>8.9649899040000012</v>
      </c>
      <c r="W180" s="21">
        <f>IFERROR(S180*($I$31/N180),0)</f>
        <v>1.6598692689333332</v>
      </c>
      <c r="X180" s="21">
        <f>IFERROR(T180*($I$32/O180),0)</f>
        <v>5.4935454827999992</v>
      </c>
      <c r="Y180" s="21">
        <f>IFERROR(U180*($I$33/P180),0)</f>
        <v>0</v>
      </c>
      <c r="Z180" s="221">
        <f>ROUNDUP(SUM(V180*$C$30,W180*$C$31,X180*$C$32,Y180*$C$33),0)</f>
        <v>7</v>
      </c>
      <c r="AA180" s="30">
        <f>IF(R180&lt;&gt;0,($J$30*M180*$L$33),0)</f>
        <v>12.628138463824097</v>
      </c>
      <c r="AB180" s="30">
        <f>IF(W180&lt;&gt;0,($J$31*N180*$L$33),0)</f>
        <v>2.9733205694316993</v>
      </c>
      <c r="AC180" s="30">
        <f>IF(X180&lt;&gt;0,($J$32*O180*$L$33),0)</f>
        <v>4.9619534919017996</v>
      </c>
      <c r="AD180" s="30">
        <f>IF(Y180&lt;&gt;0,($J$33*P180*$L$33),0)</f>
        <v>0</v>
      </c>
      <c r="AE180" s="32">
        <f>SUM(AA180:AD180)</f>
        <v>20.563412525157595</v>
      </c>
      <c r="AF180" s="33">
        <f>AE176</f>
        <v>24.236078599876905</v>
      </c>
      <c r="AG180" s="40">
        <f>MAX(AG179-$Q$33+AF180,0)</f>
        <v>24.625344340850248</v>
      </c>
      <c r="AH180" s="224">
        <f>AG180*$P$33</f>
        <v>2.0652943843316161</v>
      </c>
      <c r="AI180" s="227">
        <f>SUM(Z180,IF(Z180&lt;&gt;0,$F$31,0),IF(Z180&lt;&gt;0,$N$33,0),IF(Z180&lt;&gt;0,$T$33,0),IF(Z180=0,AH185,IF(Z180=1,AH186,IF(Z180=2,AH187,IF(Z180=3,AH188,IF(Z180=4,AH189,IF(Z180=5,AH190,IF(Z180=6,AH191,IF(Z180=7,AH192,IF(Z180=8,AH193,IF(Z180=9,AH194,IF(Z180=10,AH195,IF(Z180=11,AH196,IF(Z180=12,AH197,IF(Z180=13,AH198,IF(Z180=14,AH199,IF(Z180=15,AH200,IF(Z180=16,AH201,IF(Z180=17,AH202,IF(Z180=18,AH203,IF(Z180=19,AH204,IF(Z180=20,AH205,IF(Z180=21,AH206,IF(Z180=22,AH207,IF(Z180=23,AH208,IF(Z180=24,AH209,IF(Z180=25,AH210,IF(Z180=26,AH211,IF(Z180=27,AH212,IF(Z180=28,AH213,IF(Z180=29,AH214,IF(Z180=30,AH215))))))))))))))))))))))))))))))))</f>
        <v>37.464482603857299</v>
      </c>
    </row>
    <row r="181" spans="1:35" x14ac:dyDescent="0.35">
      <c r="A181" s="48">
        <v>1522</v>
      </c>
      <c r="B181" s="58">
        <f>SUMIF([2]!Table2_23[ETA],'FIS Optimal Model (3)'!A181,[2]!Table2_23[FIS PAX])</f>
        <v>0</v>
      </c>
      <c r="C181" s="44">
        <f>IF((D180-D181)&gt;-1,(D180-D181),18)</f>
        <v>0</v>
      </c>
      <c r="D181" s="52">
        <f>MAX(D180-$E$31+B180,0)</f>
        <v>0</v>
      </c>
      <c r="E181" s="26">
        <f>$C$30*C181</f>
        <v>0</v>
      </c>
      <c r="F181" s="26">
        <f>$C$31*C181</f>
        <v>0</v>
      </c>
      <c r="G181" s="26">
        <f>$C$32*C181</f>
        <v>0</v>
      </c>
      <c r="H181" s="26">
        <f>$C$33*C181</f>
        <v>0</v>
      </c>
      <c r="I181" s="27">
        <f>E176</f>
        <v>9.9503999999999984</v>
      </c>
      <c r="J181" s="27">
        <f>F176</f>
        <v>4.2713999999999999</v>
      </c>
      <c r="K181" s="27">
        <f>G176</f>
        <v>2.9447999999999999</v>
      </c>
      <c r="L181" s="27">
        <f>H176</f>
        <v>0.83340000000000003</v>
      </c>
      <c r="M181" s="28">
        <f>$M$175</f>
        <v>6</v>
      </c>
      <c r="N181" s="29">
        <f>$N$175</f>
        <v>6</v>
      </c>
      <c r="O181" s="28">
        <f>$O$175</f>
        <v>2</v>
      </c>
      <c r="P181" s="28">
        <f>$P$175</f>
        <v>2</v>
      </c>
      <c r="Q181" s="28">
        <f>SUM(M181:P181)</f>
        <v>16</v>
      </c>
      <c r="R181" s="22">
        <f>MAX(R180-($J$30*M181*$L$33)+I181,0)</f>
        <v>130.51183075323132</v>
      </c>
      <c r="S181" s="22">
        <f>IF(U181&lt;&gt;0,(MAX(S180-($J$31*N181*$L$33)+J181,0)),(MAX(S180-($J$31*(N181+P181)*$L$33)+J181,0)))</f>
        <v>6.1132354445464037</v>
      </c>
      <c r="T181" s="22">
        <f>MAX(T180-($J$32*O181*$L$33)+K181,0)</f>
        <v>30.051925556687397</v>
      </c>
      <c r="U181" s="22">
        <f>MAX(U180-($J$33*P181*$L$33)+L181,0)</f>
        <v>0</v>
      </c>
      <c r="V181" s="21">
        <f>IFERROR(R181*($I$30/M181),0)</f>
        <v>8.7847513280000005</v>
      </c>
      <c r="W181" s="21">
        <f>IFERROR(S181*($I$31/N181),0)</f>
        <v>1.7476252581999996</v>
      </c>
      <c r="X181" s="21">
        <f>IFERROR(T181*($I$32/O181),0)</f>
        <v>5.1480000295999995</v>
      </c>
      <c r="Y181" s="21">
        <f>IFERROR(U181*($I$33/P181),0)</f>
        <v>0</v>
      </c>
      <c r="Z181" s="221">
        <f>ROUNDUP(SUM(V181*$C$30,W181*$C$31,X181*$C$32,Y181*$C$33),0)</f>
        <v>7</v>
      </c>
      <c r="AA181" s="30">
        <f>IF(R181&lt;&gt;0,($J$30*M181*$L$33),0)</f>
        <v>12.628138463824097</v>
      </c>
      <c r="AB181" s="30">
        <f>IF(W181&lt;&gt;0,($J$31*N181*$L$33),0)</f>
        <v>2.9733205694316993</v>
      </c>
      <c r="AC181" s="30">
        <f>IF(X181&lt;&gt;0,($J$32*O181*$L$33),0)</f>
        <v>4.9619534919017996</v>
      </c>
      <c r="AD181" s="30">
        <f>IF(Y181&lt;&gt;0,($J$33*P181*$L$33),0)</f>
        <v>0</v>
      </c>
      <c r="AE181" s="32">
        <f>SUM(AA181:AD181)</f>
        <v>20.563412525157595</v>
      </c>
      <c r="AF181" s="33">
        <f>AE177</f>
        <v>24.236078599876905</v>
      </c>
      <c r="AG181" s="40">
        <f>MAX(AG180-$Q$33+AF181,0)</f>
        <v>36.938016511275372</v>
      </c>
      <c r="AH181" s="224">
        <f>AG181*$P$33</f>
        <v>3.0979415764974241</v>
      </c>
      <c r="AI181" s="227">
        <f>SUM(Z181,IF(Z181&lt;&gt;0,$F$31,0),IF(Z181&lt;&gt;0,$N$33,0),IF(Z181&lt;&gt;0,$T$33,0),IF(Z181=0,AH186,IF(Z181=1,AH187,IF(Z181=2,AH188,IF(Z181=3,AH189,IF(Z181=4,AH190,IF(Z181=5,AH191,IF(Z181=6,AH192,IF(Z181=7,AH193,IF(Z181=8,AH194,IF(Z181=9,AH195,IF(Z181=10,AH196,IF(Z181=11,AH197,IF(Z181=12,AH198,IF(Z181=13,AH199,IF(Z181=14,AH200,IF(Z181=15,AH201,IF(Z181=16,AH202,IF(Z181=17,AH203,IF(Z181=18,AH204,IF(Z181=19,AH205,IF(Z181=20,AH206,IF(Z181=21,AH207,IF(Z181=22,AH208,IF(Z181=23,AH209,IF(Z181=24,AH210,IF(Z181=25,AH211,IF(Z181=26,AH212,IF(Z181=27,AH213,IF(Z181=28,AH214,IF(Z181=29,AH215,IF(Z181=30,AH216))))))))))))))))))))))))))))))))</f>
        <v>37.52358752815406</v>
      </c>
    </row>
    <row r="182" spans="1:35" x14ac:dyDescent="0.35">
      <c r="A182" s="48">
        <v>1523</v>
      </c>
      <c r="B182" s="58">
        <f>SUMIF([2]!Table2_23[ETA],'FIS Optimal Model (3)'!A182,[2]!Table2_23[FIS PAX])</f>
        <v>0</v>
      </c>
      <c r="C182" s="44">
        <f>IF((D181-D182)&gt;-1,(D181-D182),18)</f>
        <v>0</v>
      </c>
      <c r="D182" s="52">
        <f>MAX(D181-$E$31+B181,0)</f>
        <v>0</v>
      </c>
      <c r="E182" s="26">
        <f>$C$30*C182</f>
        <v>0</v>
      </c>
      <c r="F182" s="26">
        <f>$C$31*C182</f>
        <v>0</v>
      </c>
      <c r="G182" s="26">
        <f>$C$32*C182</f>
        <v>0</v>
      </c>
      <c r="H182" s="26">
        <f>$C$33*C182</f>
        <v>0</v>
      </c>
      <c r="I182" s="27">
        <f>E177</f>
        <v>2.7639999999999998</v>
      </c>
      <c r="J182" s="27">
        <f>F177</f>
        <v>1.1865000000000001</v>
      </c>
      <c r="K182" s="27">
        <f>G177</f>
        <v>0.81799999999999995</v>
      </c>
      <c r="L182" s="27">
        <f>H177</f>
        <v>0.23150000000000001</v>
      </c>
      <c r="M182" s="28">
        <f>$M$175</f>
        <v>6</v>
      </c>
      <c r="N182" s="29">
        <f>$N$175</f>
        <v>6</v>
      </c>
      <c r="O182" s="28">
        <f>$O$175</f>
        <v>2</v>
      </c>
      <c r="P182" s="28">
        <f>$P$175</f>
        <v>2</v>
      </c>
      <c r="Q182" s="28">
        <f>SUM(M182:P182)</f>
        <v>16</v>
      </c>
      <c r="R182" s="22">
        <f>MAX(R181-($J$30*M182*$L$33)+I182,0)</f>
        <v>120.64769228940722</v>
      </c>
      <c r="S182" s="22">
        <f>IF(U182&lt;&gt;0,(MAX(S181-($J$31*N182*$L$33)+J182,0)),(MAX(S181-($J$31*(N182+P182)*$L$33)+J182,0)))</f>
        <v>3.3353080186374711</v>
      </c>
      <c r="T182" s="22">
        <f>MAX(T181-($J$32*O182*$L$33)+K182,0)</f>
        <v>25.9079720647856</v>
      </c>
      <c r="U182" s="22">
        <f>MAX(U181-($J$33*P182*$L$33)+L182,0)</f>
        <v>0</v>
      </c>
      <c r="V182" s="21">
        <f>IFERROR(R182*($I$30/M182),0)</f>
        <v>8.120796168</v>
      </c>
      <c r="W182" s="21">
        <f>IFERROR(S182*($I$31/N182),0)</f>
        <v>0.95348340336666626</v>
      </c>
      <c r="X182" s="21">
        <f>IFERROR(T182*($I$32/O182),0)</f>
        <v>4.4381262925999998</v>
      </c>
      <c r="Y182" s="21">
        <f>IFERROR(U182*($I$33/P182),0)</f>
        <v>0</v>
      </c>
      <c r="Z182" s="221">
        <f>ROUNDUP(SUM(V182*$C$30,W182*$C$31,X182*$C$32,Y182*$C$33),0)</f>
        <v>6</v>
      </c>
      <c r="AA182" s="30">
        <f>IF(R182&lt;&gt;0,($J$30*M182*$L$33),0)</f>
        <v>12.628138463824097</v>
      </c>
      <c r="AB182" s="30">
        <f>IF(W182&lt;&gt;0,($J$31*N182*$L$33),0)</f>
        <v>2.9733205694316993</v>
      </c>
      <c r="AC182" s="30">
        <f>IF(X182&lt;&gt;0,($J$32*O182*$L$33),0)</f>
        <v>4.9619534919017996</v>
      </c>
      <c r="AD182" s="30">
        <f>IF(Y182&lt;&gt;0,($J$33*P182*$L$33),0)</f>
        <v>0</v>
      </c>
      <c r="AE182" s="32">
        <f>SUM(AA182:AD182)</f>
        <v>20.563412525157595</v>
      </c>
      <c r="AF182" s="33">
        <f>AE178</f>
        <v>24.236078599876905</v>
      </c>
      <c r="AG182" s="40">
        <f>MAX(AG181-$Q$33+AF182,0)</f>
        <v>49.250688681700495</v>
      </c>
      <c r="AH182" s="224">
        <f>AG182*$P$33</f>
        <v>4.1305887686632321</v>
      </c>
      <c r="AI182" s="227">
        <f>SUM(Z182,IF(Z182&lt;&gt;0,$F$31,0),IF(Z182&lt;&gt;0,$N$33,0),IF(Z182&lt;&gt;0,$T$33,0),IF(Z182=0,AH187,IF(Z182=1,AH188,IF(Z182=2,AH189,IF(Z182=3,AH190,IF(Z182=4,AH191,IF(Z182=5,AH192,IF(Z182=6,AH193,IF(Z182=7,AH194,IF(Z182=8,AH195,IF(Z182=9,AH196,IF(Z182=10,AH197,IF(Z182=11,AH198,IF(Z182=12,AH199,IF(Z182=13,AH200,IF(Z182=14,AH201,IF(Z182=15,AH202,IF(Z182=16,AH203,IF(Z182=17,AH204,IF(Z182=18,AH205,IF(Z182=19,AH206,IF(Z182=20,AH207,IF(Z182=21,AH208,IF(Z182=22,AH209,IF(Z182=23,AH210,IF(Z182=24,AH211,IF(Z182=25,AH212,IF(Z182=26,AH213,IF(Z182=27,AH214,IF(Z182=28,AH215,IF(Z182=29,AH216,IF(Z182=30,AH217))))))))))))))))))))))))))))))))</f>
        <v>36.52358752815406</v>
      </c>
    </row>
    <row r="183" spans="1:35" x14ac:dyDescent="0.35">
      <c r="A183" s="48">
        <v>1524</v>
      </c>
      <c r="B183" s="58">
        <f>SUMIF([2]!Table2_23[ETA],'FIS Optimal Model (3)'!A183,[2]!Table2_23[FIS PAX])</f>
        <v>0</v>
      </c>
      <c r="C183" s="44">
        <f>IF((D182-D183)&gt;-1,(D182-D183),18)</f>
        <v>0</v>
      </c>
      <c r="D183" s="52">
        <f>MAX(D182-$E$31+B182,0)</f>
        <v>0</v>
      </c>
      <c r="E183" s="26">
        <f>$C$30*C183</f>
        <v>0</v>
      </c>
      <c r="F183" s="26">
        <f>$C$31*C183</f>
        <v>0</v>
      </c>
      <c r="G183" s="26">
        <f>$C$32*C183</f>
        <v>0</v>
      </c>
      <c r="H183" s="26">
        <f>$C$33*C183</f>
        <v>0</v>
      </c>
      <c r="I183" s="27">
        <f>E178</f>
        <v>0</v>
      </c>
      <c r="J183" s="27">
        <f>F178</f>
        <v>0</v>
      </c>
      <c r="K183" s="27">
        <f>G178</f>
        <v>0</v>
      </c>
      <c r="L183" s="27">
        <f>H178</f>
        <v>0</v>
      </c>
      <c r="M183" s="28">
        <f>$M$175</f>
        <v>6</v>
      </c>
      <c r="N183" s="29">
        <f>$N$175</f>
        <v>6</v>
      </c>
      <c r="O183" s="28">
        <f>$O$175</f>
        <v>2</v>
      </c>
      <c r="P183" s="28">
        <f>$P$175</f>
        <v>2</v>
      </c>
      <c r="Q183" s="28">
        <f>SUM(M183:P183)</f>
        <v>16</v>
      </c>
      <c r="R183" s="22">
        <f>MAX(R182-($J$30*M183*$L$33)+I183,0)</f>
        <v>108.01955382558312</v>
      </c>
      <c r="S183" s="22">
        <f>IF(U183&lt;&gt;0,(MAX(S182-($J$31*N183*$L$33)+J183,0)),(MAX(S182-($J$31*(N183+P183)*$L$33)+J183,0)))</f>
        <v>0</v>
      </c>
      <c r="T183" s="22">
        <f>MAX(T182-($J$32*O183*$L$33)+K183,0)</f>
        <v>20.946018572883801</v>
      </c>
      <c r="U183" s="22">
        <f>MAX(U182-($J$33*P183*$L$33)+L183,0)</f>
        <v>0</v>
      </c>
      <c r="V183" s="21">
        <f>IFERROR(R183*($I$30/M183),0)</f>
        <v>7.2707961679999986</v>
      </c>
      <c r="W183" s="21">
        <f>IFERROR(S183*($I$31/N183),0)</f>
        <v>0</v>
      </c>
      <c r="X183" s="21">
        <f>IFERROR(T183*($I$32/O183),0)</f>
        <v>3.5881262926000002</v>
      </c>
      <c r="Y183" s="21">
        <f>IFERROR(U183*($I$33/P183),0)</f>
        <v>0</v>
      </c>
      <c r="Z183" s="221">
        <f>ROUNDUP(SUM(V183*$C$30,W183*$C$31,X183*$C$32,Y183*$C$33),0)</f>
        <v>5</v>
      </c>
      <c r="AA183" s="30">
        <f>IF(R183&lt;&gt;0,($J$30*M183*$L$33),0)</f>
        <v>12.628138463824097</v>
      </c>
      <c r="AB183" s="30">
        <f>IF(W183&lt;&gt;0,($J$31*N183*$L$33),0)</f>
        <v>0</v>
      </c>
      <c r="AC183" s="30">
        <f>IF(X183&lt;&gt;0,($J$32*O183*$L$33),0)</f>
        <v>4.9619534919017996</v>
      </c>
      <c r="AD183" s="30">
        <f>IF(Y183&lt;&gt;0,($J$33*P183*$L$33),0)</f>
        <v>0</v>
      </c>
      <c r="AE183" s="32">
        <f>SUM(AA183:AD183)</f>
        <v>17.590091955725896</v>
      </c>
      <c r="AF183" s="33">
        <f>AE179</f>
        <v>20.563412525157595</v>
      </c>
      <c r="AG183" s="40">
        <f>MAX(AG182-$Q$33+AF183,0)</f>
        <v>57.89069477740631</v>
      </c>
      <c r="AH183" s="224">
        <f>AG183*$P$33</f>
        <v>4.8552144154384944</v>
      </c>
      <c r="AI183" s="227">
        <f>SUM(Z183,IF(Z183&lt;&gt;0,$F$31,0),IF(Z183&lt;&gt;0,$N$33,0),IF(Z183&lt;&gt;0,$T$33,0),IF(Z183=0,AH188,IF(Z183=1,AH189,IF(Z183=2,AH190,IF(Z183=3,AH191,IF(Z183=4,AH192,IF(Z183=5,AH193,IF(Z183=6,AH194,IF(Z183=7,AH195,IF(Z183=8,AH196,IF(Z183=9,AH197,IF(Z183=10,AH198,IF(Z183=11,AH199,IF(Z183=12,AH200,IF(Z183=13,AH201,IF(Z183=14,AH202,IF(Z183=15,AH203,IF(Z183=16,AH204,IF(Z183=17,AH205,IF(Z183=18,AH206,IF(Z183=19,AH207,IF(Z183=20,AH208,IF(Z183=21,AH209,IF(Z183=22,AH210,IF(Z183=23,AH211,IF(Z183=24,AH212,IF(Z183=25,AH213,IF(Z183=26,AH214,IF(Z183=27,AH215,IF(Z183=28,AH216,IF(Z183=29,AH217,IF(Z183=30,AH218))))))))))))))))))))))))))))))))</f>
        <v>35.52358752815406</v>
      </c>
    </row>
    <row r="184" spans="1:35" x14ac:dyDescent="0.35">
      <c r="A184" s="48">
        <v>1525</v>
      </c>
      <c r="B184" s="58">
        <f>SUMIF([2]!Table2_23[ETA],'FIS Optimal Model (3)'!A184,[2]!Table2_23[FIS PAX])</f>
        <v>0</v>
      </c>
      <c r="C184" s="44">
        <f>IF((D183-D184)&gt;-1,(D183-D184),18)</f>
        <v>0</v>
      </c>
      <c r="D184" s="52">
        <f>MAX(D183-$E$31+B183,0)</f>
        <v>0</v>
      </c>
      <c r="E184" s="26">
        <f>$C$30*C184</f>
        <v>0</v>
      </c>
      <c r="F184" s="26">
        <f>$C$31*C184</f>
        <v>0</v>
      </c>
      <c r="G184" s="26">
        <f>$C$32*C184</f>
        <v>0</v>
      </c>
      <c r="H184" s="26">
        <f>$C$33*C184</f>
        <v>0</v>
      </c>
      <c r="I184" s="27">
        <f>E179</f>
        <v>0</v>
      </c>
      <c r="J184" s="27">
        <f>F179</f>
        <v>0</v>
      </c>
      <c r="K184" s="27">
        <f>G179</f>
        <v>0</v>
      </c>
      <c r="L184" s="27">
        <f>H179</f>
        <v>0</v>
      </c>
      <c r="M184" s="28">
        <f>$M$175</f>
        <v>6</v>
      </c>
      <c r="N184" s="29">
        <f>$N$175</f>
        <v>6</v>
      </c>
      <c r="O184" s="28">
        <f>$O$175</f>
        <v>2</v>
      </c>
      <c r="P184" s="28">
        <f>$P$175</f>
        <v>2</v>
      </c>
      <c r="Q184" s="28">
        <f>SUM(M184:P184)</f>
        <v>16</v>
      </c>
      <c r="R184" s="22">
        <f>MAX(R183-($J$30*M184*$L$33)+I184,0)</f>
        <v>95.391415361759016</v>
      </c>
      <c r="S184" s="22">
        <f>IF(U184&lt;&gt;0,(MAX(S183-($J$31*N184*$L$33)+J184,0)),(MAX(S183-($J$31*(N184+P184)*$L$33)+J184,0)))</f>
        <v>0</v>
      </c>
      <c r="T184" s="22">
        <f>MAX(T183-($J$32*O184*$L$33)+K184,0)</f>
        <v>15.984065080982003</v>
      </c>
      <c r="U184" s="22">
        <f>MAX(U183-($J$33*P184*$L$33)+L184,0)</f>
        <v>0</v>
      </c>
      <c r="V184" s="21">
        <f>IFERROR(R184*($I$30/M184),0)</f>
        <v>6.420796167999999</v>
      </c>
      <c r="W184" s="21">
        <f>IFERROR(S184*($I$31/N184),0)</f>
        <v>0</v>
      </c>
      <c r="X184" s="21">
        <f>IFERROR(T184*($I$32/O184),0)</f>
        <v>2.7381262926000005</v>
      </c>
      <c r="Y184" s="21">
        <f>IFERROR(U184*($I$33/P184),0)</f>
        <v>0</v>
      </c>
      <c r="Z184" s="221">
        <f>ROUNDUP(SUM(V184*$C$30,W184*$C$31,X184*$C$32,Y184*$C$33),0)</f>
        <v>4</v>
      </c>
      <c r="AA184" s="30">
        <f>IF(R184&lt;&gt;0,($J$30*M184*$L$33),0)</f>
        <v>12.628138463824097</v>
      </c>
      <c r="AB184" s="30">
        <f>IF(W184&lt;&gt;0,($J$31*N184*$L$33),0)</f>
        <v>0</v>
      </c>
      <c r="AC184" s="30">
        <f>IF(X184&lt;&gt;0,($J$32*O184*$L$33),0)</f>
        <v>4.9619534919017996</v>
      </c>
      <c r="AD184" s="30">
        <f>IF(Y184&lt;&gt;0,($J$33*P184*$L$33),0)</f>
        <v>0</v>
      </c>
      <c r="AE184" s="32">
        <f>SUM(AA184:AD184)</f>
        <v>17.590091955725896</v>
      </c>
      <c r="AF184" s="33">
        <f>AE180</f>
        <v>20.563412525157595</v>
      </c>
      <c r="AG184" s="40">
        <f>MAX(AG183-$Q$33+AF184,0)</f>
        <v>66.530700873112124</v>
      </c>
      <c r="AH184" s="224">
        <f>AG184*$P$33</f>
        <v>5.5798400622137567</v>
      </c>
      <c r="AI184" s="227">
        <f>SUM(Z184,IF(Z184&lt;&gt;0,$F$31,0),IF(Z184&lt;&gt;0,$N$33,0),IF(Z184&lt;&gt;0,$T$33,0),IF(Z184=0,AH189,IF(Z184=1,AH190,IF(Z184=2,AH191,IF(Z184=3,AH192,IF(Z184=4,AH193,IF(Z184=5,AH194,IF(Z184=6,AH195,IF(Z184=7,AH196,IF(Z184=8,AH197,IF(Z184=9,AH198,IF(Z184=10,AH199,IF(Z184=11,AH200,IF(Z184=12,AH201,IF(Z184=13,AH202,IF(Z184=14,AH203,IF(Z184=15,AH204,IF(Z184=16,AH205,IF(Z184=17,AH206,IF(Z184=18,AH207,IF(Z184=19,AH208,IF(Z184=20,AH209,IF(Z184=21,AH210,IF(Z184=22,AH211,IF(Z184=23,AH212,IF(Z184=24,AH213,IF(Z184=25,AH214,IF(Z184=26,AH215,IF(Z184=27,AH216,IF(Z184=28,AH217,IF(Z184=29,AH218,IF(Z184=30,AH219))))))))))))))))))))))))))))))))</f>
        <v>34.52358752815406</v>
      </c>
    </row>
    <row r="185" spans="1:35" x14ac:dyDescent="0.35">
      <c r="A185" s="48">
        <v>1526</v>
      </c>
      <c r="B185" s="58">
        <f>SUMIF([2]!Table2_23[ETA],'FIS Optimal Model (3)'!A185,[2]!Table2_23[FIS PAX])</f>
        <v>0</v>
      </c>
      <c r="C185" s="44">
        <f>IF((D184-D185)&gt;-1,(D184-D185),18)</f>
        <v>0</v>
      </c>
      <c r="D185" s="52">
        <f>MAX(D184-$E$31+B184,0)</f>
        <v>0</v>
      </c>
      <c r="E185" s="26">
        <f>$C$30*C185</f>
        <v>0</v>
      </c>
      <c r="F185" s="26">
        <f>$C$31*C185</f>
        <v>0</v>
      </c>
      <c r="G185" s="26">
        <f>$C$32*C185</f>
        <v>0</v>
      </c>
      <c r="H185" s="26">
        <f>$C$33*C185</f>
        <v>0</v>
      </c>
      <c r="I185" s="27">
        <f>E180</f>
        <v>0</v>
      </c>
      <c r="J185" s="27">
        <f>F180</f>
        <v>0</v>
      </c>
      <c r="K185" s="27">
        <f>G180</f>
        <v>0</v>
      </c>
      <c r="L185" s="27">
        <f>H180</f>
        <v>0</v>
      </c>
      <c r="M185" s="28">
        <f>$M$175</f>
        <v>6</v>
      </c>
      <c r="N185" s="29">
        <f>$N$175</f>
        <v>6</v>
      </c>
      <c r="O185" s="28">
        <f>$O$175</f>
        <v>2</v>
      </c>
      <c r="P185" s="28">
        <f>$P$175</f>
        <v>2</v>
      </c>
      <c r="Q185" s="28">
        <f>SUM(M185:P185)</f>
        <v>16</v>
      </c>
      <c r="R185" s="22">
        <f>MAX(R184-($J$30*M185*$L$33)+I185,0)</f>
        <v>82.763276897934915</v>
      </c>
      <c r="S185" s="22">
        <f>IF(U185&lt;&gt;0,(MAX(S184-($J$31*N185*$L$33)+J185,0)),(MAX(S184-($J$31*(N185+P185)*$L$33)+J185,0)))</f>
        <v>0</v>
      </c>
      <c r="T185" s="22">
        <f>MAX(T184-($J$32*O185*$L$33)+K185,0)</f>
        <v>11.022111589080204</v>
      </c>
      <c r="U185" s="22">
        <f>MAX(U184-($J$33*P185*$L$33)+L185,0)</f>
        <v>0</v>
      </c>
      <c r="V185" s="21">
        <f>IFERROR(R185*($I$30/M185),0)</f>
        <v>5.5707961679999984</v>
      </c>
      <c r="W185" s="21">
        <f>IFERROR(S185*($I$31/N185),0)</f>
        <v>0</v>
      </c>
      <c r="X185" s="21">
        <f>IFERROR(T185*($I$32/O185),0)</f>
        <v>1.8881262926000006</v>
      </c>
      <c r="Y185" s="21">
        <f>IFERROR(U185*($I$33/P185),0)</f>
        <v>0</v>
      </c>
      <c r="Z185" s="221">
        <f>ROUNDUP(SUM(V185*$C$30,W185*$C$31,X185*$C$32,Y185*$C$33),0)</f>
        <v>4</v>
      </c>
      <c r="AA185" s="30">
        <f>IF(R185&lt;&gt;0,($J$30*M185*$L$33),0)</f>
        <v>12.628138463824097</v>
      </c>
      <c r="AB185" s="30">
        <f>IF(W185&lt;&gt;0,($J$31*N185*$L$33),0)</f>
        <v>0</v>
      </c>
      <c r="AC185" s="30">
        <f>IF(X185&lt;&gt;0,($J$32*O185*$L$33),0)</f>
        <v>4.9619534919017996</v>
      </c>
      <c r="AD185" s="30">
        <f>IF(Y185&lt;&gt;0,($J$33*P185*$L$33),0)</f>
        <v>0</v>
      </c>
      <c r="AE185" s="32">
        <f>SUM(AA185:AD185)</f>
        <v>17.590091955725896</v>
      </c>
      <c r="AF185" s="33">
        <f>AE181</f>
        <v>20.563412525157595</v>
      </c>
      <c r="AG185" s="40">
        <f>MAX(AG184-$Q$33+AF185,0)</f>
        <v>75.170706968817939</v>
      </c>
      <c r="AH185" s="224">
        <f>AG185*$P$33</f>
        <v>6.3044657089890181</v>
      </c>
      <c r="AI185" s="227">
        <f>SUM(Z185,IF(Z185&lt;&gt;0,$F$31,0),IF(Z185&lt;&gt;0,$N$33,0),IF(Z185&lt;&gt;0,$T$33,0),IF(Z185=0,AH190,IF(Z185=1,AH191,IF(Z185=2,AH192,IF(Z185=3,AH193,IF(Z185=4,AH194,IF(Z185=5,AH195,IF(Z185=6,AH196,IF(Z185=7,AH197,IF(Z185=8,AH198,IF(Z185=9,AH199,IF(Z185=10,AH200,IF(Z185=11,AH201,IF(Z185=12,AH202,IF(Z185=13,AH203,IF(Z185=14,AH204,IF(Z185=15,AH205,IF(Z185=16,AH206,IF(Z185=17,AH207,IF(Z185=18,AH208,IF(Z185=19,AH209,IF(Z185=20,AH210,IF(Z185=21,AH211,IF(Z185=22,AH212,IF(Z185=23,AH213,IF(Z185=24,AH214,IF(Z185=25,AH215,IF(Z185=26,AH216,IF(Z185=27,AH217,IF(Z185=28,AH218,IF(Z185=29,AH219,IF(Z185=30,AH220))))))))))))))))))))))))))))))))</f>
        <v>34.582692452450829</v>
      </c>
    </row>
    <row r="186" spans="1:35" x14ac:dyDescent="0.35">
      <c r="A186" s="48">
        <v>1527</v>
      </c>
      <c r="B186" s="58">
        <f>SUMIF([2]!Table2_23[ETA],'FIS Optimal Model (3)'!A186,[2]!Table2_23[FIS PAX])</f>
        <v>0</v>
      </c>
      <c r="C186" s="44">
        <f>IF((D185-D186)&gt;-1,(D185-D186),18)</f>
        <v>0</v>
      </c>
      <c r="D186" s="52">
        <f>MAX(D185-$E$31+B185,0)</f>
        <v>0</v>
      </c>
      <c r="E186" s="26">
        <f>$C$30*C186</f>
        <v>0</v>
      </c>
      <c r="F186" s="26">
        <f>$C$31*C186</f>
        <v>0</v>
      </c>
      <c r="G186" s="26">
        <f>$C$32*C186</f>
        <v>0</v>
      </c>
      <c r="H186" s="26">
        <f>$C$33*C186</f>
        <v>0</v>
      </c>
      <c r="I186" s="27">
        <f>E181</f>
        <v>0</v>
      </c>
      <c r="J186" s="27">
        <f>F181</f>
        <v>0</v>
      </c>
      <c r="K186" s="27">
        <f>G181</f>
        <v>0</v>
      </c>
      <c r="L186" s="27">
        <f>H181</f>
        <v>0</v>
      </c>
      <c r="M186" s="28">
        <f>$M$175</f>
        <v>6</v>
      </c>
      <c r="N186" s="29">
        <f>$N$175</f>
        <v>6</v>
      </c>
      <c r="O186" s="28">
        <f>$O$175</f>
        <v>2</v>
      </c>
      <c r="P186" s="28">
        <f>$P$175</f>
        <v>2</v>
      </c>
      <c r="Q186" s="28">
        <f>SUM(M186:P186)</f>
        <v>16</v>
      </c>
      <c r="R186" s="22">
        <f>MAX(R185-($J$30*M186*$L$33)+I186,0)</f>
        <v>70.135138434110814</v>
      </c>
      <c r="S186" s="22">
        <f>IF(U186&lt;&gt;0,(MAX(S185-($J$31*N186*$L$33)+J186,0)),(MAX(S185-($J$31*(N186+P186)*$L$33)+J186,0)))</f>
        <v>0</v>
      </c>
      <c r="T186" s="22">
        <f>MAX(T185-($J$32*O186*$L$33)+K186,0)</f>
        <v>6.0601580971784044</v>
      </c>
      <c r="U186" s="22">
        <f>MAX(U185-($J$33*P186*$L$33)+L186,0)</f>
        <v>0</v>
      </c>
      <c r="V186" s="21">
        <f>IFERROR(R186*($I$30/M186),0)</f>
        <v>4.7207961679999988</v>
      </c>
      <c r="W186" s="21">
        <f>IFERROR(S186*($I$31/N186),0)</f>
        <v>0</v>
      </c>
      <c r="X186" s="21">
        <f>IFERROR(T186*($I$32/O186),0)</f>
        <v>1.0381262926000008</v>
      </c>
      <c r="Y186" s="21">
        <f>IFERROR(U186*($I$33/P186),0)</f>
        <v>0</v>
      </c>
      <c r="Z186" s="221">
        <f>ROUNDUP(SUM(V186*$C$30,W186*$C$31,X186*$C$32,Y186*$C$33),0)</f>
        <v>3</v>
      </c>
      <c r="AA186" s="30">
        <f>IF(R186&lt;&gt;0,($J$30*M186*$L$33),0)</f>
        <v>12.628138463824097</v>
      </c>
      <c r="AB186" s="30">
        <f>IF(W186&lt;&gt;0,($J$31*N186*$L$33),0)</f>
        <v>0</v>
      </c>
      <c r="AC186" s="30">
        <f>IF(X186&lt;&gt;0,($J$32*O186*$L$33),0)</f>
        <v>4.9619534919017996</v>
      </c>
      <c r="AD186" s="30">
        <f>IF(Y186&lt;&gt;0,($J$33*P186*$L$33),0)</f>
        <v>0</v>
      </c>
      <c r="AE186" s="32">
        <f>SUM(AA186:AD186)</f>
        <v>17.590091955725896</v>
      </c>
      <c r="AF186" s="33">
        <f>AE182</f>
        <v>20.563412525157595</v>
      </c>
      <c r="AG186" s="40">
        <f>MAX(AG185-$Q$33+AF186,0)</f>
        <v>83.810713064523753</v>
      </c>
      <c r="AH186" s="224">
        <f>AG186*$P$33</f>
        <v>7.0290913557642805</v>
      </c>
      <c r="AI186" s="227">
        <f>SUM(Z186,IF(Z186&lt;&gt;0,$F$31,0),IF(Z186&lt;&gt;0,$N$33,0),IF(Z186&lt;&gt;0,$T$33,0),IF(Z186=0,AH191,IF(Z186=1,AH192,IF(Z186=2,AH193,IF(Z186=3,AH194,IF(Z186=4,AH195,IF(Z186=5,AH196,IF(Z186=6,AH197,IF(Z186=7,AH198,IF(Z186=8,AH199,IF(Z186=9,AH200,IF(Z186=10,AH201,IF(Z186=11,AH202,IF(Z186=12,AH203,IF(Z186=13,AH204,IF(Z186=14,AH205,IF(Z186=15,AH206,IF(Z186=16,AH207,IF(Z186=17,AH208,IF(Z186=18,AH209,IF(Z186=19,AH210,IF(Z186=20,AH211,IF(Z186=21,AH212,IF(Z186=22,AH213,IF(Z186=23,AH214,IF(Z186=24,AH215,IF(Z186=25,AH216,IF(Z186=26,AH217,IF(Z186=27,AH218,IF(Z186=28,AH219,IF(Z186=29,AH220,IF(Z186=30,AH221))))))))))))))))))))))))))))))))</f>
        <v>33.582692452450829</v>
      </c>
    </row>
    <row r="187" spans="1:35" x14ac:dyDescent="0.35">
      <c r="A187" s="48">
        <v>1528</v>
      </c>
      <c r="B187" s="58">
        <f>SUMIF([2]!Table2_23[ETA],'FIS Optimal Model (3)'!A187,[2]!Table2_23[FIS PAX])</f>
        <v>0</v>
      </c>
      <c r="C187" s="44">
        <f>IF((D186-D187)&gt;-1,(D186-D187),18)</f>
        <v>0</v>
      </c>
      <c r="D187" s="52">
        <f>MAX(D186-$E$31+B186,0)</f>
        <v>0</v>
      </c>
      <c r="E187" s="26">
        <f>$C$30*C187</f>
        <v>0</v>
      </c>
      <c r="F187" s="26">
        <f>$C$31*C187</f>
        <v>0</v>
      </c>
      <c r="G187" s="26">
        <f>$C$32*C187</f>
        <v>0</v>
      </c>
      <c r="H187" s="26">
        <f>$C$33*C187</f>
        <v>0</v>
      </c>
      <c r="I187" s="27">
        <f>E182</f>
        <v>0</v>
      </c>
      <c r="J187" s="27">
        <f>F182</f>
        <v>0</v>
      </c>
      <c r="K187" s="27">
        <f>G182</f>
        <v>0</v>
      </c>
      <c r="L187" s="27">
        <f>H182</f>
        <v>0</v>
      </c>
      <c r="M187" s="28">
        <f>$M$175</f>
        <v>6</v>
      </c>
      <c r="N187" s="29">
        <f>$N$175</f>
        <v>6</v>
      </c>
      <c r="O187" s="28">
        <f>$O$175</f>
        <v>2</v>
      </c>
      <c r="P187" s="28">
        <f>$P$175</f>
        <v>2</v>
      </c>
      <c r="Q187" s="28">
        <f>SUM(M187:P187)</f>
        <v>16</v>
      </c>
      <c r="R187" s="22">
        <f>MAX(R186-($J$30*M187*$L$33)+I187,0)</f>
        <v>57.506999970286714</v>
      </c>
      <c r="S187" s="22">
        <f>IF(U187&lt;&gt;0,(MAX(S186-($J$31*N187*$L$33)+J187,0)),(MAX(S186-($J$31*(N187+P187)*$L$33)+J187,0)))</f>
        <v>0</v>
      </c>
      <c r="T187" s="22">
        <f>MAX(T186-($J$32*O187*$L$33)+K187,0)</f>
        <v>1.0982046052766048</v>
      </c>
      <c r="U187" s="22">
        <f>MAX(U186-($J$33*P187*$L$33)+L187,0)</f>
        <v>0</v>
      </c>
      <c r="V187" s="21">
        <f>IFERROR(R187*($I$30/M187),0)</f>
        <v>3.8707961679999983</v>
      </c>
      <c r="W187" s="21">
        <f>IFERROR(S187*($I$31/N187),0)</f>
        <v>0</v>
      </c>
      <c r="X187" s="21">
        <f>IFERROR(T187*($I$32/O187),0)</f>
        <v>0.18812629260000086</v>
      </c>
      <c r="Y187" s="21">
        <f>IFERROR(U187*($I$33/P187),0)</f>
        <v>0</v>
      </c>
      <c r="Z187" s="221">
        <f>ROUNDUP(SUM(V187*$C$30,W187*$C$31,X187*$C$32,Y187*$C$33),0)</f>
        <v>3</v>
      </c>
      <c r="AA187" s="30">
        <f>IF(R187&lt;&gt;0,($J$30*M187*$L$33),0)</f>
        <v>12.628138463824097</v>
      </c>
      <c r="AB187" s="30">
        <f>IF(W187&lt;&gt;0,($J$31*N187*$L$33),0)</f>
        <v>0</v>
      </c>
      <c r="AC187" s="30">
        <f>IF(X187&lt;&gt;0,($J$32*O187*$L$33),0)</f>
        <v>4.9619534919017996</v>
      </c>
      <c r="AD187" s="30">
        <f>IF(Y187&lt;&gt;0,($J$33*P187*$L$33),0)</f>
        <v>0</v>
      </c>
      <c r="AE187" s="32">
        <f>SUM(AA187:AD187)</f>
        <v>17.590091955725896</v>
      </c>
      <c r="AF187" s="33">
        <f>AE183</f>
        <v>17.590091955725896</v>
      </c>
      <c r="AG187" s="40">
        <f>MAX(AG186-$Q$33+AF187,0)</f>
        <v>89.477398590797875</v>
      </c>
      <c r="AH187" s="224">
        <f>AG187*$P$33</f>
        <v>7.5043486205235315</v>
      </c>
      <c r="AI187" s="227">
        <f>SUM(Z187,IF(Z187&lt;&gt;0,$F$31,0),IF(Z187&lt;&gt;0,$N$33,0),IF(Z187&lt;&gt;0,$T$33,0),IF(Z187=0,AH192,IF(Z187=1,AH193,IF(Z187=2,AH194,IF(Z187=3,AH195,IF(Z187=4,AH196,IF(Z187=5,AH197,IF(Z187=6,AH198,IF(Z187=7,AH199,IF(Z187=8,AH200,IF(Z187=9,AH201,IF(Z187=10,AH202,IF(Z187=11,AH203,IF(Z187=12,AH204,IF(Z187=13,AH205,IF(Z187=14,AH206,IF(Z187=15,AH207,IF(Z187=16,AH208,IF(Z187=17,AH209,IF(Z187=18,AH210,IF(Z187=19,AH211,IF(Z187=20,AH212,IF(Z187=21,AH213,IF(Z187=22,AH214,IF(Z187=23,AH215,IF(Z187=24,AH216,IF(Z187=25,AH217,IF(Z187=26,AH218,IF(Z187=27,AH219,IF(Z187=28,AH220,IF(Z187=29,AH221,IF(Z187=30,AH222))))))))))))))))))))))))))))))))</f>
        <v>33.64179737674759</v>
      </c>
    </row>
    <row r="188" spans="1:35" x14ac:dyDescent="0.35">
      <c r="A188" s="48">
        <v>1529</v>
      </c>
      <c r="B188" s="58">
        <f>SUMIF([2]!Table2_23[ETA],'FIS Optimal Model (3)'!A188,[2]!Table2_23[FIS PAX])</f>
        <v>0</v>
      </c>
      <c r="C188" s="44">
        <f>IF((D187-D188)&gt;-1,(D187-D188),18)</f>
        <v>0</v>
      </c>
      <c r="D188" s="52">
        <f>MAX(D187-$E$31+B187,0)</f>
        <v>0</v>
      </c>
      <c r="E188" s="26">
        <f>$C$30*C188</f>
        <v>0</v>
      </c>
      <c r="F188" s="26">
        <f>$C$31*C188</f>
        <v>0</v>
      </c>
      <c r="G188" s="26">
        <f>$C$32*C188</f>
        <v>0</v>
      </c>
      <c r="H188" s="26">
        <f>$C$33*C188</f>
        <v>0</v>
      </c>
      <c r="I188" s="27">
        <f>E183</f>
        <v>0</v>
      </c>
      <c r="J188" s="27">
        <f>F183</f>
        <v>0</v>
      </c>
      <c r="K188" s="27">
        <f>G183</f>
        <v>0</v>
      </c>
      <c r="L188" s="27">
        <f>H183</f>
        <v>0</v>
      </c>
      <c r="M188" s="28">
        <f>$M$175</f>
        <v>6</v>
      </c>
      <c r="N188" s="29">
        <f>$N$175</f>
        <v>6</v>
      </c>
      <c r="O188" s="28">
        <f>$O$175</f>
        <v>2</v>
      </c>
      <c r="P188" s="28">
        <f>$P$175</f>
        <v>2</v>
      </c>
      <c r="Q188" s="28">
        <f>SUM(M188:P188)</f>
        <v>16</v>
      </c>
      <c r="R188" s="22">
        <f>MAX(R187-($J$30*M188*$L$33)+I188,0)</f>
        <v>44.878861506462613</v>
      </c>
      <c r="S188" s="22">
        <f>IF(U188&lt;&gt;0,(MAX(S187-($J$31*N188*$L$33)+J188,0)),(MAX(S187-($J$31*(N188+P188)*$L$33)+J188,0)))</f>
        <v>0</v>
      </c>
      <c r="T188" s="22">
        <f>MAX(T187-($J$32*O188*$L$33)+K188,0)</f>
        <v>0</v>
      </c>
      <c r="U188" s="22">
        <f>MAX(U187-($J$33*P188*$L$33)+L188,0)</f>
        <v>0</v>
      </c>
      <c r="V188" s="21">
        <f>IFERROR(R188*($I$30/M188),0)</f>
        <v>3.0207961679999982</v>
      </c>
      <c r="W188" s="21">
        <f>IFERROR(S188*($I$31/N188),0)</f>
        <v>0</v>
      </c>
      <c r="X188" s="21">
        <f>IFERROR(T188*($I$32/O188),0)</f>
        <v>0</v>
      </c>
      <c r="Y188" s="21">
        <f>IFERROR(U188*($I$33/P188),0)</f>
        <v>0</v>
      </c>
      <c r="Z188" s="221">
        <f>ROUNDUP(SUM(V188*$C$30,W188*$C$31,X188*$C$32,Y188*$C$33),0)</f>
        <v>2</v>
      </c>
      <c r="AA188" s="30">
        <f>IF(R188&lt;&gt;0,($J$30*M188*$L$33),0)</f>
        <v>12.628138463824097</v>
      </c>
      <c r="AB188" s="30">
        <f>IF(W188&lt;&gt;0,($J$31*N188*$L$33),0)</f>
        <v>0</v>
      </c>
      <c r="AC188" s="30">
        <f>IF(X188&lt;&gt;0,($J$32*O188*$L$33),0)</f>
        <v>0</v>
      </c>
      <c r="AD188" s="30">
        <f>IF(Y188&lt;&gt;0,($J$33*P188*$L$33),0)</f>
        <v>0</v>
      </c>
      <c r="AE188" s="32">
        <f>SUM(AA188:AD188)</f>
        <v>12.628138463824097</v>
      </c>
      <c r="AF188" s="33">
        <f>AE184</f>
        <v>17.590091955725896</v>
      </c>
      <c r="AG188" s="40">
        <f>MAX(AG187-$Q$33+AF188,0)</f>
        <v>95.144084117071984</v>
      </c>
      <c r="AH188" s="224">
        <f>AG188*$P$33</f>
        <v>7.9796058852827816</v>
      </c>
      <c r="AI188" s="227">
        <f>SUM(Z188,IF(Z188&lt;&gt;0,$F$31,0),IF(Z188&lt;&gt;0,$N$33,0),IF(Z188&lt;&gt;0,$T$33,0),IF(Z188=0,AH193,IF(Z188=1,AH194,IF(Z188=2,AH195,IF(Z188=3,AH196,IF(Z188=4,AH197,IF(Z188=5,AH198,IF(Z188=6,AH199,IF(Z188=7,AH200,IF(Z188=8,AH201,IF(Z188=9,AH202,IF(Z188=10,AH203,IF(Z188=11,AH204,IF(Z188=12,AH205,IF(Z188=13,AH206,IF(Z188=14,AH207,IF(Z188=15,AH208,IF(Z188=16,AH209,IF(Z188=17,AH210,IF(Z188=18,AH211,IF(Z188=19,AH212,IF(Z188=20,AH213,IF(Z188=21,AH214,IF(Z188=22,AH215,IF(Z188=23,AH216,IF(Z188=24,AH217,IF(Z188=25,AH218,IF(Z188=26,AH219,IF(Z188=27,AH220,IF(Z188=28,AH221,IF(Z188=29,AH222,IF(Z188=30,AH223))))))))))))))))))))))))))))))))</f>
        <v>32.64179737674759</v>
      </c>
    </row>
    <row r="189" spans="1:35" x14ac:dyDescent="0.35">
      <c r="A189" s="48">
        <v>1530</v>
      </c>
      <c r="B189" s="58">
        <f>SUMIF([2]!Table2_23[ETA],'FIS Optimal Model (3)'!A189,[2]!Table2_23[FIS PAX])</f>
        <v>0</v>
      </c>
      <c r="C189" s="44">
        <f>IF((D188-D189)&gt;-1,(D188-D189),18)</f>
        <v>0</v>
      </c>
      <c r="D189" s="52">
        <f>MAX(D188-$E$31+B188,0)</f>
        <v>0</v>
      </c>
      <c r="E189" s="26">
        <f>$C$30*C189</f>
        <v>0</v>
      </c>
      <c r="F189" s="26">
        <f>$C$31*C189</f>
        <v>0</v>
      </c>
      <c r="G189" s="26">
        <f>$C$32*C189</f>
        <v>0</v>
      </c>
      <c r="H189" s="26">
        <f>$C$33*C189</f>
        <v>0</v>
      </c>
      <c r="I189" s="27">
        <f>E184</f>
        <v>0</v>
      </c>
      <c r="J189" s="27">
        <f>F184</f>
        <v>0</v>
      </c>
      <c r="K189" s="27">
        <f>G184</f>
        <v>0</v>
      </c>
      <c r="L189" s="27">
        <f>H184</f>
        <v>0</v>
      </c>
      <c r="M189" s="28">
        <f>$M$175</f>
        <v>6</v>
      </c>
      <c r="N189" s="29">
        <f>$N$175</f>
        <v>6</v>
      </c>
      <c r="O189" s="28">
        <f>$O$175</f>
        <v>2</v>
      </c>
      <c r="P189" s="28">
        <f>$P$175</f>
        <v>2</v>
      </c>
      <c r="Q189" s="28">
        <f>SUM(M189:P189)</f>
        <v>16</v>
      </c>
      <c r="R189" s="22">
        <f>MAX(R188-($J$30*M189*$L$33)+I189,0)</f>
        <v>32.250723042638512</v>
      </c>
      <c r="S189" s="22">
        <f>IF(U189&lt;&gt;0,(MAX(S188-($J$31*N189*$L$33)+J189,0)),(MAX(S188-($J$31*(N189+P189)*$L$33)+J189,0)))</f>
        <v>0</v>
      </c>
      <c r="T189" s="22">
        <f>MAX(T188-($J$32*O189*$L$33)+K189,0)</f>
        <v>0</v>
      </c>
      <c r="U189" s="22">
        <f>MAX(U188-($J$33*P189*$L$33)+L189,0)</f>
        <v>0</v>
      </c>
      <c r="V189" s="21">
        <f>IFERROR(R189*($I$30/M189),0)</f>
        <v>2.1707961679999981</v>
      </c>
      <c r="W189" s="21">
        <f>IFERROR(S189*($I$31/N189),0)</f>
        <v>0</v>
      </c>
      <c r="X189" s="21">
        <f>IFERROR(T189*($I$32/O189),0)</f>
        <v>0</v>
      </c>
      <c r="Y189" s="21">
        <f>IFERROR(U189*($I$33/P189),0)</f>
        <v>0</v>
      </c>
      <c r="Z189" s="221">
        <f>ROUNDUP(SUM(V189*$C$30,W189*$C$31,X189*$C$32,Y189*$C$33),0)</f>
        <v>2</v>
      </c>
      <c r="AA189" s="30">
        <f>IF(R189&lt;&gt;0,($J$30*M189*$L$33),0)</f>
        <v>12.628138463824097</v>
      </c>
      <c r="AB189" s="30">
        <f>IF(W189&lt;&gt;0,($J$31*N189*$L$33),0)</f>
        <v>0</v>
      </c>
      <c r="AC189" s="30">
        <f>IF(X189&lt;&gt;0,($J$32*O189*$L$33),0)</f>
        <v>0</v>
      </c>
      <c r="AD189" s="30">
        <f>IF(Y189&lt;&gt;0,($J$33*P189*$L$33),0)</f>
        <v>0</v>
      </c>
      <c r="AE189" s="32">
        <f>SUM(AA189:AD189)</f>
        <v>12.628138463824097</v>
      </c>
      <c r="AF189" s="33">
        <f>AE185</f>
        <v>17.590091955725896</v>
      </c>
      <c r="AG189" s="40">
        <f>MAX(AG188-$Q$33+AF189,0)</f>
        <v>100.81076964334609</v>
      </c>
      <c r="AH189" s="224">
        <f>AG189*$P$33</f>
        <v>8.4548631500420317</v>
      </c>
      <c r="AI189" s="227">
        <f>SUM(Z189,IF(Z189&lt;&gt;0,$F$31,0),IF(Z189&lt;&gt;0,$N$33,0),IF(Z189&lt;&gt;0,$T$33,0),IF(Z189=0,AH194,IF(Z189=1,AH195,IF(Z189=2,AH196,IF(Z189=3,AH197,IF(Z189=4,AH198,IF(Z189=5,AH199,IF(Z189=6,AH200,IF(Z189=7,AH201,IF(Z189=8,AH202,IF(Z189=9,AH203,IF(Z189=10,AH204,IF(Z189=11,AH205,IF(Z189=12,AH206,IF(Z189=13,AH207,IF(Z189=14,AH208,IF(Z189=15,AH209,IF(Z189=16,AH210,IF(Z189=17,AH211,IF(Z189=18,AH212,IF(Z189=19,AH213,IF(Z189=20,AH214,IF(Z189=21,AH215,IF(Z189=22,AH216,IF(Z189=23,AH217,IF(Z189=24,AH218,IF(Z189=25,AH219,IF(Z189=26,AH220,IF(Z189=27,AH221,IF(Z189=28,AH222,IF(Z189=29,AH223,IF(Z189=30,AH224))))))))))))))))))))))))))))))))</f>
        <v>31.64179737674759</v>
      </c>
    </row>
    <row r="190" spans="1:35" x14ac:dyDescent="0.35">
      <c r="A190" s="48">
        <v>1531</v>
      </c>
      <c r="B190" s="58">
        <f>SUMIF([2]!Table2_23[ETA],'FIS Optimal Model (3)'!A190,[2]!Table2_23[FIS PAX])</f>
        <v>0</v>
      </c>
      <c r="C190" s="44">
        <f>IF((D189-D190)&gt;-1,(D189-D190),18)</f>
        <v>0</v>
      </c>
      <c r="D190" s="52">
        <f>MAX(D189-$E$31+B189,0)</f>
        <v>0</v>
      </c>
      <c r="E190" s="26">
        <f>$C$30*C190</f>
        <v>0</v>
      </c>
      <c r="F190" s="26">
        <f>$C$31*C190</f>
        <v>0</v>
      </c>
      <c r="G190" s="26">
        <f>$C$32*C190</f>
        <v>0</v>
      </c>
      <c r="H190" s="26">
        <f>$C$33*C190</f>
        <v>0</v>
      </c>
      <c r="I190" s="27">
        <f>E185</f>
        <v>0</v>
      </c>
      <c r="J190" s="27">
        <f>F185</f>
        <v>0</v>
      </c>
      <c r="K190" s="27">
        <f>G185</f>
        <v>0</v>
      </c>
      <c r="L190" s="27">
        <f>H185</f>
        <v>0</v>
      </c>
      <c r="M190" s="28">
        <f>IF(R189=0,0,$Q$16)</f>
        <v>6</v>
      </c>
      <c r="N190" s="29">
        <f>$U$16-M190-O190-P190</f>
        <v>10</v>
      </c>
      <c r="O190" s="28">
        <f>IF(T189=0,0,$S$16)</f>
        <v>0</v>
      </c>
      <c r="P190" s="28">
        <f>IF(U189=0,0,$T$16)</f>
        <v>0</v>
      </c>
      <c r="Q190" s="28">
        <f>SUM(M190:P190)</f>
        <v>16</v>
      </c>
      <c r="R190" s="22">
        <f>MAX(R189-($J$30*M190*$L$33)+I190,0)</f>
        <v>19.622584578814415</v>
      </c>
      <c r="S190" s="22">
        <f>IF(U190&lt;&gt;0,(MAX(S189-($J$31*N190*$L$33)+J190,0)),(MAX(S189-($J$31*(N190+P190)*$L$33)+J190,0)))</f>
        <v>0</v>
      </c>
      <c r="T190" s="22">
        <f>MAX(T189-($J$32*O190*$L$33)+K190,0)</f>
        <v>0</v>
      </c>
      <c r="U190" s="22">
        <f>MAX(U189-($J$33*P190*$L$33)+L190,0)</f>
        <v>0</v>
      </c>
      <c r="V190" s="21">
        <f>IFERROR(R190*($I$30/M190),0)</f>
        <v>1.3207961679999982</v>
      </c>
      <c r="W190" s="21">
        <f>IFERROR(S190*($I$31/N190),0)</f>
        <v>0</v>
      </c>
      <c r="X190" s="21">
        <f>IFERROR(T190*($I$32/O190),0)</f>
        <v>0</v>
      </c>
      <c r="Y190" s="21">
        <f>IFERROR(U190*($I$33/P190),0)</f>
        <v>0</v>
      </c>
      <c r="Z190" s="221">
        <f>ROUNDUP(SUM(V190*$C$30,W190*$C$31,X190*$C$32,Y190*$C$33),0)</f>
        <v>1</v>
      </c>
      <c r="AA190" s="30">
        <f>IF(R190&lt;&gt;0,($J$30*M190*$L$33),0)</f>
        <v>12.628138463824097</v>
      </c>
      <c r="AB190" s="30">
        <f>IF(W190&lt;&gt;0,($J$31*N190*$L$33),0)</f>
        <v>0</v>
      </c>
      <c r="AC190" s="30">
        <f>IF(X190&lt;&gt;0,($J$32*O190*$L$33),0)</f>
        <v>0</v>
      </c>
      <c r="AD190" s="30">
        <f>IF(Y190&lt;&gt;0,($J$33*P190*$L$33),0)</f>
        <v>0</v>
      </c>
      <c r="AE190" s="32">
        <f>SUM(AA190:AD190)</f>
        <v>12.628138463824097</v>
      </c>
      <c r="AF190" s="33">
        <f>AE186</f>
        <v>17.590091955725896</v>
      </c>
      <c r="AG190" s="40">
        <f>MAX(AG189-$Q$33+AF190,0)</f>
        <v>106.4774551696202</v>
      </c>
      <c r="AH190" s="224">
        <f>AG190*$P$33</f>
        <v>8.9301204148012818</v>
      </c>
      <c r="AI190" s="227">
        <f>SUM(Z190,IF(Z190&lt;&gt;0,$F$31,0),IF(Z190&lt;&gt;0,$N$33,0),IF(Z190&lt;&gt;0,$T$33,0),IF(Z190=0,AH195,IF(Z190=1,AH196,IF(Z190=2,AH197,IF(Z190=3,AH198,IF(Z190=4,AH199,IF(Z190=5,AH200,IF(Z190=6,AH201,IF(Z190=7,AH202,IF(Z190=8,AH203,IF(Z190=9,AH204,IF(Z190=10,AH205,IF(Z190=11,AH206,IF(Z190=12,AH207,IF(Z190=13,AH208,IF(Z190=14,AH209,IF(Z190=15,AH210,IF(Z190=16,AH211,IF(Z190=17,AH212,IF(Z190=18,AH213,IF(Z190=19,AH214,IF(Z190=20,AH215,IF(Z190=21,AH216,IF(Z190=22,AH217,IF(Z190=23,AH218,IF(Z190=24,AH219,IF(Z190=25,AH220,IF(Z190=26,AH221,IF(Z190=27,AH222,IF(Z190=28,AH223,IF(Z190=29,AH224,IF(Z190=30,AH225))))))))))))))))))))))))))))))))</f>
        <v>30.64179737674759</v>
      </c>
    </row>
    <row r="191" spans="1:35" x14ac:dyDescent="0.35">
      <c r="A191" s="48">
        <v>1532</v>
      </c>
      <c r="B191" s="58">
        <f>SUMIF([2]!Table2_23[ETA],'FIS Optimal Model (3)'!A191,[2]!Table2_23[FIS PAX])</f>
        <v>0</v>
      </c>
      <c r="C191" s="44">
        <f>IF((D190-D191)&gt;-1,(D190-D191),18)</f>
        <v>0</v>
      </c>
      <c r="D191" s="52">
        <f>MAX(D190-$E$31+B190,0)</f>
        <v>0</v>
      </c>
      <c r="E191" s="26">
        <f>$C$30*C191</f>
        <v>0</v>
      </c>
      <c r="F191" s="26">
        <f>$C$31*C191</f>
        <v>0</v>
      </c>
      <c r="G191" s="26">
        <f>$C$32*C191</f>
        <v>0</v>
      </c>
      <c r="H191" s="26">
        <f>$C$33*C191</f>
        <v>0</v>
      </c>
      <c r="I191" s="27">
        <f>E186</f>
        <v>0</v>
      </c>
      <c r="J191" s="27">
        <f>F186</f>
        <v>0</v>
      </c>
      <c r="K191" s="27">
        <f>G186</f>
        <v>0</v>
      </c>
      <c r="L191" s="27">
        <f>H186</f>
        <v>0</v>
      </c>
      <c r="M191" s="28">
        <f>$M$190</f>
        <v>6</v>
      </c>
      <c r="N191" s="29">
        <f>$N$190</f>
        <v>10</v>
      </c>
      <c r="O191" s="28">
        <f>$O$190</f>
        <v>0</v>
      </c>
      <c r="P191" s="28">
        <f>$P$190</f>
        <v>0</v>
      </c>
      <c r="Q191" s="28">
        <f>SUM(M191:P191)</f>
        <v>16</v>
      </c>
      <c r="R191" s="22">
        <f>MAX(R190-($J$30*M191*$L$33)+I191,0)</f>
        <v>6.9944461149903177</v>
      </c>
      <c r="S191" s="22">
        <f>IF(U191&lt;&gt;0,(MAX(S190-($J$31*N191*$L$33)+J191,0)),(MAX(S190-($J$31*(N191+P191)*$L$33)+J191,0)))</f>
        <v>0</v>
      </c>
      <c r="T191" s="22">
        <f>MAX(T190-($J$32*O191*$L$33)+K191,0)</f>
        <v>0</v>
      </c>
      <c r="U191" s="22">
        <f>MAX(U190-($J$33*P191*$L$33)+L191,0)</f>
        <v>0</v>
      </c>
      <c r="V191" s="21">
        <f>IFERROR(R191*($I$30/M191),0)</f>
        <v>0.47079616799999824</v>
      </c>
      <c r="W191" s="21">
        <f>IFERROR(S191*($I$31/N191),0)</f>
        <v>0</v>
      </c>
      <c r="X191" s="21">
        <f>IFERROR(T191*($I$32/O191),0)</f>
        <v>0</v>
      </c>
      <c r="Y191" s="21">
        <f>IFERROR(U191*($I$33/P191),0)</f>
        <v>0</v>
      </c>
      <c r="Z191" s="221">
        <f>ROUNDUP(SUM(V191*$C$30,W191*$C$31,X191*$C$32,Y191*$C$33),0)</f>
        <v>1</v>
      </c>
      <c r="AA191" s="30">
        <f>IF(R191&lt;&gt;0,($J$30*M191*$L$33),0)</f>
        <v>12.628138463824097</v>
      </c>
      <c r="AB191" s="30">
        <f>IF(W191&lt;&gt;0,($J$31*N191*$L$33),0)</f>
        <v>0</v>
      </c>
      <c r="AC191" s="30">
        <f>IF(X191&lt;&gt;0,($J$32*O191*$L$33),0)</f>
        <v>0</v>
      </c>
      <c r="AD191" s="30">
        <f>IF(Y191&lt;&gt;0,($J$33*P191*$L$33),0)</f>
        <v>0</v>
      </c>
      <c r="AE191" s="32">
        <f>SUM(AA191:AD191)</f>
        <v>12.628138463824097</v>
      </c>
      <c r="AF191" s="33">
        <f>AE187</f>
        <v>17.590091955725896</v>
      </c>
      <c r="AG191" s="40">
        <f>MAX(AG190-$Q$33+AF191,0)</f>
        <v>112.14414069589431</v>
      </c>
      <c r="AH191" s="224">
        <f>AG191*$P$33</f>
        <v>9.4053776795605319</v>
      </c>
      <c r="AI191" s="227">
        <f>SUM(Z191,IF(Z191&lt;&gt;0,$F$31,0),IF(Z191&lt;&gt;0,$N$33,0),IF(Z191&lt;&gt;0,$T$33,0),IF(Z191=0,AH196,IF(Z191=1,AH197,IF(Z191=2,AH198,IF(Z191=3,AH199,IF(Z191=4,AH200,IF(Z191=5,AH201,IF(Z191=6,AH202,IF(Z191=7,AH203,IF(Z191=8,AH204,IF(Z191=9,AH205,IF(Z191=10,AH206,IF(Z191=11,AH207,IF(Z191=12,AH208,IF(Z191=13,AH209,IF(Z191=14,AH210,IF(Z191=15,AH211,IF(Z191=16,AH212,IF(Z191=17,AH213,IF(Z191=18,AH214,IF(Z191=19,AH215,IF(Z191=20,AH216,IF(Z191=21,AH217,IF(Z191=22,AH218,IF(Z191=23,AH219,IF(Z191=24,AH220,IF(Z191=25,AH221,IF(Z191=26,AH222,IF(Z191=27,AH223,IF(Z191=28,AH224,IF(Z191=29,AH225,IF(Z191=30,AH226))))))))))))))))))))))))))))))))</f>
        <v>29.641797376747594</v>
      </c>
    </row>
    <row r="192" spans="1:35" x14ac:dyDescent="0.35">
      <c r="A192" s="48">
        <v>1533</v>
      </c>
      <c r="B192" s="58">
        <f>SUMIF([2]!Table2_23[ETA],'FIS Optimal Model (3)'!A192,[2]!Table2_23[FIS PAX])</f>
        <v>0</v>
      </c>
      <c r="C192" s="44">
        <f>IF((D191-D192)&gt;-1,(D191-D192),18)</f>
        <v>0</v>
      </c>
      <c r="D192" s="52">
        <f>MAX(D191-$E$31+B191,0)</f>
        <v>0</v>
      </c>
      <c r="E192" s="26">
        <f>$C$30*C192</f>
        <v>0</v>
      </c>
      <c r="F192" s="26">
        <f>$C$31*C192</f>
        <v>0</v>
      </c>
      <c r="G192" s="26">
        <f>$C$32*C192</f>
        <v>0</v>
      </c>
      <c r="H192" s="26">
        <f>$C$33*C192</f>
        <v>0</v>
      </c>
      <c r="I192" s="27">
        <f>E187</f>
        <v>0</v>
      </c>
      <c r="J192" s="27">
        <f>F187</f>
        <v>0</v>
      </c>
      <c r="K192" s="27">
        <f>G187</f>
        <v>0</v>
      </c>
      <c r="L192" s="27">
        <f>H187</f>
        <v>0</v>
      </c>
      <c r="M192" s="28">
        <f>$M$190</f>
        <v>6</v>
      </c>
      <c r="N192" s="29">
        <f>$N$190</f>
        <v>10</v>
      </c>
      <c r="O192" s="28">
        <f>$O$190</f>
        <v>0</v>
      </c>
      <c r="P192" s="28">
        <f>$P$190</f>
        <v>0</v>
      </c>
      <c r="Q192" s="28">
        <f>SUM(M192:P192)</f>
        <v>16</v>
      </c>
      <c r="R192" s="22">
        <f>MAX(R191-($J$30*M192*$L$33)+I192,0)</f>
        <v>0</v>
      </c>
      <c r="S192" s="22">
        <f>IF(U192&lt;&gt;0,(MAX(S191-($J$31*N192*$L$33)+J192,0)),(MAX(S191-($J$31*(N192+P192)*$L$33)+J192,0)))</f>
        <v>0</v>
      </c>
      <c r="T192" s="22">
        <f>MAX(T191-($J$32*O192*$L$33)+K192,0)</f>
        <v>0</v>
      </c>
      <c r="U192" s="22">
        <f>MAX(U191-($J$33*P192*$L$33)+L192,0)</f>
        <v>0</v>
      </c>
      <c r="V192" s="21">
        <f>IFERROR(R192*($I$30/M192),0)</f>
        <v>0</v>
      </c>
      <c r="W192" s="21">
        <f>IFERROR(S192*($I$31/N192),0)</f>
        <v>0</v>
      </c>
      <c r="X192" s="21">
        <f>IFERROR(T192*($I$32/O192),0)</f>
        <v>0</v>
      </c>
      <c r="Y192" s="21">
        <f>IFERROR(U192*($I$33/P192),0)</f>
        <v>0</v>
      </c>
      <c r="Z192" s="221">
        <f>ROUNDUP(SUM(V192*$C$30,W192*$C$31,X192*$C$32,Y192*$C$33),0)</f>
        <v>0</v>
      </c>
      <c r="AA192" s="30">
        <f>IF(R192&lt;&gt;0,($J$30*M192*$L$33),0)</f>
        <v>0</v>
      </c>
      <c r="AB192" s="30">
        <f>IF(W192&lt;&gt;0,($J$31*N192*$L$33),0)</f>
        <v>0</v>
      </c>
      <c r="AC192" s="30">
        <f>IF(X192&lt;&gt;0,($J$32*O192*$L$33),0)</f>
        <v>0</v>
      </c>
      <c r="AD192" s="30">
        <f>IF(Y192&lt;&gt;0,($J$33*P192*$L$33),0)</f>
        <v>0</v>
      </c>
      <c r="AE192" s="32">
        <f>SUM(AA192:AD192)</f>
        <v>0</v>
      </c>
      <c r="AF192" s="33">
        <f>AE188</f>
        <v>12.628138463824097</v>
      </c>
      <c r="AG192" s="40">
        <f>MAX(AG191-$Q$33+AF192,0)</f>
        <v>112.84887273026662</v>
      </c>
      <c r="AH192" s="224">
        <f>AG192*$P$33</f>
        <v>9.4644826038572969</v>
      </c>
      <c r="AI192" s="227">
        <f>SUM(Z192,IF(Z192&lt;&gt;0,$F$31,0),IF(Z192&lt;&gt;0,$N$33,0),IF(Z192&lt;&gt;0,$T$33,0),IF(Z192=0,AH197,IF(Z192=1,AH198,IF(Z192=2,AH199,IF(Z192=3,AH200,IF(Z192=4,AH201,IF(Z192=5,AH202,IF(Z192=6,AH203,IF(Z192=7,AH204,IF(Z192=8,AH205,IF(Z192=9,AH206,IF(Z192=10,AH207,IF(Z192=11,AH208,IF(Z192=12,AH209,IF(Z192=13,AH210,IF(Z192=14,AH211,IF(Z192=15,AH212,IF(Z192=16,AH213,IF(Z192=17,AH214,IF(Z192=18,AH215,IF(Z192=19,AH216,IF(Z192=20,AH217,IF(Z192=21,AH218,IF(Z192=22,AH219,IF(Z192=23,AH220,IF(Z192=24,AH221,IF(Z192=25,AH222,IF(Z192=26,AH223,IF(Z192=27,AH224,IF(Z192=28,AH225,IF(Z192=29,AH226,IF(Z192=30,AH227))))))))))))))))))))))))))))))))</f>
        <v>7.6417973767475926</v>
      </c>
    </row>
    <row r="193" spans="1:35" x14ac:dyDescent="0.35">
      <c r="A193" s="48">
        <v>1534</v>
      </c>
      <c r="B193" s="58">
        <f>SUMIF([2]!Table2_23[ETA],'FIS Optimal Model (3)'!A193,[2]!Table2_23[FIS PAX])</f>
        <v>0</v>
      </c>
      <c r="C193" s="44">
        <f>IF((D192-D193)&gt;-1,(D192-D193),18)</f>
        <v>0</v>
      </c>
      <c r="D193" s="52">
        <f>MAX(D192-$E$31+B192,0)</f>
        <v>0</v>
      </c>
      <c r="E193" s="26">
        <f>$C$30*C193</f>
        <v>0</v>
      </c>
      <c r="F193" s="26">
        <f>$C$31*C193</f>
        <v>0</v>
      </c>
      <c r="G193" s="26">
        <f>$C$32*C193</f>
        <v>0</v>
      </c>
      <c r="H193" s="26">
        <f>$C$33*C193</f>
        <v>0</v>
      </c>
      <c r="I193" s="27">
        <f>E188</f>
        <v>0</v>
      </c>
      <c r="J193" s="27">
        <f>F188</f>
        <v>0</v>
      </c>
      <c r="K193" s="27">
        <f>G188</f>
        <v>0</v>
      </c>
      <c r="L193" s="27">
        <f>H188</f>
        <v>0</v>
      </c>
      <c r="M193" s="28">
        <f>$M$190</f>
        <v>6</v>
      </c>
      <c r="N193" s="29">
        <f>$N$190</f>
        <v>10</v>
      </c>
      <c r="O193" s="28">
        <f>$O$190</f>
        <v>0</v>
      </c>
      <c r="P193" s="28">
        <f>$P$190</f>
        <v>0</v>
      </c>
      <c r="Q193" s="28">
        <f>SUM(M193:P193)</f>
        <v>16</v>
      </c>
      <c r="R193" s="22">
        <f>MAX(R192-($J$30*M193*$L$33)+I193,0)</f>
        <v>0</v>
      </c>
      <c r="S193" s="22">
        <f>IF(U193&lt;&gt;0,(MAX(S192-($J$31*N193*$L$33)+J193,0)),(MAX(S192-($J$31*(N193+P193)*$L$33)+J193,0)))</f>
        <v>0</v>
      </c>
      <c r="T193" s="22">
        <f>MAX(T192-($J$32*O193*$L$33)+K193,0)</f>
        <v>0</v>
      </c>
      <c r="U193" s="22">
        <f>MAX(U192-($J$33*P193*$L$33)+L193,0)</f>
        <v>0</v>
      </c>
      <c r="V193" s="21">
        <f>IFERROR(R193*($I$30/M193),0)</f>
        <v>0</v>
      </c>
      <c r="W193" s="21">
        <f>IFERROR(S193*($I$31/N193),0)</f>
        <v>0</v>
      </c>
      <c r="X193" s="21">
        <f>IFERROR(T193*($I$32/O193),0)</f>
        <v>0</v>
      </c>
      <c r="Y193" s="21">
        <f>IFERROR(U193*($I$33/P193),0)</f>
        <v>0</v>
      </c>
      <c r="Z193" s="221">
        <f>ROUNDUP(SUM(V193*$C$30,W193*$C$31,X193*$C$32,Y193*$C$33),0)</f>
        <v>0</v>
      </c>
      <c r="AA193" s="30">
        <f>IF(R193&lt;&gt;0,($J$30*M193*$L$33),0)</f>
        <v>0</v>
      </c>
      <c r="AB193" s="30">
        <f>IF(W193&lt;&gt;0,($J$31*N193*$L$33),0)</f>
        <v>0</v>
      </c>
      <c r="AC193" s="30">
        <f>IF(X193&lt;&gt;0,($J$32*O193*$L$33),0)</f>
        <v>0</v>
      </c>
      <c r="AD193" s="30">
        <f>IF(Y193&lt;&gt;0,($J$33*P193*$L$33),0)</f>
        <v>0</v>
      </c>
      <c r="AE193" s="32">
        <f>SUM(AA193:AD193)</f>
        <v>0</v>
      </c>
      <c r="AF193" s="33">
        <f>AE189</f>
        <v>12.628138463824097</v>
      </c>
      <c r="AG193" s="40">
        <f>MAX(AG192-$Q$33+AF193,0)</f>
        <v>113.55360476463893</v>
      </c>
      <c r="AH193" s="224">
        <f>AG193*$P$33</f>
        <v>9.5235875281540618</v>
      </c>
      <c r="AI193" s="227">
        <f>SUM(Z193,IF(Z193&lt;&gt;0,$F$31,0),IF(Z193&lt;&gt;0,$N$33,0),IF(Z193&lt;&gt;0,$T$33,0),IF(Z193=0,AH198,IF(Z193=1,AH199,IF(Z193=2,AH200,IF(Z193=3,AH201,IF(Z193=4,AH202,IF(Z193=5,AH203,IF(Z193=6,AH204,IF(Z193=7,AH205,IF(Z193=8,AH206,IF(Z193=9,AH207,IF(Z193=10,AH208,IF(Z193=11,AH209,IF(Z193=12,AH210,IF(Z193=13,AH211,IF(Z193=14,AH212,IF(Z193=15,AH213,IF(Z193=16,AH214,IF(Z193=17,AH215,IF(Z193=18,AH216,IF(Z193=19,AH217,IF(Z193=20,AH218,IF(Z193=21,AH219,IF(Z193=22,AH220,IF(Z193=23,AH221,IF(Z193=24,AH222,IF(Z193=25,AH223,IF(Z193=26,AH224,IF(Z193=27,AH225,IF(Z193=28,AH226,IF(Z193=29,AH227,IF(Z193=30,AH228))))))))))))))))))))))))))))))))</f>
        <v>6.6417973767475935</v>
      </c>
    </row>
    <row r="194" spans="1:35" x14ac:dyDescent="0.35">
      <c r="A194" s="48">
        <v>1535</v>
      </c>
      <c r="B194" s="58">
        <f>SUMIF([2]!Table2_23[ETA],'FIS Optimal Model (3)'!A194,[2]!Table2_23[FIS PAX])</f>
        <v>0</v>
      </c>
      <c r="C194" s="44">
        <f>IF((D193-D194)&gt;-1,(D193-D194),18)</f>
        <v>0</v>
      </c>
      <c r="D194" s="52">
        <f>MAX(D193-$E$31+B193,0)</f>
        <v>0</v>
      </c>
      <c r="E194" s="26">
        <f>$C$30*C194</f>
        <v>0</v>
      </c>
      <c r="F194" s="26">
        <f>$C$31*C194</f>
        <v>0</v>
      </c>
      <c r="G194" s="26">
        <f>$C$32*C194</f>
        <v>0</v>
      </c>
      <c r="H194" s="26">
        <f>$C$33*C194</f>
        <v>0</v>
      </c>
      <c r="I194" s="27">
        <f>E189</f>
        <v>0</v>
      </c>
      <c r="J194" s="27">
        <f>F189</f>
        <v>0</v>
      </c>
      <c r="K194" s="27">
        <f>G189</f>
        <v>0</v>
      </c>
      <c r="L194" s="27">
        <f>H189</f>
        <v>0</v>
      </c>
      <c r="M194" s="28">
        <f>$M$190</f>
        <v>6</v>
      </c>
      <c r="N194" s="29">
        <f>$N$190</f>
        <v>10</v>
      </c>
      <c r="O194" s="28">
        <f>$O$190</f>
        <v>0</v>
      </c>
      <c r="P194" s="28">
        <f>$P$190</f>
        <v>0</v>
      </c>
      <c r="Q194" s="28">
        <f>SUM(M194:P194)</f>
        <v>16</v>
      </c>
      <c r="R194" s="22">
        <f>MAX(R193-($J$30*M194*$L$33)+I194,0)</f>
        <v>0</v>
      </c>
      <c r="S194" s="22">
        <f>IF(U194&lt;&gt;0,(MAX(S193-($J$31*N194*$L$33)+J194,0)),(MAX(S193-($J$31*(N194+P194)*$L$33)+J194,0)))</f>
        <v>0</v>
      </c>
      <c r="T194" s="22">
        <f>MAX(T193-($J$32*O194*$L$33)+K194,0)</f>
        <v>0</v>
      </c>
      <c r="U194" s="22">
        <f>MAX(U193-($J$33*P194*$L$33)+L194,0)</f>
        <v>0</v>
      </c>
      <c r="V194" s="21">
        <f>IFERROR(R194*($I$30/M194),0)</f>
        <v>0</v>
      </c>
      <c r="W194" s="21">
        <f>IFERROR(S194*($I$31/N194),0)</f>
        <v>0</v>
      </c>
      <c r="X194" s="21">
        <f>IFERROR(T194*($I$32/O194),0)</f>
        <v>0</v>
      </c>
      <c r="Y194" s="21">
        <f>IFERROR(U194*($I$33/P194),0)</f>
        <v>0</v>
      </c>
      <c r="Z194" s="221">
        <f>ROUNDUP(SUM(V194*$C$30,W194*$C$31,X194*$C$32,Y194*$C$33),0)</f>
        <v>0</v>
      </c>
      <c r="AA194" s="30">
        <f>IF(R194&lt;&gt;0,($J$30*M194*$L$33),0)</f>
        <v>0</v>
      </c>
      <c r="AB194" s="30">
        <f>IF(W194&lt;&gt;0,($J$31*N194*$L$33),0)</f>
        <v>0</v>
      </c>
      <c r="AC194" s="30">
        <f>IF(X194&lt;&gt;0,($J$32*O194*$L$33),0)</f>
        <v>0</v>
      </c>
      <c r="AD194" s="30">
        <f>IF(Y194&lt;&gt;0,($J$33*P194*$L$33),0)</f>
        <v>0</v>
      </c>
      <c r="AE194" s="32">
        <f>SUM(AA194:AD194)</f>
        <v>0</v>
      </c>
      <c r="AF194" s="33">
        <f>AE190</f>
        <v>12.628138463824097</v>
      </c>
      <c r="AG194" s="40">
        <f>MAX(AG193-$Q$33+AF194,0)</f>
        <v>114.25833679901125</v>
      </c>
      <c r="AH194" s="224">
        <f>AG194*$P$33</f>
        <v>9.5826924524508286</v>
      </c>
      <c r="AI194" s="227">
        <f>SUM(Z194,IF(Z194&lt;&gt;0,$F$31,0),IF(Z194&lt;&gt;0,$N$33,0),IF(Z194&lt;&gt;0,$T$33,0),IF(Z194=0,AH199,IF(Z194=1,AH200,IF(Z194=2,AH201,IF(Z194=3,AH202,IF(Z194=4,AH203,IF(Z194=5,AH204,IF(Z194=6,AH205,IF(Z194=7,AH206,IF(Z194=8,AH207,IF(Z194=9,AH208,IF(Z194=10,AH209,IF(Z194=11,AH210,IF(Z194=12,AH211,IF(Z194=13,AH212,IF(Z194=14,AH213,IF(Z194=15,AH214,IF(Z194=16,AH215,IF(Z194=17,AH216,IF(Z194=18,AH217,IF(Z194=19,AH218,IF(Z194=20,AH219,IF(Z194=21,AH220,IF(Z194=22,AH221,IF(Z194=23,AH222,IF(Z194=24,AH223,IF(Z194=25,AH224,IF(Z194=26,AH225,IF(Z194=27,AH226,IF(Z194=28,AH227,IF(Z194=29,AH228,IF(Z194=30,AH229))))))))))))))))))))))))))))))))</f>
        <v>5.6417973767475944</v>
      </c>
    </row>
    <row r="195" spans="1:35" x14ac:dyDescent="0.35">
      <c r="A195" s="48">
        <v>1536</v>
      </c>
      <c r="B195" s="58">
        <f>SUMIF([2]!Table2_23[ETA],'FIS Optimal Model (3)'!A195,[2]!Table2_23[FIS PAX])</f>
        <v>0</v>
      </c>
      <c r="C195" s="44">
        <f>IF((D194-D195)&gt;-1,(D194-D195),18)</f>
        <v>0</v>
      </c>
      <c r="D195" s="52">
        <f>MAX(D194-$E$31+B194,0)</f>
        <v>0</v>
      </c>
      <c r="E195" s="26">
        <f>$C$30*C195</f>
        <v>0</v>
      </c>
      <c r="F195" s="26">
        <f>$C$31*C195</f>
        <v>0</v>
      </c>
      <c r="G195" s="26">
        <f>$C$32*C195</f>
        <v>0</v>
      </c>
      <c r="H195" s="26">
        <f>$C$33*C195</f>
        <v>0</v>
      </c>
      <c r="I195" s="27">
        <f>E190</f>
        <v>0</v>
      </c>
      <c r="J195" s="27">
        <f>F190</f>
        <v>0</v>
      </c>
      <c r="K195" s="27">
        <f>G190</f>
        <v>0</v>
      </c>
      <c r="L195" s="27">
        <f>H190</f>
        <v>0</v>
      </c>
      <c r="M195" s="28">
        <f>$M$190</f>
        <v>6</v>
      </c>
      <c r="N195" s="29">
        <f>$N$190</f>
        <v>10</v>
      </c>
      <c r="O195" s="28">
        <f>$O$190</f>
        <v>0</v>
      </c>
      <c r="P195" s="28">
        <f>$P$190</f>
        <v>0</v>
      </c>
      <c r="Q195" s="28">
        <f>SUM(M195:P195)</f>
        <v>16</v>
      </c>
      <c r="R195" s="22">
        <f>MAX(R194-($J$30*M195*$L$33)+I195,0)</f>
        <v>0</v>
      </c>
      <c r="S195" s="22">
        <f>IF(U195&lt;&gt;0,(MAX(S194-($J$31*N195*$L$33)+J195,0)),(MAX(S194-($J$31*(N195+P195)*$L$33)+J195,0)))</f>
        <v>0</v>
      </c>
      <c r="T195" s="22">
        <f>MAX(T194-($J$32*O195*$L$33)+K195,0)</f>
        <v>0</v>
      </c>
      <c r="U195" s="22">
        <f>MAX(U194-($J$33*P195*$L$33)+L195,0)</f>
        <v>0</v>
      </c>
      <c r="V195" s="21">
        <f>IFERROR(R195*($I$30/M195),0)</f>
        <v>0</v>
      </c>
      <c r="W195" s="21">
        <f>IFERROR(S195*($I$31/N195),0)</f>
        <v>0</v>
      </c>
      <c r="X195" s="21">
        <f>IFERROR(T195*($I$32/O195),0)</f>
        <v>0</v>
      </c>
      <c r="Y195" s="21">
        <f>IFERROR(U195*($I$33/P195),0)</f>
        <v>0</v>
      </c>
      <c r="Z195" s="221">
        <f>ROUNDUP(SUM(V195*$C$30,W195*$C$31,X195*$C$32,Y195*$C$33),0)</f>
        <v>0</v>
      </c>
      <c r="AA195" s="30">
        <f>IF(R195&lt;&gt;0,($J$30*M195*$L$33),0)</f>
        <v>0</v>
      </c>
      <c r="AB195" s="30">
        <f>IF(W195&lt;&gt;0,($J$31*N195*$L$33),0)</f>
        <v>0</v>
      </c>
      <c r="AC195" s="30">
        <f>IF(X195&lt;&gt;0,($J$32*O195*$L$33),0)</f>
        <v>0</v>
      </c>
      <c r="AD195" s="30">
        <f>IF(Y195&lt;&gt;0,($J$33*P195*$L$33),0)</f>
        <v>0</v>
      </c>
      <c r="AE195" s="32">
        <f>SUM(AA195:AD195)</f>
        <v>0</v>
      </c>
      <c r="AF195" s="33">
        <f>AE191</f>
        <v>12.628138463824097</v>
      </c>
      <c r="AG195" s="40">
        <f>MAX(AG194-$Q$33+AF195,0)</f>
        <v>114.96306883338356</v>
      </c>
      <c r="AH195" s="224">
        <f>AG195*$P$33</f>
        <v>9.6417973767475935</v>
      </c>
      <c r="AI195" s="227">
        <f>SUM(Z195,IF(Z195&lt;&gt;0,$F$31,0),IF(Z195&lt;&gt;0,$N$33,0),IF(Z195&lt;&gt;0,$T$33,0),IF(Z195=0,AH200,IF(Z195=1,AH201,IF(Z195=2,AH202,IF(Z195=3,AH203,IF(Z195=4,AH204,IF(Z195=5,AH205,IF(Z195=6,AH206,IF(Z195=7,AH207,IF(Z195=8,AH208,IF(Z195=9,AH209,IF(Z195=10,AH210,IF(Z195=11,AH211,IF(Z195=12,AH212,IF(Z195=13,AH213,IF(Z195=14,AH214,IF(Z195=15,AH215,IF(Z195=16,AH216,IF(Z195=17,AH217,IF(Z195=18,AH218,IF(Z195=19,AH219,IF(Z195=20,AH220,IF(Z195=21,AH221,IF(Z195=22,AH222,IF(Z195=23,AH223,IF(Z195=24,AH224,IF(Z195=25,AH225,IF(Z195=26,AH226,IF(Z195=27,AH227,IF(Z195=28,AH228,IF(Z195=29,AH229,IF(Z195=30,AH230))))))))))))))))))))))))))))))))</f>
        <v>4.6417973767475944</v>
      </c>
    </row>
    <row r="196" spans="1:35" x14ac:dyDescent="0.35">
      <c r="A196" s="48">
        <v>1537</v>
      </c>
      <c r="B196" s="58">
        <f>SUMIF([2]!Table2_23[ETA],'FIS Optimal Model (3)'!A196,[2]!Table2_23[FIS PAX])</f>
        <v>0</v>
      </c>
      <c r="C196" s="44">
        <f>IF((D195-D196)&gt;-1,(D195-D196),18)</f>
        <v>0</v>
      </c>
      <c r="D196" s="52">
        <f>MAX(D195-$E$31+B195,0)</f>
        <v>0</v>
      </c>
      <c r="E196" s="26">
        <f>$C$30*C196</f>
        <v>0</v>
      </c>
      <c r="F196" s="26">
        <f>$C$31*C196</f>
        <v>0</v>
      </c>
      <c r="G196" s="26">
        <f>$C$32*C196</f>
        <v>0</v>
      </c>
      <c r="H196" s="26">
        <f>$C$33*C196</f>
        <v>0</v>
      </c>
      <c r="I196" s="27">
        <f>E191</f>
        <v>0</v>
      </c>
      <c r="J196" s="27">
        <f>F191</f>
        <v>0</v>
      </c>
      <c r="K196" s="27">
        <f>G191</f>
        <v>0</v>
      </c>
      <c r="L196" s="27">
        <f>H191</f>
        <v>0</v>
      </c>
      <c r="M196" s="28">
        <f>$M$190</f>
        <v>6</v>
      </c>
      <c r="N196" s="29">
        <f>$N$190</f>
        <v>10</v>
      </c>
      <c r="O196" s="28">
        <f>$O$190</f>
        <v>0</v>
      </c>
      <c r="P196" s="28">
        <f>$P$190</f>
        <v>0</v>
      </c>
      <c r="Q196" s="28">
        <f>SUM(M196:P196)</f>
        <v>16</v>
      </c>
      <c r="R196" s="22">
        <f>MAX(R195-($J$30*M196*$L$33)+I196,0)</f>
        <v>0</v>
      </c>
      <c r="S196" s="22">
        <f>IF(U196&lt;&gt;0,(MAX(S195-($J$31*N196*$L$33)+J196,0)),(MAX(S195-($J$31*(N196+P196)*$L$33)+J196,0)))</f>
        <v>0</v>
      </c>
      <c r="T196" s="22">
        <f>MAX(T195-($J$32*O196*$L$33)+K196,0)</f>
        <v>0</v>
      </c>
      <c r="U196" s="22">
        <f>MAX(U195-($J$33*P196*$L$33)+L196,0)</f>
        <v>0</v>
      </c>
      <c r="V196" s="21">
        <f>IFERROR(R196*($I$30/M196),0)</f>
        <v>0</v>
      </c>
      <c r="W196" s="21">
        <f>IFERROR(S196*($I$31/N196),0)</f>
        <v>0</v>
      </c>
      <c r="X196" s="21">
        <f>IFERROR(T196*($I$32/O196),0)</f>
        <v>0</v>
      </c>
      <c r="Y196" s="21">
        <f>IFERROR(U196*($I$33/P196),0)</f>
        <v>0</v>
      </c>
      <c r="Z196" s="221">
        <f>ROUNDUP(SUM(V196*$C$30,W196*$C$31,X196*$C$32,Y196*$C$33),0)</f>
        <v>0</v>
      </c>
      <c r="AA196" s="30">
        <f>IF(R196&lt;&gt;0,($J$30*M196*$L$33),0)</f>
        <v>0</v>
      </c>
      <c r="AB196" s="30">
        <f>IF(W196&lt;&gt;0,($J$31*N196*$L$33),0)</f>
        <v>0</v>
      </c>
      <c r="AC196" s="30">
        <f>IF(X196&lt;&gt;0,($J$32*O196*$L$33),0)</f>
        <v>0</v>
      </c>
      <c r="AD196" s="30">
        <f>IF(Y196&lt;&gt;0,($J$33*P196*$L$33),0)</f>
        <v>0</v>
      </c>
      <c r="AE196" s="32">
        <f>SUM(AA196:AD196)</f>
        <v>0</v>
      </c>
      <c r="AF196" s="33">
        <f>AE192</f>
        <v>0</v>
      </c>
      <c r="AG196" s="40">
        <f>MAX(AG195-$Q$33+AF196,0)</f>
        <v>103.03966240393177</v>
      </c>
      <c r="AH196" s="224">
        <f>AG196*$P$33</f>
        <v>8.6417973767475917</v>
      </c>
      <c r="AI196" s="227">
        <f>SUM(Z196,IF(Z196&lt;&gt;0,$F$31,0),IF(Z196&lt;&gt;0,$N$33,0),IF(Z196&lt;&gt;0,$T$33,0),IF(Z196=0,AH201,IF(Z196=1,AH202,IF(Z196=2,AH203,IF(Z196=3,AH204,IF(Z196=4,AH205,IF(Z196=5,AH206,IF(Z196=6,AH207,IF(Z196=7,AH208,IF(Z196=8,AH209,IF(Z196=9,AH210,IF(Z196=10,AH211,IF(Z196=11,AH212,IF(Z196=12,AH213,IF(Z196=13,AH214,IF(Z196=14,AH215,IF(Z196=15,AH216,IF(Z196=16,AH217,IF(Z196=17,AH218,IF(Z196=18,AH219,IF(Z196=19,AH220,IF(Z196=20,AH221,IF(Z196=21,AH222,IF(Z196=22,AH223,IF(Z196=23,AH224,IF(Z196=24,AH225,IF(Z196=25,AH226,IF(Z196=26,AH227,IF(Z196=27,AH228,IF(Z196=28,AH229,IF(Z196=29,AH230,IF(Z196=30,AH231))))))))))))))))))))))))))))))))</f>
        <v>3.641797376747594</v>
      </c>
    </row>
    <row r="197" spans="1:35" x14ac:dyDescent="0.35">
      <c r="A197" s="48">
        <v>1538</v>
      </c>
      <c r="B197" s="58">
        <f>SUMIF([2]!Table2_23[ETA],'FIS Optimal Model (3)'!A197,[2]!Table2_23[FIS PAX])</f>
        <v>0</v>
      </c>
      <c r="C197" s="44">
        <f>IF((D196-D197)&gt;-1,(D196-D197),18)</f>
        <v>0</v>
      </c>
      <c r="D197" s="52">
        <f>MAX(D196-$E$31+B196,0)</f>
        <v>0</v>
      </c>
      <c r="E197" s="26">
        <f>$C$30*C197</f>
        <v>0</v>
      </c>
      <c r="F197" s="26">
        <f>$C$31*C197</f>
        <v>0</v>
      </c>
      <c r="G197" s="26">
        <f>$C$32*C197</f>
        <v>0</v>
      </c>
      <c r="H197" s="26">
        <f>$C$33*C197</f>
        <v>0</v>
      </c>
      <c r="I197" s="27">
        <f>E192</f>
        <v>0</v>
      </c>
      <c r="J197" s="27">
        <f>F192</f>
        <v>0</v>
      </c>
      <c r="K197" s="27">
        <f>G192</f>
        <v>0</v>
      </c>
      <c r="L197" s="27">
        <f>H192</f>
        <v>0</v>
      </c>
      <c r="M197" s="28">
        <f>$M$190</f>
        <v>6</v>
      </c>
      <c r="N197" s="29">
        <f>$N$190</f>
        <v>10</v>
      </c>
      <c r="O197" s="28">
        <f>$O$190</f>
        <v>0</v>
      </c>
      <c r="P197" s="28">
        <f>$P$190</f>
        <v>0</v>
      </c>
      <c r="Q197" s="28">
        <f>SUM(M197:P197)</f>
        <v>16</v>
      </c>
      <c r="R197" s="22">
        <f>MAX(R196-($J$30*M197*$L$33)+I197,0)</f>
        <v>0</v>
      </c>
      <c r="S197" s="22">
        <f>IF(U197&lt;&gt;0,(MAX(S196-($J$31*N197*$L$33)+J197,0)),(MAX(S196-($J$31*(N197+P197)*$L$33)+J197,0)))</f>
        <v>0</v>
      </c>
      <c r="T197" s="22">
        <f>MAX(T196-($J$32*O197*$L$33)+K197,0)</f>
        <v>0</v>
      </c>
      <c r="U197" s="22">
        <f>MAX(U196-($J$33*P197*$L$33)+L197,0)</f>
        <v>0</v>
      </c>
      <c r="V197" s="21">
        <f>IFERROR(R197*($I$30/M197),0)</f>
        <v>0</v>
      </c>
      <c r="W197" s="21">
        <f>IFERROR(S197*($I$31/N197),0)</f>
        <v>0</v>
      </c>
      <c r="X197" s="21">
        <f>IFERROR(T197*($I$32/O197),0)</f>
        <v>0</v>
      </c>
      <c r="Y197" s="21">
        <f>IFERROR(U197*($I$33/P197),0)</f>
        <v>0</v>
      </c>
      <c r="Z197" s="221">
        <f>ROUNDUP(SUM(V197*$C$30,W197*$C$31,X197*$C$32,Y197*$C$33),0)</f>
        <v>0</v>
      </c>
      <c r="AA197" s="30">
        <f>IF(R197&lt;&gt;0,($J$30*M197*$L$33),0)</f>
        <v>0</v>
      </c>
      <c r="AB197" s="30">
        <f>IF(W197&lt;&gt;0,($J$31*N197*$L$33),0)</f>
        <v>0</v>
      </c>
      <c r="AC197" s="30">
        <f>IF(X197&lt;&gt;0,($J$32*O197*$L$33),0)</f>
        <v>0</v>
      </c>
      <c r="AD197" s="30">
        <f>IF(Y197&lt;&gt;0,($J$33*P197*$L$33),0)</f>
        <v>0</v>
      </c>
      <c r="AE197" s="32">
        <f>SUM(AA197:AD197)</f>
        <v>0</v>
      </c>
      <c r="AF197" s="33">
        <f>AE193</f>
        <v>0</v>
      </c>
      <c r="AG197" s="40">
        <f>MAX(AG196-$Q$33+AF197,0)</f>
        <v>91.116255974479998</v>
      </c>
      <c r="AH197" s="224">
        <f>AG197*$P$33</f>
        <v>7.6417973767475926</v>
      </c>
      <c r="AI197" s="227">
        <f>SUM(Z197,IF(Z197&lt;&gt;0,$F$31,0),IF(Z197&lt;&gt;0,$N$33,0),IF(Z197&lt;&gt;0,$T$33,0),IF(Z197=0,AH202,IF(Z197=1,AH203,IF(Z197=2,AH204,IF(Z197=3,AH205,IF(Z197=4,AH206,IF(Z197=5,AH207,IF(Z197=6,AH208,IF(Z197=7,AH209,IF(Z197=8,AH210,IF(Z197=9,AH211,IF(Z197=10,AH212,IF(Z197=11,AH213,IF(Z197=12,AH214,IF(Z197=13,AH215,IF(Z197=14,AH216,IF(Z197=15,AH217,IF(Z197=16,AH218,IF(Z197=17,AH219,IF(Z197=18,AH220,IF(Z197=19,AH221,IF(Z197=20,AH222,IF(Z197=21,AH223,IF(Z197=22,AH224,IF(Z197=23,AH225,IF(Z197=24,AH226,IF(Z197=25,AH227,IF(Z197=26,AH228,IF(Z197=27,AH229,IF(Z197=28,AH230,IF(Z197=29,AH231,IF(Z197=30,AH232))))))))))))))))))))))))))))))))</f>
        <v>2.641797376747594</v>
      </c>
    </row>
    <row r="198" spans="1:35" x14ac:dyDescent="0.35">
      <c r="A198" s="48">
        <v>1539</v>
      </c>
      <c r="B198" s="58">
        <f>SUMIF([2]!Table2_23[ETA],'FIS Optimal Model (3)'!A198,[2]!Table2_23[FIS PAX])</f>
        <v>185</v>
      </c>
      <c r="C198" s="44">
        <f>IF((D197-D198)&gt;-1,(D197-D198),18)</f>
        <v>0</v>
      </c>
      <c r="D198" s="52">
        <f>MAX(D197-$E$31+B197,0)</f>
        <v>0</v>
      </c>
      <c r="E198" s="26">
        <f>$C$30*C198</f>
        <v>0</v>
      </c>
      <c r="F198" s="26">
        <f>$C$31*C198</f>
        <v>0</v>
      </c>
      <c r="G198" s="26">
        <f>$C$32*C198</f>
        <v>0</v>
      </c>
      <c r="H198" s="26">
        <f>$C$33*C198</f>
        <v>0</v>
      </c>
      <c r="I198" s="27">
        <f>E193</f>
        <v>0</v>
      </c>
      <c r="J198" s="27">
        <f>F193</f>
        <v>0</v>
      </c>
      <c r="K198" s="27">
        <f>G193</f>
        <v>0</v>
      </c>
      <c r="L198" s="27">
        <f>H193</f>
        <v>0</v>
      </c>
      <c r="M198" s="28">
        <f>$M$190</f>
        <v>6</v>
      </c>
      <c r="N198" s="29">
        <f>$N$190</f>
        <v>10</v>
      </c>
      <c r="O198" s="28">
        <f>$O$190</f>
        <v>0</v>
      </c>
      <c r="P198" s="28">
        <f>$P$190</f>
        <v>0</v>
      </c>
      <c r="Q198" s="28">
        <f>SUM(M198:P198)</f>
        <v>16</v>
      </c>
      <c r="R198" s="22">
        <f>MAX(R197-($J$30*M198*$L$33)+I198,0)</f>
        <v>0</v>
      </c>
      <c r="S198" s="22">
        <f>IF(U198&lt;&gt;0,(MAX(S197-($J$31*N198*$L$33)+J198,0)),(MAX(S197-($J$31*(N198+P198)*$L$33)+J198,0)))</f>
        <v>0</v>
      </c>
      <c r="T198" s="22">
        <f>MAX(T197-($J$32*O198*$L$33)+K198,0)</f>
        <v>0</v>
      </c>
      <c r="U198" s="22">
        <f>MAX(U197-($J$33*P198*$L$33)+L198,0)</f>
        <v>0</v>
      </c>
      <c r="V198" s="21">
        <f>IFERROR(R198*($I$30/M198),0)</f>
        <v>0</v>
      </c>
      <c r="W198" s="21">
        <f>IFERROR(S198*($I$31/N198),0)</f>
        <v>0</v>
      </c>
      <c r="X198" s="21">
        <f>IFERROR(T198*($I$32/O198),0)</f>
        <v>0</v>
      </c>
      <c r="Y198" s="21">
        <f>IFERROR(U198*($I$33/P198),0)</f>
        <v>0</v>
      </c>
      <c r="Z198" s="221">
        <f>ROUNDUP(SUM(V198*$C$30,W198*$C$31,X198*$C$32,Y198*$C$33),0)</f>
        <v>0</v>
      </c>
      <c r="AA198" s="30">
        <f>IF(R198&lt;&gt;0,($J$30*M198*$L$33),0)</f>
        <v>0</v>
      </c>
      <c r="AB198" s="30">
        <f>IF(W198&lt;&gt;0,($J$31*N198*$L$33),0)</f>
        <v>0</v>
      </c>
      <c r="AC198" s="30">
        <f>IF(X198&lt;&gt;0,($J$32*O198*$L$33),0)</f>
        <v>0</v>
      </c>
      <c r="AD198" s="30">
        <f>IF(Y198&lt;&gt;0,($J$33*P198*$L$33),0)</f>
        <v>0</v>
      </c>
      <c r="AE198" s="32">
        <f>SUM(AA198:AD198)</f>
        <v>0</v>
      </c>
      <c r="AF198" s="33">
        <f>AE194</f>
        <v>0</v>
      </c>
      <c r="AG198" s="40">
        <f>MAX(AG197-$Q$33+AF198,0)</f>
        <v>79.192849545028224</v>
      </c>
      <c r="AH198" s="224">
        <f>AG198*$P$33</f>
        <v>6.6417973767475935</v>
      </c>
      <c r="AI198" s="227">
        <f>SUM(Z198,IF(Z198&lt;&gt;0,$F$31,0),IF(Z198&lt;&gt;0,$N$33,0),IF(Z198&lt;&gt;0,$T$33,0),IF(Z198=0,AH203,IF(Z198=1,AH204,IF(Z198=2,AH205,IF(Z198=3,AH206,IF(Z198=4,AH207,IF(Z198=5,AH208,IF(Z198=6,AH209,IF(Z198=7,AH210,IF(Z198=8,AH211,IF(Z198=9,AH212,IF(Z198=10,AH213,IF(Z198=11,AH214,IF(Z198=12,AH215,IF(Z198=13,AH216,IF(Z198=14,AH217,IF(Z198=15,AH218,IF(Z198=16,AH219,IF(Z198=17,AH220,IF(Z198=18,AH221,IF(Z198=19,AH222,IF(Z198=20,AH223,IF(Z198=21,AH224,IF(Z198=22,AH225,IF(Z198=23,AH226,IF(Z198=24,AH227,IF(Z198=25,AH228,IF(Z198=26,AH229,IF(Z198=27,AH230,IF(Z198=28,AH231,IF(Z198=29,AH232,IF(Z198=30,AH233))))))))))))))))))))))))))))))))</f>
        <v>1.641797376747594</v>
      </c>
    </row>
    <row r="199" spans="1:35" x14ac:dyDescent="0.35">
      <c r="A199" s="48">
        <v>1540</v>
      </c>
      <c r="B199" s="58">
        <f>SUMIF([2]!Table2_23[ETA],'FIS Optimal Model (3)'!A199,[2]!Table2_23[FIS PAX])</f>
        <v>0</v>
      </c>
      <c r="C199" s="44">
        <f>IF((D198-D199)&gt;-1,(D198-D199),18)</f>
        <v>18</v>
      </c>
      <c r="D199" s="52">
        <f>MAX(D198-$E$31+B198,0)</f>
        <v>167</v>
      </c>
      <c r="E199" s="26">
        <f>$C$30*C199</f>
        <v>9.9503999999999984</v>
      </c>
      <c r="F199" s="26">
        <f>$C$31*C199</f>
        <v>4.2713999999999999</v>
      </c>
      <c r="G199" s="26">
        <f>$C$32*C199</f>
        <v>2.9447999999999999</v>
      </c>
      <c r="H199" s="26">
        <f>$C$33*C199</f>
        <v>0.83340000000000003</v>
      </c>
      <c r="I199" s="27">
        <f>E194</f>
        <v>0</v>
      </c>
      <c r="J199" s="27">
        <f>F194</f>
        <v>0</v>
      </c>
      <c r="K199" s="27">
        <f>G194</f>
        <v>0</v>
      </c>
      <c r="L199" s="27">
        <f>H194</f>
        <v>0</v>
      </c>
      <c r="M199" s="28">
        <f>$M$190</f>
        <v>6</v>
      </c>
      <c r="N199" s="29">
        <f>$N$190</f>
        <v>10</v>
      </c>
      <c r="O199" s="28">
        <f>$O$190</f>
        <v>0</v>
      </c>
      <c r="P199" s="28">
        <f>$P$190</f>
        <v>0</v>
      </c>
      <c r="Q199" s="28">
        <f>SUM(M199:P199)</f>
        <v>16</v>
      </c>
      <c r="R199" s="22">
        <f>MAX(R198-($J$30*M199*$L$33)+I199,0)</f>
        <v>0</v>
      </c>
      <c r="S199" s="22">
        <f>IF(U199&lt;&gt;0,(MAX(S198-($J$31*N199*$L$33)+J199,0)),(MAX(S198-($J$31*(N199+P199)*$L$33)+J199,0)))</f>
        <v>0</v>
      </c>
      <c r="T199" s="22">
        <f>MAX(T198-($J$32*O199*$L$33)+K199,0)</f>
        <v>0</v>
      </c>
      <c r="U199" s="22">
        <f>MAX(U198-($J$33*P199*$L$33)+L199,0)</f>
        <v>0</v>
      </c>
      <c r="V199" s="21">
        <f>IFERROR(R199*($I$30/M199),0)</f>
        <v>0</v>
      </c>
      <c r="W199" s="21">
        <f>IFERROR(S199*($I$31/N199),0)</f>
        <v>0</v>
      </c>
      <c r="X199" s="21">
        <f>IFERROR(T199*($I$32/O199),0)</f>
        <v>0</v>
      </c>
      <c r="Y199" s="21">
        <f>IFERROR(U199*($I$33/P199),0)</f>
        <v>0</v>
      </c>
      <c r="Z199" s="221">
        <f>ROUNDUP(SUM(V199*$C$30,W199*$C$31,X199*$C$32,Y199*$C$33),0)</f>
        <v>0</v>
      </c>
      <c r="AA199" s="30">
        <f>IF(R199&lt;&gt;0,($J$30*M199*$L$33),0)</f>
        <v>0</v>
      </c>
      <c r="AB199" s="30">
        <f>IF(W199&lt;&gt;0,($J$31*N199*$L$33),0)</f>
        <v>0</v>
      </c>
      <c r="AC199" s="30">
        <f>IF(X199&lt;&gt;0,($J$32*O199*$L$33),0)</f>
        <v>0</v>
      </c>
      <c r="AD199" s="30">
        <f>IF(Y199&lt;&gt;0,($J$33*P199*$L$33),0)</f>
        <v>0</v>
      </c>
      <c r="AE199" s="32">
        <f>SUM(AA199:AD199)</f>
        <v>0</v>
      </c>
      <c r="AF199" s="33">
        <f>AE195</f>
        <v>0</v>
      </c>
      <c r="AG199" s="40">
        <f>MAX(AG198-$Q$33+AF199,0)</f>
        <v>67.269443115576451</v>
      </c>
      <c r="AH199" s="224">
        <f>AG199*$P$33</f>
        <v>5.6417973767475944</v>
      </c>
      <c r="AI199" s="227">
        <f>SUM(Z199,IF(Z199&lt;&gt;0,$F$31,0),IF(Z199&lt;&gt;0,$N$33,0),IF(Z199&lt;&gt;0,$T$33,0),IF(Z199=0,AH204,IF(Z199=1,AH205,IF(Z199=2,AH206,IF(Z199=3,AH207,IF(Z199=4,AH208,IF(Z199=5,AH209,IF(Z199=6,AH210,IF(Z199=7,AH211,IF(Z199=8,AH212,IF(Z199=9,AH213,IF(Z199=10,AH214,IF(Z199=11,AH215,IF(Z199=12,AH216,IF(Z199=13,AH217,IF(Z199=14,AH218,IF(Z199=15,AH219,IF(Z199=16,AH220,IF(Z199=17,AH221,IF(Z199=18,AH222,IF(Z199=19,AH223,IF(Z199=20,AH224,IF(Z199=21,AH225,IF(Z199=22,AH226,IF(Z199=23,AH227,IF(Z199=24,AH228,IF(Z199=25,AH229,IF(Z199=26,AH230,IF(Z199=27,AH231,IF(Z199=28,AH232,IF(Z199=29,AH233,IF(Z199=30,AH234))))))))))))))))))))))))))))))))</f>
        <v>0.64179737674759385</v>
      </c>
    </row>
    <row r="200" spans="1:35" x14ac:dyDescent="0.35">
      <c r="A200" s="48">
        <v>1541</v>
      </c>
      <c r="B200" s="58">
        <f>SUMIF([2]!Table2_23[ETA],'FIS Optimal Model (3)'!A200,[2]!Table2_23[FIS PAX])</f>
        <v>0</v>
      </c>
      <c r="C200" s="44">
        <f>IF((D199-D200)&gt;-1,(D199-D200),18)</f>
        <v>18</v>
      </c>
      <c r="D200" s="52">
        <f>MAX(D199-$E$31+B199,0)</f>
        <v>149</v>
      </c>
      <c r="E200" s="26">
        <f>$C$30*C200</f>
        <v>9.9503999999999984</v>
      </c>
      <c r="F200" s="26">
        <f>$C$31*C200</f>
        <v>4.2713999999999999</v>
      </c>
      <c r="G200" s="26">
        <f>$C$32*C200</f>
        <v>2.9447999999999999</v>
      </c>
      <c r="H200" s="26">
        <f>$C$33*C200</f>
        <v>0.83340000000000003</v>
      </c>
      <c r="I200" s="27">
        <f>E195</f>
        <v>0</v>
      </c>
      <c r="J200" s="27">
        <f>F195</f>
        <v>0</v>
      </c>
      <c r="K200" s="27">
        <f>G195</f>
        <v>0</v>
      </c>
      <c r="L200" s="27">
        <f>H195</f>
        <v>0</v>
      </c>
      <c r="M200" s="28">
        <f>$M$190</f>
        <v>6</v>
      </c>
      <c r="N200" s="29">
        <f>$N$190</f>
        <v>10</v>
      </c>
      <c r="O200" s="28">
        <f>$O$190</f>
        <v>0</v>
      </c>
      <c r="P200" s="28">
        <f>$P$190</f>
        <v>0</v>
      </c>
      <c r="Q200" s="28">
        <f>SUM(M200:P200)</f>
        <v>16</v>
      </c>
      <c r="R200" s="22">
        <f>MAX(R199-($J$30*M200*$L$33)+I200,0)</f>
        <v>0</v>
      </c>
      <c r="S200" s="22">
        <f>IF(U200&lt;&gt;0,(MAX(S199-($J$31*N200*$L$33)+J200,0)),(MAX(S199-($J$31*(N200+P200)*$L$33)+J200,0)))</f>
        <v>0</v>
      </c>
      <c r="T200" s="22">
        <f>MAX(T199-($J$32*O200*$L$33)+K200,0)</f>
        <v>0</v>
      </c>
      <c r="U200" s="22">
        <f>MAX(U199-($J$33*P200*$L$33)+L200,0)</f>
        <v>0</v>
      </c>
      <c r="V200" s="21">
        <f>IFERROR(R200*($I$30/M200),0)</f>
        <v>0</v>
      </c>
      <c r="W200" s="21">
        <f>IFERROR(S200*($I$31/N200),0)</f>
        <v>0</v>
      </c>
      <c r="X200" s="21">
        <f>IFERROR(T200*($I$32/O200),0)</f>
        <v>0</v>
      </c>
      <c r="Y200" s="21">
        <f>IFERROR(U200*($I$33/P200),0)</f>
        <v>0</v>
      </c>
      <c r="Z200" s="221">
        <f>ROUNDUP(SUM(V200*$C$30,W200*$C$31,X200*$C$32,Y200*$C$33),0)</f>
        <v>0</v>
      </c>
      <c r="AA200" s="30">
        <f>IF(R200&lt;&gt;0,($J$30*M200*$L$33),0)</f>
        <v>0</v>
      </c>
      <c r="AB200" s="30">
        <f>IF(W200&lt;&gt;0,($J$31*N200*$L$33),0)</f>
        <v>0</v>
      </c>
      <c r="AC200" s="30">
        <f>IF(X200&lt;&gt;0,($J$32*O200*$L$33),0)</f>
        <v>0</v>
      </c>
      <c r="AD200" s="30">
        <f>IF(Y200&lt;&gt;0,($J$33*P200*$L$33),0)</f>
        <v>0</v>
      </c>
      <c r="AE200" s="32">
        <f>SUM(AA200:AD200)</f>
        <v>0</v>
      </c>
      <c r="AF200" s="33">
        <f>AE196</f>
        <v>0</v>
      </c>
      <c r="AG200" s="40">
        <f>MAX(AG199-$Q$33+AF200,0)</f>
        <v>55.34603668612467</v>
      </c>
      <c r="AH200" s="224">
        <f>AG200*$P$33</f>
        <v>4.6417973767475944</v>
      </c>
      <c r="AI200" s="227">
        <f>SUM(Z200,IF(Z200&lt;&gt;0,$F$31,0),IF(Z200&lt;&gt;0,$N$33,0),IF(Z200&lt;&gt;0,$T$33,0),IF(Z200=0,AH205,IF(Z200=1,AH206,IF(Z200=2,AH207,IF(Z200=3,AH208,IF(Z200=4,AH209,IF(Z200=5,AH210,IF(Z200=6,AH211,IF(Z200=7,AH212,IF(Z200=8,AH213,IF(Z200=9,AH214,IF(Z200=10,AH215,IF(Z200=11,AH216,IF(Z200=12,AH217,IF(Z200=13,AH218,IF(Z200=14,AH219,IF(Z200=15,AH220,IF(Z200=16,AH221,IF(Z200=17,AH222,IF(Z200=18,AH223,IF(Z200=19,AH224,IF(Z200=20,AH225,IF(Z200=21,AH226,IF(Z200=22,AH227,IF(Z200=23,AH228,IF(Z200=24,AH229,IF(Z200=25,AH230,IF(Z200=26,AH231,IF(Z200=27,AH232,IF(Z200=28,AH233,IF(Z200=29,AH234,IF(Z200=30,AH235))))))))))))))))))))))))))))))))</f>
        <v>0</v>
      </c>
    </row>
    <row r="201" spans="1:35" x14ac:dyDescent="0.35">
      <c r="A201" s="48">
        <v>1542</v>
      </c>
      <c r="B201" s="58">
        <f>SUMIF([2]!Table2_23[ETA],'FIS Optimal Model (3)'!A201,[2]!Table2_23[FIS PAX])</f>
        <v>0</v>
      </c>
      <c r="C201" s="44">
        <f>IF((D200-D201)&gt;-1,(D200-D201),18)</f>
        <v>18</v>
      </c>
      <c r="D201" s="52">
        <f>MAX(D200-$E$31+B200,0)</f>
        <v>131</v>
      </c>
      <c r="E201" s="26">
        <f>$C$30*C201</f>
        <v>9.9503999999999984</v>
      </c>
      <c r="F201" s="26">
        <f>$C$31*C201</f>
        <v>4.2713999999999999</v>
      </c>
      <c r="G201" s="26">
        <f>$C$32*C201</f>
        <v>2.9447999999999999</v>
      </c>
      <c r="H201" s="26">
        <f>$C$33*C201</f>
        <v>0.83340000000000003</v>
      </c>
      <c r="I201" s="27">
        <f>E196</f>
        <v>0</v>
      </c>
      <c r="J201" s="27">
        <f>F196</f>
        <v>0</v>
      </c>
      <c r="K201" s="27">
        <f>G196</f>
        <v>0</v>
      </c>
      <c r="L201" s="27">
        <f>H196</f>
        <v>0</v>
      </c>
      <c r="M201" s="28">
        <f>$M$190</f>
        <v>6</v>
      </c>
      <c r="N201" s="29">
        <f>$N$190</f>
        <v>10</v>
      </c>
      <c r="O201" s="28">
        <f>$O$190</f>
        <v>0</v>
      </c>
      <c r="P201" s="28">
        <f>$P$190</f>
        <v>0</v>
      </c>
      <c r="Q201" s="28">
        <f>SUM(M201:P201)</f>
        <v>16</v>
      </c>
      <c r="R201" s="22">
        <f>MAX(R200-($J$30*M201*$L$33)+I201,0)</f>
        <v>0</v>
      </c>
      <c r="S201" s="22">
        <f>IF(U201&lt;&gt;0,(MAX(S200-($J$31*N201*$L$33)+J201,0)),(MAX(S200-($J$31*(N201+P201)*$L$33)+J201,0)))</f>
        <v>0</v>
      </c>
      <c r="T201" s="22">
        <f>MAX(T200-($J$32*O201*$L$33)+K201,0)</f>
        <v>0</v>
      </c>
      <c r="U201" s="22">
        <f>MAX(U200-($J$33*P201*$L$33)+L201,0)</f>
        <v>0</v>
      </c>
      <c r="V201" s="21">
        <f>IFERROR(R201*($I$30/M201),0)</f>
        <v>0</v>
      </c>
      <c r="W201" s="21">
        <f>IFERROR(S201*($I$31/N201),0)</f>
        <v>0</v>
      </c>
      <c r="X201" s="21">
        <f>IFERROR(T201*($I$32/O201),0)</f>
        <v>0</v>
      </c>
      <c r="Y201" s="21">
        <f>IFERROR(U201*($I$33/P201),0)</f>
        <v>0</v>
      </c>
      <c r="Z201" s="221">
        <f>ROUNDUP(SUM(V201*$C$30,W201*$C$31,X201*$C$32,Y201*$C$33),0)</f>
        <v>0</v>
      </c>
      <c r="AA201" s="30">
        <f>IF(R201&lt;&gt;0,($J$30*M201*$L$33),0)</f>
        <v>0</v>
      </c>
      <c r="AB201" s="30">
        <f>IF(W201&lt;&gt;0,($J$31*N201*$L$33),0)</f>
        <v>0</v>
      </c>
      <c r="AC201" s="30">
        <f>IF(X201&lt;&gt;0,($J$32*O201*$L$33),0)</f>
        <v>0</v>
      </c>
      <c r="AD201" s="30">
        <f>IF(Y201&lt;&gt;0,($J$33*P201*$L$33),0)</f>
        <v>0</v>
      </c>
      <c r="AE201" s="32">
        <f>SUM(AA201:AD201)</f>
        <v>0</v>
      </c>
      <c r="AF201" s="33">
        <f>AE197</f>
        <v>0</v>
      </c>
      <c r="AG201" s="40">
        <f>MAX(AG200-$Q$33+AF201,0)</f>
        <v>43.422630256672889</v>
      </c>
      <c r="AH201" s="224">
        <f>AG201*$P$33</f>
        <v>3.641797376747594</v>
      </c>
      <c r="AI201" s="227">
        <f>SUM(Z201,IF(Z201&lt;&gt;0,$F$31,0),IF(Z201&lt;&gt;0,$N$33,0),IF(Z201&lt;&gt;0,$T$33,0),IF(Z201=0,AH206,IF(Z201=1,AH207,IF(Z201=2,AH208,IF(Z201=3,AH209,IF(Z201=4,AH210,IF(Z201=5,AH211,IF(Z201=6,AH212,IF(Z201=7,AH213,IF(Z201=8,AH214,IF(Z201=9,AH215,IF(Z201=10,AH216,IF(Z201=11,AH217,IF(Z201=12,AH218,IF(Z201=13,AH219,IF(Z201=14,AH220,IF(Z201=15,AH221,IF(Z201=16,AH222,IF(Z201=17,AH223,IF(Z201=18,AH224,IF(Z201=19,AH225,IF(Z201=20,AH226,IF(Z201=21,AH227,IF(Z201=22,AH228,IF(Z201=23,AH229,IF(Z201=24,AH230,IF(Z201=25,AH231,IF(Z201=26,AH232,IF(Z201=27,AH233,IF(Z201=28,AH234,IF(Z201=29,AH235,IF(Z201=30,AH236))))))))))))))))))))))))))))))))</f>
        <v>0</v>
      </c>
    </row>
    <row r="202" spans="1:35" x14ac:dyDescent="0.35">
      <c r="A202" s="48">
        <v>1543</v>
      </c>
      <c r="B202" s="58">
        <f>SUMIF([2]!Table2_23[ETA],'FIS Optimal Model (3)'!A202,[2]!Table2_23[FIS PAX])</f>
        <v>0</v>
      </c>
      <c r="C202" s="44">
        <f>IF((D201-D202)&gt;-1,(D201-D202),18)</f>
        <v>18</v>
      </c>
      <c r="D202" s="52">
        <f>MAX(D201-$E$31+B201,0)</f>
        <v>113</v>
      </c>
      <c r="E202" s="26">
        <f>$C$30*C202</f>
        <v>9.9503999999999984</v>
      </c>
      <c r="F202" s="26">
        <f>$C$31*C202</f>
        <v>4.2713999999999999</v>
      </c>
      <c r="G202" s="26">
        <f>$C$32*C202</f>
        <v>2.9447999999999999</v>
      </c>
      <c r="H202" s="26">
        <f>$C$33*C202</f>
        <v>0.83340000000000003</v>
      </c>
      <c r="I202" s="27">
        <f>E197</f>
        <v>0</v>
      </c>
      <c r="J202" s="27">
        <f>F197</f>
        <v>0</v>
      </c>
      <c r="K202" s="27">
        <f>G197</f>
        <v>0</v>
      </c>
      <c r="L202" s="27">
        <f>H197</f>
        <v>0</v>
      </c>
      <c r="M202" s="28">
        <f>$M$190</f>
        <v>6</v>
      </c>
      <c r="N202" s="29">
        <f>$N$190</f>
        <v>10</v>
      </c>
      <c r="O202" s="28">
        <f>$O$190</f>
        <v>0</v>
      </c>
      <c r="P202" s="28">
        <f>$P$190</f>
        <v>0</v>
      </c>
      <c r="Q202" s="28">
        <f>SUM(M202:P202)</f>
        <v>16</v>
      </c>
      <c r="R202" s="22">
        <f>MAX(R201-($J$30*M202*$L$33)+I202,0)</f>
        <v>0</v>
      </c>
      <c r="S202" s="22">
        <f>IF(U202&lt;&gt;0,(MAX(S201-($J$31*N202*$L$33)+J202,0)),(MAX(S201-($J$31*(N202+P202)*$L$33)+J202,0)))</f>
        <v>0</v>
      </c>
      <c r="T202" s="22">
        <f>MAX(T201-($J$32*O202*$L$33)+K202,0)</f>
        <v>0</v>
      </c>
      <c r="U202" s="22">
        <f>MAX(U201-($J$33*P202*$L$33)+L202,0)</f>
        <v>0</v>
      </c>
      <c r="V202" s="21">
        <f>IFERROR(R202*($I$30/M202),0)</f>
        <v>0</v>
      </c>
      <c r="W202" s="21">
        <f>IFERROR(S202*($I$31/N202),0)</f>
        <v>0</v>
      </c>
      <c r="X202" s="21">
        <f>IFERROR(T202*($I$32/O202),0)</f>
        <v>0</v>
      </c>
      <c r="Y202" s="21">
        <f>IFERROR(U202*($I$33/P202),0)</f>
        <v>0</v>
      </c>
      <c r="Z202" s="221">
        <f>ROUNDUP(SUM(V202*$C$30,W202*$C$31,X202*$C$32,Y202*$C$33),0)</f>
        <v>0</v>
      </c>
      <c r="AA202" s="30">
        <f>IF(R202&lt;&gt;0,($J$30*M202*$L$33),0)</f>
        <v>0</v>
      </c>
      <c r="AB202" s="30">
        <f>IF(W202&lt;&gt;0,($J$31*N202*$L$33),0)</f>
        <v>0</v>
      </c>
      <c r="AC202" s="30">
        <f>IF(X202&lt;&gt;0,($J$32*O202*$L$33),0)</f>
        <v>0</v>
      </c>
      <c r="AD202" s="30">
        <f>IF(Y202&lt;&gt;0,($J$33*P202*$L$33),0)</f>
        <v>0</v>
      </c>
      <c r="AE202" s="32">
        <f>SUM(AA202:AD202)</f>
        <v>0</v>
      </c>
      <c r="AF202" s="33">
        <f>AE198</f>
        <v>0</v>
      </c>
      <c r="AG202" s="40">
        <f>MAX(AG201-$Q$33+AF202,0)</f>
        <v>31.499223827221108</v>
      </c>
      <c r="AH202" s="224">
        <f>AG202*$P$33</f>
        <v>2.641797376747594</v>
      </c>
      <c r="AI202" s="227">
        <f>SUM(Z202,IF(Z202&lt;&gt;0,$F$31,0),IF(Z202&lt;&gt;0,$N$33,0),IF(Z202&lt;&gt;0,$T$33,0),IF(Z202=0,AH207,IF(Z202=1,AH208,IF(Z202=2,AH209,IF(Z202=3,AH210,IF(Z202=4,AH211,IF(Z202=5,AH212,IF(Z202=6,AH213,IF(Z202=7,AH214,IF(Z202=8,AH215,IF(Z202=9,AH216,IF(Z202=10,AH217,IF(Z202=11,AH218,IF(Z202=12,AH219,IF(Z202=13,AH220,IF(Z202=14,AH221,IF(Z202=15,AH222,IF(Z202=16,AH223,IF(Z202=17,AH224,IF(Z202=18,AH225,IF(Z202=19,AH226,IF(Z202=20,AH227,IF(Z202=21,AH228,IF(Z202=22,AH229,IF(Z202=23,AH230,IF(Z202=24,AH231,IF(Z202=25,AH232,IF(Z202=26,AH233,IF(Z202=27,AH234,IF(Z202=28,AH235,IF(Z202=29,AH236,IF(Z202=30,AH237))))))))))))))))))))))))))))))))</f>
        <v>0</v>
      </c>
    </row>
    <row r="203" spans="1:35" x14ac:dyDescent="0.35">
      <c r="A203" s="48">
        <v>1544</v>
      </c>
      <c r="B203" s="58">
        <f>SUMIF([2]!Table2_23[ETA],'FIS Optimal Model (3)'!A203,[2]!Table2_23[FIS PAX])</f>
        <v>0</v>
      </c>
      <c r="C203" s="44">
        <f>IF((D202-D203)&gt;-1,(D202-D203),18)</f>
        <v>18</v>
      </c>
      <c r="D203" s="52">
        <f>MAX(D202-$E$31+B202,0)</f>
        <v>95</v>
      </c>
      <c r="E203" s="26">
        <f>$C$30*C203</f>
        <v>9.9503999999999984</v>
      </c>
      <c r="F203" s="26">
        <f>$C$31*C203</f>
        <v>4.2713999999999999</v>
      </c>
      <c r="G203" s="26">
        <f>$C$32*C203</f>
        <v>2.9447999999999999</v>
      </c>
      <c r="H203" s="26">
        <f>$C$33*C203</f>
        <v>0.83340000000000003</v>
      </c>
      <c r="I203" s="27">
        <f>E198</f>
        <v>0</v>
      </c>
      <c r="J203" s="27">
        <f>F198</f>
        <v>0</v>
      </c>
      <c r="K203" s="27">
        <f>G198</f>
        <v>0</v>
      </c>
      <c r="L203" s="27">
        <f>H198</f>
        <v>0</v>
      </c>
      <c r="M203" s="28">
        <f>$M$190</f>
        <v>6</v>
      </c>
      <c r="N203" s="29">
        <f>$N$190</f>
        <v>10</v>
      </c>
      <c r="O203" s="28">
        <f>$O$190</f>
        <v>0</v>
      </c>
      <c r="P203" s="28">
        <f>$P$190</f>
        <v>0</v>
      </c>
      <c r="Q203" s="28">
        <f>SUM(M203:P203)</f>
        <v>16</v>
      </c>
      <c r="R203" s="22">
        <f>MAX(R202-($J$30*M203*$L$33)+I203,0)</f>
        <v>0</v>
      </c>
      <c r="S203" s="22">
        <f>IF(U203&lt;&gt;0,(MAX(S202-($J$31*N203*$L$33)+J203,0)),(MAX(S202-($J$31*(N203+P203)*$L$33)+J203,0)))</f>
        <v>0</v>
      </c>
      <c r="T203" s="22">
        <f>MAX(T202-($J$32*O203*$L$33)+K203,0)</f>
        <v>0</v>
      </c>
      <c r="U203" s="22">
        <f>MAX(U202-($J$33*P203*$L$33)+L203,0)</f>
        <v>0</v>
      </c>
      <c r="V203" s="21">
        <f>IFERROR(R203*($I$30/M203),0)</f>
        <v>0</v>
      </c>
      <c r="W203" s="21">
        <f>IFERROR(S203*($I$31/N203),0)</f>
        <v>0</v>
      </c>
      <c r="X203" s="21">
        <f>IFERROR(T203*($I$32/O203),0)</f>
        <v>0</v>
      </c>
      <c r="Y203" s="21">
        <f>IFERROR(U203*($I$33/P203),0)</f>
        <v>0</v>
      </c>
      <c r="Z203" s="221">
        <f>ROUNDUP(SUM(V203*$C$30,W203*$C$31,X203*$C$32,Y203*$C$33),0)</f>
        <v>0</v>
      </c>
      <c r="AA203" s="30">
        <f>IF(R203&lt;&gt;0,($J$30*M203*$L$33),0)</f>
        <v>0</v>
      </c>
      <c r="AB203" s="30">
        <f>IF(W203&lt;&gt;0,($J$31*N203*$L$33),0)</f>
        <v>0</v>
      </c>
      <c r="AC203" s="30">
        <f>IF(X203&lt;&gt;0,($J$32*O203*$L$33),0)</f>
        <v>0</v>
      </c>
      <c r="AD203" s="30">
        <f>IF(Y203&lt;&gt;0,($J$33*P203*$L$33),0)</f>
        <v>0</v>
      </c>
      <c r="AE203" s="32">
        <f>SUM(AA203:AD203)</f>
        <v>0</v>
      </c>
      <c r="AF203" s="33">
        <f>AE199</f>
        <v>0</v>
      </c>
      <c r="AG203" s="40">
        <f>MAX(AG202-$Q$33+AF203,0)</f>
        <v>19.575817397769327</v>
      </c>
      <c r="AH203" s="224">
        <f>AG203*$P$33</f>
        <v>1.641797376747594</v>
      </c>
      <c r="AI203" s="227">
        <f>SUM(Z203,IF(Z203&lt;&gt;0,$F$31,0),IF(Z203&lt;&gt;0,$N$33,0),IF(Z203&lt;&gt;0,$T$33,0),IF(Z203=0,AH208,IF(Z203=1,AH209,IF(Z203=2,AH210,IF(Z203=3,AH211,IF(Z203=4,AH212,IF(Z203=5,AH213,IF(Z203=6,AH214,IF(Z203=7,AH215,IF(Z203=8,AH216,IF(Z203=9,AH217,IF(Z203=10,AH218,IF(Z203=11,AH219,IF(Z203=12,AH220,IF(Z203=13,AH221,IF(Z203=14,AH222,IF(Z203=15,AH223,IF(Z203=16,AH224,IF(Z203=17,AH225,IF(Z203=18,AH226,IF(Z203=19,AH227,IF(Z203=20,AH228,IF(Z203=21,AH229,IF(Z203=22,AH230,IF(Z203=23,AH231,IF(Z203=24,AH232,IF(Z203=25,AH233,IF(Z203=26,AH234,IF(Z203=27,AH235,IF(Z203=28,AH236,IF(Z203=29,AH237,IF(Z203=30,AH238))))))))))))))))))))))))))))))))</f>
        <v>0</v>
      </c>
    </row>
    <row r="204" spans="1:35" x14ac:dyDescent="0.35">
      <c r="A204" s="48">
        <v>1545</v>
      </c>
      <c r="B204" s="58">
        <f>SUMIF([2]!Table2_23[ETA],'FIS Optimal Model (3)'!A204,[2]!Table2_23[FIS PAX])</f>
        <v>0</v>
      </c>
      <c r="C204" s="44">
        <f>IF((D203-D204)&gt;-1,(D203-D204),18)</f>
        <v>18</v>
      </c>
      <c r="D204" s="52">
        <f>MAX(D203-$E$31+B203,0)</f>
        <v>77</v>
      </c>
      <c r="E204" s="26">
        <f>$C$30*C204</f>
        <v>9.9503999999999984</v>
      </c>
      <c r="F204" s="26">
        <f>$C$31*C204</f>
        <v>4.2713999999999999</v>
      </c>
      <c r="G204" s="26">
        <f>$C$32*C204</f>
        <v>2.9447999999999999</v>
      </c>
      <c r="H204" s="26">
        <f>$C$33*C204</f>
        <v>0.83340000000000003</v>
      </c>
      <c r="I204" s="27">
        <f>E199</f>
        <v>9.9503999999999984</v>
      </c>
      <c r="J204" s="27">
        <f>F199</f>
        <v>4.2713999999999999</v>
      </c>
      <c r="K204" s="27">
        <f>G199</f>
        <v>2.9447999999999999</v>
      </c>
      <c r="L204" s="27">
        <f>H199</f>
        <v>0.83340000000000003</v>
      </c>
      <c r="M204" s="28">
        <f>$M$190</f>
        <v>6</v>
      </c>
      <c r="N204" s="29">
        <f>$N$190</f>
        <v>10</v>
      </c>
      <c r="O204" s="28">
        <f>$O$190</f>
        <v>0</v>
      </c>
      <c r="P204" s="28">
        <f>$P$190</f>
        <v>0</v>
      </c>
      <c r="Q204" s="28">
        <f>SUM(M204:P204)</f>
        <v>16</v>
      </c>
      <c r="R204" s="22">
        <f>MAX(R203-($J$30*M204*$L$33)+I204,0)</f>
        <v>0</v>
      </c>
      <c r="S204" s="22">
        <f>IF(U204&lt;&gt;0,(MAX(S203-($J$31*N204*$L$33)+J204,0)),(MAX(S203-($J$31*(N204+P204)*$L$33)+J204,0)))</f>
        <v>0</v>
      </c>
      <c r="T204" s="22">
        <f>MAX(T203-($J$32*O204*$L$33)+K204,0)</f>
        <v>2.9447999999999999</v>
      </c>
      <c r="U204" s="22">
        <f>MAX(U203-($J$33*P204*$L$33)+L204,0)</f>
        <v>0.83340000000000003</v>
      </c>
      <c r="V204" s="21">
        <f>IFERROR(R204*($I$30/M204),0)</f>
        <v>0</v>
      </c>
      <c r="W204" s="21">
        <f>IFERROR(S204*($I$31/N204),0)</f>
        <v>0</v>
      </c>
      <c r="X204" s="21">
        <f>IFERROR(T204*($I$32/O204),0)</f>
        <v>0</v>
      </c>
      <c r="Y204" s="21">
        <f>IFERROR(U204*($I$33/P204),0)</f>
        <v>0</v>
      </c>
      <c r="Z204" s="221">
        <f>ROUNDUP(SUM(V204*$C$30,W204*$C$31,X204*$C$32,Y204*$C$33),0)</f>
        <v>0</v>
      </c>
      <c r="AA204" s="30">
        <f>IF(R204&lt;&gt;0,($J$30*M204*$L$33),0)</f>
        <v>0</v>
      </c>
      <c r="AB204" s="30">
        <f>IF(W204&lt;&gt;0,($J$31*N204*$L$33),0)</f>
        <v>0</v>
      </c>
      <c r="AC204" s="30">
        <f>IF(X204&lt;&gt;0,($J$32*O204*$L$33),0)</f>
        <v>0</v>
      </c>
      <c r="AD204" s="30">
        <f>IF(Y204&lt;&gt;0,($J$33*P204*$L$33),0)</f>
        <v>0</v>
      </c>
      <c r="AE204" s="32">
        <f>SUM(AA204:AD204)</f>
        <v>0</v>
      </c>
      <c r="AF204" s="33">
        <f>AE200</f>
        <v>0</v>
      </c>
      <c r="AG204" s="40">
        <f>MAX(AG203-$Q$33+AF204,0)</f>
        <v>7.6524109683175467</v>
      </c>
      <c r="AH204" s="224">
        <f>AG204*$P$33</f>
        <v>0.64179737674759385</v>
      </c>
      <c r="AI204" s="227">
        <f>SUM(Z204,IF(Z204&lt;&gt;0,$F$31,0),IF(Z204&lt;&gt;0,$N$33,0),IF(Z204&lt;&gt;0,$T$33,0),IF(Z204=0,AH209,IF(Z204=1,AH210,IF(Z204=2,AH211,IF(Z204=3,AH212,IF(Z204=4,AH213,IF(Z204=5,AH214,IF(Z204=6,AH215,IF(Z204=7,AH216,IF(Z204=8,AH217,IF(Z204=9,AH218,IF(Z204=10,AH219,IF(Z204=11,AH220,IF(Z204=12,AH221,IF(Z204=13,AH222,IF(Z204=14,AH223,IF(Z204=15,AH224,IF(Z204=16,AH225,IF(Z204=17,AH226,IF(Z204=18,AH227,IF(Z204=19,AH228,IF(Z204=20,AH229,IF(Z204=21,AH230,IF(Z204=22,AH231,IF(Z204=23,AH232,IF(Z204=24,AH233,IF(Z204=25,AH234,IF(Z204=26,AH235,IF(Z204=27,AH236,IF(Z204=28,AH237,IF(Z204=29,AH238,IF(Z204=30,AH239))))))))))))))))))))))))))))))))</f>
        <v>0</v>
      </c>
    </row>
    <row r="205" spans="1:35" x14ac:dyDescent="0.35">
      <c r="A205" s="48">
        <v>1546</v>
      </c>
      <c r="B205" s="58">
        <f>SUMIF([2]!Table2_23[ETA],'FIS Optimal Model (3)'!A205,[2]!Table2_23[FIS PAX])</f>
        <v>123</v>
      </c>
      <c r="C205" s="44">
        <f>IF((D204-D205)&gt;-1,(D204-D205),18)</f>
        <v>18</v>
      </c>
      <c r="D205" s="52">
        <f>MAX(D204-$E$31+B204,0)</f>
        <v>59</v>
      </c>
      <c r="E205" s="26">
        <f>$C$30*C205</f>
        <v>9.9503999999999984</v>
      </c>
      <c r="F205" s="26">
        <f>$C$31*C205</f>
        <v>4.2713999999999999</v>
      </c>
      <c r="G205" s="26">
        <f>$C$32*C205</f>
        <v>2.9447999999999999</v>
      </c>
      <c r="H205" s="26">
        <f>$C$33*C205</f>
        <v>0.83340000000000003</v>
      </c>
      <c r="I205" s="27">
        <f>E200</f>
        <v>9.9503999999999984</v>
      </c>
      <c r="J205" s="27">
        <f>F200</f>
        <v>4.2713999999999999</v>
      </c>
      <c r="K205" s="27">
        <f>G200</f>
        <v>2.9447999999999999</v>
      </c>
      <c r="L205" s="27">
        <f>H200</f>
        <v>0.83340000000000003</v>
      </c>
      <c r="M205" s="28">
        <f>IF(R204=0,0,$Q$17)</f>
        <v>0</v>
      </c>
      <c r="N205" s="29">
        <f>$U$17-M205-O205-P205</f>
        <v>12</v>
      </c>
      <c r="O205" s="28">
        <f>IF(T204=0,0,$S$17)</f>
        <v>2</v>
      </c>
      <c r="P205" s="28">
        <f>IF(U204=0,0,$T$17)</f>
        <v>2</v>
      </c>
      <c r="Q205" s="28">
        <f>SUM(M205:P205)</f>
        <v>16</v>
      </c>
      <c r="R205" s="22">
        <f>MAX(R204-($J$30*M205*$L$33)+I205,0)</f>
        <v>9.9503999999999984</v>
      </c>
      <c r="S205" s="22">
        <f>IF(U205&lt;&gt;0,(MAX(S204-($J$31*N205*$L$33)+J205,0)),(MAX(S204-($J$31*(N205+P205)*$L$33)+J205,0)))</f>
        <v>0</v>
      </c>
      <c r="T205" s="22">
        <f>MAX(T204-($J$32*O205*$L$33)+K205,0)</f>
        <v>0.92764650809820015</v>
      </c>
      <c r="U205" s="22">
        <f>MAX(U204-($J$33*P205*$L$33)+L205,0)</f>
        <v>0</v>
      </c>
      <c r="V205" s="21">
        <f>IFERROR(R205*($I$30/M205),0)</f>
        <v>0</v>
      </c>
      <c r="W205" s="21">
        <f>IFERROR(S205*($I$31/N205),0)</f>
        <v>0</v>
      </c>
      <c r="X205" s="21">
        <f>IFERROR(T205*($I$32/O205),0)</f>
        <v>0.15890909360000002</v>
      </c>
      <c r="Y205" s="21">
        <f>IFERROR(U205*($I$33/P205),0)</f>
        <v>0</v>
      </c>
      <c r="Z205" s="221">
        <f>ROUNDUP(SUM(V205*$C$30,W205*$C$31,X205*$C$32,Y205*$C$33),0)</f>
        <v>1</v>
      </c>
      <c r="AA205" s="30">
        <f>IF(R205&lt;&gt;0,($J$30*M205*$L$33),0)</f>
        <v>0</v>
      </c>
      <c r="AB205" s="30">
        <f>IF(W205&lt;&gt;0,($J$31*N205*$L$33),0)</f>
        <v>0</v>
      </c>
      <c r="AC205" s="30">
        <f>IF(X205&lt;&gt;0,($J$32*O205*$L$33),0)</f>
        <v>4.9619534919017996</v>
      </c>
      <c r="AD205" s="30">
        <f>IF(Y205&lt;&gt;0,($J$33*P205*$L$33),0)</f>
        <v>0</v>
      </c>
      <c r="AE205" s="32">
        <f>SUM(AA205:AD205)</f>
        <v>4.9619534919017996</v>
      </c>
      <c r="AF205" s="33">
        <f>AE201</f>
        <v>0</v>
      </c>
      <c r="AG205" s="40">
        <f>MAX(AG204-$Q$33+AF205,0)</f>
        <v>0</v>
      </c>
      <c r="AH205" s="224">
        <f>AG205*$P$33</f>
        <v>0</v>
      </c>
      <c r="AI205" s="227">
        <f>SUM(Z205,IF(Z205&lt;&gt;0,$F$31,0),IF(Z205&lt;&gt;0,$N$33,0),IF(Z205&lt;&gt;0,$T$33,0),IF(Z205=0,AH210,IF(Z205=1,AH211,IF(Z205=2,AH212,IF(Z205=3,AH213,IF(Z205=4,AH214,IF(Z205=5,AH215,IF(Z205=6,AH216,IF(Z205=7,AH217,IF(Z205=8,AH218,IF(Z205=9,AH219,IF(Z205=10,AH220,IF(Z205=11,AH221,IF(Z205=12,AH222,IF(Z205=13,AH223,IF(Z205=14,AH224,IF(Z205=15,AH225,IF(Z205=16,AH226,IF(Z205=17,AH227,IF(Z205=18,AH228,IF(Z205=19,AH229,IF(Z205=20,AH230,IF(Z205=21,AH231,IF(Z205=22,AH232,IF(Z205=23,AH233,IF(Z205=24,AH234,IF(Z205=25,AH235,IF(Z205=26,AH236,IF(Z205=27,AH237,IF(Z205=28,AH238,IF(Z205=29,AH239,IF(Z205=30,AH240))))))))))))))))))))))))))))))))</f>
        <v>22</v>
      </c>
    </row>
    <row r="206" spans="1:35" x14ac:dyDescent="0.35">
      <c r="A206" s="48">
        <v>1547</v>
      </c>
      <c r="B206" s="58">
        <f>SUMIF([2]!Table2_23[ETA],'FIS Optimal Model (3)'!A206,[2]!Table2_23[FIS PAX])</f>
        <v>0</v>
      </c>
      <c r="C206" s="44">
        <f>IF((D205-D206)&gt;-1,(D205-D206),18)</f>
        <v>18</v>
      </c>
      <c r="D206" s="52">
        <f>MAX(D205-$E$31+B205,0)</f>
        <v>164</v>
      </c>
      <c r="E206" s="26">
        <f>$C$30*C206</f>
        <v>9.9503999999999984</v>
      </c>
      <c r="F206" s="26">
        <f>$C$31*C206</f>
        <v>4.2713999999999999</v>
      </c>
      <c r="G206" s="26">
        <f>$C$32*C206</f>
        <v>2.9447999999999999</v>
      </c>
      <c r="H206" s="26">
        <f>$C$33*C206</f>
        <v>0.83340000000000003</v>
      </c>
      <c r="I206" s="27">
        <f>E201</f>
        <v>9.9503999999999984</v>
      </c>
      <c r="J206" s="27">
        <f>F201</f>
        <v>4.2713999999999999</v>
      </c>
      <c r="K206" s="27">
        <f>G201</f>
        <v>2.9447999999999999</v>
      </c>
      <c r="L206" s="27">
        <f>H201</f>
        <v>0.83340000000000003</v>
      </c>
      <c r="M206" s="28">
        <f>$M$205</f>
        <v>0</v>
      </c>
      <c r="N206" s="29">
        <f>$N$205</f>
        <v>12</v>
      </c>
      <c r="O206" s="28">
        <f>$O$205</f>
        <v>2</v>
      </c>
      <c r="P206" s="28">
        <f>$P$205</f>
        <v>2</v>
      </c>
      <c r="Q206" s="28">
        <f>SUM(M206:P206)</f>
        <v>16</v>
      </c>
      <c r="R206" s="22">
        <f>MAX(R205-($J$30*M206*$L$33)+I206,0)</f>
        <v>19.900799999999997</v>
      </c>
      <c r="S206" s="22">
        <f>IF(U206&lt;&gt;0,(MAX(S205-($J$31*N206*$L$33)+J206,0)),(MAX(S205-($J$31*(N206+P206)*$L$33)+J206,0)))</f>
        <v>0</v>
      </c>
      <c r="T206" s="22">
        <f>MAX(T205-($J$32*O206*$L$33)+K206,0)</f>
        <v>0</v>
      </c>
      <c r="U206" s="22">
        <f>MAX(U205-($J$33*P206*$L$33)+L206,0)</f>
        <v>0</v>
      </c>
      <c r="V206" s="21">
        <f>IFERROR(R206*($I$30/M206),0)</f>
        <v>0</v>
      </c>
      <c r="W206" s="21">
        <f>IFERROR(S206*($I$31/N206),0)</f>
        <v>0</v>
      </c>
      <c r="X206" s="21">
        <f>IFERROR(T206*($I$32/O206),0)</f>
        <v>0</v>
      </c>
      <c r="Y206" s="21">
        <f>IFERROR(U206*($I$33/P206),0)</f>
        <v>0</v>
      </c>
      <c r="Z206" s="221">
        <f>ROUNDUP(SUM(V206*$C$30,W206*$C$31,X206*$C$32,Y206*$C$33),0)</f>
        <v>0</v>
      </c>
      <c r="AA206" s="30">
        <f>IF(R206&lt;&gt;0,($J$30*M206*$L$33),0)</f>
        <v>0</v>
      </c>
      <c r="AB206" s="30">
        <f>IF(W206&lt;&gt;0,($J$31*N206*$L$33),0)</f>
        <v>0</v>
      </c>
      <c r="AC206" s="30">
        <f>IF(X206&lt;&gt;0,($J$32*O206*$L$33),0)</f>
        <v>0</v>
      </c>
      <c r="AD206" s="30">
        <f>IF(Y206&lt;&gt;0,($J$33*P206*$L$33),0)</f>
        <v>0</v>
      </c>
      <c r="AE206" s="32">
        <f>SUM(AA206:AD206)</f>
        <v>0</v>
      </c>
      <c r="AF206" s="33">
        <f>AE202</f>
        <v>0</v>
      </c>
      <c r="AG206" s="40">
        <f>MAX(AG205-$Q$33+AF206,0)</f>
        <v>0</v>
      </c>
      <c r="AH206" s="224">
        <f>AG206*$P$33</f>
        <v>0</v>
      </c>
      <c r="AI206" s="227">
        <f>SUM(Z206,IF(Z206&lt;&gt;0,$F$31,0),IF(Z206&lt;&gt;0,$N$33,0),IF(Z206&lt;&gt;0,$T$33,0),IF(Z206=0,AH211,IF(Z206=1,AH212,IF(Z206=2,AH213,IF(Z206=3,AH214,IF(Z206=4,AH215,IF(Z206=5,AH216,IF(Z206=6,AH217,IF(Z206=7,AH218,IF(Z206=8,AH219,IF(Z206=9,AH220,IF(Z206=10,AH221,IF(Z206=11,AH222,IF(Z206=12,AH223,IF(Z206=13,AH224,IF(Z206=14,AH225,IF(Z206=15,AH226,IF(Z206=16,AH227,IF(Z206=17,AH228,IF(Z206=18,AH229,IF(Z206=19,AH230,IF(Z206=20,AH231,IF(Z206=21,AH232,IF(Z206=22,AH233,IF(Z206=23,AH234,IF(Z206=24,AH235,IF(Z206=25,AH236,IF(Z206=26,AH237,IF(Z206=27,AH238,IF(Z206=28,AH239,IF(Z206=29,AH240,IF(Z206=30,AH241))))))))))))))))))))))))))))))))</f>
        <v>0</v>
      </c>
    </row>
    <row r="207" spans="1:35" x14ac:dyDescent="0.35">
      <c r="A207" s="48">
        <v>1548</v>
      </c>
      <c r="B207" s="58">
        <f>SUMIF([2]!Table2_23[ETA],'FIS Optimal Model (3)'!A207,[2]!Table2_23[FIS PAX])</f>
        <v>0</v>
      </c>
      <c r="C207" s="44">
        <f>IF((D206-D207)&gt;-1,(D206-D207),18)</f>
        <v>18</v>
      </c>
      <c r="D207" s="52">
        <f>MAX(D206-$E$31+B206,0)</f>
        <v>146</v>
      </c>
      <c r="E207" s="26">
        <f>$C$30*C207</f>
        <v>9.9503999999999984</v>
      </c>
      <c r="F207" s="26">
        <f>$C$31*C207</f>
        <v>4.2713999999999999</v>
      </c>
      <c r="G207" s="26">
        <f>$C$32*C207</f>
        <v>2.9447999999999999</v>
      </c>
      <c r="H207" s="26">
        <f>$C$33*C207</f>
        <v>0.83340000000000003</v>
      </c>
      <c r="I207" s="27">
        <f>E202</f>
        <v>9.9503999999999984</v>
      </c>
      <c r="J207" s="27">
        <f>F202</f>
        <v>4.2713999999999999</v>
      </c>
      <c r="K207" s="27">
        <f>G202</f>
        <v>2.9447999999999999</v>
      </c>
      <c r="L207" s="27">
        <f>H202</f>
        <v>0.83340000000000003</v>
      </c>
      <c r="M207" s="28">
        <f>$M$205</f>
        <v>0</v>
      </c>
      <c r="N207" s="29">
        <f>$N$205</f>
        <v>12</v>
      </c>
      <c r="O207" s="28">
        <f>$O$205</f>
        <v>2</v>
      </c>
      <c r="P207" s="28">
        <f>$P$205</f>
        <v>2</v>
      </c>
      <c r="Q207" s="28">
        <f>SUM(M207:P207)</f>
        <v>16</v>
      </c>
      <c r="R207" s="22">
        <f>MAX(R206-($J$30*M207*$L$33)+I207,0)</f>
        <v>29.851199999999995</v>
      </c>
      <c r="S207" s="22">
        <f>IF(U207&lt;&gt;0,(MAX(S206-($J$31*N207*$L$33)+J207,0)),(MAX(S206-($J$31*(N207+P207)*$L$33)+J207,0)))</f>
        <v>0</v>
      </c>
      <c r="T207" s="22">
        <f>MAX(T206-($J$32*O207*$L$33)+K207,0)</f>
        <v>0</v>
      </c>
      <c r="U207" s="22">
        <f>MAX(U206-($J$33*P207*$L$33)+L207,0)</f>
        <v>0</v>
      </c>
      <c r="V207" s="21">
        <f>IFERROR(R207*($I$30/M207),0)</f>
        <v>0</v>
      </c>
      <c r="W207" s="21">
        <f>IFERROR(S207*($I$31/N207),0)</f>
        <v>0</v>
      </c>
      <c r="X207" s="21">
        <f>IFERROR(T207*($I$32/O207),0)</f>
        <v>0</v>
      </c>
      <c r="Y207" s="21">
        <f>IFERROR(U207*($I$33/P207),0)</f>
        <v>0</v>
      </c>
      <c r="Z207" s="221">
        <f>ROUNDUP(SUM(V207*$C$30,W207*$C$31,X207*$C$32,Y207*$C$33),0)</f>
        <v>0</v>
      </c>
      <c r="AA207" s="30">
        <f>IF(R207&lt;&gt;0,($J$30*M207*$L$33),0)</f>
        <v>0</v>
      </c>
      <c r="AB207" s="30">
        <f>IF(W207&lt;&gt;0,($J$31*N207*$L$33),0)</f>
        <v>0</v>
      </c>
      <c r="AC207" s="30">
        <f>IF(X207&lt;&gt;0,($J$32*O207*$L$33),0)</f>
        <v>0</v>
      </c>
      <c r="AD207" s="30">
        <f>IF(Y207&lt;&gt;0,($J$33*P207*$L$33),0)</f>
        <v>0</v>
      </c>
      <c r="AE207" s="32">
        <f>SUM(AA207:AD207)</f>
        <v>0</v>
      </c>
      <c r="AF207" s="33">
        <f>AE203</f>
        <v>0</v>
      </c>
      <c r="AG207" s="40">
        <f>MAX(AG206-$Q$33+AF207,0)</f>
        <v>0</v>
      </c>
      <c r="AH207" s="224">
        <f>AG207*$P$33</f>
        <v>0</v>
      </c>
      <c r="AI207" s="227">
        <f>SUM(Z207,IF(Z207&lt;&gt;0,$F$31,0),IF(Z207&lt;&gt;0,$N$33,0),IF(Z207&lt;&gt;0,$T$33,0),IF(Z207=0,AH212,IF(Z207=1,AH213,IF(Z207=2,AH214,IF(Z207=3,AH215,IF(Z207=4,AH216,IF(Z207=5,AH217,IF(Z207=6,AH218,IF(Z207=7,AH219,IF(Z207=8,AH220,IF(Z207=9,AH221,IF(Z207=10,AH222,IF(Z207=11,AH223,IF(Z207=12,AH224,IF(Z207=13,AH225,IF(Z207=14,AH226,IF(Z207=15,AH227,IF(Z207=16,AH228,IF(Z207=17,AH229,IF(Z207=18,AH230,IF(Z207=19,AH231,IF(Z207=20,AH232,IF(Z207=21,AH233,IF(Z207=22,AH234,IF(Z207=23,AH235,IF(Z207=24,AH236,IF(Z207=25,AH237,IF(Z207=26,AH238,IF(Z207=27,AH239,IF(Z207=28,AH240,IF(Z207=29,AH241,IF(Z207=30,AH242))))))))))))))))))))))))))))))))</f>
        <v>0</v>
      </c>
    </row>
    <row r="208" spans="1:35" x14ac:dyDescent="0.35">
      <c r="A208" s="48">
        <v>1549</v>
      </c>
      <c r="B208" s="58">
        <f>SUMIF([2]!Table2_23[ETA],'FIS Optimal Model (3)'!A208,[2]!Table2_23[FIS PAX])</f>
        <v>0</v>
      </c>
      <c r="C208" s="44">
        <f>IF((D207-D208)&gt;-1,(D207-D208),18)</f>
        <v>18</v>
      </c>
      <c r="D208" s="52">
        <f>MAX(D207-$E$31+B207,0)</f>
        <v>128</v>
      </c>
      <c r="E208" s="26">
        <f>$C$30*C208</f>
        <v>9.9503999999999984</v>
      </c>
      <c r="F208" s="26">
        <f>$C$31*C208</f>
        <v>4.2713999999999999</v>
      </c>
      <c r="G208" s="26">
        <f>$C$32*C208</f>
        <v>2.9447999999999999</v>
      </c>
      <c r="H208" s="26">
        <f>$C$33*C208</f>
        <v>0.83340000000000003</v>
      </c>
      <c r="I208" s="27">
        <f>E203</f>
        <v>9.9503999999999984</v>
      </c>
      <c r="J208" s="27">
        <f>F203</f>
        <v>4.2713999999999999</v>
      </c>
      <c r="K208" s="27">
        <f>G203</f>
        <v>2.9447999999999999</v>
      </c>
      <c r="L208" s="27">
        <f>H203</f>
        <v>0.83340000000000003</v>
      </c>
      <c r="M208" s="28">
        <f>$M$205</f>
        <v>0</v>
      </c>
      <c r="N208" s="29">
        <f>$N$205</f>
        <v>12</v>
      </c>
      <c r="O208" s="28">
        <f>$O$205</f>
        <v>2</v>
      </c>
      <c r="P208" s="28">
        <f>$P$205</f>
        <v>2</v>
      </c>
      <c r="Q208" s="28">
        <f>SUM(M208:P208)</f>
        <v>16</v>
      </c>
      <c r="R208" s="22">
        <f>MAX(R207-($J$30*M208*$L$33)+I208,0)</f>
        <v>39.801599999999993</v>
      </c>
      <c r="S208" s="22">
        <f>IF(U208&lt;&gt;0,(MAX(S207-($J$31*N208*$L$33)+J208,0)),(MAX(S207-($J$31*(N208+P208)*$L$33)+J208,0)))</f>
        <v>0</v>
      </c>
      <c r="T208" s="22">
        <f>MAX(T207-($J$32*O208*$L$33)+K208,0)</f>
        <v>0</v>
      </c>
      <c r="U208" s="22">
        <f>MAX(U207-($J$33*P208*$L$33)+L208,0)</f>
        <v>0</v>
      </c>
      <c r="V208" s="21">
        <f>IFERROR(R208*($I$30/M208),0)</f>
        <v>0</v>
      </c>
      <c r="W208" s="21">
        <f>IFERROR(S208*($I$31/N208),0)</f>
        <v>0</v>
      </c>
      <c r="X208" s="21">
        <f>IFERROR(T208*($I$32/O208),0)</f>
        <v>0</v>
      </c>
      <c r="Y208" s="21">
        <f>IFERROR(U208*($I$33/P208),0)</f>
        <v>0</v>
      </c>
      <c r="Z208" s="221">
        <f>ROUNDUP(SUM(V208*$C$30,W208*$C$31,X208*$C$32,Y208*$C$33),0)</f>
        <v>0</v>
      </c>
      <c r="AA208" s="30">
        <f>IF(R208&lt;&gt;0,($J$30*M208*$L$33),0)</f>
        <v>0</v>
      </c>
      <c r="AB208" s="30">
        <f>IF(W208&lt;&gt;0,($J$31*N208*$L$33),0)</f>
        <v>0</v>
      </c>
      <c r="AC208" s="30">
        <f>IF(X208&lt;&gt;0,($J$32*O208*$L$33),0)</f>
        <v>0</v>
      </c>
      <c r="AD208" s="30">
        <f>IF(Y208&lt;&gt;0,($J$33*P208*$L$33),0)</f>
        <v>0</v>
      </c>
      <c r="AE208" s="32">
        <f>SUM(AA208:AD208)</f>
        <v>0</v>
      </c>
      <c r="AF208" s="33">
        <f>AE204</f>
        <v>0</v>
      </c>
      <c r="AG208" s="40">
        <f>MAX(AG207-$Q$33+AF208,0)</f>
        <v>0</v>
      </c>
      <c r="AH208" s="224">
        <f>AG208*$P$33</f>
        <v>0</v>
      </c>
      <c r="AI208" s="227">
        <f>SUM(Z208,IF(Z208&lt;&gt;0,$F$31,0),IF(Z208&lt;&gt;0,$N$33,0),IF(Z208&lt;&gt;0,$T$33,0),IF(Z208=0,AH213,IF(Z208=1,AH214,IF(Z208=2,AH215,IF(Z208=3,AH216,IF(Z208=4,AH217,IF(Z208=5,AH218,IF(Z208=6,AH219,IF(Z208=7,AH220,IF(Z208=8,AH221,IF(Z208=9,AH222,IF(Z208=10,AH223,IF(Z208=11,AH224,IF(Z208=12,AH225,IF(Z208=13,AH226,IF(Z208=14,AH227,IF(Z208=15,AH228,IF(Z208=16,AH229,IF(Z208=17,AH230,IF(Z208=18,AH231,IF(Z208=19,AH232,IF(Z208=20,AH233,IF(Z208=21,AH234,IF(Z208=22,AH235,IF(Z208=23,AH236,IF(Z208=24,AH237,IF(Z208=25,AH238,IF(Z208=26,AH239,IF(Z208=27,AH240,IF(Z208=28,AH241,IF(Z208=29,AH242,IF(Z208=30,AH243))))))))))))))))))))))))))))))))</f>
        <v>0</v>
      </c>
    </row>
    <row r="209" spans="1:35" x14ac:dyDescent="0.35">
      <c r="A209" s="48">
        <v>1550</v>
      </c>
      <c r="B209" s="58">
        <f>SUMIF([2]!Table2_23[ETA],'FIS Optimal Model (3)'!A209,[2]!Table2_23[FIS PAX])</f>
        <v>17</v>
      </c>
      <c r="C209" s="44">
        <f>IF((D208-D209)&gt;-1,(D208-D209),18)</f>
        <v>18</v>
      </c>
      <c r="D209" s="52">
        <f>MAX(D208-$E$31+B208,0)</f>
        <v>110</v>
      </c>
      <c r="E209" s="26">
        <f>$C$30*C209</f>
        <v>9.9503999999999984</v>
      </c>
      <c r="F209" s="26">
        <f>$C$31*C209</f>
        <v>4.2713999999999999</v>
      </c>
      <c r="G209" s="26">
        <f>$C$32*C209</f>
        <v>2.9447999999999999</v>
      </c>
      <c r="H209" s="26">
        <f>$C$33*C209</f>
        <v>0.83340000000000003</v>
      </c>
      <c r="I209" s="27">
        <f>E204</f>
        <v>9.9503999999999984</v>
      </c>
      <c r="J209" s="27">
        <f>F204</f>
        <v>4.2713999999999999</v>
      </c>
      <c r="K209" s="27">
        <f>G204</f>
        <v>2.9447999999999999</v>
      </c>
      <c r="L209" s="27">
        <f>H204</f>
        <v>0.83340000000000003</v>
      </c>
      <c r="M209" s="28">
        <f>$M$205</f>
        <v>0</v>
      </c>
      <c r="N209" s="29">
        <f>$N$205</f>
        <v>12</v>
      </c>
      <c r="O209" s="28">
        <f>$O$205</f>
        <v>2</v>
      </c>
      <c r="P209" s="28">
        <f>$P$205</f>
        <v>2</v>
      </c>
      <c r="Q209" s="28">
        <f>SUM(M209:P209)</f>
        <v>16</v>
      </c>
      <c r="R209" s="22">
        <f>MAX(R208-($J$30*M209*$L$33)+I209,0)</f>
        <v>49.751999999999995</v>
      </c>
      <c r="S209" s="22">
        <f>IF(U209&lt;&gt;0,(MAX(S208-($J$31*N209*$L$33)+J209,0)),(MAX(S208-($J$31*(N209+P209)*$L$33)+J209,0)))</f>
        <v>0</v>
      </c>
      <c r="T209" s="22">
        <f>MAX(T208-($J$32*O209*$L$33)+K209,0)</f>
        <v>0</v>
      </c>
      <c r="U209" s="22">
        <f>MAX(U208-($J$33*P209*$L$33)+L209,0)</f>
        <v>0</v>
      </c>
      <c r="V209" s="21">
        <f>IFERROR(R209*($I$30/M209),0)</f>
        <v>0</v>
      </c>
      <c r="W209" s="21">
        <f>IFERROR(S209*($I$31/N209),0)</f>
        <v>0</v>
      </c>
      <c r="X209" s="21">
        <f>IFERROR(T209*($I$32/O209),0)</f>
        <v>0</v>
      </c>
      <c r="Y209" s="21">
        <f>IFERROR(U209*($I$33/P209),0)</f>
        <v>0</v>
      </c>
      <c r="Z209" s="221">
        <f>ROUNDUP(SUM(V209*$C$30,W209*$C$31,X209*$C$32,Y209*$C$33),0)</f>
        <v>0</v>
      </c>
      <c r="AA209" s="30">
        <f>IF(R209&lt;&gt;0,($J$30*M209*$L$33),0)</f>
        <v>0</v>
      </c>
      <c r="AB209" s="30">
        <f>IF(W209&lt;&gt;0,($J$31*N209*$L$33),0)</f>
        <v>0</v>
      </c>
      <c r="AC209" s="30">
        <f>IF(X209&lt;&gt;0,($J$32*O209*$L$33),0)</f>
        <v>0</v>
      </c>
      <c r="AD209" s="30">
        <f>IF(Y209&lt;&gt;0,($J$33*P209*$L$33),0)</f>
        <v>0</v>
      </c>
      <c r="AE209" s="32">
        <f>SUM(AA209:AD209)</f>
        <v>0</v>
      </c>
      <c r="AF209" s="33">
        <f>AE205</f>
        <v>4.9619534919017996</v>
      </c>
      <c r="AG209" s="40">
        <f>MAX(AG208-$Q$33+AF209,0)</f>
        <v>0</v>
      </c>
      <c r="AH209" s="224">
        <f>AG209*$P$33</f>
        <v>0</v>
      </c>
      <c r="AI209" s="227">
        <f>SUM(Z209,IF(Z209&lt;&gt;0,$F$31,0),IF(Z209&lt;&gt;0,$N$33,0),IF(Z209&lt;&gt;0,$T$33,0),IF(Z209=0,AH214,IF(Z209=1,AH215,IF(Z209=2,AH216,IF(Z209=3,AH217,IF(Z209=4,AH218,IF(Z209=5,AH219,IF(Z209=6,AH220,IF(Z209=7,AH221,IF(Z209=8,AH222,IF(Z209=9,AH223,IF(Z209=10,AH224,IF(Z209=11,AH225,IF(Z209=12,AH226,IF(Z209=13,AH227,IF(Z209=14,AH228,IF(Z209=15,AH229,IF(Z209=16,AH230,IF(Z209=17,AH231,IF(Z209=18,AH232,IF(Z209=19,AH233,IF(Z209=20,AH234,IF(Z209=21,AH235,IF(Z209=22,AH236,IF(Z209=23,AH237,IF(Z209=24,AH238,IF(Z209=25,AH239,IF(Z209=26,AH240,IF(Z209=27,AH241,IF(Z209=28,AH242,IF(Z209=29,AH243,IF(Z209=30,AH244))))))))))))))))))))))))))))))))</f>
        <v>0</v>
      </c>
    </row>
    <row r="210" spans="1:35" x14ac:dyDescent="0.35">
      <c r="A210" s="48">
        <v>1551</v>
      </c>
      <c r="B210" s="58">
        <f>SUMIF([2]!Table2_23[ETA],'FIS Optimal Model (3)'!A210,[2]!Table2_23[FIS PAX])</f>
        <v>0</v>
      </c>
      <c r="C210" s="44">
        <f>IF((D209-D210)&gt;-1,(D209-D210),18)</f>
        <v>1</v>
      </c>
      <c r="D210" s="52">
        <f>MAX(D209-$E$31+B209,0)</f>
        <v>109</v>
      </c>
      <c r="E210" s="26">
        <f>$C$30*C210</f>
        <v>0.55279999999999996</v>
      </c>
      <c r="F210" s="26">
        <f>$C$31*C210</f>
        <v>0.23730000000000001</v>
      </c>
      <c r="G210" s="26">
        <f>$C$32*C210</f>
        <v>0.1636</v>
      </c>
      <c r="H210" s="26">
        <f>$C$33*C210</f>
        <v>4.6300000000000001E-2</v>
      </c>
      <c r="I210" s="27">
        <f>E205</f>
        <v>9.9503999999999984</v>
      </c>
      <c r="J210" s="27">
        <f>F205</f>
        <v>4.2713999999999999</v>
      </c>
      <c r="K210" s="27">
        <f>G205</f>
        <v>2.9447999999999999</v>
      </c>
      <c r="L210" s="27">
        <f>H205</f>
        <v>0.83340000000000003</v>
      </c>
      <c r="M210" s="28">
        <f>$M$205</f>
        <v>0</v>
      </c>
      <c r="N210" s="29">
        <f>$N$205</f>
        <v>12</v>
      </c>
      <c r="O210" s="28">
        <f>$O$205</f>
        <v>2</v>
      </c>
      <c r="P210" s="28">
        <f>$P$205</f>
        <v>2</v>
      </c>
      <c r="Q210" s="28">
        <f>SUM(M210:P210)</f>
        <v>16</v>
      </c>
      <c r="R210" s="22">
        <f>MAX(R209-($J$30*M210*$L$33)+I210,0)</f>
        <v>59.702399999999997</v>
      </c>
      <c r="S210" s="22">
        <f>IF(U210&lt;&gt;0,(MAX(S209-($J$31*N210*$L$33)+J210,0)),(MAX(S209-($J$31*(N210+P210)*$L$33)+J210,0)))</f>
        <v>0</v>
      </c>
      <c r="T210" s="22">
        <f>MAX(T209-($J$32*O210*$L$33)+K210,0)</f>
        <v>0</v>
      </c>
      <c r="U210" s="22">
        <f>MAX(U209-($J$33*P210*$L$33)+L210,0)</f>
        <v>0</v>
      </c>
      <c r="V210" s="21">
        <f>IFERROR(R210*($I$30/M210),0)</f>
        <v>0</v>
      </c>
      <c r="W210" s="21">
        <f>IFERROR(S210*($I$31/N210),0)</f>
        <v>0</v>
      </c>
      <c r="X210" s="21">
        <f>IFERROR(T210*($I$32/O210),0)</f>
        <v>0</v>
      </c>
      <c r="Y210" s="21">
        <f>IFERROR(U210*($I$33/P210),0)</f>
        <v>0</v>
      </c>
      <c r="Z210" s="221">
        <f>ROUNDUP(SUM(V210*$C$30,W210*$C$31,X210*$C$32,Y210*$C$33),0)</f>
        <v>0</v>
      </c>
      <c r="AA210" s="30">
        <f>IF(R210&lt;&gt;0,($J$30*M210*$L$33),0)</f>
        <v>0</v>
      </c>
      <c r="AB210" s="30">
        <f>IF(W210&lt;&gt;0,($J$31*N210*$L$33),0)</f>
        <v>0</v>
      </c>
      <c r="AC210" s="30">
        <f>IF(X210&lt;&gt;0,($J$32*O210*$L$33),0)</f>
        <v>0</v>
      </c>
      <c r="AD210" s="30">
        <f>IF(Y210&lt;&gt;0,($J$33*P210*$L$33),0)</f>
        <v>0</v>
      </c>
      <c r="AE210" s="32">
        <f>SUM(AA210:AD210)</f>
        <v>0</v>
      </c>
      <c r="AF210" s="33">
        <f>AE206</f>
        <v>0</v>
      </c>
      <c r="AG210" s="40">
        <f>MAX(AG209-$Q$33+AF210,0)</f>
        <v>0</v>
      </c>
      <c r="AH210" s="224">
        <f>AG210*$P$33</f>
        <v>0</v>
      </c>
      <c r="AI210" s="227">
        <f>SUM(Z210,IF(Z210&lt;&gt;0,$F$31,0),IF(Z210&lt;&gt;0,$N$33,0),IF(Z210&lt;&gt;0,$T$33,0),IF(Z210=0,AH215,IF(Z210=1,AH216,IF(Z210=2,AH217,IF(Z210=3,AH218,IF(Z210=4,AH219,IF(Z210=5,AH220,IF(Z210=6,AH221,IF(Z210=7,AH222,IF(Z210=8,AH223,IF(Z210=9,AH224,IF(Z210=10,AH225,IF(Z210=11,AH226,IF(Z210=12,AH227,IF(Z210=13,AH228,IF(Z210=14,AH229,IF(Z210=15,AH230,IF(Z210=16,AH231,IF(Z210=17,AH232,IF(Z210=18,AH233,IF(Z210=19,AH234,IF(Z210=20,AH235,IF(Z210=21,AH236,IF(Z210=22,AH237,IF(Z210=23,AH238,IF(Z210=24,AH239,IF(Z210=25,AH240,IF(Z210=26,AH241,IF(Z210=27,AH242,IF(Z210=28,AH243,IF(Z210=29,AH244,IF(Z210=30,AH245))))))))))))))))))))))))))))))))</f>
        <v>0</v>
      </c>
    </row>
    <row r="211" spans="1:35" x14ac:dyDescent="0.35">
      <c r="A211" s="48">
        <v>1552</v>
      </c>
      <c r="B211" s="58">
        <f>SUMIF([2]!Table2_23[ETA],'FIS Optimal Model (3)'!A211,[2]!Table2_23[FIS PAX])</f>
        <v>0</v>
      </c>
      <c r="C211" s="44">
        <f>IF((D210-D211)&gt;-1,(D210-D211),18)</f>
        <v>18</v>
      </c>
      <c r="D211" s="52">
        <f>MAX(D210-$E$31+B210,0)</f>
        <v>91</v>
      </c>
      <c r="E211" s="26">
        <f>$C$30*C211</f>
        <v>9.9503999999999984</v>
      </c>
      <c r="F211" s="26">
        <f>$C$31*C211</f>
        <v>4.2713999999999999</v>
      </c>
      <c r="G211" s="26">
        <f>$C$32*C211</f>
        <v>2.9447999999999999</v>
      </c>
      <c r="H211" s="26">
        <f>$C$33*C211</f>
        <v>0.83340000000000003</v>
      </c>
      <c r="I211" s="27">
        <f>E206</f>
        <v>9.9503999999999984</v>
      </c>
      <c r="J211" s="27">
        <f>F206</f>
        <v>4.2713999999999999</v>
      </c>
      <c r="K211" s="27">
        <f>G206</f>
        <v>2.9447999999999999</v>
      </c>
      <c r="L211" s="27">
        <f>H206</f>
        <v>0.83340000000000003</v>
      </c>
      <c r="M211" s="28">
        <f>$M$205</f>
        <v>0</v>
      </c>
      <c r="N211" s="29">
        <f>$N$205</f>
        <v>12</v>
      </c>
      <c r="O211" s="28">
        <f>$O$205</f>
        <v>2</v>
      </c>
      <c r="P211" s="28">
        <f>$P$205</f>
        <v>2</v>
      </c>
      <c r="Q211" s="28">
        <f>SUM(M211:P211)</f>
        <v>16</v>
      </c>
      <c r="R211" s="22">
        <f>MAX(R210-($J$30*M211*$L$33)+I211,0)</f>
        <v>69.652799999999999</v>
      </c>
      <c r="S211" s="22">
        <f>IF(U211&lt;&gt;0,(MAX(S210-($J$31*N211*$L$33)+J211,0)),(MAX(S210-($J$31*(N211+P211)*$L$33)+J211,0)))</f>
        <v>0</v>
      </c>
      <c r="T211" s="22">
        <f>MAX(T210-($J$32*O211*$L$33)+K211,0)</f>
        <v>0</v>
      </c>
      <c r="U211" s="22">
        <f>MAX(U210-($J$33*P211*$L$33)+L211,0)</f>
        <v>0</v>
      </c>
      <c r="V211" s="21">
        <f>IFERROR(R211*($I$30/M211),0)</f>
        <v>0</v>
      </c>
      <c r="W211" s="21">
        <f>IFERROR(S211*($I$31/N211),0)</f>
        <v>0</v>
      </c>
      <c r="X211" s="21">
        <f>IFERROR(T211*($I$32/O211),0)</f>
        <v>0</v>
      </c>
      <c r="Y211" s="21">
        <f>IFERROR(U211*($I$33/P211),0)</f>
        <v>0</v>
      </c>
      <c r="Z211" s="221">
        <f>ROUNDUP(SUM(V211*$C$30,W211*$C$31,X211*$C$32,Y211*$C$33),0)</f>
        <v>0</v>
      </c>
      <c r="AA211" s="30">
        <f>IF(R211&lt;&gt;0,($J$30*M211*$L$33),0)</f>
        <v>0</v>
      </c>
      <c r="AB211" s="30">
        <f>IF(W211&lt;&gt;0,($J$31*N211*$L$33),0)</f>
        <v>0</v>
      </c>
      <c r="AC211" s="30">
        <f>IF(X211&lt;&gt;0,($J$32*O211*$L$33),0)</f>
        <v>0</v>
      </c>
      <c r="AD211" s="30">
        <f>IF(Y211&lt;&gt;0,($J$33*P211*$L$33),0)</f>
        <v>0</v>
      </c>
      <c r="AE211" s="32">
        <f>SUM(AA211:AD211)</f>
        <v>0</v>
      </c>
      <c r="AF211" s="33">
        <f>AE207</f>
        <v>0</v>
      </c>
      <c r="AG211" s="40">
        <f>MAX(AG210-$Q$33+AF211,0)</f>
        <v>0</v>
      </c>
      <c r="AH211" s="224">
        <f>AG211*$P$33</f>
        <v>0</v>
      </c>
      <c r="AI211" s="227">
        <f>SUM(Z211,IF(Z211&lt;&gt;0,$F$31,0),IF(Z211&lt;&gt;0,$N$33,0),IF(Z211&lt;&gt;0,$T$33,0),IF(Z211=0,AH216,IF(Z211=1,AH217,IF(Z211=2,AH218,IF(Z211=3,AH219,IF(Z211=4,AH220,IF(Z211=5,AH221,IF(Z211=6,AH222,IF(Z211=7,AH223,IF(Z211=8,AH224,IF(Z211=9,AH225,IF(Z211=10,AH226,IF(Z211=11,AH227,IF(Z211=12,AH228,IF(Z211=13,AH229,IF(Z211=14,AH230,IF(Z211=15,AH231,IF(Z211=16,AH232,IF(Z211=17,AH233,IF(Z211=18,AH234,IF(Z211=19,AH235,IF(Z211=20,AH236,IF(Z211=21,AH237,IF(Z211=22,AH238,IF(Z211=23,AH239,IF(Z211=24,AH240,IF(Z211=25,AH241,IF(Z211=26,AH242,IF(Z211=27,AH243,IF(Z211=28,AH244,IF(Z211=29,AH245,IF(Z211=30,AH246))))))))))))))))))))))))))))))))</f>
        <v>0</v>
      </c>
    </row>
    <row r="212" spans="1:35" x14ac:dyDescent="0.35">
      <c r="A212" s="48">
        <v>1553</v>
      </c>
      <c r="B212" s="58">
        <f>SUMIF([2]!Table2_23[ETA],'FIS Optimal Model (3)'!A212,[2]!Table2_23[FIS PAX])</f>
        <v>0</v>
      </c>
      <c r="C212" s="44">
        <f>IF((D211-D212)&gt;-1,(D211-D212),18)</f>
        <v>18</v>
      </c>
      <c r="D212" s="52">
        <f>MAX(D211-$E$31+B211,0)</f>
        <v>73</v>
      </c>
      <c r="E212" s="26">
        <f>$C$30*C212</f>
        <v>9.9503999999999984</v>
      </c>
      <c r="F212" s="26">
        <f>$C$31*C212</f>
        <v>4.2713999999999999</v>
      </c>
      <c r="G212" s="26">
        <f>$C$32*C212</f>
        <v>2.9447999999999999</v>
      </c>
      <c r="H212" s="26">
        <f>$C$33*C212</f>
        <v>0.83340000000000003</v>
      </c>
      <c r="I212" s="27">
        <f>E207</f>
        <v>9.9503999999999984</v>
      </c>
      <c r="J212" s="27">
        <f>F207</f>
        <v>4.2713999999999999</v>
      </c>
      <c r="K212" s="27">
        <f>G207</f>
        <v>2.9447999999999999</v>
      </c>
      <c r="L212" s="27">
        <f>H207</f>
        <v>0.83340000000000003</v>
      </c>
      <c r="M212" s="28">
        <f>$M$205</f>
        <v>0</v>
      </c>
      <c r="N212" s="29">
        <f>$N$205</f>
        <v>12</v>
      </c>
      <c r="O212" s="28">
        <f>$O$205</f>
        <v>2</v>
      </c>
      <c r="P212" s="28">
        <f>$P$205</f>
        <v>2</v>
      </c>
      <c r="Q212" s="28">
        <f>SUM(M212:P212)</f>
        <v>16</v>
      </c>
      <c r="R212" s="22">
        <f>MAX(R211-($J$30*M212*$L$33)+I212,0)</f>
        <v>79.603200000000001</v>
      </c>
      <c r="S212" s="22">
        <f>IF(U212&lt;&gt;0,(MAX(S211-($J$31*N212*$L$33)+J212,0)),(MAX(S211-($J$31*(N212+P212)*$L$33)+J212,0)))</f>
        <v>0</v>
      </c>
      <c r="T212" s="22">
        <f>MAX(T211-($J$32*O212*$L$33)+K212,0)</f>
        <v>0</v>
      </c>
      <c r="U212" s="22">
        <f>MAX(U211-($J$33*P212*$L$33)+L212,0)</f>
        <v>0</v>
      </c>
      <c r="V212" s="21">
        <f>IFERROR(R212*($I$30/M212),0)</f>
        <v>0</v>
      </c>
      <c r="W212" s="21">
        <f>IFERROR(S212*($I$31/N212),0)</f>
        <v>0</v>
      </c>
      <c r="X212" s="21">
        <f>IFERROR(T212*($I$32/O212),0)</f>
        <v>0</v>
      </c>
      <c r="Y212" s="21">
        <f>IFERROR(U212*($I$33/P212),0)</f>
        <v>0</v>
      </c>
      <c r="Z212" s="221">
        <f>ROUNDUP(SUM(V212*$C$30,W212*$C$31,X212*$C$32,Y212*$C$33),0)</f>
        <v>0</v>
      </c>
      <c r="AA212" s="30">
        <f>IF(R212&lt;&gt;0,($J$30*M212*$L$33),0)</f>
        <v>0</v>
      </c>
      <c r="AB212" s="30">
        <f>IF(W212&lt;&gt;0,($J$31*N212*$L$33),0)</f>
        <v>0</v>
      </c>
      <c r="AC212" s="30">
        <f>IF(X212&lt;&gt;0,($J$32*O212*$L$33),0)</f>
        <v>0</v>
      </c>
      <c r="AD212" s="30">
        <f>IF(Y212&lt;&gt;0,($J$33*P212*$L$33),0)</f>
        <v>0</v>
      </c>
      <c r="AE212" s="32">
        <f>SUM(AA212:AD212)</f>
        <v>0</v>
      </c>
      <c r="AF212" s="33">
        <f>AE208</f>
        <v>0</v>
      </c>
      <c r="AG212" s="40">
        <f>MAX(AG211-$Q$33+AF212,0)</f>
        <v>0</v>
      </c>
      <c r="AH212" s="224">
        <f>AG212*$P$33</f>
        <v>0</v>
      </c>
      <c r="AI212" s="227">
        <f>SUM(Z212,IF(Z212&lt;&gt;0,$F$31,0),IF(Z212&lt;&gt;0,$N$33,0),IF(Z212&lt;&gt;0,$T$33,0),IF(Z212=0,AH217,IF(Z212=1,AH218,IF(Z212=2,AH219,IF(Z212=3,AH220,IF(Z212=4,AH221,IF(Z212=5,AH222,IF(Z212=6,AH223,IF(Z212=7,AH224,IF(Z212=8,AH225,IF(Z212=9,AH226,IF(Z212=10,AH227,IF(Z212=11,AH228,IF(Z212=12,AH229,IF(Z212=13,AH230,IF(Z212=14,AH231,IF(Z212=15,AH232,IF(Z212=16,AH233,IF(Z212=17,AH234,IF(Z212=18,AH235,IF(Z212=19,AH236,IF(Z212=20,AH237,IF(Z212=21,AH238,IF(Z212=22,AH239,IF(Z212=23,AH240,IF(Z212=24,AH241,IF(Z212=25,AH242,IF(Z212=26,AH243,IF(Z212=27,AH244,IF(Z212=28,AH245,IF(Z212=29,AH246,IF(Z212=30,AH247))))))))))))))))))))))))))))))))</f>
        <v>0</v>
      </c>
    </row>
    <row r="213" spans="1:35" x14ac:dyDescent="0.35">
      <c r="A213" s="48">
        <v>1554</v>
      </c>
      <c r="B213" s="58">
        <f>SUMIF([2]!Table2_23[ETA],'FIS Optimal Model (3)'!A213,[2]!Table2_23[FIS PAX])</f>
        <v>169</v>
      </c>
      <c r="C213" s="44">
        <f>IF((D212-D213)&gt;-1,(D212-D213),18)</f>
        <v>18</v>
      </c>
      <c r="D213" s="52">
        <f>MAX(D212-$E$31+B212,0)</f>
        <v>55</v>
      </c>
      <c r="E213" s="26">
        <f>$C$30*C213</f>
        <v>9.9503999999999984</v>
      </c>
      <c r="F213" s="26">
        <f>$C$31*C213</f>
        <v>4.2713999999999999</v>
      </c>
      <c r="G213" s="26">
        <f>$C$32*C213</f>
        <v>2.9447999999999999</v>
      </c>
      <c r="H213" s="26">
        <f>$C$33*C213</f>
        <v>0.83340000000000003</v>
      </c>
      <c r="I213" s="27">
        <f>E208</f>
        <v>9.9503999999999984</v>
      </c>
      <c r="J213" s="27">
        <f>F208</f>
        <v>4.2713999999999999</v>
      </c>
      <c r="K213" s="27">
        <f>G208</f>
        <v>2.9447999999999999</v>
      </c>
      <c r="L213" s="27">
        <f>H208</f>
        <v>0.83340000000000003</v>
      </c>
      <c r="M213" s="28">
        <f>$M$205</f>
        <v>0</v>
      </c>
      <c r="N213" s="29">
        <f>$N$205</f>
        <v>12</v>
      </c>
      <c r="O213" s="28">
        <f>$O$205</f>
        <v>2</v>
      </c>
      <c r="P213" s="28">
        <f>$P$205</f>
        <v>2</v>
      </c>
      <c r="Q213" s="28">
        <f>SUM(M213:P213)</f>
        <v>16</v>
      </c>
      <c r="R213" s="22">
        <f>MAX(R212-($J$30*M213*$L$33)+I213,0)</f>
        <v>89.553600000000003</v>
      </c>
      <c r="S213" s="22">
        <f>IF(U213&lt;&gt;0,(MAX(S212-($J$31*N213*$L$33)+J213,0)),(MAX(S212-($J$31*(N213+P213)*$L$33)+J213,0)))</f>
        <v>0</v>
      </c>
      <c r="T213" s="22">
        <f>MAX(T212-($J$32*O213*$L$33)+K213,0)</f>
        <v>0</v>
      </c>
      <c r="U213" s="22">
        <f>MAX(U212-($J$33*P213*$L$33)+L213,0)</f>
        <v>0</v>
      </c>
      <c r="V213" s="21">
        <f>IFERROR(R213*($I$30/M213),0)</f>
        <v>0</v>
      </c>
      <c r="W213" s="21">
        <f>IFERROR(S213*($I$31/N213),0)</f>
        <v>0</v>
      </c>
      <c r="X213" s="21">
        <f>IFERROR(T213*($I$32/O213),0)</f>
        <v>0</v>
      </c>
      <c r="Y213" s="21">
        <f>IFERROR(U213*($I$33/P213),0)</f>
        <v>0</v>
      </c>
      <c r="Z213" s="221">
        <f>ROUNDUP(SUM(V213*$C$30,W213*$C$31,X213*$C$32,Y213*$C$33),0)</f>
        <v>0</v>
      </c>
      <c r="AA213" s="30">
        <f>IF(R213&lt;&gt;0,($J$30*M213*$L$33),0)</f>
        <v>0</v>
      </c>
      <c r="AB213" s="30">
        <f>IF(W213&lt;&gt;0,($J$31*N213*$L$33),0)</f>
        <v>0</v>
      </c>
      <c r="AC213" s="30">
        <f>IF(X213&lt;&gt;0,($J$32*O213*$L$33),0)</f>
        <v>0</v>
      </c>
      <c r="AD213" s="30">
        <f>IF(Y213&lt;&gt;0,($J$33*P213*$L$33),0)</f>
        <v>0</v>
      </c>
      <c r="AE213" s="32">
        <f>SUM(AA213:AD213)</f>
        <v>0</v>
      </c>
      <c r="AF213" s="33">
        <f>AE209</f>
        <v>0</v>
      </c>
      <c r="AG213" s="40">
        <f>MAX(AG212-$Q$33+AF213,0)</f>
        <v>0</v>
      </c>
      <c r="AH213" s="224">
        <f>AG213*$P$33</f>
        <v>0</v>
      </c>
      <c r="AI213" s="227">
        <f>SUM(Z213,IF(Z213&lt;&gt;0,$F$31,0),IF(Z213&lt;&gt;0,$N$33,0),IF(Z213&lt;&gt;0,$T$33,0),IF(Z213=0,AH218,IF(Z213=1,AH219,IF(Z213=2,AH220,IF(Z213=3,AH221,IF(Z213=4,AH222,IF(Z213=5,AH223,IF(Z213=6,AH224,IF(Z213=7,AH225,IF(Z213=8,AH226,IF(Z213=9,AH227,IF(Z213=10,AH228,IF(Z213=11,AH229,IF(Z213=12,AH230,IF(Z213=13,AH231,IF(Z213=14,AH232,IF(Z213=15,AH233,IF(Z213=16,AH234,IF(Z213=17,AH235,IF(Z213=18,AH236,IF(Z213=19,AH237,IF(Z213=20,AH238,IF(Z213=21,AH239,IF(Z213=22,AH240,IF(Z213=23,AH241,IF(Z213=24,AH242,IF(Z213=25,AH243,IF(Z213=26,AH244,IF(Z213=27,AH245,IF(Z213=28,AH246,IF(Z213=29,AH247,IF(Z213=30,AH248))))))))))))))))))))))))))))))))</f>
        <v>0</v>
      </c>
    </row>
    <row r="214" spans="1:35" x14ac:dyDescent="0.35">
      <c r="A214" s="48">
        <v>1555</v>
      </c>
      <c r="B214" s="58">
        <f>SUMIF([2]!Table2_23[ETA],'FIS Optimal Model (3)'!A214,[2]!Table2_23[FIS PAX])</f>
        <v>0</v>
      </c>
      <c r="C214" s="44">
        <f>IF((D213-D214)&gt;-1,(D213-D214),18)</f>
        <v>18</v>
      </c>
      <c r="D214" s="52">
        <f>MAX(D213-$E$31+B213,0)</f>
        <v>206</v>
      </c>
      <c r="E214" s="26">
        <f>$C$30*C214</f>
        <v>9.9503999999999984</v>
      </c>
      <c r="F214" s="26">
        <f>$C$31*C214</f>
        <v>4.2713999999999999</v>
      </c>
      <c r="G214" s="26">
        <f>$C$32*C214</f>
        <v>2.9447999999999999</v>
      </c>
      <c r="H214" s="26">
        <f>$C$33*C214</f>
        <v>0.83340000000000003</v>
      </c>
      <c r="I214" s="27">
        <f>E209</f>
        <v>9.9503999999999984</v>
      </c>
      <c r="J214" s="27">
        <f>F209</f>
        <v>4.2713999999999999</v>
      </c>
      <c r="K214" s="27">
        <f>G209</f>
        <v>2.9447999999999999</v>
      </c>
      <c r="L214" s="27">
        <f>H209</f>
        <v>0.83340000000000003</v>
      </c>
      <c r="M214" s="28">
        <f>$M$205</f>
        <v>0</v>
      </c>
      <c r="N214" s="29">
        <f>$N$205</f>
        <v>12</v>
      </c>
      <c r="O214" s="28">
        <f>$O$205</f>
        <v>2</v>
      </c>
      <c r="P214" s="28">
        <f>$P$205</f>
        <v>2</v>
      </c>
      <c r="Q214" s="28">
        <f>SUM(M214:P214)</f>
        <v>16</v>
      </c>
      <c r="R214" s="22">
        <f>MAX(R213-($J$30*M214*$L$33)+I214,0)</f>
        <v>99.504000000000005</v>
      </c>
      <c r="S214" s="22">
        <f>IF(U214&lt;&gt;0,(MAX(S213-($J$31*N214*$L$33)+J214,0)),(MAX(S213-($J$31*(N214+P214)*$L$33)+J214,0)))</f>
        <v>0</v>
      </c>
      <c r="T214" s="22">
        <f>MAX(T213-($J$32*O214*$L$33)+K214,0)</f>
        <v>0</v>
      </c>
      <c r="U214" s="22">
        <f>MAX(U213-($J$33*P214*$L$33)+L214,0)</f>
        <v>0</v>
      </c>
      <c r="V214" s="21">
        <f>IFERROR(R214*($I$30/M214),0)</f>
        <v>0</v>
      </c>
      <c r="W214" s="21">
        <f>IFERROR(S214*($I$31/N214),0)</f>
        <v>0</v>
      </c>
      <c r="X214" s="21">
        <f>IFERROR(T214*($I$32/O214),0)</f>
        <v>0</v>
      </c>
      <c r="Y214" s="21">
        <f>IFERROR(U214*($I$33/P214),0)</f>
        <v>0</v>
      </c>
      <c r="Z214" s="221">
        <f>ROUNDUP(SUM(V214*$C$30,W214*$C$31,X214*$C$32,Y214*$C$33),0)</f>
        <v>0</v>
      </c>
      <c r="AA214" s="30">
        <f>IF(R214&lt;&gt;0,($J$30*M214*$L$33),0)</f>
        <v>0</v>
      </c>
      <c r="AB214" s="30">
        <f>IF(W214&lt;&gt;0,($J$31*N214*$L$33),0)</f>
        <v>0</v>
      </c>
      <c r="AC214" s="30">
        <f>IF(X214&lt;&gt;0,($J$32*O214*$L$33),0)</f>
        <v>0</v>
      </c>
      <c r="AD214" s="30">
        <f>IF(Y214&lt;&gt;0,($J$33*P214*$L$33),0)</f>
        <v>0</v>
      </c>
      <c r="AE214" s="32">
        <f>SUM(AA214:AD214)</f>
        <v>0</v>
      </c>
      <c r="AF214" s="33">
        <f>AE210</f>
        <v>0</v>
      </c>
      <c r="AG214" s="40">
        <f>MAX(AG213-$Q$33+AF214,0)</f>
        <v>0</v>
      </c>
      <c r="AH214" s="224">
        <f>AG214*$P$33</f>
        <v>0</v>
      </c>
      <c r="AI214" s="227">
        <f>SUM(Z214,IF(Z214&lt;&gt;0,$F$31,0),IF(Z214&lt;&gt;0,$N$33,0),IF(Z214&lt;&gt;0,$T$33,0),IF(Z214=0,AH219,IF(Z214=1,AH220,IF(Z214=2,AH221,IF(Z214=3,AH222,IF(Z214=4,AH223,IF(Z214=5,AH224,IF(Z214=6,AH225,IF(Z214=7,AH226,IF(Z214=8,AH227,IF(Z214=9,AH228,IF(Z214=10,AH229,IF(Z214=11,AH230,IF(Z214=12,AH231,IF(Z214=13,AH232,IF(Z214=14,AH233,IF(Z214=15,AH234,IF(Z214=16,AH235,IF(Z214=17,AH236,IF(Z214=18,AH237,IF(Z214=19,AH238,IF(Z214=20,AH239,IF(Z214=21,AH240,IF(Z214=22,AH241,IF(Z214=23,AH242,IF(Z214=24,AH243,IF(Z214=25,AH244,IF(Z214=26,AH245,IF(Z214=27,AH246,IF(Z214=28,AH247,IF(Z214=29,AH248,IF(Z214=30,AH249))))))))))))))))))))))))))))))))</f>
        <v>0</v>
      </c>
    </row>
    <row r="215" spans="1:35" x14ac:dyDescent="0.35">
      <c r="A215" s="48">
        <v>1556</v>
      </c>
      <c r="B215" s="58">
        <f>SUMIF([2]!Table2_23[ETA],'FIS Optimal Model (3)'!A215,[2]!Table2_23[FIS PAX])</f>
        <v>148</v>
      </c>
      <c r="C215" s="44">
        <f>IF((D214-D215)&gt;-1,(D214-D215),18)</f>
        <v>18</v>
      </c>
      <c r="D215" s="52">
        <f>MAX(D214-$E$31+B214,0)</f>
        <v>188</v>
      </c>
      <c r="E215" s="26">
        <f>$C$30*C215</f>
        <v>9.9503999999999984</v>
      </c>
      <c r="F215" s="26">
        <f>$C$31*C215</f>
        <v>4.2713999999999999</v>
      </c>
      <c r="G215" s="26">
        <f>$C$32*C215</f>
        <v>2.9447999999999999</v>
      </c>
      <c r="H215" s="26">
        <f>$C$33*C215</f>
        <v>0.83340000000000003</v>
      </c>
      <c r="I215" s="27">
        <f>E210</f>
        <v>0.55279999999999996</v>
      </c>
      <c r="J215" s="27">
        <f>F210</f>
        <v>0.23730000000000001</v>
      </c>
      <c r="K215" s="27">
        <f>G210</f>
        <v>0.1636</v>
      </c>
      <c r="L215" s="27">
        <f>H210</f>
        <v>4.6300000000000001E-2</v>
      </c>
      <c r="M215" s="28">
        <f>$M$205</f>
        <v>0</v>
      </c>
      <c r="N215" s="29">
        <f>$N$205</f>
        <v>12</v>
      </c>
      <c r="O215" s="28">
        <f>$O$205</f>
        <v>2</v>
      </c>
      <c r="P215" s="28">
        <f>$P$205</f>
        <v>2</v>
      </c>
      <c r="Q215" s="28">
        <f>SUM(M215:P215)</f>
        <v>16</v>
      </c>
      <c r="R215" s="22">
        <f>MAX(R214-($J$30*M215*$L$33)+I215,0)</f>
        <v>100.05680000000001</v>
      </c>
      <c r="S215" s="22">
        <f>IF(U215&lt;&gt;0,(MAX(S214-($J$31*N215*$L$33)+J215,0)),(MAX(S214-($J$31*(N215+P215)*$L$33)+J215,0)))</f>
        <v>0</v>
      </c>
      <c r="T215" s="22">
        <f>MAX(T214-($J$32*O215*$L$33)+K215,0)</f>
        <v>0</v>
      </c>
      <c r="U215" s="22">
        <f>MAX(U214-($J$33*P215*$L$33)+L215,0)</f>
        <v>0</v>
      </c>
      <c r="V215" s="21">
        <f>IFERROR(R215*($I$30/M215),0)</f>
        <v>0</v>
      </c>
      <c r="W215" s="21">
        <f>IFERROR(S215*($I$31/N215),0)</f>
        <v>0</v>
      </c>
      <c r="X215" s="21">
        <f>IFERROR(T215*($I$32/O215),0)</f>
        <v>0</v>
      </c>
      <c r="Y215" s="21">
        <f>IFERROR(U215*($I$33/P215),0)</f>
        <v>0</v>
      </c>
      <c r="Z215" s="221">
        <f>ROUNDUP(SUM(V215*$C$30,W215*$C$31,X215*$C$32,Y215*$C$33),0)</f>
        <v>0</v>
      </c>
      <c r="AA215" s="30">
        <f>IF(R215&lt;&gt;0,($J$30*M215*$L$33),0)</f>
        <v>0</v>
      </c>
      <c r="AB215" s="30">
        <f>IF(W215&lt;&gt;0,($J$31*N215*$L$33),0)</f>
        <v>0</v>
      </c>
      <c r="AC215" s="30">
        <f>IF(X215&lt;&gt;0,($J$32*O215*$L$33),0)</f>
        <v>0</v>
      </c>
      <c r="AD215" s="30">
        <f>IF(Y215&lt;&gt;0,($J$33*P215*$L$33),0)</f>
        <v>0</v>
      </c>
      <c r="AE215" s="32">
        <f>SUM(AA215:AD215)</f>
        <v>0</v>
      </c>
      <c r="AF215" s="33">
        <f>AE211</f>
        <v>0</v>
      </c>
      <c r="AG215" s="40">
        <f>MAX(AG214-$Q$33+AF215,0)</f>
        <v>0</v>
      </c>
      <c r="AH215" s="224">
        <f>AG215*$P$33</f>
        <v>0</v>
      </c>
      <c r="AI215" s="227">
        <f>SUM(Z215,IF(Z215&lt;&gt;0,$F$31,0),IF(Z215&lt;&gt;0,$N$33,0),IF(Z215&lt;&gt;0,$T$33,0),IF(Z215=0,AH220,IF(Z215=1,AH221,IF(Z215=2,AH222,IF(Z215=3,AH223,IF(Z215=4,AH224,IF(Z215=5,AH225,IF(Z215=6,AH226,IF(Z215=7,AH227,IF(Z215=8,AH228,IF(Z215=9,AH229,IF(Z215=10,AH230,IF(Z215=11,AH231,IF(Z215=12,AH232,IF(Z215=13,AH233,IF(Z215=14,AH234,IF(Z215=15,AH235,IF(Z215=16,AH236,IF(Z215=17,AH237,IF(Z215=18,AH238,IF(Z215=19,AH239,IF(Z215=20,AH240,IF(Z215=21,AH241,IF(Z215=22,AH242,IF(Z215=23,AH243,IF(Z215=24,AH244,IF(Z215=25,AH245,IF(Z215=26,AH246,IF(Z215=27,AH247,IF(Z215=28,AH248,IF(Z215=29,AH249,IF(Z215=30,AH250))))))))))))))))))))))))))))))))</f>
        <v>0</v>
      </c>
    </row>
    <row r="216" spans="1:35" x14ac:dyDescent="0.35">
      <c r="A216" s="48">
        <v>1557</v>
      </c>
      <c r="B216" s="58">
        <f>SUMIF([2]!Table2_23[ETA],'FIS Optimal Model (3)'!A216,[2]!Table2_23[FIS PAX])</f>
        <v>0</v>
      </c>
      <c r="C216" s="44">
        <f>IF((D215-D216)&gt;-1,(D215-D216),18)</f>
        <v>18</v>
      </c>
      <c r="D216" s="52">
        <f>MAX(D215-$E$31+B215,0)</f>
        <v>318</v>
      </c>
      <c r="E216" s="26">
        <f>$C$30*C216</f>
        <v>9.9503999999999984</v>
      </c>
      <c r="F216" s="26">
        <f>$C$31*C216</f>
        <v>4.2713999999999999</v>
      </c>
      <c r="G216" s="26">
        <f>$C$32*C216</f>
        <v>2.9447999999999999</v>
      </c>
      <c r="H216" s="26">
        <f>$C$33*C216</f>
        <v>0.83340000000000003</v>
      </c>
      <c r="I216" s="27">
        <f>E211</f>
        <v>9.9503999999999984</v>
      </c>
      <c r="J216" s="27">
        <f>F211</f>
        <v>4.2713999999999999</v>
      </c>
      <c r="K216" s="27">
        <f>G211</f>
        <v>2.9447999999999999</v>
      </c>
      <c r="L216" s="27">
        <f>H211</f>
        <v>0.83340000000000003</v>
      </c>
      <c r="M216" s="28">
        <f>$M$205</f>
        <v>0</v>
      </c>
      <c r="N216" s="29">
        <f>$N$205</f>
        <v>12</v>
      </c>
      <c r="O216" s="28">
        <f>$O$205</f>
        <v>2</v>
      </c>
      <c r="P216" s="28">
        <f>$P$205</f>
        <v>2</v>
      </c>
      <c r="Q216" s="28">
        <f>SUM(M216:P216)</f>
        <v>16</v>
      </c>
      <c r="R216" s="22">
        <f>MAX(R215-($J$30*M216*$L$33)+I216,0)</f>
        <v>110.00720000000001</v>
      </c>
      <c r="S216" s="22">
        <f>IF(U216&lt;&gt;0,(MAX(S215-($J$31*N216*$L$33)+J216,0)),(MAX(S215-($J$31*(N216+P216)*$L$33)+J216,0)))</f>
        <v>0</v>
      </c>
      <c r="T216" s="22">
        <f>MAX(T215-($J$32*O216*$L$33)+K216,0)</f>
        <v>0</v>
      </c>
      <c r="U216" s="22">
        <f>MAX(U215-($J$33*P216*$L$33)+L216,0)</f>
        <v>0</v>
      </c>
      <c r="V216" s="21">
        <f>IFERROR(R216*($I$30/M216),0)</f>
        <v>0</v>
      </c>
      <c r="W216" s="21">
        <f>IFERROR(S216*($I$31/N216),0)</f>
        <v>0</v>
      </c>
      <c r="X216" s="21">
        <f>IFERROR(T216*($I$32/O216),0)</f>
        <v>0</v>
      </c>
      <c r="Y216" s="21">
        <f>IFERROR(U216*($I$33/P216),0)</f>
        <v>0</v>
      </c>
      <c r="Z216" s="221">
        <f>ROUNDUP(SUM(V216*$C$30,W216*$C$31,X216*$C$32,Y216*$C$33),0)</f>
        <v>0</v>
      </c>
      <c r="AA216" s="30">
        <f>IF(R216&lt;&gt;0,($J$30*M216*$L$33),0)</f>
        <v>0</v>
      </c>
      <c r="AB216" s="30">
        <f>IF(W216&lt;&gt;0,($J$31*N216*$L$33),0)</f>
        <v>0</v>
      </c>
      <c r="AC216" s="30">
        <f>IF(X216&lt;&gt;0,($J$32*O216*$L$33),0)</f>
        <v>0</v>
      </c>
      <c r="AD216" s="30">
        <f>IF(Y216&lt;&gt;0,($J$33*P216*$L$33),0)</f>
        <v>0</v>
      </c>
      <c r="AE216" s="32">
        <f>SUM(AA216:AD216)</f>
        <v>0</v>
      </c>
      <c r="AF216" s="33">
        <f>AE212</f>
        <v>0</v>
      </c>
      <c r="AG216" s="40">
        <f>MAX(AG215-$Q$33+AF216,0)</f>
        <v>0</v>
      </c>
      <c r="AH216" s="224">
        <f>AG216*$P$33</f>
        <v>0</v>
      </c>
      <c r="AI216" s="227">
        <f>SUM(Z216,IF(Z216&lt;&gt;0,$F$31,0),IF(Z216&lt;&gt;0,$N$33,0),IF(Z216&lt;&gt;0,$T$33,0),IF(Z216=0,AH221,IF(Z216=1,AH222,IF(Z216=2,AH223,IF(Z216=3,AH224,IF(Z216=4,AH225,IF(Z216=5,AH226,IF(Z216=6,AH227,IF(Z216=7,AH228,IF(Z216=8,AH229,IF(Z216=9,AH230,IF(Z216=10,AH231,IF(Z216=11,AH232,IF(Z216=12,AH233,IF(Z216=13,AH234,IF(Z216=14,AH235,IF(Z216=15,AH236,IF(Z216=16,AH237,IF(Z216=17,AH238,IF(Z216=18,AH239,IF(Z216=19,AH240,IF(Z216=20,AH241,IF(Z216=21,AH242,IF(Z216=22,AH243,IF(Z216=23,AH244,IF(Z216=24,AH245,IF(Z216=25,AH246,IF(Z216=26,AH247,IF(Z216=27,AH248,IF(Z216=28,AH249,IF(Z216=29,AH250,IF(Z216=30,AH251))))))))))))))))))))))))))))))))</f>
        <v>0</v>
      </c>
    </row>
    <row r="217" spans="1:35" x14ac:dyDescent="0.35">
      <c r="A217" s="48">
        <v>1558</v>
      </c>
      <c r="B217" s="58">
        <f>SUMIF([2]!Table2_23[ETA],'FIS Optimal Model (3)'!A217,[2]!Table2_23[FIS PAX])</f>
        <v>0</v>
      </c>
      <c r="C217" s="44">
        <f>IF((D216-D217)&gt;-1,(D216-D217),18)</f>
        <v>18</v>
      </c>
      <c r="D217" s="52">
        <f>MAX(D216-$E$31+B216,0)</f>
        <v>300</v>
      </c>
      <c r="E217" s="26">
        <f>$C$30*C217</f>
        <v>9.9503999999999984</v>
      </c>
      <c r="F217" s="26">
        <f>$C$31*C217</f>
        <v>4.2713999999999999</v>
      </c>
      <c r="G217" s="26">
        <f>$C$32*C217</f>
        <v>2.9447999999999999</v>
      </c>
      <c r="H217" s="26">
        <f>$C$33*C217</f>
        <v>0.83340000000000003</v>
      </c>
      <c r="I217" s="27">
        <f>E212</f>
        <v>9.9503999999999984</v>
      </c>
      <c r="J217" s="27">
        <f>F212</f>
        <v>4.2713999999999999</v>
      </c>
      <c r="K217" s="27">
        <f>G212</f>
        <v>2.9447999999999999</v>
      </c>
      <c r="L217" s="27">
        <f>H212</f>
        <v>0.83340000000000003</v>
      </c>
      <c r="M217" s="28">
        <f>$M$205</f>
        <v>0</v>
      </c>
      <c r="N217" s="29">
        <f>$N$205</f>
        <v>12</v>
      </c>
      <c r="O217" s="28">
        <f>$O$205</f>
        <v>2</v>
      </c>
      <c r="P217" s="28">
        <f>$P$205</f>
        <v>2</v>
      </c>
      <c r="Q217" s="28">
        <f>SUM(M217:P217)</f>
        <v>16</v>
      </c>
      <c r="R217" s="22">
        <f>MAX(R216-($J$30*M217*$L$33)+I217,0)</f>
        <v>119.95760000000001</v>
      </c>
      <c r="S217" s="22">
        <f>IF(U217&lt;&gt;0,(MAX(S216-($J$31*N217*$L$33)+J217,0)),(MAX(S216-($J$31*(N217+P217)*$L$33)+J217,0)))</f>
        <v>0</v>
      </c>
      <c r="T217" s="22">
        <f>MAX(T216-($J$32*O217*$L$33)+K217,0)</f>
        <v>0</v>
      </c>
      <c r="U217" s="22">
        <f>MAX(U216-($J$33*P217*$L$33)+L217,0)</f>
        <v>0</v>
      </c>
      <c r="V217" s="21">
        <f>IFERROR(R217*($I$30/M217),0)</f>
        <v>0</v>
      </c>
      <c r="W217" s="21">
        <f>IFERROR(S217*($I$31/N217),0)</f>
        <v>0</v>
      </c>
      <c r="X217" s="21">
        <f>IFERROR(T217*($I$32/O217),0)</f>
        <v>0</v>
      </c>
      <c r="Y217" s="21">
        <f>IFERROR(U217*($I$33/P217),0)</f>
        <v>0</v>
      </c>
      <c r="Z217" s="221">
        <f>ROUNDUP(SUM(V217*$C$30,W217*$C$31,X217*$C$32,Y217*$C$33),0)</f>
        <v>0</v>
      </c>
      <c r="AA217" s="30">
        <f>IF(R217&lt;&gt;0,($J$30*M217*$L$33),0)</f>
        <v>0</v>
      </c>
      <c r="AB217" s="30">
        <f>IF(W217&lt;&gt;0,($J$31*N217*$L$33),0)</f>
        <v>0</v>
      </c>
      <c r="AC217" s="30">
        <f>IF(X217&lt;&gt;0,($J$32*O217*$L$33),0)</f>
        <v>0</v>
      </c>
      <c r="AD217" s="30">
        <f>IF(Y217&lt;&gt;0,($J$33*P217*$L$33),0)</f>
        <v>0</v>
      </c>
      <c r="AE217" s="32">
        <f>SUM(AA217:AD217)</f>
        <v>0</v>
      </c>
      <c r="AF217" s="33">
        <f>AE213</f>
        <v>0</v>
      </c>
      <c r="AG217" s="40">
        <f>MAX(AG216-$Q$33+AF217,0)</f>
        <v>0</v>
      </c>
      <c r="AH217" s="224">
        <f>AG217*$P$33</f>
        <v>0</v>
      </c>
      <c r="AI217" s="227">
        <f>SUM(Z217,IF(Z217&lt;&gt;0,$F$31,0),IF(Z217&lt;&gt;0,$N$33,0),IF(Z217&lt;&gt;0,$T$33,0),IF(Z217=0,AH222,IF(Z217=1,AH223,IF(Z217=2,AH224,IF(Z217=3,AH225,IF(Z217=4,AH226,IF(Z217=5,AH227,IF(Z217=6,AH228,IF(Z217=7,AH229,IF(Z217=8,AH230,IF(Z217=9,AH231,IF(Z217=10,AH232,IF(Z217=11,AH233,IF(Z217=12,AH234,IF(Z217=13,AH235,IF(Z217=14,AH236,IF(Z217=15,AH237,IF(Z217=16,AH238,IF(Z217=17,AH239,IF(Z217=18,AH240,IF(Z217=19,AH241,IF(Z217=20,AH242,IF(Z217=21,AH243,IF(Z217=22,AH244,IF(Z217=23,AH245,IF(Z217=24,AH246,IF(Z217=25,AH247,IF(Z217=26,AH248,IF(Z217=27,AH249,IF(Z217=28,AH250,IF(Z217=29,AH251,IF(Z217=30,AH252))))))))))))))))))))))))))))))))</f>
        <v>0</v>
      </c>
    </row>
    <row r="218" spans="1:35" x14ac:dyDescent="0.35">
      <c r="A218" s="48">
        <v>1559</v>
      </c>
      <c r="B218" s="58">
        <f>SUMIF([2]!Table2_23[ETA],'FIS Optimal Model (3)'!A218,[2]!Table2_23[FIS PAX])</f>
        <v>52</v>
      </c>
      <c r="C218" s="44">
        <f>IF((D217-D218)&gt;-1,(D217-D218),18)</f>
        <v>18</v>
      </c>
      <c r="D218" s="52">
        <f>MAX(D217-$E$31+B217,0)</f>
        <v>282</v>
      </c>
      <c r="E218" s="26">
        <f>$C$30*C218</f>
        <v>9.9503999999999984</v>
      </c>
      <c r="F218" s="26">
        <f>$C$31*C218</f>
        <v>4.2713999999999999</v>
      </c>
      <c r="G218" s="26">
        <f>$C$32*C218</f>
        <v>2.9447999999999999</v>
      </c>
      <c r="H218" s="26">
        <f>$C$33*C218</f>
        <v>0.83340000000000003</v>
      </c>
      <c r="I218" s="27">
        <f>E213</f>
        <v>9.9503999999999984</v>
      </c>
      <c r="J218" s="27">
        <f>F213</f>
        <v>4.2713999999999999</v>
      </c>
      <c r="K218" s="27">
        <f>G213</f>
        <v>2.9447999999999999</v>
      </c>
      <c r="L218" s="27">
        <f>H213</f>
        <v>0.83340000000000003</v>
      </c>
      <c r="M218" s="28">
        <f>$M$205</f>
        <v>0</v>
      </c>
      <c r="N218" s="29">
        <f>$N$205</f>
        <v>12</v>
      </c>
      <c r="O218" s="28">
        <f>$O$205</f>
        <v>2</v>
      </c>
      <c r="P218" s="28">
        <f>$P$205</f>
        <v>2</v>
      </c>
      <c r="Q218" s="28">
        <f>SUM(M218:P218)</f>
        <v>16</v>
      </c>
      <c r="R218" s="22">
        <f>MAX(R217-($J$30*M218*$L$33)+I218,0)</f>
        <v>129.90800000000002</v>
      </c>
      <c r="S218" s="22">
        <f>IF(U218&lt;&gt;0,(MAX(S217-($J$31*N218*$L$33)+J218,0)),(MAX(S217-($J$31*(N218+P218)*$L$33)+J218,0)))</f>
        <v>0</v>
      </c>
      <c r="T218" s="22">
        <f>MAX(T217-($J$32*O218*$L$33)+K218,0)</f>
        <v>0</v>
      </c>
      <c r="U218" s="22">
        <f>MAX(U217-($J$33*P218*$L$33)+L218,0)</f>
        <v>0</v>
      </c>
      <c r="V218" s="21">
        <f>IFERROR(R218*($I$30/M218),0)</f>
        <v>0</v>
      </c>
      <c r="W218" s="21">
        <f>IFERROR(S218*($I$31/N218),0)</f>
        <v>0</v>
      </c>
      <c r="X218" s="21">
        <f>IFERROR(T218*($I$32/O218),0)</f>
        <v>0</v>
      </c>
      <c r="Y218" s="21">
        <f>IFERROR(U218*($I$33/P218),0)</f>
        <v>0</v>
      </c>
      <c r="Z218" s="221">
        <f>ROUNDUP(SUM(V218*$C$30,W218*$C$31,X218*$C$32,Y218*$C$33),0)</f>
        <v>0</v>
      </c>
      <c r="AA218" s="30">
        <f>IF(R218&lt;&gt;0,($J$30*M218*$L$33),0)</f>
        <v>0</v>
      </c>
      <c r="AB218" s="30">
        <f>IF(W218&lt;&gt;0,($J$31*N218*$L$33),0)</f>
        <v>0</v>
      </c>
      <c r="AC218" s="30">
        <f>IF(X218&lt;&gt;0,($J$32*O218*$L$33),0)</f>
        <v>0</v>
      </c>
      <c r="AD218" s="30">
        <f>IF(Y218&lt;&gt;0,($J$33*P218*$L$33),0)</f>
        <v>0</v>
      </c>
      <c r="AE218" s="32">
        <f>SUM(AA218:AD218)</f>
        <v>0</v>
      </c>
      <c r="AF218" s="33">
        <f>AE214</f>
        <v>0</v>
      </c>
      <c r="AG218" s="40">
        <f>MAX(AG217-$Q$33+AF218,0)</f>
        <v>0</v>
      </c>
      <c r="AH218" s="224">
        <f>AG218*$P$33</f>
        <v>0</v>
      </c>
      <c r="AI218" s="227">
        <f>SUM(Z218,IF(Z218&lt;&gt;0,$F$31,0),IF(Z218&lt;&gt;0,$N$33,0),IF(Z218&lt;&gt;0,$T$33,0),IF(Z218=0,AH223,IF(Z218=1,AH224,IF(Z218=2,AH225,IF(Z218=3,AH226,IF(Z218=4,AH227,IF(Z218=5,AH228,IF(Z218=6,AH229,IF(Z218=7,AH230,IF(Z218=8,AH231,IF(Z218=9,AH232,IF(Z218=10,AH233,IF(Z218=11,AH234,IF(Z218=12,AH235,IF(Z218=13,AH236,IF(Z218=14,AH237,IF(Z218=15,AH238,IF(Z218=16,AH239,IF(Z218=17,AH240,IF(Z218=18,AH241,IF(Z218=19,AH242,IF(Z218=20,AH243,IF(Z218=21,AH244,IF(Z218=22,AH245,IF(Z218=23,AH246,IF(Z218=24,AH247,IF(Z218=25,AH248,IF(Z218=26,AH249,IF(Z218=27,AH250,IF(Z218=28,AH251,IF(Z218=29,AH252,IF(Z218=30,AH253))))))))))))))))))))))))))))))))</f>
        <v>0</v>
      </c>
    </row>
    <row r="219" spans="1:35" x14ac:dyDescent="0.35">
      <c r="A219" s="48">
        <v>1600</v>
      </c>
      <c r="B219" s="58">
        <f>SUMIF([2]!Table2_23[ETA],'FIS Optimal Model (3)'!A219,[2]!Table2_23[FIS PAX])</f>
        <v>106</v>
      </c>
      <c r="C219" s="44">
        <f>IF((D218-D219)&gt;-1,(D218-D219),18)</f>
        <v>18</v>
      </c>
      <c r="D219" s="52">
        <f>MAX(D218-$E$31+B218,0)</f>
        <v>316</v>
      </c>
      <c r="E219" s="26">
        <f>$C$30*C219</f>
        <v>9.9503999999999984</v>
      </c>
      <c r="F219" s="26">
        <f>$C$31*C219</f>
        <v>4.2713999999999999</v>
      </c>
      <c r="G219" s="26">
        <f>$C$32*C219</f>
        <v>2.9447999999999999</v>
      </c>
      <c r="H219" s="26">
        <f>$C$33*C219</f>
        <v>0.83340000000000003</v>
      </c>
      <c r="I219" s="27">
        <f>E214</f>
        <v>9.9503999999999984</v>
      </c>
      <c r="J219" s="27">
        <f>F214</f>
        <v>4.2713999999999999</v>
      </c>
      <c r="K219" s="27">
        <f>G214</f>
        <v>2.9447999999999999</v>
      </c>
      <c r="L219" s="27">
        <f>H214</f>
        <v>0.83340000000000003</v>
      </c>
      <c r="M219" s="28">
        <f>$M$205</f>
        <v>0</v>
      </c>
      <c r="N219" s="29">
        <f>$N$205</f>
        <v>12</v>
      </c>
      <c r="O219" s="28">
        <f>$O$205</f>
        <v>2</v>
      </c>
      <c r="P219" s="28">
        <f>$P$205</f>
        <v>2</v>
      </c>
      <c r="Q219" s="28">
        <f>SUM(M219:P219)</f>
        <v>16</v>
      </c>
      <c r="R219" s="22">
        <f>MAX(R218-($J$30*M219*$L$33)+I219,0)</f>
        <v>139.85840000000002</v>
      </c>
      <c r="S219" s="22">
        <f>IF(U219&lt;&gt;0,(MAX(S218-($J$31*N219*$L$33)+J219,0)),(MAX(S218-($J$31*(N219+P219)*$L$33)+J219,0)))</f>
        <v>0</v>
      </c>
      <c r="T219" s="22">
        <f>MAX(T218-($J$32*O219*$L$33)+K219,0)</f>
        <v>0</v>
      </c>
      <c r="U219" s="22">
        <f>MAX(U218-($J$33*P219*$L$33)+L219,0)</f>
        <v>0</v>
      </c>
      <c r="V219" s="21">
        <f>IFERROR(R219*($I$30/M219),0)</f>
        <v>0</v>
      </c>
      <c r="W219" s="21">
        <f>IFERROR(S219*($I$31/N219),0)</f>
        <v>0</v>
      </c>
      <c r="X219" s="21">
        <f>IFERROR(T219*($I$32/O219),0)</f>
        <v>0</v>
      </c>
      <c r="Y219" s="21">
        <f>IFERROR(U219*($I$33/P219),0)</f>
        <v>0</v>
      </c>
      <c r="Z219" s="221">
        <f>ROUNDUP(SUM(V219*$C$30,W219*$C$31,X219*$C$32,Y219*$C$33),0)</f>
        <v>0</v>
      </c>
      <c r="AA219" s="30">
        <f>IF(R219&lt;&gt;0,($J$30*M219*$L$33),0)</f>
        <v>0</v>
      </c>
      <c r="AB219" s="30">
        <f>IF(W219&lt;&gt;0,($J$31*N219*$L$33),0)</f>
        <v>0</v>
      </c>
      <c r="AC219" s="30">
        <f>IF(X219&lt;&gt;0,($J$32*O219*$L$33),0)</f>
        <v>0</v>
      </c>
      <c r="AD219" s="30">
        <f>IF(Y219&lt;&gt;0,($J$33*P219*$L$33),0)</f>
        <v>0</v>
      </c>
      <c r="AE219" s="32">
        <f>SUM(AA219:AD219)</f>
        <v>0</v>
      </c>
      <c r="AF219" s="33">
        <f>AE215</f>
        <v>0</v>
      </c>
      <c r="AG219" s="40">
        <f>MAX(AG218-$Q$33+AF219,0)</f>
        <v>0</v>
      </c>
      <c r="AH219" s="224">
        <f>AG219*$P$33</f>
        <v>0</v>
      </c>
      <c r="AI219" s="227">
        <f>SUM(Z219,IF(Z219&lt;&gt;0,$F$31,0),IF(Z219&lt;&gt;0,$N$33,0),IF(Z219&lt;&gt;0,$T$33,0),IF(Z219=0,AH224,IF(Z219=1,AH225,IF(Z219=2,AH226,IF(Z219=3,AH227,IF(Z219=4,AH228,IF(Z219=5,AH229,IF(Z219=6,AH230,IF(Z219=7,AH231,IF(Z219=8,AH232,IF(Z219=9,AH233,IF(Z219=10,AH234,IF(Z219=11,AH235,IF(Z219=12,AH236,IF(Z219=13,AH237,IF(Z219=14,AH238,IF(Z219=15,AH239,IF(Z219=16,AH240,IF(Z219=17,AH241,IF(Z219=18,AH242,IF(Z219=19,AH243,IF(Z219=20,AH244,IF(Z219=21,AH245,IF(Z219=22,AH246,IF(Z219=23,AH247,IF(Z219=24,AH248,IF(Z219=25,AH249,IF(Z219=26,AH250,IF(Z219=27,AH251,IF(Z219=28,AH252,IF(Z219=29,AH253,IF(Z219=30,AH254))))))))))))))))))))))))))))))))</f>
        <v>5.9104924296765664E-2</v>
      </c>
    </row>
    <row r="220" spans="1:35" x14ac:dyDescent="0.35">
      <c r="A220" s="48">
        <v>1601</v>
      </c>
      <c r="B220" s="58">
        <f>SUMIF([2]!Table2_23[ETA],'FIS Optimal Model (3)'!A220,[2]!Table2_23[FIS PAX])</f>
        <v>0</v>
      </c>
      <c r="C220" s="44">
        <f>IF((D219-D220)&gt;-1,(D219-D220),18)</f>
        <v>18</v>
      </c>
      <c r="D220" s="52">
        <f>MAX(D219-$E$31+B219,0)</f>
        <v>404</v>
      </c>
      <c r="E220" s="26">
        <f>$C$30*C220</f>
        <v>9.9503999999999984</v>
      </c>
      <c r="F220" s="26">
        <f>$C$31*C220</f>
        <v>4.2713999999999999</v>
      </c>
      <c r="G220" s="26">
        <f>$C$32*C220</f>
        <v>2.9447999999999999</v>
      </c>
      <c r="H220" s="26">
        <f>$C$33*C220</f>
        <v>0.83340000000000003</v>
      </c>
      <c r="I220" s="27">
        <f>E215</f>
        <v>9.9503999999999984</v>
      </c>
      <c r="J220" s="27">
        <f>F215</f>
        <v>4.2713999999999999</v>
      </c>
      <c r="K220" s="27">
        <f>G215</f>
        <v>2.9447999999999999</v>
      </c>
      <c r="L220" s="27">
        <f>H215</f>
        <v>0.83340000000000003</v>
      </c>
      <c r="M220" s="28">
        <f>IF(R219=0,0,$Q$18)</f>
        <v>6</v>
      </c>
      <c r="N220" s="29">
        <f>$U$18-M220-O220-P220</f>
        <v>10</v>
      </c>
      <c r="O220" s="28">
        <f>IF(T219=0,0,$S$18)</f>
        <v>0</v>
      </c>
      <c r="P220" s="28">
        <f>IF(U219=0,0,$T$18)</f>
        <v>0</v>
      </c>
      <c r="Q220" s="28">
        <f>SUM(M220:P220)</f>
        <v>16</v>
      </c>
      <c r="R220" s="22">
        <f>MAX(R219-($J$30*M220*$L$33)+I220,0)</f>
        <v>137.1806615361759</v>
      </c>
      <c r="S220" s="22">
        <f>IF(U220&lt;&gt;0,(MAX(S219-($J$31*N220*$L$33)+J220,0)),(MAX(S219-($J$31*(N220+P220)*$L$33)+J220,0)))</f>
        <v>0</v>
      </c>
      <c r="T220" s="22">
        <f>MAX(T219-($J$32*O220*$L$33)+K220,0)</f>
        <v>2.9447999999999999</v>
      </c>
      <c r="U220" s="22">
        <f>MAX(U219-($J$33*P220*$L$33)+L220,0)</f>
        <v>0.83340000000000003</v>
      </c>
      <c r="V220" s="21">
        <f>IFERROR(R220*($I$30/M220),0)</f>
        <v>9.2336303280000003</v>
      </c>
      <c r="W220" s="21">
        <f>IFERROR(S220*($I$31/N220),0)</f>
        <v>0</v>
      </c>
      <c r="X220" s="21">
        <f>IFERROR(T220*($I$32/O220),0)</f>
        <v>0</v>
      </c>
      <c r="Y220" s="21">
        <f>IFERROR(U220*($I$33/P220),0)</f>
        <v>0</v>
      </c>
      <c r="Z220" s="221">
        <f>ROUNDUP(SUM(V220*$C$30,W220*$C$31,X220*$C$32,Y220*$C$33),0)</f>
        <v>6</v>
      </c>
      <c r="AA220" s="30">
        <f>IF(R220&lt;&gt;0,($J$30*M220*$L$33),0)</f>
        <v>12.628138463824097</v>
      </c>
      <c r="AB220" s="30">
        <f>IF(W220&lt;&gt;0,($J$31*N220*$L$33),0)</f>
        <v>0</v>
      </c>
      <c r="AC220" s="30">
        <f>IF(X220&lt;&gt;0,($J$32*O220*$L$33),0)</f>
        <v>0</v>
      </c>
      <c r="AD220" s="30">
        <f>IF(Y220&lt;&gt;0,($J$33*P220*$L$33),0)</f>
        <v>0</v>
      </c>
      <c r="AE220" s="32">
        <f>SUM(AA220:AD220)</f>
        <v>12.628138463824097</v>
      </c>
      <c r="AF220" s="33">
        <f>AE216</f>
        <v>0</v>
      </c>
      <c r="AG220" s="40">
        <f>MAX(AG219-$Q$33+AF220,0)</f>
        <v>0</v>
      </c>
      <c r="AH220" s="224">
        <f>AG220*$P$33</f>
        <v>0</v>
      </c>
      <c r="AI220" s="227">
        <f>SUM(Z220,IF(Z220&lt;&gt;0,$F$31,0),IF(Z220&lt;&gt;0,$N$33,0),IF(Z220&lt;&gt;0,$T$33,0),IF(Z220=0,AH225,IF(Z220=1,AH226,IF(Z220=2,AH227,IF(Z220=3,AH228,IF(Z220=4,AH229,IF(Z220=5,AH230,IF(Z220=6,AH231,IF(Z220=7,AH232,IF(Z220=8,AH233,IF(Z220=9,AH234,IF(Z220=10,AH235,IF(Z220=11,AH236,IF(Z220=12,AH237,IF(Z220=13,AH238,IF(Z220=14,AH239,IF(Z220=15,AH240,IF(Z220=16,AH241,IF(Z220=17,AH242,IF(Z220=18,AH243,IF(Z220=19,AH244,IF(Z220=20,AH245,IF(Z220=21,AH246,IF(Z220=22,AH247,IF(Z220=23,AH248,IF(Z220=24,AH249,IF(Z220=25,AH250,IF(Z220=26,AH251,IF(Z220=27,AH252,IF(Z220=28,AH253,IF(Z220=29,AH254,IF(Z220=30,AH255))))))))))))))))))))))))))))))))</f>
        <v>27.472839394374127</v>
      </c>
    </row>
    <row r="221" spans="1:35" x14ac:dyDescent="0.35">
      <c r="A221" s="48">
        <v>1602</v>
      </c>
      <c r="B221" s="58">
        <f>SUMIF([2]!Table2_23[ETA],'FIS Optimal Model (3)'!A221,[2]!Table2_23[FIS PAX])</f>
        <v>0</v>
      </c>
      <c r="C221" s="44">
        <f>IF((D220-D221)&gt;-1,(D220-D221),18)</f>
        <v>18</v>
      </c>
      <c r="D221" s="52">
        <f>MAX(D220-$E$31+B220,0)</f>
        <v>386</v>
      </c>
      <c r="E221" s="26">
        <f>$C$30*C221</f>
        <v>9.9503999999999984</v>
      </c>
      <c r="F221" s="26">
        <f>$C$31*C221</f>
        <v>4.2713999999999999</v>
      </c>
      <c r="G221" s="26">
        <f>$C$32*C221</f>
        <v>2.9447999999999999</v>
      </c>
      <c r="H221" s="26">
        <f>$C$33*C221</f>
        <v>0.83340000000000003</v>
      </c>
      <c r="I221" s="27">
        <f>E216</f>
        <v>9.9503999999999984</v>
      </c>
      <c r="J221" s="27">
        <f>F216</f>
        <v>4.2713999999999999</v>
      </c>
      <c r="K221" s="27">
        <f>G216</f>
        <v>2.9447999999999999</v>
      </c>
      <c r="L221" s="27">
        <f>H216</f>
        <v>0.83340000000000003</v>
      </c>
      <c r="M221" s="28">
        <f>$M$220</f>
        <v>6</v>
      </c>
      <c r="N221" s="29">
        <f>$N$220</f>
        <v>10</v>
      </c>
      <c r="O221" s="28">
        <f>$O$220</f>
        <v>0</v>
      </c>
      <c r="P221" s="28">
        <f>$P$220</f>
        <v>0</v>
      </c>
      <c r="Q221" s="28">
        <f>SUM(M221:P221)</f>
        <v>16</v>
      </c>
      <c r="R221" s="22">
        <f>MAX(R220-($J$30*M221*$L$33)+I221,0)</f>
        <v>134.50292307235179</v>
      </c>
      <c r="S221" s="22">
        <f>IF(U221&lt;&gt;0,(MAX(S220-($J$31*N221*$L$33)+J221,0)),(MAX(S220-($J$31*(N221+P221)*$L$33)+J221,0)))</f>
        <v>0</v>
      </c>
      <c r="T221" s="22">
        <f>MAX(T220-($J$32*O221*$L$33)+K221,0)</f>
        <v>5.8895999999999997</v>
      </c>
      <c r="U221" s="22">
        <f>MAX(U220-($J$33*P221*$L$33)+L221,0)</f>
        <v>1.6668000000000001</v>
      </c>
      <c r="V221" s="21">
        <f>IFERROR(R221*($I$30/M221),0)</f>
        <v>9.0533917519999978</v>
      </c>
      <c r="W221" s="21">
        <f>IFERROR(S221*($I$31/N221),0)</f>
        <v>0</v>
      </c>
      <c r="X221" s="21">
        <f>IFERROR(T221*($I$32/O221),0)</f>
        <v>0</v>
      </c>
      <c r="Y221" s="21">
        <f>IFERROR(U221*($I$33/P221),0)</f>
        <v>0</v>
      </c>
      <c r="Z221" s="221">
        <f>ROUNDUP(SUM(V221*$C$30,W221*$C$31,X221*$C$32,Y221*$C$33),0)</f>
        <v>6</v>
      </c>
      <c r="AA221" s="30">
        <f>IF(R221&lt;&gt;0,($J$30*M221*$L$33),0)</f>
        <v>12.628138463824097</v>
      </c>
      <c r="AB221" s="30">
        <f>IF(W221&lt;&gt;0,($J$31*N221*$L$33),0)</f>
        <v>0</v>
      </c>
      <c r="AC221" s="30">
        <f>IF(X221&lt;&gt;0,($J$32*O221*$L$33),0)</f>
        <v>0</v>
      </c>
      <c r="AD221" s="30">
        <f>IF(Y221&lt;&gt;0,($J$33*P221*$L$33),0)</f>
        <v>0</v>
      </c>
      <c r="AE221" s="32">
        <f>SUM(AA221:AD221)</f>
        <v>12.628138463824097</v>
      </c>
      <c r="AF221" s="33">
        <f>AE217</f>
        <v>0</v>
      </c>
      <c r="AG221" s="40">
        <f>MAX(AG220-$Q$33+AF221,0)</f>
        <v>0</v>
      </c>
      <c r="AH221" s="224">
        <f>AG221*$P$33</f>
        <v>0</v>
      </c>
      <c r="AI221" s="227">
        <f>SUM(Z221,IF(Z221&lt;&gt;0,$F$31,0),IF(Z221&lt;&gt;0,$N$33,0),IF(Z221&lt;&gt;0,$T$33,0),IF(Z221=0,AH226,IF(Z221=1,AH227,IF(Z221=2,AH228,IF(Z221=3,AH229,IF(Z221=4,AH230,IF(Z221=5,AH231,IF(Z221=6,AH232,IF(Z221=7,AH233,IF(Z221=8,AH234,IF(Z221=9,AH235,IF(Z221=10,AH236,IF(Z221=11,AH237,IF(Z221=12,AH238,IF(Z221=13,AH239,IF(Z221=14,AH240,IF(Z221=15,AH241,IF(Z221=16,AH242,IF(Z221=17,AH243,IF(Z221=18,AH244,IF(Z221=19,AH245,IF(Z221=20,AH246,IF(Z221=21,AH247,IF(Z221=22,AH248,IF(Z221=23,AH249,IF(Z221=24,AH250,IF(Z221=25,AH251,IF(Z221=26,AH252,IF(Z221=27,AH253,IF(Z221=28,AH254,IF(Z221=29,AH255,IF(Z221=30,AH256))))))))))))))))))))))))))))))))</f>
        <v>27.531944318670892</v>
      </c>
    </row>
    <row r="222" spans="1:35" x14ac:dyDescent="0.35">
      <c r="A222" s="48">
        <v>1603</v>
      </c>
      <c r="B222" s="58">
        <f>SUMIF([2]!Table2_23[ETA],'FIS Optimal Model (3)'!A222,[2]!Table2_23[FIS PAX])</f>
        <v>0</v>
      </c>
      <c r="C222" s="44">
        <f>IF((D221-D222)&gt;-1,(D221-D222),18)</f>
        <v>18</v>
      </c>
      <c r="D222" s="52">
        <f>MAX(D221-$E$31+B221,0)</f>
        <v>368</v>
      </c>
      <c r="E222" s="26">
        <f>$C$30*C222</f>
        <v>9.9503999999999984</v>
      </c>
      <c r="F222" s="26">
        <f>$C$31*C222</f>
        <v>4.2713999999999999</v>
      </c>
      <c r="G222" s="26">
        <f>$C$32*C222</f>
        <v>2.9447999999999999</v>
      </c>
      <c r="H222" s="26">
        <f>$C$33*C222</f>
        <v>0.83340000000000003</v>
      </c>
      <c r="I222" s="27">
        <f>E217</f>
        <v>9.9503999999999984</v>
      </c>
      <c r="J222" s="27">
        <f>F217</f>
        <v>4.2713999999999999</v>
      </c>
      <c r="K222" s="27">
        <f>G217</f>
        <v>2.9447999999999999</v>
      </c>
      <c r="L222" s="27">
        <f>H217</f>
        <v>0.83340000000000003</v>
      </c>
      <c r="M222" s="28">
        <f>$M$220</f>
        <v>6</v>
      </c>
      <c r="N222" s="29">
        <f>$N$220</f>
        <v>10</v>
      </c>
      <c r="O222" s="28">
        <f>$O$220</f>
        <v>0</v>
      </c>
      <c r="P222" s="28">
        <f>$P$220</f>
        <v>0</v>
      </c>
      <c r="Q222" s="28">
        <f>SUM(M222:P222)</f>
        <v>16</v>
      </c>
      <c r="R222" s="22">
        <f>MAX(R221-($J$30*M222*$L$33)+I222,0)</f>
        <v>131.82518460852768</v>
      </c>
      <c r="S222" s="22">
        <f>IF(U222&lt;&gt;0,(MAX(S221-($J$31*N222*$L$33)+J222,0)),(MAX(S221-($J$31*(N222+P222)*$L$33)+J222,0)))</f>
        <v>0</v>
      </c>
      <c r="T222" s="22">
        <f>MAX(T221-($J$32*O222*$L$33)+K222,0)</f>
        <v>8.8343999999999987</v>
      </c>
      <c r="U222" s="22">
        <f>MAX(U221-($J$33*P222*$L$33)+L222,0)</f>
        <v>2.5002</v>
      </c>
      <c r="V222" s="21">
        <f>IFERROR(R222*($I$30/M222),0)</f>
        <v>8.8731531759999971</v>
      </c>
      <c r="W222" s="21">
        <f>IFERROR(S222*($I$31/N222),0)</f>
        <v>0</v>
      </c>
      <c r="X222" s="21">
        <f>IFERROR(T222*($I$32/O222),0)</f>
        <v>0</v>
      </c>
      <c r="Y222" s="21">
        <f>IFERROR(U222*($I$33/P222),0)</f>
        <v>0</v>
      </c>
      <c r="Z222" s="221">
        <f>ROUNDUP(SUM(V222*$C$30,W222*$C$31,X222*$C$32,Y222*$C$33),0)</f>
        <v>5</v>
      </c>
      <c r="AA222" s="30">
        <f>IF(R222&lt;&gt;0,($J$30*M222*$L$33),0)</f>
        <v>12.628138463824097</v>
      </c>
      <c r="AB222" s="30">
        <f>IF(W222&lt;&gt;0,($J$31*N222*$L$33),0)</f>
        <v>0</v>
      </c>
      <c r="AC222" s="30">
        <f>IF(X222&lt;&gt;0,($J$32*O222*$L$33),0)</f>
        <v>0</v>
      </c>
      <c r="AD222" s="30">
        <f>IF(Y222&lt;&gt;0,($J$33*P222*$L$33),0)</f>
        <v>0</v>
      </c>
      <c r="AE222" s="32">
        <f>SUM(AA222:AD222)</f>
        <v>12.628138463824097</v>
      </c>
      <c r="AF222" s="33">
        <f>AE218</f>
        <v>0</v>
      </c>
      <c r="AG222" s="40">
        <f>MAX(AG221-$Q$33+AF222,0)</f>
        <v>0</v>
      </c>
      <c r="AH222" s="224">
        <f>AG222*$P$33</f>
        <v>0</v>
      </c>
      <c r="AI222" s="227">
        <f>SUM(Z222,IF(Z222&lt;&gt;0,$F$31,0),IF(Z222&lt;&gt;0,$N$33,0),IF(Z222&lt;&gt;0,$T$33,0),IF(Z222=0,AH227,IF(Z222=1,AH228,IF(Z222=2,AH229,IF(Z222=3,AH230,IF(Z222=4,AH231,IF(Z222=5,AH232,IF(Z222=6,AH233,IF(Z222=7,AH234,IF(Z222=8,AH235,IF(Z222=9,AH236,IF(Z222=10,AH237,IF(Z222=11,AH238,IF(Z222=12,AH239,IF(Z222=13,AH240,IF(Z222=14,AH241,IF(Z222=15,AH242,IF(Z222=16,AH243,IF(Z222=17,AH244,IF(Z222=18,AH245,IF(Z222=19,AH246,IF(Z222=20,AH247,IF(Z222=21,AH248,IF(Z222=22,AH249,IF(Z222=23,AH250,IF(Z222=24,AH251,IF(Z222=25,AH252,IF(Z222=26,AH253,IF(Z222=27,AH254,IF(Z222=28,AH255,IF(Z222=29,AH256,IF(Z222=30,AH257))))))))))))))))))))))))))))))))</f>
        <v>26.531944318670892</v>
      </c>
    </row>
    <row r="223" spans="1:35" x14ac:dyDescent="0.35">
      <c r="A223" s="48">
        <v>1604</v>
      </c>
      <c r="B223" s="58">
        <f>SUMIF([2]!Table2_23[ETA],'FIS Optimal Model (3)'!A223,[2]!Table2_23[FIS PAX])</f>
        <v>0</v>
      </c>
      <c r="C223" s="44">
        <f>IF((D222-D223)&gt;-1,(D222-D223),18)</f>
        <v>18</v>
      </c>
      <c r="D223" s="52">
        <f>MAX(D222-$E$31+B222,0)</f>
        <v>350</v>
      </c>
      <c r="E223" s="26">
        <f>$C$30*C223</f>
        <v>9.9503999999999984</v>
      </c>
      <c r="F223" s="26">
        <f>$C$31*C223</f>
        <v>4.2713999999999999</v>
      </c>
      <c r="G223" s="26">
        <f>$C$32*C223</f>
        <v>2.9447999999999999</v>
      </c>
      <c r="H223" s="26">
        <f>$C$33*C223</f>
        <v>0.83340000000000003</v>
      </c>
      <c r="I223" s="27">
        <f>E218</f>
        <v>9.9503999999999984</v>
      </c>
      <c r="J223" s="27">
        <f>F218</f>
        <v>4.2713999999999999</v>
      </c>
      <c r="K223" s="27">
        <f>G218</f>
        <v>2.9447999999999999</v>
      </c>
      <c r="L223" s="27">
        <f>H218</f>
        <v>0.83340000000000003</v>
      </c>
      <c r="M223" s="28">
        <f>$M$220</f>
        <v>6</v>
      </c>
      <c r="N223" s="29">
        <f>$N$220</f>
        <v>10</v>
      </c>
      <c r="O223" s="28">
        <f>$O$220</f>
        <v>0</v>
      </c>
      <c r="P223" s="28">
        <f>$P$220</f>
        <v>0</v>
      </c>
      <c r="Q223" s="28">
        <f>SUM(M223:P223)</f>
        <v>16</v>
      </c>
      <c r="R223" s="22">
        <f>MAX(R222-($J$30*M223*$L$33)+I223,0)</f>
        <v>129.14744614470357</v>
      </c>
      <c r="S223" s="22">
        <f>IF(U223&lt;&gt;0,(MAX(S222-($J$31*N223*$L$33)+J223,0)),(MAX(S222-($J$31*(N223+P223)*$L$33)+J223,0)))</f>
        <v>0</v>
      </c>
      <c r="T223" s="22">
        <f>MAX(T222-($J$32*O223*$L$33)+K223,0)</f>
        <v>11.779199999999999</v>
      </c>
      <c r="U223" s="22">
        <f>MAX(U222-($J$33*P223*$L$33)+L223,0)</f>
        <v>3.3336000000000001</v>
      </c>
      <c r="V223" s="21">
        <f>IFERROR(R223*($I$30/M223),0)</f>
        <v>8.6929145999999964</v>
      </c>
      <c r="W223" s="21">
        <f>IFERROR(S223*($I$31/N223),0)</f>
        <v>0</v>
      </c>
      <c r="X223" s="21">
        <f>IFERROR(T223*($I$32/O223),0)</f>
        <v>0</v>
      </c>
      <c r="Y223" s="21">
        <f>IFERROR(U223*($I$33/P223),0)</f>
        <v>0</v>
      </c>
      <c r="Z223" s="221">
        <f>ROUNDUP(SUM(V223*$C$30,W223*$C$31,X223*$C$32,Y223*$C$33),0)</f>
        <v>5</v>
      </c>
      <c r="AA223" s="30">
        <f>IF(R223&lt;&gt;0,($J$30*M223*$L$33),0)</f>
        <v>12.628138463824097</v>
      </c>
      <c r="AB223" s="30">
        <f>IF(W223&lt;&gt;0,($J$31*N223*$L$33),0)</f>
        <v>0</v>
      </c>
      <c r="AC223" s="30">
        <f>IF(X223&lt;&gt;0,($J$32*O223*$L$33),0)</f>
        <v>0</v>
      </c>
      <c r="AD223" s="30">
        <f>IF(Y223&lt;&gt;0,($J$33*P223*$L$33),0)</f>
        <v>0</v>
      </c>
      <c r="AE223" s="32">
        <f>SUM(AA223:AD223)</f>
        <v>12.628138463824097</v>
      </c>
      <c r="AF223" s="33">
        <f>AE219</f>
        <v>0</v>
      </c>
      <c r="AG223" s="40">
        <f>MAX(AG222-$Q$33+AF223,0)</f>
        <v>0</v>
      </c>
      <c r="AH223" s="224">
        <f>AG223*$P$33</f>
        <v>0</v>
      </c>
      <c r="AI223" s="227">
        <f>SUM(Z223,IF(Z223&lt;&gt;0,$F$31,0),IF(Z223&lt;&gt;0,$N$33,0),IF(Z223&lt;&gt;0,$T$33,0),IF(Z223=0,AH228,IF(Z223=1,AH229,IF(Z223=2,AH230,IF(Z223=3,AH231,IF(Z223=4,AH232,IF(Z223=5,AH233,IF(Z223=6,AH234,IF(Z223=7,AH235,IF(Z223=8,AH236,IF(Z223=9,AH237,IF(Z223=10,AH238,IF(Z223=11,AH239,IF(Z223=12,AH240,IF(Z223=13,AH241,IF(Z223=14,AH242,IF(Z223=15,AH243,IF(Z223=16,AH244,IF(Z223=17,AH245,IF(Z223=18,AH246,IF(Z223=19,AH247,IF(Z223=20,AH248,IF(Z223=21,AH249,IF(Z223=22,AH250,IF(Z223=23,AH251,IF(Z223=24,AH252,IF(Z223=25,AH253,IF(Z223=26,AH254,IF(Z223=27,AH255,IF(Z223=28,AH256,IF(Z223=29,AH257,IF(Z223=30,AH258))))))))))))))))))))))))))))))))</f>
        <v>26.591049242967657</v>
      </c>
    </row>
    <row r="224" spans="1:35" x14ac:dyDescent="0.35">
      <c r="A224" s="48">
        <v>1605</v>
      </c>
      <c r="B224" s="58">
        <f>SUMIF([2]!Table2_23[ETA],'FIS Optimal Model (3)'!A224,[2]!Table2_23[FIS PAX])</f>
        <v>0</v>
      </c>
      <c r="C224" s="44">
        <f>IF((D223-D224)&gt;-1,(D223-D224),18)</f>
        <v>18</v>
      </c>
      <c r="D224" s="52">
        <f>MAX(D223-$E$31+B223,0)</f>
        <v>332</v>
      </c>
      <c r="E224" s="26">
        <f>$C$30*C224</f>
        <v>9.9503999999999984</v>
      </c>
      <c r="F224" s="26">
        <f>$C$31*C224</f>
        <v>4.2713999999999999</v>
      </c>
      <c r="G224" s="26">
        <f>$C$32*C224</f>
        <v>2.9447999999999999</v>
      </c>
      <c r="H224" s="26">
        <f>$C$33*C224</f>
        <v>0.83340000000000003</v>
      </c>
      <c r="I224" s="27">
        <f>E219</f>
        <v>9.9503999999999984</v>
      </c>
      <c r="J224" s="27">
        <f>F219</f>
        <v>4.2713999999999999</v>
      </c>
      <c r="K224" s="27">
        <f>G219</f>
        <v>2.9447999999999999</v>
      </c>
      <c r="L224" s="27">
        <f>H219</f>
        <v>0.83340000000000003</v>
      </c>
      <c r="M224" s="28">
        <f>$M$220</f>
        <v>6</v>
      </c>
      <c r="N224" s="29">
        <f>$N$220</f>
        <v>10</v>
      </c>
      <c r="O224" s="28">
        <f>$O$220</f>
        <v>0</v>
      </c>
      <c r="P224" s="28">
        <f>$P$220</f>
        <v>0</v>
      </c>
      <c r="Q224" s="28">
        <f>SUM(M224:P224)</f>
        <v>16</v>
      </c>
      <c r="R224" s="22">
        <f>MAX(R223-($J$30*M224*$L$33)+I224,0)</f>
        <v>126.46970768087947</v>
      </c>
      <c r="S224" s="22">
        <f>IF(U224&lt;&gt;0,(MAX(S223-($J$31*N224*$L$33)+J224,0)),(MAX(S223-($J$31*(N224+P224)*$L$33)+J224,0)))</f>
        <v>0</v>
      </c>
      <c r="T224" s="22">
        <f>MAX(T223-($J$32*O224*$L$33)+K224,0)</f>
        <v>14.724</v>
      </c>
      <c r="U224" s="22">
        <f>MAX(U223-($J$33*P224*$L$33)+L224,0)</f>
        <v>4.1669999999999998</v>
      </c>
      <c r="V224" s="21">
        <f>IFERROR(R224*($I$30/M224),0)</f>
        <v>8.5126760239999957</v>
      </c>
      <c r="W224" s="21">
        <f>IFERROR(S224*($I$31/N224),0)</f>
        <v>0</v>
      </c>
      <c r="X224" s="21">
        <f>IFERROR(T224*($I$32/O224),0)</f>
        <v>0</v>
      </c>
      <c r="Y224" s="21">
        <f>IFERROR(U224*($I$33/P224),0)</f>
        <v>0</v>
      </c>
      <c r="Z224" s="221">
        <f>ROUNDUP(SUM(V224*$C$30,W224*$C$31,X224*$C$32,Y224*$C$33),0)</f>
        <v>5</v>
      </c>
      <c r="AA224" s="30">
        <f>IF(R224&lt;&gt;0,($J$30*M224*$L$33),0)</f>
        <v>12.628138463824097</v>
      </c>
      <c r="AB224" s="30">
        <f>IF(W224&lt;&gt;0,($J$31*N224*$L$33),0)</f>
        <v>0</v>
      </c>
      <c r="AC224" s="30">
        <f>IF(X224&lt;&gt;0,($J$32*O224*$L$33),0)</f>
        <v>0</v>
      </c>
      <c r="AD224" s="30">
        <f>IF(Y224&lt;&gt;0,($J$33*P224*$L$33),0)</f>
        <v>0</v>
      </c>
      <c r="AE224" s="32">
        <f>SUM(AA224:AD224)</f>
        <v>12.628138463824097</v>
      </c>
      <c r="AF224" s="33">
        <f>AE220</f>
        <v>12.628138463824097</v>
      </c>
      <c r="AG224" s="40">
        <f>MAX(AG223-$Q$33+AF224,0)</f>
        <v>0.70473203437231646</v>
      </c>
      <c r="AH224" s="224">
        <f>AG224*$P$33</f>
        <v>5.9104924296765664E-2</v>
      </c>
      <c r="AI224" s="227">
        <f>SUM(Z224,IF(Z224&lt;&gt;0,$F$31,0),IF(Z224&lt;&gt;0,$N$33,0),IF(Z224&lt;&gt;0,$T$33,0),IF(Z224=0,AH229,IF(Z224=1,AH230,IF(Z224=2,AH231,IF(Z224=3,AH232,IF(Z224=4,AH233,IF(Z224=5,AH234,IF(Z224=6,AH235,IF(Z224=7,AH236,IF(Z224=8,AH237,IF(Z224=9,AH238,IF(Z224=10,AH239,IF(Z224=11,AH240,IF(Z224=12,AH241,IF(Z224=13,AH242,IF(Z224=14,AH243,IF(Z224=15,AH244,IF(Z224=16,AH245,IF(Z224=17,AH246,IF(Z224=18,AH247,IF(Z224=19,AH248,IF(Z224=20,AH249,IF(Z224=21,AH250,IF(Z224=22,AH251,IF(Z224=23,AH252,IF(Z224=24,AH253,IF(Z224=25,AH254,IF(Z224=26,AH255,IF(Z224=27,AH256,IF(Z224=28,AH257,IF(Z224=29,AH258,IF(Z224=30,AH259))))))))))))))))))))))))))))))))</f>
        <v>26.650154167264422</v>
      </c>
    </row>
    <row r="225" spans="1:35" x14ac:dyDescent="0.35">
      <c r="A225" s="48">
        <v>1606</v>
      </c>
      <c r="B225" s="58">
        <f>SUMIF([2]!Table2_23[ETA],'FIS Optimal Model (3)'!A225,[2]!Table2_23[FIS PAX])</f>
        <v>0</v>
      </c>
      <c r="C225" s="44">
        <f>IF((D224-D225)&gt;-1,(D224-D225),18)</f>
        <v>18</v>
      </c>
      <c r="D225" s="52">
        <f>MAX(D224-$E$31+B224,0)</f>
        <v>314</v>
      </c>
      <c r="E225" s="26">
        <f>$C$30*C225</f>
        <v>9.9503999999999984</v>
      </c>
      <c r="F225" s="26">
        <f>$C$31*C225</f>
        <v>4.2713999999999999</v>
      </c>
      <c r="G225" s="26">
        <f>$C$32*C225</f>
        <v>2.9447999999999999</v>
      </c>
      <c r="H225" s="26">
        <f>$C$33*C225</f>
        <v>0.83340000000000003</v>
      </c>
      <c r="I225" s="27">
        <f>E220</f>
        <v>9.9503999999999984</v>
      </c>
      <c r="J225" s="27">
        <f>F220</f>
        <v>4.2713999999999999</v>
      </c>
      <c r="K225" s="27">
        <f>G220</f>
        <v>2.9447999999999999</v>
      </c>
      <c r="L225" s="27">
        <f>H220</f>
        <v>0.83340000000000003</v>
      </c>
      <c r="M225" s="28">
        <f>$M$220</f>
        <v>6</v>
      </c>
      <c r="N225" s="29">
        <f>$N$220</f>
        <v>10</v>
      </c>
      <c r="O225" s="28">
        <f>$O$220</f>
        <v>0</v>
      </c>
      <c r="P225" s="28">
        <f>$P$220</f>
        <v>0</v>
      </c>
      <c r="Q225" s="28">
        <f>SUM(M225:P225)</f>
        <v>16</v>
      </c>
      <c r="R225" s="22">
        <f>MAX(R224-($J$30*M225*$L$33)+I225,0)</f>
        <v>123.79196921705537</v>
      </c>
      <c r="S225" s="22">
        <f>IF(U225&lt;&gt;0,(MAX(S224-($J$31*N225*$L$33)+J225,0)),(MAX(S224-($J$31*(N225+P225)*$L$33)+J225,0)))</f>
        <v>0</v>
      </c>
      <c r="T225" s="22">
        <f>MAX(T224-($J$32*O225*$L$33)+K225,0)</f>
        <v>17.668800000000001</v>
      </c>
      <c r="U225" s="22">
        <f>MAX(U224-($J$33*P225*$L$33)+L225,0)</f>
        <v>5.0004</v>
      </c>
      <c r="V225" s="21">
        <f>IFERROR(R225*($I$30/M225),0)</f>
        <v>8.3324374479999967</v>
      </c>
      <c r="W225" s="21">
        <f>IFERROR(S225*($I$31/N225),0)</f>
        <v>0</v>
      </c>
      <c r="X225" s="21">
        <f>IFERROR(T225*($I$32/O225),0)</f>
        <v>0</v>
      </c>
      <c r="Y225" s="21">
        <f>IFERROR(U225*($I$33/P225),0)</f>
        <v>0</v>
      </c>
      <c r="Z225" s="221">
        <f>ROUNDUP(SUM(V225*$C$30,W225*$C$31,X225*$C$32,Y225*$C$33),0)</f>
        <v>5</v>
      </c>
      <c r="AA225" s="30">
        <f>IF(R225&lt;&gt;0,($J$30*M225*$L$33),0)</f>
        <v>12.628138463824097</v>
      </c>
      <c r="AB225" s="30">
        <f>IF(W225&lt;&gt;0,($J$31*N225*$L$33),0)</f>
        <v>0</v>
      </c>
      <c r="AC225" s="30">
        <f>IF(X225&lt;&gt;0,($J$32*O225*$L$33),0)</f>
        <v>0</v>
      </c>
      <c r="AD225" s="30">
        <f>IF(Y225&lt;&gt;0,($J$33*P225*$L$33),0)</f>
        <v>0</v>
      </c>
      <c r="AE225" s="32">
        <f>SUM(AA225:AD225)</f>
        <v>12.628138463824097</v>
      </c>
      <c r="AF225" s="33">
        <f>AE221</f>
        <v>12.628138463824097</v>
      </c>
      <c r="AG225" s="40">
        <f>MAX(AG224-$Q$33+AF225,0)</f>
        <v>1.4094640687446329</v>
      </c>
      <c r="AH225" s="224">
        <f>AG225*$P$33</f>
        <v>0.11820984859353133</v>
      </c>
      <c r="AI225" s="227">
        <f>SUM(Z225,IF(Z225&lt;&gt;0,$F$31,0),IF(Z225&lt;&gt;0,$N$33,0),IF(Z225&lt;&gt;0,$T$33,0),IF(Z225=0,AH230,IF(Z225=1,AH231,IF(Z225=2,AH232,IF(Z225=3,AH233,IF(Z225=4,AH234,IF(Z225=5,AH235,IF(Z225=6,AH236,IF(Z225=7,AH237,IF(Z225=8,AH238,IF(Z225=9,AH239,IF(Z225=10,AH240,IF(Z225=11,AH241,IF(Z225=12,AH242,IF(Z225=13,AH243,IF(Z225=14,AH244,IF(Z225=15,AH245,IF(Z225=16,AH246,IF(Z225=17,AH247,IF(Z225=18,AH248,IF(Z225=19,AH249,IF(Z225=20,AH250,IF(Z225=21,AH251,IF(Z225=22,AH252,IF(Z225=23,AH253,IF(Z225=24,AH254,IF(Z225=25,AH255,IF(Z225=26,AH256,IF(Z225=27,AH257,IF(Z225=28,AH258,IF(Z225=29,AH259,IF(Z225=30,AH260))))))))))))))))))))))))))))))))</f>
        <v>26.709259091561186</v>
      </c>
    </row>
    <row r="226" spans="1:35" x14ac:dyDescent="0.35">
      <c r="A226" s="48">
        <v>1607</v>
      </c>
      <c r="B226" s="58">
        <f>SUMIF([2]!Table2_23[ETA],'FIS Optimal Model (3)'!A226,[2]!Table2_23[FIS PAX])</f>
        <v>0</v>
      </c>
      <c r="C226" s="44">
        <f>IF((D225-D226)&gt;-1,(D225-D226),18)</f>
        <v>18</v>
      </c>
      <c r="D226" s="52">
        <f>MAX(D225-$E$31+B225,0)</f>
        <v>296</v>
      </c>
      <c r="E226" s="26">
        <f>$C$30*C226</f>
        <v>9.9503999999999984</v>
      </c>
      <c r="F226" s="26">
        <f>$C$31*C226</f>
        <v>4.2713999999999999</v>
      </c>
      <c r="G226" s="26">
        <f>$C$32*C226</f>
        <v>2.9447999999999999</v>
      </c>
      <c r="H226" s="26">
        <f>$C$33*C226</f>
        <v>0.83340000000000003</v>
      </c>
      <c r="I226" s="27">
        <f>E221</f>
        <v>9.9503999999999984</v>
      </c>
      <c r="J226" s="27">
        <f>F221</f>
        <v>4.2713999999999999</v>
      </c>
      <c r="K226" s="27">
        <f>G221</f>
        <v>2.9447999999999999</v>
      </c>
      <c r="L226" s="27">
        <f>H221</f>
        <v>0.83340000000000003</v>
      </c>
      <c r="M226" s="28">
        <f>$M$220</f>
        <v>6</v>
      </c>
      <c r="N226" s="29">
        <f>$N$220</f>
        <v>10</v>
      </c>
      <c r="O226" s="28">
        <f>$O$220</f>
        <v>0</v>
      </c>
      <c r="P226" s="28">
        <f>$P$220</f>
        <v>0</v>
      </c>
      <c r="Q226" s="28">
        <f>SUM(M226:P226)</f>
        <v>16</v>
      </c>
      <c r="R226" s="22">
        <f>MAX(R225-($J$30*M226*$L$33)+I226,0)</f>
        <v>121.11423075323127</v>
      </c>
      <c r="S226" s="22">
        <f>IF(U226&lt;&gt;0,(MAX(S225-($J$31*N226*$L$33)+J226,0)),(MAX(S225-($J$31*(N226+P226)*$L$33)+J226,0)))</f>
        <v>0</v>
      </c>
      <c r="T226" s="22">
        <f>MAX(T225-($J$32*O226*$L$33)+K226,0)</f>
        <v>20.613600000000002</v>
      </c>
      <c r="U226" s="22">
        <f>MAX(U225-($J$33*P226*$L$33)+L226,0)</f>
        <v>5.8338000000000001</v>
      </c>
      <c r="V226" s="21">
        <f>IFERROR(R226*($I$30/M226),0)</f>
        <v>8.152198871999996</v>
      </c>
      <c r="W226" s="21">
        <f>IFERROR(S226*($I$31/N226),0)</f>
        <v>0</v>
      </c>
      <c r="X226" s="21">
        <f>IFERROR(T226*($I$32/O226),0)</f>
        <v>0</v>
      </c>
      <c r="Y226" s="21">
        <f>IFERROR(U226*($I$33/P226),0)</f>
        <v>0</v>
      </c>
      <c r="Z226" s="221">
        <f>ROUNDUP(SUM(V226*$C$30,W226*$C$31,X226*$C$32,Y226*$C$33),0)</f>
        <v>5</v>
      </c>
      <c r="AA226" s="30">
        <f>IF(R226&lt;&gt;0,($J$30*M226*$L$33),0)</f>
        <v>12.628138463824097</v>
      </c>
      <c r="AB226" s="30">
        <f>IF(W226&lt;&gt;0,($J$31*N226*$L$33),0)</f>
        <v>0</v>
      </c>
      <c r="AC226" s="30">
        <f>IF(X226&lt;&gt;0,($J$32*O226*$L$33),0)</f>
        <v>0</v>
      </c>
      <c r="AD226" s="30">
        <f>IF(Y226&lt;&gt;0,($J$33*P226*$L$33),0)</f>
        <v>0</v>
      </c>
      <c r="AE226" s="32">
        <f>SUM(AA226:AD226)</f>
        <v>12.628138463824097</v>
      </c>
      <c r="AF226" s="33">
        <f>AE222</f>
        <v>12.628138463824097</v>
      </c>
      <c r="AG226" s="40">
        <f>MAX(AG225-$Q$33+AF226,0)</f>
        <v>2.1141961031169494</v>
      </c>
      <c r="AH226" s="224">
        <f>AG226*$P$33</f>
        <v>0.17731477289029698</v>
      </c>
      <c r="AI226" s="227">
        <f>SUM(Z226,IF(Z226&lt;&gt;0,$F$31,0),IF(Z226&lt;&gt;0,$N$33,0),IF(Z226&lt;&gt;0,$T$33,0),IF(Z226=0,AH231,IF(Z226=1,AH232,IF(Z226=2,AH233,IF(Z226=3,AH234,IF(Z226=4,AH235,IF(Z226=5,AH236,IF(Z226=6,AH237,IF(Z226=7,AH238,IF(Z226=8,AH239,IF(Z226=9,AH240,IF(Z226=10,AH241,IF(Z226=11,AH242,IF(Z226=12,AH243,IF(Z226=13,AH244,IF(Z226=14,AH245,IF(Z226=15,AH246,IF(Z226=16,AH247,IF(Z226=17,AH248,IF(Z226=18,AH249,IF(Z226=19,AH250,IF(Z226=20,AH251,IF(Z226=21,AH252,IF(Z226=22,AH253,IF(Z226=23,AH254,IF(Z226=24,AH255,IF(Z226=25,AH256,IF(Z226=26,AH257,IF(Z226=27,AH258,IF(Z226=28,AH259,IF(Z226=29,AH260,IF(Z226=30,AH261))))))))))))))))))))))))))))))))</f>
        <v>26.768364015857955</v>
      </c>
    </row>
    <row r="227" spans="1:35" x14ac:dyDescent="0.35">
      <c r="A227" s="48">
        <v>1608</v>
      </c>
      <c r="B227" s="58">
        <f>SUMIF([2]!Table2_23[ETA],'FIS Optimal Model (3)'!A227,[2]!Table2_23[FIS PAX])</f>
        <v>0</v>
      </c>
      <c r="C227" s="44">
        <f>IF((D226-D227)&gt;-1,(D226-D227),18)</f>
        <v>18</v>
      </c>
      <c r="D227" s="52">
        <f>MAX(D226-$E$31+B226,0)</f>
        <v>278</v>
      </c>
      <c r="E227" s="26">
        <f>$C$30*C227</f>
        <v>9.9503999999999984</v>
      </c>
      <c r="F227" s="26">
        <f>$C$31*C227</f>
        <v>4.2713999999999999</v>
      </c>
      <c r="G227" s="26">
        <f>$C$32*C227</f>
        <v>2.9447999999999999</v>
      </c>
      <c r="H227" s="26">
        <f>$C$33*C227</f>
        <v>0.83340000000000003</v>
      </c>
      <c r="I227" s="27">
        <f>E222</f>
        <v>9.9503999999999984</v>
      </c>
      <c r="J227" s="27">
        <f>F222</f>
        <v>4.2713999999999999</v>
      </c>
      <c r="K227" s="27">
        <f>G222</f>
        <v>2.9447999999999999</v>
      </c>
      <c r="L227" s="27">
        <f>H222</f>
        <v>0.83340000000000003</v>
      </c>
      <c r="M227" s="28">
        <f>$M$220</f>
        <v>6</v>
      </c>
      <c r="N227" s="29">
        <f>$N$220</f>
        <v>10</v>
      </c>
      <c r="O227" s="28">
        <f>$O$220</f>
        <v>0</v>
      </c>
      <c r="P227" s="28">
        <f>$P$220</f>
        <v>0</v>
      </c>
      <c r="Q227" s="28">
        <f>SUM(M227:P227)</f>
        <v>16</v>
      </c>
      <c r="R227" s="22">
        <f>MAX(R226-($J$30*M227*$L$33)+I227,0)</f>
        <v>118.43649228940717</v>
      </c>
      <c r="S227" s="22">
        <f>IF(U227&lt;&gt;0,(MAX(S226-($J$31*N227*$L$33)+J227,0)),(MAX(S226-($J$31*(N227+P227)*$L$33)+J227,0)))</f>
        <v>0</v>
      </c>
      <c r="T227" s="22">
        <f>MAX(T226-($J$32*O227*$L$33)+K227,0)</f>
        <v>23.558400000000002</v>
      </c>
      <c r="U227" s="22">
        <f>MAX(U226-($J$33*P227*$L$33)+L227,0)</f>
        <v>6.6672000000000002</v>
      </c>
      <c r="V227" s="21">
        <f>IFERROR(R227*($I$30/M227),0)</f>
        <v>7.9719602959999962</v>
      </c>
      <c r="W227" s="21">
        <f>IFERROR(S227*($I$31/N227),0)</f>
        <v>0</v>
      </c>
      <c r="X227" s="21">
        <f>IFERROR(T227*($I$32/O227),0)</f>
        <v>0</v>
      </c>
      <c r="Y227" s="21">
        <f>IFERROR(U227*($I$33/P227),0)</f>
        <v>0</v>
      </c>
      <c r="Z227" s="221">
        <f>ROUNDUP(SUM(V227*$C$30,W227*$C$31,X227*$C$32,Y227*$C$33),0)</f>
        <v>5</v>
      </c>
      <c r="AA227" s="30">
        <f>IF(R227&lt;&gt;0,($J$30*M227*$L$33),0)</f>
        <v>12.628138463824097</v>
      </c>
      <c r="AB227" s="30">
        <f>IF(W227&lt;&gt;0,($J$31*N227*$L$33),0)</f>
        <v>0</v>
      </c>
      <c r="AC227" s="30">
        <f>IF(X227&lt;&gt;0,($J$32*O227*$L$33),0)</f>
        <v>0</v>
      </c>
      <c r="AD227" s="30">
        <f>IF(Y227&lt;&gt;0,($J$33*P227*$L$33),0)</f>
        <v>0</v>
      </c>
      <c r="AE227" s="32">
        <f>SUM(AA227:AD227)</f>
        <v>12.628138463824097</v>
      </c>
      <c r="AF227" s="33">
        <f>AE223</f>
        <v>12.628138463824097</v>
      </c>
      <c r="AG227" s="40">
        <f>MAX(AG226-$Q$33+AF227,0)</f>
        <v>2.8189281374892659</v>
      </c>
      <c r="AH227" s="224">
        <f>AG227*$P$33</f>
        <v>0.23641969718706266</v>
      </c>
      <c r="AI227" s="227">
        <f>SUM(Z227,IF(Z227&lt;&gt;0,$F$31,0),IF(Z227&lt;&gt;0,$N$33,0),IF(Z227&lt;&gt;0,$T$33,0),IF(Z227=0,AH232,IF(Z227=1,AH233,IF(Z227=2,AH234,IF(Z227=3,AH235,IF(Z227=4,AH236,IF(Z227=5,AH237,IF(Z227=6,AH238,IF(Z227=7,AH239,IF(Z227=8,AH240,IF(Z227=9,AH241,IF(Z227=10,AH242,IF(Z227=11,AH243,IF(Z227=12,AH244,IF(Z227=13,AH245,IF(Z227=14,AH246,IF(Z227=15,AH247,IF(Z227=16,AH248,IF(Z227=17,AH249,IF(Z227=18,AH250,IF(Z227=19,AH251,IF(Z227=20,AH252,IF(Z227=21,AH253,IF(Z227=22,AH254,IF(Z227=23,AH255,IF(Z227=24,AH256,IF(Z227=25,AH257,IF(Z227=26,AH258,IF(Z227=27,AH259,IF(Z227=28,AH260,IF(Z227=29,AH261,IF(Z227=30,AH262))))))))))))))))))))))))))))))))</f>
        <v>26.82746894015472</v>
      </c>
    </row>
    <row r="228" spans="1:35" x14ac:dyDescent="0.35">
      <c r="A228" s="48">
        <v>1609</v>
      </c>
      <c r="B228" s="58">
        <f>SUMIF([2]!Table2_23[ETA],'FIS Optimal Model (3)'!A228,[2]!Table2_23[FIS PAX])</f>
        <v>0</v>
      </c>
      <c r="C228" s="44">
        <f>IF((D227-D228)&gt;-1,(D227-D228),18)</f>
        <v>18</v>
      </c>
      <c r="D228" s="52">
        <f>MAX(D227-$E$31+B227,0)</f>
        <v>260</v>
      </c>
      <c r="E228" s="26">
        <f>$C$30*C228</f>
        <v>9.9503999999999984</v>
      </c>
      <c r="F228" s="26">
        <f>$C$31*C228</f>
        <v>4.2713999999999999</v>
      </c>
      <c r="G228" s="26">
        <f>$C$32*C228</f>
        <v>2.9447999999999999</v>
      </c>
      <c r="H228" s="26">
        <f>$C$33*C228</f>
        <v>0.83340000000000003</v>
      </c>
      <c r="I228" s="27">
        <f>E223</f>
        <v>9.9503999999999984</v>
      </c>
      <c r="J228" s="27">
        <f>F223</f>
        <v>4.2713999999999999</v>
      </c>
      <c r="K228" s="27">
        <f>G223</f>
        <v>2.9447999999999999</v>
      </c>
      <c r="L228" s="27">
        <f>H223</f>
        <v>0.83340000000000003</v>
      </c>
      <c r="M228" s="28">
        <f>$M$220</f>
        <v>6</v>
      </c>
      <c r="N228" s="29">
        <f>$N$220</f>
        <v>10</v>
      </c>
      <c r="O228" s="28">
        <f>$O$220</f>
        <v>0</v>
      </c>
      <c r="P228" s="28">
        <f>$P$220</f>
        <v>0</v>
      </c>
      <c r="Q228" s="28">
        <f>SUM(M228:P228)</f>
        <v>16</v>
      </c>
      <c r="R228" s="22">
        <f>MAX(R227-($J$30*M228*$L$33)+I228,0)</f>
        <v>115.75875382558307</v>
      </c>
      <c r="S228" s="22">
        <f>IF(U228&lt;&gt;0,(MAX(S227-($J$31*N228*$L$33)+J228,0)),(MAX(S227-($J$31*(N228+P228)*$L$33)+J228,0)))</f>
        <v>0</v>
      </c>
      <c r="T228" s="22">
        <f>MAX(T227-($J$32*O228*$L$33)+K228,0)</f>
        <v>26.503200000000003</v>
      </c>
      <c r="U228" s="22">
        <f>MAX(U227-($J$33*P228*$L$33)+L228,0)</f>
        <v>7.5006000000000004</v>
      </c>
      <c r="V228" s="21">
        <f>IFERROR(R228*($I$30/M228),0)</f>
        <v>7.7917217199999955</v>
      </c>
      <c r="W228" s="21">
        <f>IFERROR(S228*($I$31/N228),0)</f>
        <v>0</v>
      </c>
      <c r="X228" s="21">
        <f>IFERROR(T228*($I$32/O228),0)</f>
        <v>0</v>
      </c>
      <c r="Y228" s="21">
        <f>IFERROR(U228*($I$33/P228),0)</f>
        <v>0</v>
      </c>
      <c r="Z228" s="221">
        <f>ROUNDUP(SUM(V228*$C$30,W228*$C$31,X228*$C$32,Y228*$C$33),0)</f>
        <v>5</v>
      </c>
      <c r="AA228" s="30">
        <f>IF(R228&lt;&gt;0,($J$30*M228*$L$33),0)</f>
        <v>12.628138463824097</v>
      </c>
      <c r="AB228" s="30">
        <f>IF(W228&lt;&gt;0,($J$31*N228*$L$33),0)</f>
        <v>0</v>
      </c>
      <c r="AC228" s="30">
        <f>IF(X228&lt;&gt;0,($J$32*O228*$L$33),0)</f>
        <v>0</v>
      </c>
      <c r="AD228" s="30">
        <f>IF(Y228&lt;&gt;0,($J$33*P228*$L$33),0)</f>
        <v>0</v>
      </c>
      <c r="AE228" s="32">
        <f>SUM(AA228:AD228)</f>
        <v>12.628138463824097</v>
      </c>
      <c r="AF228" s="33">
        <f>AE224</f>
        <v>12.628138463824097</v>
      </c>
      <c r="AG228" s="40">
        <f>MAX(AG227-$Q$33+AF228,0)</f>
        <v>3.5236601718615823</v>
      </c>
      <c r="AH228" s="224">
        <f>AG228*$P$33</f>
        <v>0.2955246214838283</v>
      </c>
      <c r="AI228" s="227">
        <f>SUM(Z228,IF(Z228&lt;&gt;0,$F$31,0),IF(Z228&lt;&gt;0,$N$33,0),IF(Z228&lt;&gt;0,$T$33,0),IF(Z228=0,AH233,IF(Z228=1,AH234,IF(Z228=2,AH235,IF(Z228=3,AH236,IF(Z228=4,AH237,IF(Z228=5,AH238,IF(Z228=6,AH239,IF(Z228=7,AH240,IF(Z228=8,AH241,IF(Z228=9,AH242,IF(Z228=10,AH243,IF(Z228=11,AH244,IF(Z228=12,AH245,IF(Z228=13,AH246,IF(Z228=14,AH247,IF(Z228=15,AH248,IF(Z228=16,AH249,IF(Z228=17,AH250,IF(Z228=18,AH251,IF(Z228=19,AH252,IF(Z228=20,AH253,IF(Z228=21,AH254,IF(Z228=22,AH255,IF(Z228=23,AH256,IF(Z228=24,AH257,IF(Z228=25,AH258,IF(Z228=26,AH259,IF(Z228=27,AH260,IF(Z228=28,AH261,IF(Z228=29,AH262,IF(Z228=30,AH263))))))))))))))))))))))))))))))))</f>
        <v>26.886573864451485</v>
      </c>
    </row>
    <row r="229" spans="1:35" x14ac:dyDescent="0.35">
      <c r="A229" s="48">
        <v>1610</v>
      </c>
      <c r="B229" s="58">
        <f>SUMIF([2]!Table2_23[ETA],'FIS Optimal Model (3)'!A229,[2]!Table2_23[FIS PAX])</f>
        <v>0</v>
      </c>
      <c r="C229" s="44">
        <f>IF((D228-D229)&gt;-1,(D228-D229),18)</f>
        <v>18</v>
      </c>
      <c r="D229" s="52">
        <f>MAX(D228-$E$31+B228,0)</f>
        <v>242</v>
      </c>
      <c r="E229" s="26">
        <f>$C$30*C229</f>
        <v>9.9503999999999984</v>
      </c>
      <c r="F229" s="26">
        <f>$C$31*C229</f>
        <v>4.2713999999999999</v>
      </c>
      <c r="G229" s="26">
        <f>$C$32*C229</f>
        <v>2.9447999999999999</v>
      </c>
      <c r="H229" s="26">
        <f>$C$33*C229</f>
        <v>0.83340000000000003</v>
      </c>
      <c r="I229" s="27">
        <f>E224</f>
        <v>9.9503999999999984</v>
      </c>
      <c r="J229" s="27">
        <f>F224</f>
        <v>4.2713999999999999</v>
      </c>
      <c r="K229" s="27">
        <f>G224</f>
        <v>2.9447999999999999</v>
      </c>
      <c r="L229" s="27">
        <f>H224</f>
        <v>0.83340000000000003</v>
      </c>
      <c r="M229" s="28">
        <f>$M$220</f>
        <v>6</v>
      </c>
      <c r="N229" s="29">
        <f>$N$220</f>
        <v>10</v>
      </c>
      <c r="O229" s="28">
        <f>$O$220</f>
        <v>0</v>
      </c>
      <c r="P229" s="28">
        <f>$P$220</f>
        <v>0</v>
      </c>
      <c r="Q229" s="28">
        <f>SUM(M229:P229)</f>
        <v>16</v>
      </c>
      <c r="R229" s="22">
        <f>MAX(R228-($J$30*M229*$L$33)+I229,0)</f>
        <v>113.08101536175897</v>
      </c>
      <c r="S229" s="22">
        <f>IF(U229&lt;&gt;0,(MAX(S228-($J$31*N229*$L$33)+J229,0)),(MAX(S228-($J$31*(N229+P229)*$L$33)+J229,0)))</f>
        <v>0</v>
      </c>
      <c r="T229" s="22">
        <f>MAX(T228-($J$32*O229*$L$33)+K229,0)</f>
        <v>29.448000000000004</v>
      </c>
      <c r="U229" s="22">
        <f>MAX(U228-($J$33*P229*$L$33)+L229,0)</f>
        <v>8.3339999999999996</v>
      </c>
      <c r="V229" s="21">
        <f>IFERROR(R229*($I$30/M229),0)</f>
        <v>7.6114831439999957</v>
      </c>
      <c r="W229" s="21">
        <f>IFERROR(S229*($I$31/N229),0)</f>
        <v>0</v>
      </c>
      <c r="X229" s="21">
        <f>IFERROR(T229*($I$32/O229),0)</f>
        <v>0</v>
      </c>
      <c r="Y229" s="21">
        <f>IFERROR(U229*($I$33/P229),0)</f>
        <v>0</v>
      </c>
      <c r="Z229" s="221">
        <f>ROUNDUP(SUM(V229*$C$30,W229*$C$31,X229*$C$32,Y229*$C$33),0)</f>
        <v>5</v>
      </c>
      <c r="AA229" s="30">
        <f>IF(R229&lt;&gt;0,($J$30*M229*$L$33),0)</f>
        <v>12.628138463824097</v>
      </c>
      <c r="AB229" s="30">
        <f>IF(W229&lt;&gt;0,($J$31*N229*$L$33),0)</f>
        <v>0</v>
      </c>
      <c r="AC229" s="30">
        <f>IF(X229&lt;&gt;0,($J$32*O229*$L$33),0)</f>
        <v>0</v>
      </c>
      <c r="AD229" s="30">
        <f>IF(Y229&lt;&gt;0,($J$33*P229*$L$33),0)</f>
        <v>0</v>
      </c>
      <c r="AE229" s="32">
        <f>SUM(AA229:AD229)</f>
        <v>12.628138463824097</v>
      </c>
      <c r="AF229" s="33">
        <f>AE225</f>
        <v>12.628138463824097</v>
      </c>
      <c r="AG229" s="40">
        <f>MAX(AG228-$Q$33+AF229,0)</f>
        <v>4.2283922062338988</v>
      </c>
      <c r="AH229" s="224">
        <f>AG229*$P$33</f>
        <v>0.35462954578059397</v>
      </c>
      <c r="AI229" s="227">
        <f>SUM(Z229,IF(Z229&lt;&gt;0,$F$31,0),IF(Z229&lt;&gt;0,$N$33,0),IF(Z229&lt;&gt;0,$T$33,0),IF(Z229=0,AH234,IF(Z229=1,AH235,IF(Z229=2,AH236,IF(Z229=3,AH237,IF(Z229=4,AH238,IF(Z229=5,AH239,IF(Z229=6,AH240,IF(Z229=7,AH241,IF(Z229=8,AH242,IF(Z229=9,AH243,IF(Z229=10,AH244,IF(Z229=11,AH245,IF(Z229=12,AH246,IF(Z229=13,AH247,IF(Z229=14,AH248,IF(Z229=15,AH249,IF(Z229=16,AH250,IF(Z229=17,AH251,IF(Z229=18,AH252,IF(Z229=19,AH253,IF(Z229=20,AH254,IF(Z229=21,AH255,IF(Z229=22,AH256,IF(Z229=23,AH257,IF(Z229=24,AH258,IF(Z229=25,AH259,IF(Z229=26,AH260,IF(Z229=27,AH261,IF(Z229=28,AH262,IF(Z229=29,AH263,IF(Z229=30,AH264))))))))))))))))))))))))))))))))</f>
        <v>27.919221056617292</v>
      </c>
    </row>
    <row r="230" spans="1:35" x14ac:dyDescent="0.35">
      <c r="A230" s="48">
        <v>1611</v>
      </c>
      <c r="B230" s="58">
        <f>SUMIF([2]!Table2_23[ETA],'FIS Optimal Model (3)'!A230,[2]!Table2_23[FIS PAX])</f>
        <v>0</v>
      </c>
      <c r="C230" s="44">
        <f>IF((D229-D230)&gt;-1,(D229-D230),18)</f>
        <v>18</v>
      </c>
      <c r="D230" s="52">
        <f>MAX(D229-$E$31+B229,0)</f>
        <v>224</v>
      </c>
      <c r="E230" s="26">
        <f>$C$30*C230</f>
        <v>9.9503999999999984</v>
      </c>
      <c r="F230" s="26">
        <f>$C$31*C230</f>
        <v>4.2713999999999999</v>
      </c>
      <c r="G230" s="26">
        <f>$C$32*C230</f>
        <v>2.9447999999999999</v>
      </c>
      <c r="H230" s="26">
        <f>$C$33*C230</f>
        <v>0.83340000000000003</v>
      </c>
      <c r="I230" s="27">
        <f>E225</f>
        <v>9.9503999999999984</v>
      </c>
      <c r="J230" s="27">
        <f>F225</f>
        <v>4.2713999999999999</v>
      </c>
      <c r="K230" s="27">
        <f>G225</f>
        <v>2.9447999999999999</v>
      </c>
      <c r="L230" s="27">
        <f>H225</f>
        <v>0.83340000000000003</v>
      </c>
      <c r="M230" s="28">
        <f>$M$220</f>
        <v>6</v>
      </c>
      <c r="N230" s="29">
        <f>$N$220</f>
        <v>10</v>
      </c>
      <c r="O230" s="28">
        <f>$O$220</f>
        <v>0</v>
      </c>
      <c r="P230" s="28">
        <f>$P$220</f>
        <v>0</v>
      </c>
      <c r="Q230" s="28">
        <f>SUM(M230:P230)</f>
        <v>16</v>
      </c>
      <c r="R230" s="22">
        <f>MAX(R229-($J$30*M230*$L$33)+I230,0)</f>
        <v>110.40327689793487</v>
      </c>
      <c r="S230" s="22">
        <f>IF(U230&lt;&gt;0,(MAX(S229-($J$31*N230*$L$33)+J230,0)),(MAX(S229-($J$31*(N230+P230)*$L$33)+J230,0)))</f>
        <v>0</v>
      </c>
      <c r="T230" s="22">
        <f>MAX(T229-($J$32*O230*$L$33)+K230,0)</f>
        <v>32.392800000000001</v>
      </c>
      <c r="U230" s="22">
        <f>MAX(U229-($J$33*P230*$L$33)+L230,0)</f>
        <v>9.1673999999999989</v>
      </c>
      <c r="V230" s="21">
        <f>IFERROR(R230*($I$30/M230),0)</f>
        <v>7.4312445679999959</v>
      </c>
      <c r="W230" s="21">
        <f>IFERROR(S230*($I$31/N230),0)</f>
        <v>0</v>
      </c>
      <c r="X230" s="21">
        <f>IFERROR(T230*($I$32/O230),0)</f>
        <v>0</v>
      </c>
      <c r="Y230" s="21">
        <f>IFERROR(U230*($I$33/P230),0)</f>
        <v>0</v>
      </c>
      <c r="Z230" s="221">
        <f>ROUNDUP(SUM(V230*$C$30,W230*$C$31,X230*$C$32,Y230*$C$33),0)</f>
        <v>5</v>
      </c>
      <c r="AA230" s="30">
        <f>IF(R230&lt;&gt;0,($J$30*M230*$L$33),0)</f>
        <v>12.628138463824097</v>
      </c>
      <c r="AB230" s="30">
        <f>IF(W230&lt;&gt;0,($J$31*N230*$L$33),0)</f>
        <v>0</v>
      </c>
      <c r="AC230" s="30">
        <f>IF(X230&lt;&gt;0,($J$32*O230*$L$33),0)</f>
        <v>0</v>
      </c>
      <c r="AD230" s="30">
        <f>IF(Y230&lt;&gt;0,($J$33*P230*$L$33),0)</f>
        <v>0</v>
      </c>
      <c r="AE230" s="32">
        <f>SUM(AA230:AD230)</f>
        <v>12.628138463824097</v>
      </c>
      <c r="AF230" s="33">
        <f>AE226</f>
        <v>12.628138463824097</v>
      </c>
      <c r="AG230" s="40">
        <f>MAX(AG229-$Q$33+AF230,0)</f>
        <v>4.9331242406062152</v>
      </c>
      <c r="AH230" s="224">
        <f>AG230*$P$33</f>
        <v>0.41373447007735964</v>
      </c>
      <c r="AI230" s="227">
        <f>SUM(Z230,IF(Z230&lt;&gt;0,$F$31,0),IF(Z230&lt;&gt;0,$N$33,0),IF(Z230&lt;&gt;0,$T$33,0),IF(Z230=0,AH235,IF(Z230=1,AH236,IF(Z230=2,AH237,IF(Z230=3,AH238,IF(Z230=4,AH239,IF(Z230=5,AH240,IF(Z230=6,AH241,IF(Z230=7,AH242,IF(Z230=8,AH243,IF(Z230=9,AH244,IF(Z230=10,AH245,IF(Z230=11,AH246,IF(Z230=12,AH247,IF(Z230=13,AH248,IF(Z230=14,AH249,IF(Z230=15,AH250,IF(Z230=16,AH251,IF(Z230=17,AH252,IF(Z230=18,AH253,IF(Z230=19,AH254,IF(Z230=20,AH255,IF(Z230=21,AH256,IF(Z230=22,AH257,IF(Z230=23,AH258,IF(Z230=24,AH259,IF(Z230=25,AH260,IF(Z230=26,AH261,IF(Z230=27,AH262,IF(Z230=28,AH263,IF(Z230=29,AH264,IF(Z230=30,AH265))))))))))))))))))))))))))))))))</f>
        <v>28.9518682487831</v>
      </c>
    </row>
    <row r="231" spans="1:35" x14ac:dyDescent="0.35">
      <c r="A231" s="48">
        <v>1612</v>
      </c>
      <c r="B231" s="58">
        <f>SUMIF([2]!Table2_23[ETA],'FIS Optimal Model (3)'!A231,[2]!Table2_23[FIS PAX])</f>
        <v>0</v>
      </c>
      <c r="C231" s="44">
        <f>IF((D230-D231)&gt;-1,(D230-D231),18)</f>
        <v>18</v>
      </c>
      <c r="D231" s="52">
        <f>MAX(D230-$E$31+B230,0)</f>
        <v>206</v>
      </c>
      <c r="E231" s="26">
        <f>$C$30*C231</f>
        <v>9.9503999999999984</v>
      </c>
      <c r="F231" s="26">
        <f>$C$31*C231</f>
        <v>4.2713999999999999</v>
      </c>
      <c r="G231" s="26">
        <f>$C$32*C231</f>
        <v>2.9447999999999999</v>
      </c>
      <c r="H231" s="26">
        <f>$C$33*C231</f>
        <v>0.83340000000000003</v>
      </c>
      <c r="I231" s="27">
        <f>E226</f>
        <v>9.9503999999999984</v>
      </c>
      <c r="J231" s="27">
        <f>F226</f>
        <v>4.2713999999999999</v>
      </c>
      <c r="K231" s="27">
        <f>G226</f>
        <v>2.9447999999999999</v>
      </c>
      <c r="L231" s="27">
        <f>H226</f>
        <v>0.83340000000000003</v>
      </c>
      <c r="M231" s="28">
        <f>$M$220</f>
        <v>6</v>
      </c>
      <c r="N231" s="29">
        <f>$N$220</f>
        <v>10</v>
      </c>
      <c r="O231" s="28">
        <f>$O$220</f>
        <v>0</v>
      </c>
      <c r="P231" s="28">
        <f>$P$220</f>
        <v>0</v>
      </c>
      <c r="Q231" s="28">
        <f>SUM(M231:P231)</f>
        <v>16</v>
      </c>
      <c r="R231" s="22">
        <f>MAX(R230-($J$30*M231*$L$33)+I231,0)</f>
        <v>107.72553843411077</v>
      </c>
      <c r="S231" s="22">
        <f>IF(U231&lt;&gt;0,(MAX(S230-($J$31*N231*$L$33)+J231,0)),(MAX(S230-($J$31*(N231+P231)*$L$33)+J231,0)))</f>
        <v>0</v>
      </c>
      <c r="T231" s="22">
        <f>MAX(T230-($J$32*O231*$L$33)+K231,0)</f>
        <v>35.337600000000002</v>
      </c>
      <c r="U231" s="22">
        <f>MAX(U230-($J$33*P231*$L$33)+L231,0)</f>
        <v>10.000799999999998</v>
      </c>
      <c r="V231" s="21">
        <f>IFERROR(R231*($I$30/M231),0)</f>
        <v>7.2510059919999961</v>
      </c>
      <c r="W231" s="21">
        <f>IFERROR(S231*($I$31/N231),0)</f>
        <v>0</v>
      </c>
      <c r="X231" s="21">
        <f>IFERROR(T231*($I$32/O231),0)</f>
        <v>0</v>
      </c>
      <c r="Y231" s="21">
        <f>IFERROR(U231*($I$33/P231),0)</f>
        <v>0</v>
      </c>
      <c r="Z231" s="221">
        <f>ROUNDUP(SUM(V231*$C$30,W231*$C$31,X231*$C$32,Y231*$C$33),0)</f>
        <v>5</v>
      </c>
      <c r="AA231" s="30">
        <f>IF(R231&lt;&gt;0,($J$30*M231*$L$33),0)</f>
        <v>12.628138463824097</v>
      </c>
      <c r="AB231" s="30">
        <f>IF(W231&lt;&gt;0,($J$31*N231*$L$33),0)</f>
        <v>0</v>
      </c>
      <c r="AC231" s="30">
        <f>IF(X231&lt;&gt;0,($J$32*O231*$L$33),0)</f>
        <v>0</v>
      </c>
      <c r="AD231" s="30">
        <f>IF(Y231&lt;&gt;0,($J$33*P231*$L$33),0)</f>
        <v>0</v>
      </c>
      <c r="AE231" s="32">
        <f>SUM(AA231:AD231)</f>
        <v>12.628138463824097</v>
      </c>
      <c r="AF231" s="33">
        <f>AE227</f>
        <v>12.628138463824097</v>
      </c>
      <c r="AG231" s="40">
        <f>MAX(AG230-$Q$33+AF231,0)</f>
        <v>5.6378562749785317</v>
      </c>
      <c r="AH231" s="224">
        <f>AG231*$P$33</f>
        <v>0.47283939437412531</v>
      </c>
      <c r="AI231" s="227">
        <f>SUM(Z231,IF(Z231&lt;&gt;0,$F$31,0),IF(Z231&lt;&gt;0,$N$33,0),IF(Z231&lt;&gt;0,$T$33,0),IF(Z231=0,AH236,IF(Z231=1,AH237,IF(Z231=2,AH238,IF(Z231=3,AH239,IF(Z231=4,AH240,IF(Z231=5,AH241,IF(Z231=6,AH242,IF(Z231=7,AH243,IF(Z231=8,AH244,IF(Z231=9,AH245,IF(Z231=10,AH246,IF(Z231=11,AH247,IF(Z231=12,AH248,IF(Z231=13,AH249,IF(Z231=14,AH250,IF(Z231=15,AH251,IF(Z231=16,AH252,IF(Z231=17,AH253,IF(Z231=18,AH254,IF(Z231=19,AH255,IF(Z231=20,AH256,IF(Z231=21,AH257,IF(Z231=22,AH258,IF(Z231=23,AH259,IF(Z231=24,AH260,IF(Z231=25,AH261,IF(Z231=26,AH262,IF(Z231=27,AH263,IF(Z231=28,AH264,IF(Z231=29,AH265,IF(Z231=30,AH266))))))))))))))))))))))))))))))))</f>
        <v>29.984515440948911</v>
      </c>
    </row>
    <row r="232" spans="1:35" x14ac:dyDescent="0.35">
      <c r="A232" s="48">
        <v>1613</v>
      </c>
      <c r="B232" s="58">
        <f>SUMIF([2]!Table2_23[ETA],'FIS Optimal Model (3)'!A232,[2]!Table2_23[FIS PAX])</f>
        <v>0</v>
      </c>
      <c r="C232" s="44">
        <f>IF((D231-D232)&gt;-1,(D231-D232),18)</f>
        <v>18</v>
      </c>
      <c r="D232" s="52">
        <f>MAX(D231-$E$31+B231,0)</f>
        <v>188</v>
      </c>
      <c r="E232" s="26">
        <f>$C$30*C232</f>
        <v>9.9503999999999984</v>
      </c>
      <c r="F232" s="26">
        <f>$C$31*C232</f>
        <v>4.2713999999999999</v>
      </c>
      <c r="G232" s="26">
        <f>$C$32*C232</f>
        <v>2.9447999999999999</v>
      </c>
      <c r="H232" s="26">
        <f>$C$33*C232</f>
        <v>0.83340000000000003</v>
      </c>
      <c r="I232" s="27">
        <f>E227</f>
        <v>9.9503999999999984</v>
      </c>
      <c r="J232" s="27">
        <f>F227</f>
        <v>4.2713999999999999</v>
      </c>
      <c r="K232" s="27">
        <f>G227</f>
        <v>2.9447999999999999</v>
      </c>
      <c r="L232" s="27">
        <f>H227</f>
        <v>0.83340000000000003</v>
      </c>
      <c r="M232" s="28">
        <f>$M$220</f>
        <v>6</v>
      </c>
      <c r="N232" s="29">
        <f>$N$220</f>
        <v>10</v>
      </c>
      <c r="O232" s="28">
        <f>$O$220</f>
        <v>0</v>
      </c>
      <c r="P232" s="28">
        <f>$P$220</f>
        <v>0</v>
      </c>
      <c r="Q232" s="28">
        <f>SUM(M232:P232)</f>
        <v>16</v>
      </c>
      <c r="R232" s="22">
        <f>MAX(R231-($J$30*M232*$L$33)+I232,0)</f>
        <v>105.04779997028668</v>
      </c>
      <c r="S232" s="22">
        <f>IF(U232&lt;&gt;0,(MAX(S231-($J$31*N232*$L$33)+J232,0)),(MAX(S231-($J$31*(N232+P232)*$L$33)+J232,0)))</f>
        <v>0</v>
      </c>
      <c r="T232" s="22">
        <f>MAX(T231-($J$32*O232*$L$33)+K232,0)</f>
        <v>38.282400000000003</v>
      </c>
      <c r="U232" s="22">
        <f>MAX(U231-($J$33*P232*$L$33)+L232,0)</f>
        <v>10.834199999999997</v>
      </c>
      <c r="V232" s="21">
        <f>IFERROR(R232*($I$30/M232),0)</f>
        <v>7.0707674159999954</v>
      </c>
      <c r="W232" s="21">
        <f>IFERROR(S232*($I$31/N232),0)</f>
        <v>0</v>
      </c>
      <c r="X232" s="21">
        <f>IFERROR(T232*($I$32/O232),0)</f>
        <v>0</v>
      </c>
      <c r="Y232" s="21">
        <f>IFERROR(U232*($I$33/P232),0)</f>
        <v>0</v>
      </c>
      <c r="Z232" s="221">
        <f>ROUNDUP(SUM(V232*$C$30,W232*$C$31,X232*$C$32,Y232*$C$33),0)</f>
        <v>4</v>
      </c>
      <c r="AA232" s="30">
        <f>IF(R232&lt;&gt;0,($J$30*M232*$L$33),0)</f>
        <v>12.628138463824097</v>
      </c>
      <c r="AB232" s="30">
        <f>IF(W232&lt;&gt;0,($J$31*N232*$L$33),0)</f>
        <v>0</v>
      </c>
      <c r="AC232" s="30">
        <f>IF(X232&lt;&gt;0,($J$32*O232*$L$33),0)</f>
        <v>0</v>
      </c>
      <c r="AD232" s="30">
        <f>IF(Y232&lt;&gt;0,($J$33*P232*$L$33),0)</f>
        <v>0</v>
      </c>
      <c r="AE232" s="32">
        <f>SUM(AA232:AD232)</f>
        <v>12.628138463824097</v>
      </c>
      <c r="AF232" s="33">
        <f>AE228</f>
        <v>12.628138463824097</v>
      </c>
      <c r="AG232" s="40">
        <f>MAX(AG231-$Q$33+AF232,0)</f>
        <v>6.3425883093508482</v>
      </c>
      <c r="AH232" s="224">
        <f>AG232*$P$33</f>
        <v>0.53194431867089098</v>
      </c>
      <c r="AI232" s="227">
        <f>SUM(Z232,IF(Z232&lt;&gt;0,$F$31,0),IF(Z232&lt;&gt;0,$N$33,0),IF(Z232&lt;&gt;0,$T$33,0),IF(Z232=0,AH237,IF(Z232=1,AH238,IF(Z232=2,AH239,IF(Z232=3,AH240,IF(Z232=4,AH241,IF(Z232=5,AH242,IF(Z232=6,AH243,IF(Z232=7,AH244,IF(Z232=8,AH245,IF(Z232=9,AH246,IF(Z232=10,AH247,IF(Z232=11,AH248,IF(Z232=12,AH249,IF(Z232=13,AH250,IF(Z232=14,AH251,IF(Z232=15,AH252,IF(Z232=16,AH253,IF(Z232=17,AH254,IF(Z232=18,AH255,IF(Z232=19,AH256,IF(Z232=20,AH257,IF(Z232=21,AH258,IF(Z232=22,AH259,IF(Z232=23,AH260,IF(Z232=24,AH261,IF(Z232=25,AH262,IF(Z232=26,AH263,IF(Z232=27,AH264,IF(Z232=28,AH265,IF(Z232=29,AH266,IF(Z232=30,AH267))))))))))))))))))))))))))))))))</f>
        <v>28.984515440948911</v>
      </c>
    </row>
    <row r="233" spans="1:35" x14ac:dyDescent="0.35">
      <c r="A233" s="48">
        <v>1614</v>
      </c>
      <c r="B233" s="58">
        <f>SUMIF([2]!Table2_23[ETA],'FIS Optimal Model (3)'!A233,[2]!Table2_23[FIS PAX])</f>
        <v>0</v>
      </c>
      <c r="C233" s="44">
        <f>IF((D232-D233)&gt;-1,(D232-D233),18)</f>
        <v>18</v>
      </c>
      <c r="D233" s="52">
        <f>MAX(D232-$E$31+B232,0)</f>
        <v>170</v>
      </c>
      <c r="E233" s="26">
        <f>$C$30*C233</f>
        <v>9.9503999999999984</v>
      </c>
      <c r="F233" s="26">
        <f>$C$31*C233</f>
        <v>4.2713999999999999</v>
      </c>
      <c r="G233" s="26">
        <f>$C$32*C233</f>
        <v>2.9447999999999999</v>
      </c>
      <c r="H233" s="26">
        <f>$C$33*C233</f>
        <v>0.83340000000000003</v>
      </c>
      <c r="I233" s="27">
        <f>E228</f>
        <v>9.9503999999999984</v>
      </c>
      <c r="J233" s="27">
        <f>F228</f>
        <v>4.2713999999999999</v>
      </c>
      <c r="K233" s="27">
        <f>G228</f>
        <v>2.9447999999999999</v>
      </c>
      <c r="L233" s="27">
        <f>H228</f>
        <v>0.83340000000000003</v>
      </c>
      <c r="M233" s="28">
        <f>$M$220</f>
        <v>6</v>
      </c>
      <c r="N233" s="29">
        <f>$N$220</f>
        <v>10</v>
      </c>
      <c r="O233" s="28">
        <f>$O$220</f>
        <v>0</v>
      </c>
      <c r="P233" s="28">
        <f>$P$220</f>
        <v>0</v>
      </c>
      <c r="Q233" s="28">
        <f>SUM(M233:P233)</f>
        <v>16</v>
      </c>
      <c r="R233" s="22">
        <f>MAX(R232-($J$30*M233*$L$33)+I233,0)</f>
        <v>102.37006150646258</v>
      </c>
      <c r="S233" s="22">
        <f>IF(U233&lt;&gt;0,(MAX(S232-($J$31*N233*$L$33)+J233,0)),(MAX(S232-($J$31*(N233+P233)*$L$33)+J233,0)))</f>
        <v>0</v>
      </c>
      <c r="T233" s="22">
        <f>MAX(T232-($J$32*O233*$L$33)+K233,0)</f>
        <v>41.227200000000003</v>
      </c>
      <c r="U233" s="22">
        <f>MAX(U232-($J$33*P233*$L$33)+L233,0)</f>
        <v>11.667599999999997</v>
      </c>
      <c r="V233" s="21">
        <f>IFERROR(R233*($I$30/M233),0)</f>
        <v>6.8905288399999955</v>
      </c>
      <c r="W233" s="21">
        <f>IFERROR(S233*($I$31/N233),0)</f>
        <v>0</v>
      </c>
      <c r="X233" s="21">
        <f>IFERROR(T233*($I$32/O233),0)</f>
        <v>0</v>
      </c>
      <c r="Y233" s="21">
        <f>IFERROR(U233*($I$33/P233),0)</f>
        <v>0</v>
      </c>
      <c r="Z233" s="221">
        <f>ROUNDUP(SUM(V233*$C$30,W233*$C$31,X233*$C$32,Y233*$C$33),0)</f>
        <v>4</v>
      </c>
      <c r="AA233" s="30">
        <f>IF(R233&lt;&gt;0,($J$30*M233*$L$33),0)</f>
        <v>12.628138463824097</v>
      </c>
      <c r="AB233" s="30">
        <f>IF(W233&lt;&gt;0,($J$31*N233*$L$33),0)</f>
        <v>0</v>
      </c>
      <c r="AC233" s="30">
        <f>IF(X233&lt;&gt;0,($J$32*O233*$L$33),0)</f>
        <v>0</v>
      </c>
      <c r="AD233" s="30">
        <f>IF(Y233&lt;&gt;0,($J$33*P233*$L$33),0)</f>
        <v>0</v>
      </c>
      <c r="AE233" s="32">
        <f>SUM(AA233:AD233)</f>
        <v>12.628138463824097</v>
      </c>
      <c r="AF233" s="33">
        <f>AE229</f>
        <v>12.628138463824097</v>
      </c>
      <c r="AG233" s="40">
        <f>MAX(AG232-$Q$33+AF233,0)</f>
        <v>7.0473203437231646</v>
      </c>
      <c r="AH233" s="224">
        <f>AG233*$P$33</f>
        <v>0.5910492429676566</v>
      </c>
      <c r="AI233" s="227">
        <f>SUM(Z233,IF(Z233&lt;&gt;0,$F$31,0),IF(Z233&lt;&gt;0,$N$33,0),IF(Z233&lt;&gt;0,$T$33,0),IF(Z233=0,AH238,IF(Z233=1,AH239,IF(Z233=2,AH240,IF(Z233=3,AH241,IF(Z233=4,AH242,IF(Z233=5,AH243,IF(Z233=6,AH244,IF(Z233=7,AH245,IF(Z233=8,AH246,IF(Z233=9,AH247,IF(Z233=10,AH248,IF(Z233=11,AH249,IF(Z233=12,AH250,IF(Z233=13,AH251,IF(Z233=14,AH252,IF(Z233=15,AH253,IF(Z233=16,AH254,IF(Z233=17,AH255,IF(Z233=18,AH256,IF(Z233=19,AH257,IF(Z233=20,AH258,IF(Z233=21,AH259,IF(Z233=22,AH260,IF(Z233=23,AH261,IF(Z233=24,AH262,IF(Z233=25,AH263,IF(Z233=26,AH264,IF(Z233=27,AH265,IF(Z233=28,AH266,IF(Z233=29,AH267,IF(Z233=30,AH268))))))))))))))))))))))))))))))))</f>
        <v>30.017162633114719</v>
      </c>
    </row>
    <row r="234" spans="1:35" x14ac:dyDescent="0.35">
      <c r="A234" s="48">
        <v>1615</v>
      </c>
      <c r="B234" s="58">
        <f>SUMIF([2]!Table2_23[ETA],'FIS Optimal Model (3)'!A234,[2]!Table2_23[FIS PAX])</f>
        <v>0</v>
      </c>
      <c r="C234" s="44">
        <f>IF((D233-D234)&gt;-1,(D233-D234),18)</f>
        <v>18</v>
      </c>
      <c r="D234" s="52">
        <f>MAX(D233-$E$31+B233,0)</f>
        <v>152</v>
      </c>
      <c r="E234" s="26">
        <f>$C$30*C234</f>
        <v>9.9503999999999984</v>
      </c>
      <c r="F234" s="26">
        <f>$C$31*C234</f>
        <v>4.2713999999999999</v>
      </c>
      <c r="G234" s="26">
        <f>$C$32*C234</f>
        <v>2.9447999999999999</v>
      </c>
      <c r="H234" s="26">
        <f>$C$33*C234</f>
        <v>0.83340000000000003</v>
      </c>
      <c r="I234" s="27">
        <f>E229</f>
        <v>9.9503999999999984</v>
      </c>
      <c r="J234" s="27">
        <f>F229</f>
        <v>4.2713999999999999</v>
      </c>
      <c r="K234" s="27">
        <f>G229</f>
        <v>2.9447999999999999</v>
      </c>
      <c r="L234" s="27">
        <f>H229</f>
        <v>0.83340000000000003</v>
      </c>
      <c r="M234" s="28">
        <f>$M$220</f>
        <v>6</v>
      </c>
      <c r="N234" s="29">
        <f>$N$220</f>
        <v>10</v>
      </c>
      <c r="O234" s="28">
        <f>$O$220</f>
        <v>0</v>
      </c>
      <c r="P234" s="28">
        <f>$P$220</f>
        <v>0</v>
      </c>
      <c r="Q234" s="28">
        <f>SUM(M234:P234)</f>
        <v>16</v>
      </c>
      <c r="R234" s="22">
        <f>MAX(R233-($J$30*M234*$L$33)+I234,0)</f>
        <v>99.692323042638478</v>
      </c>
      <c r="S234" s="22">
        <f>IF(U234&lt;&gt;0,(MAX(S233-($J$31*N234*$L$33)+J234,0)),(MAX(S233-($J$31*(N234+P234)*$L$33)+J234,0)))</f>
        <v>0</v>
      </c>
      <c r="T234" s="22">
        <f>MAX(T233-($J$32*O234*$L$33)+K234,0)</f>
        <v>44.172000000000004</v>
      </c>
      <c r="U234" s="22">
        <f>MAX(U233-($J$33*P234*$L$33)+L234,0)</f>
        <v>12.500999999999996</v>
      </c>
      <c r="V234" s="21">
        <f>IFERROR(R234*($I$30/M234),0)</f>
        <v>6.7102902639999957</v>
      </c>
      <c r="W234" s="21">
        <f>IFERROR(S234*($I$31/N234),0)</f>
        <v>0</v>
      </c>
      <c r="X234" s="21">
        <f>IFERROR(T234*($I$32/O234),0)</f>
        <v>0</v>
      </c>
      <c r="Y234" s="21">
        <f>IFERROR(U234*($I$33/P234),0)</f>
        <v>0</v>
      </c>
      <c r="Z234" s="221">
        <f>ROUNDUP(SUM(V234*$C$30,W234*$C$31,X234*$C$32,Y234*$C$33),0)</f>
        <v>4</v>
      </c>
      <c r="AA234" s="30">
        <f>IF(R234&lt;&gt;0,($J$30*M234*$L$33),0)</f>
        <v>12.628138463824097</v>
      </c>
      <c r="AB234" s="30">
        <f>IF(W234&lt;&gt;0,($J$31*N234*$L$33),0)</f>
        <v>0</v>
      </c>
      <c r="AC234" s="30">
        <f>IF(X234&lt;&gt;0,($J$32*O234*$L$33),0)</f>
        <v>0</v>
      </c>
      <c r="AD234" s="30">
        <f>IF(Y234&lt;&gt;0,($J$33*P234*$L$33),0)</f>
        <v>0</v>
      </c>
      <c r="AE234" s="32">
        <f>SUM(AA234:AD234)</f>
        <v>12.628138463824097</v>
      </c>
      <c r="AF234" s="33">
        <f>AE230</f>
        <v>12.628138463824097</v>
      </c>
      <c r="AG234" s="40">
        <f>MAX(AG233-$Q$33+AF234,0)</f>
        <v>7.7520523780954811</v>
      </c>
      <c r="AH234" s="224">
        <f>AG234*$P$33</f>
        <v>0.65015416726442232</v>
      </c>
      <c r="AI234" s="227">
        <f>SUM(Z234,IF(Z234&lt;&gt;0,$F$31,0),IF(Z234&lt;&gt;0,$N$33,0),IF(Z234&lt;&gt;0,$T$33,0),IF(Z234=0,AH239,IF(Z234=1,AH240,IF(Z234=2,AH241,IF(Z234=3,AH242,IF(Z234=4,AH243,IF(Z234=5,AH244,IF(Z234=6,AH245,IF(Z234=7,AH246,IF(Z234=8,AH247,IF(Z234=9,AH248,IF(Z234=10,AH249,IF(Z234=11,AH250,IF(Z234=12,AH251,IF(Z234=13,AH252,IF(Z234=14,AH253,IF(Z234=15,AH254,IF(Z234=16,AH255,IF(Z234=17,AH256,IF(Z234=18,AH257,IF(Z234=19,AH258,IF(Z234=20,AH259,IF(Z234=21,AH260,IF(Z234=22,AH261,IF(Z234=23,AH262,IF(Z234=24,AH263,IF(Z234=25,AH264,IF(Z234=26,AH265,IF(Z234=27,AH266,IF(Z234=28,AH267,IF(Z234=29,AH268,IF(Z234=30,AH269))))))))))))))))))))))))))))))))</f>
        <v>30.741788279889981</v>
      </c>
    </row>
    <row r="235" spans="1:35" x14ac:dyDescent="0.35">
      <c r="A235" s="48">
        <v>1616</v>
      </c>
      <c r="B235" s="58">
        <f>SUMIF([2]!Table2_23[ETA],'FIS Optimal Model (3)'!A235,[2]!Table2_23[FIS PAX])</f>
        <v>0</v>
      </c>
      <c r="C235" s="44">
        <f>IF((D234-D235)&gt;-1,(D234-D235),18)</f>
        <v>18</v>
      </c>
      <c r="D235" s="52">
        <f>MAX(D234-$E$31+B234,0)</f>
        <v>134</v>
      </c>
      <c r="E235" s="26">
        <f>$C$30*C235</f>
        <v>9.9503999999999984</v>
      </c>
      <c r="F235" s="26">
        <f>$C$31*C235</f>
        <v>4.2713999999999999</v>
      </c>
      <c r="G235" s="26">
        <f>$C$32*C235</f>
        <v>2.9447999999999999</v>
      </c>
      <c r="H235" s="26">
        <f>$C$33*C235</f>
        <v>0.83340000000000003</v>
      </c>
      <c r="I235" s="27">
        <f>E230</f>
        <v>9.9503999999999984</v>
      </c>
      <c r="J235" s="27">
        <f>F230</f>
        <v>4.2713999999999999</v>
      </c>
      <c r="K235" s="27">
        <f>G230</f>
        <v>2.9447999999999999</v>
      </c>
      <c r="L235" s="27">
        <f>H230</f>
        <v>0.83340000000000003</v>
      </c>
      <c r="M235" s="28">
        <f>IF(R234=0,0,$Q$19)</f>
        <v>6</v>
      </c>
      <c r="N235" s="29">
        <f>$U$19-M235-O235-P235</f>
        <v>6</v>
      </c>
      <c r="O235" s="28">
        <f>IF(T234=0,0,$S$19)</f>
        <v>2</v>
      </c>
      <c r="P235" s="28">
        <f>IF(U234=0,0,$T$19)</f>
        <v>2</v>
      </c>
      <c r="Q235" s="28">
        <f>SUM(M235:P235)</f>
        <v>16</v>
      </c>
      <c r="R235" s="22">
        <f>MAX(R234-($J$30*M235*$L$33)+I235,0)</f>
        <v>97.014584578814379</v>
      </c>
      <c r="S235" s="22">
        <f>IF(U235&lt;&gt;0,(MAX(S234-($J$31*N235*$L$33)+J235,0)),(MAX(S234-($J$31*(N235+P235)*$L$33)+J235,0)))</f>
        <v>1.2980794305683006</v>
      </c>
      <c r="T235" s="22">
        <f>MAX(T234-($J$32*O235*$L$33)+K235,0)</f>
        <v>42.154846508098203</v>
      </c>
      <c r="U235" s="22">
        <f>MAX(U234-($J$33*P235*$L$33)+L235,0)</f>
        <v>9.661733925280684</v>
      </c>
      <c r="V235" s="21">
        <f>IFERROR(R235*($I$30/M235),0)</f>
        <v>6.530051687999995</v>
      </c>
      <c r="W235" s="21">
        <f>IFERROR(S235*($I$31/N235),0)</f>
        <v>0.37108932259999999</v>
      </c>
      <c r="X235" s="21">
        <f>IFERROR(T235*($I$32/O235),0)</f>
        <v>7.2212727488000006</v>
      </c>
      <c r="Y235" s="21">
        <f>IFERROR(U235*($I$33/P235),0)</f>
        <v>2.236106868799999</v>
      </c>
      <c r="Z235" s="221">
        <f>ROUNDUP(SUM(V235*$C$30,W235*$C$31,X235*$C$32,Y235*$C$33),0)</f>
        <v>5</v>
      </c>
      <c r="AA235" s="30">
        <f>IF(R235&lt;&gt;0,($J$30*M235*$L$33),0)</f>
        <v>12.628138463824097</v>
      </c>
      <c r="AB235" s="30">
        <f>IF(W235&lt;&gt;0,($J$31*N235*$L$33),0)</f>
        <v>2.9733205694316993</v>
      </c>
      <c r="AC235" s="30">
        <f>IF(X235&lt;&gt;0,($J$32*O235*$L$33),0)</f>
        <v>4.9619534919017996</v>
      </c>
      <c r="AD235" s="30">
        <f>IF(Y235&lt;&gt;0,($J$33*P235*$L$33),0)</f>
        <v>3.6726660747193107</v>
      </c>
      <c r="AE235" s="32">
        <f>SUM(AA235:AD235)</f>
        <v>24.236078599876905</v>
      </c>
      <c r="AF235" s="33">
        <f>AE231</f>
        <v>12.628138463824097</v>
      </c>
      <c r="AG235" s="40">
        <f>MAX(AG234-$Q$33+AF235,0)</f>
        <v>8.4567844124677976</v>
      </c>
      <c r="AH235" s="224">
        <f>AG235*$P$33</f>
        <v>0.70925909156118794</v>
      </c>
      <c r="AI235" s="227">
        <f>SUM(Z235,IF(Z235&lt;&gt;0,$F$31,0),IF(Z235&lt;&gt;0,$N$33,0),IF(Z235&lt;&gt;0,$T$33,0),IF(Z235=0,AH240,IF(Z235=1,AH241,IF(Z235=2,AH242,IF(Z235=3,AH243,IF(Z235=4,AH244,IF(Z235=5,AH245,IF(Z235=6,AH246,IF(Z235=7,AH247,IF(Z235=8,AH248,IF(Z235=9,AH249,IF(Z235=10,AH250,IF(Z235=11,AH251,IF(Z235=12,AH252,IF(Z235=13,AH253,IF(Z235=14,AH254,IF(Z235=15,AH255,IF(Z235=16,AH256,IF(Z235=17,AH257,IF(Z235=18,AH258,IF(Z235=19,AH259,IF(Z235=20,AH260,IF(Z235=21,AH261,IF(Z235=22,AH262,IF(Z235=23,AH263,IF(Z235=24,AH264,IF(Z235=25,AH265,IF(Z235=26,AH266,IF(Z235=27,AH267,IF(Z235=28,AH268,IF(Z235=29,AH269,IF(Z235=30,AH270))))))))))))))))))))))))))))))))</f>
        <v>33.191039573440506</v>
      </c>
    </row>
    <row r="236" spans="1:35" x14ac:dyDescent="0.35">
      <c r="A236" s="48">
        <v>1617</v>
      </c>
      <c r="B236" s="58">
        <f>SUMIF([2]!Table2_23[ETA],'FIS Optimal Model (3)'!A236,[2]!Table2_23[FIS PAX])</f>
        <v>0</v>
      </c>
      <c r="C236" s="44">
        <f>IF((D235-D236)&gt;-1,(D235-D236),18)</f>
        <v>18</v>
      </c>
      <c r="D236" s="52">
        <f>MAX(D235-$E$31+B235,0)</f>
        <v>116</v>
      </c>
      <c r="E236" s="26">
        <f>$C$30*C236</f>
        <v>9.9503999999999984</v>
      </c>
      <c r="F236" s="26">
        <f>$C$31*C236</f>
        <v>4.2713999999999999</v>
      </c>
      <c r="G236" s="26">
        <f>$C$32*C236</f>
        <v>2.9447999999999999</v>
      </c>
      <c r="H236" s="26">
        <f>$C$33*C236</f>
        <v>0.83340000000000003</v>
      </c>
      <c r="I236" s="27">
        <f>E231</f>
        <v>9.9503999999999984</v>
      </c>
      <c r="J236" s="27">
        <f>F231</f>
        <v>4.2713999999999999</v>
      </c>
      <c r="K236" s="27">
        <f>G231</f>
        <v>2.9447999999999999</v>
      </c>
      <c r="L236" s="27">
        <f>H231</f>
        <v>0.83340000000000003</v>
      </c>
      <c r="M236" s="28">
        <f>$M$235</f>
        <v>6</v>
      </c>
      <c r="N236" s="29">
        <f>$N$235</f>
        <v>6</v>
      </c>
      <c r="O236" s="28">
        <f>$O$235</f>
        <v>2</v>
      </c>
      <c r="P236" s="28">
        <f>$P$235</f>
        <v>2</v>
      </c>
      <c r="Q236" s="28">
        <f>SUM(M236:P236)</f>
        <v>16</v>
      </c>
      <c r="R236" s="22">
        <f>MAX(R235-($J$30*M236*$L$33)+I236,0)</f>
        <v>94.33684611499028</v>
      </c>
      <c r="S236" s="22">
        <f>IF(U236&lt;&gt;0,(MAX(S235-($J$31*N236*$L$33)+J236,0)),(MAX(S235-($J$31*(N236+P236)*$L$33)+J236,0)))</f>
        <v>2.5961588611366011</v>
      </c>
      <c r="T236" s="22">
        <f>MAX(T235-($J$32*O236*$L$33)+K236,0)</f>
        <v>40.137693016196401</v>
      </c>
      <c r="U236" s="22">
        <f>MAX(U235-($J$33*P236*$L$33)+L236,0)</f>
        <v>6.8224678505613729</v>
      </c>
      <c r="V236" s="21">
        <f>IFERROR(R236*($I$30/M236),0)</f>
        <v>6.3498131119999952</v>
      </c>
      <c r="W236" s="21">
        <f>IFERROR(S236*($I$31/N236),0)</f>
        <v>0.74217864519999999</v>
      </c>
      <c r="X236" s="21">
        <f>IFERROR(T236*($I$32/O236),0)</f>
        <v>6.8757272956</v>
      </c>
      <c r="Y236" s="21">
        <f>IFERROR(U236*($I$33/P236),0)</f>
        <v>1.5789885480999988</v>
      </c>
      <c r="Z236" s="221">
        <f>ROUNDUP(SUM(V236*$C$30,W236*$C$31,X236*$C$32,Y236*$C$33),0)</f>
        <v>5</v>
      </c>
      <c r="AA236" s="30">
        <f>IF(R236&lt;&gt;0,($J$30*M236*$L$33),0)</f>
        <v>12.628138463824097</v>
      </c>
      <c r="AB236" s="30">
        <f>IF(W236&lt;&gt;0,($J$31*N236*$L$33),0)</f>
        <v>2.9733205694316993</v>
      </c>
      <c r="AC236" s="30">
        <f>IF(X236&lt;&gt;0,($J$32*O236*$L$33),0)</f>
        <v>4.9619534919017996</v>
      </c>
      <c r="AD236" s="30">
        <f>IF(Y236&lt;&gt;0,($J$33*P236*$L$33),0)</f>
        <v>3.6726660747193107</v>
      </c>
      <c r="AE236" s="32">
        <f>SUM(AA236:AD236)</f>
        <v>24.236078599876905</v>
      </c>
      <c r="AF236" s="33">
        <f>AE232</f>
        <v>12.628138463824097</v>
      </c>
      <c r="AG236" s="40">
        <f>MAX(AG235-$Q$33+AF236,0)</f>
        <v>9.161516446840114</v>
      </c>
      <c r="AH236" s="224">
        <f>AG236*$P$33</f>
        <v>0.76836401585795366</v>
      </c>
      <c r="AI236" s="227">
        <f>SUM(Z236,IF(Z236&lt;&gt;0,$F$31,0),IF(Z236&lt;&gt;0,$N$33,0),IF(Z236&lt;&gt;0,$T$33,0),IF(Z236=0,AH241,IF(Z236=1,AH242,IF(Z236=2,AH243,IF(Z236=3,AH244,IF(Z236=4,AH245,IF(Z236=5,AH246,IF(Z236=6,AH247,IF(Z236=7,AH248,IF(Z236=8,AH249,IF(Z236=9,AH250,IF(Z236=10,AH251,IF(Z236=11,AH252,IF(Z236=12,AH253,IF(Z236=13,AH254,IF(Z236=14,AH255,IF(Z236=15,AH256,IF(Z236=16,AH257,IF(Z236=17,AH258,IF(Z236=18,AH259,IF(Z236=19,AH260,IF(Z236=20,AH261,IF(Z236=21,AH262,IF(Z236=22,AH263,IF(Z236=23,AH264,IF(Z236=24,AH265,IF(Z236=25,AH266,IF(Z236=26,AH267,IF(Z236=27,AH268,IF(Z236=28,AH269,IF(Z236=29,AH270,IF(Z236=30,AH271))))))))))))))))))))))))))))))))</f>
        <v>33.915665220215764</v>
      </c>
    </row>
    <row r="237" spans="1:35" x14ac:dyDescent="0.35">
      <c r="A237" s="48">
        <v>1618</v>
      </c>
      <c r="B237" s="58">
        <f>SUMIF([2]!Table2_23[ETA],'FIS Optimal Model (3)'!A237,[2]!Table2_23[FIS PAX])</f>
        <v>0</v>
      </c>
      <c r="C237" s="44">
        <f>IF((D236-D237)&gt;-1,(D236-D237),18)</f>
        <v>18</v>
      </c>
      <c r="D237" s="52">
        <f>MAX(D236-$E$31+B236,0)</f>
        <v>98</v>
      </c>
      <c r="E237" s="26">
        <f>$C$30*C237</f>
        <v>9.9503999999999984</v>
      </c>
      <c r="F237" s="26">
        <f>$C$31*C237</f>
        <v>4.2713999999999999</v>
      </c>
      <c r="G237" s="26">
        <f>$C$32*C237</f>
        <v>2.9447999999999999</v>
      </c>
      <c r="H237" s="26">
        <f>$C$33*C237</f>
        <v>0.83340000000000003</v>
      </c>
      <c r="I237" s="27">
        <f>E232</f>
        <v>9.9503999999999984</v>
      </c>
      <c r="J237" s="27">
        <f>F232</f>
        <v>4.2713999999999999</v>
      </c>
      <c r="K237" s="27">
        <f>G232</f>
        <v>2.9447999999999999</v>
      </c>
      <c r="L237" s="27">
        <f>H232</f>
        <v>0.83340000000000003</v>
      </c>
      <c r="M237" s="28">
        <f>$M$235</f>
        <v>6</v>
      </c>
      <c r="N237" s="29">
        <f>$N$235</f>
        <v>6</v>
      </c>
      <c r="O237" s="28">
        <f>$O$235</f>
        <v>2</v>
      </c>
      <c r="P237" s="28">
        <f>$P$235</f>
        <v>2</v>
      </c>
      <c r="Q237" s="28">
        <f>SUM(M237:P237)</f>
        <v>16</v>
      </c>
      <c r="R237" s="22">
        <f>MAX(R236-($J$30*M237*$L$33)+I237,0)</f>
        <v>91.659107651166181</v>
      </c>
      <c r="S237" s="22">
        <f>IF(U237&lt;&gt;0,(MAX(S236-($J$31*N237*$L$33)+J237,0)),(MAX(S236-($J$31*(N237+P237)*$L$33)+J237,0)))</f>
        <v>3.8942382917049017</v>
      </c>
      <c r="T237" s="22">
        <f>MAX(T236-($J$32*O237*$L$33)+K237,0)</f>
        <v>38.1205395242946</v>
      </c>
      <c r="U237" s="22">
        <f>MAX(U236-($J$33*P237*$L$33)+L237,0)</f>
        <v>3.9832017758420624</v>
      </c>
      <c r="V237" s="21">
        <f>IFERROR(R237*($I$30/M237),0)</f>
        <v>6.1695745359999954</v>
      </c>
      <c r="W237" s="21">
        <f>IFERROR(S237*($I$31/N237),0)</f>
        <v>1.1132679677999999</v>
      </c>
      <c r="X237" s="21">
        <f>IFERROR(T237*($I$32/O237),0)</f>
        <v>6.5301818424000002</v>
      </c>
      <c r="Y237" s="21">
        <f>IFERROR(U237*($I$33/P237),0)</f>
        <v>0.92187022739999891</v>
      </c>
      <c r="Z237" s="221">
        <f>ROUNDUP(SUM(V237*$C$30,W237*$C$31,X237*$C$32,Y237*$C$33),0)</f>
        <v>5</v>
      </c>
      <c r="AA237" s="30">
        <f>IF(R237&lt;&gt;0,($J$30*M237*$L$33),0)</f>
        <v>12.628138463824097</v>
      </c>
      <c r="AB237" s="30">
        <f>IF(W237&lt;&gt;0,($J$31*N237*$L$33),0)</f>
        <v>2.9733205694316993</v>
      </c>
      <c r="AC237" s="30">
        <f>IF(X237&lt;&gt;0,($J$32*O237*$L$33),0)</f>
        <v>4.9619534919017996</v>
      </c>
      <c r="AD237" s="30">
        <f>IF(Y237&lt;&gt;0,($J$33*P237*$L$33),0)</f>
        <v>3.6726660747193107</v>
      </c>
      <c r="AE237" s="32">
        <f>SUM(AA237:AD237)</f>
        <v>24.236078599876905</v>
      </c>
      <c r="AF237" s="33">
        <f>AE233</f>
        <v>12.628138463824097</v>
      </c>
      <c r="AG237" s="40">
        <f>MAX(AG236-$Q$33+AF237,0)</f>
        <v>9.8662484812124305</v>
      </c>
      <c r="AH237" s="224">
        <f>AG237*$P$33</f>
        <v>0.82746894015471928</v>
      </c>
      <c r="AI237" s="227">
        <f>SUM(Z237,IF(Z237&lt;&gt;0,$F$31,0),IF(Z237&lt;&gt;0,$N$33,0),IF(Z237&lt;&gt;0,$T$33,0),IF(Z237=0,AH242,IF(Z237=1,AH243,IF(Z237=2,AH244,IF(Z237=3,AH245,IF(Z237=4,AH246,IF(Z237=5,AH247,IF(Z237=6,AH248,IF(Z237=7,AH249,IF(Z237=8,AH250,IF(Z237=9,AH251,IF(Z237=10,AH252,IF(Z237=11,AH253,IF(Z237=12,AH254,IF(Z237=13,AH255,IF(Z237=14,AH256,IF(Z237=15,AH257,IF(Z237=16,AH258,IF(Z237=17,AH259,IF(Z237=18,AH260,IF(Z237=19,AH261,IF(Z237=20,AH262,IF(Z237=21,AH263,IF(Z237=22,AH264,IF(Z237=23,AH265,IF(Z237=24,AH266,IF(Z237=25,AH267,IF(Z237=26,AH268,IF(Z237=27,AH269,IF(Z237=28,AH270,IF(Z237=29,AH271,IF(Z237=30,AH272))))))))))))))))))))))))))))))))</f>
        <v>34.64029086699103</v>
      </c>
    </row>
    <row r="238" spans="1:35" x14ac:dyDescent="0.35">
      <c r="A238" s="48">
        <v>1619</v>
      </c>
      <c r="B238" s="58">
        <f>SUMIF([2]!Table2_23[ETA],'FIS Optimal Model (3)'!A238,[2]!Table2_23[FIS PAX])</f>
        <v>0</v>
      </c>
      <c r="C238" s="44">
        <f>IF((D237-D238)&gt;-1,(D237-D238),18)</f>
        <v>18</v>
      </c>
      <c r="D238" s="52">
        <f>MAX(D237-$E$31+B237,0)</f>
        <v>80</v>
      </c>
      <c r="E238" s="26">
        <f>$C$30*C238</f>
        <v>9.9503999999999984</v>
      </c>
      <c r="F238" s="26">
        <f>$C$31*C238</f>
        <v>4.2713999999999999</v>
      </c>
      <c r="G238" s="26">
        <f>$C$32*C238</f>
        <v>2.9447999999999999</v>
      </c>
      <c r="H238" s="26">
        <f>$C$33*C238</f>
        <v>0.83340000000000003</v>
      </c>
      <c r="I238" s="27">
        <f>E233</f>
        <v>9.9503999999999984</v>
      </c>
      <c r="J238" s="27">
        <f>F233</f>
        <v>4.2713999999999999</v>
      </c>
      <c r="K238" s="27">
        <f>G233</f>
        <v>2.9447999999999999</v>
      </c>
      <c r="L238" s="27">
        <f>H233</f>
        <v>0.83340000000000003</v>
      </c>
      <c r="M238" s="28">
        <f>$M$235</f>
        <v>6</v>
      </c>
      <c r="N238" s="29">
        <f>$N$235</f>
        <v>6</v>
      </c>
      <c r="O238" s="28">
        <f>$O$235</f>
        <v>2</v>
      </c>
      <c r="P238" s="28">
        <f>$P$235</f>
        <v>2</v>
      </c>
      <c r="Q238" s="28">
        <f>SUM(M238:P238)</f>
        <v>16</v>
      </c>
      <c r="R238" s="22">
        <f>MAX(R237-($J$30*M238*$L$33)+I238,0)</f>
        <v>88.981369187342082</v>
      </c>
      <c r="S238" s="22">
        <f>IF(U238&lt;&gt;0,(MAX(S237-($J$31*N238*$L$33)+J238,0)),(MAX(S237-($J$31*(N238+P238)*$L$33)+J238,0)))</f>
        <v>5.1923177222732022</v>
      </c>
      <c r="T238" s="22">
        <f>MAX(T237-($J$32*O238*$L$33)+K238,0)</f>
        <v>36.103386032392798</v>
      </c>
      <c r="U238" s="22">
        <f>MAX(U237-($J$33*P238*$L$33)+L238,0)</f>
        <v>1.1439357011227518</v>
      </c>
      <c r="V238" s="21">
        <f>IFERROR(R238*($I$30/M238),0)</f>
        <v>5.9893359599999947</v>
      </c>
      <c r="W238" s="21">
        <f>IFERROR(S238*($I$31/N238),0)</f>
        <v>1.4843572904</v>
      </c>
      <c r="X238" s="21">
        <f>IFERROR(T238*($I$32/O238),0)</f>
        <v>6.1846363891999996</v>
      </c>
      <c r="Y238" s="21">
        <f>IFERROR(U238*($I$33/P238),0)</f>
        <v>0.2647519066999991</v>
      </c>
      <c r="Z238" s="221">
        <f>ROUNDUP(SUM(V238*$C$30,W238*$C$31,X238*$C$32,Y238*$C$33),0)</f>
        <v>5</v>
      </c>
      <c r="AA238" s="30">
        <f>IF(R238&lt;&gt;0,($J$30*M238*$L$33),0)</f>
        <v>12.628138463824097</v>
      </c>
      <c r="AB238" s="30">
        <f>IF(W238&lt;&gt;0,($J$31*N238*$L$33),0)</f>
        <v>2.9733205694316993</v>
      </c>
      <c r="AC238" s="30">
        <f>IF(X238&lt;&gt;0,($J$32*O238*$L$33),0)</f>
        <v>4.9619534919017996</v>
      </c>
      <c r="AD238" s="30">
        <f>IF(Y238&lt;&gt;0,($J$33*P238*$L$33),0)</f>
        <v>3.6726660747193107</v>
      </c>
      <c r="AE238" s="32">
        <f>SUM(AA238:AD238)</f>
        <v>24.236078599876905</v>
      </c>
      <c r="AF238" s="33">
        <f>AE234</f>
        <v>12.628138463824097</v>
      </c>
      <c r="AG238" s="40">
        <f>MAX(AG237-$Q$33+AF238,0)</f>
        <v>10.570980515584747</v>
      </c>
      <c r="AH238" s="224">
        <f>AG238*$P$33</f>
        <v>0.88657386445148501</v>
      </c>
      <c r="AI238" s="227">
        <f>SUM(Z238,IF(Z238&lt;&gt;0,$F$31,0),IF(Z238&lt;&gt;0,$N$33,0),IF(Z238&lt;&gt;0,$T$33,0),IF(Z238=0,AH243,IF(Z238=1,AH244,IF(Z238=2,AH245,IF(Z238=3,AH246,IF(Z238=4,AH247,IF(Z238=5,AH248,IF(Z238=6,AH249,IF(Z238=7,AH250,IF(Z238=8,AH251,IF(Z238=9,AH252,IF(Z238=10,AH253,IF(Z238=11,AH254,IF(Z238=12,AH255,IF(Z238=13,AH256,IF(Z238=14,AH257,IF(Z238=15,AH258,IF(Z238=16,AH259,IF(Z238=17,AH260,IF(Z238=18,AH261,IF(Z238=19,AH262,IF(Z238=20,AH263,IF(Z238=21,AH264,IF(Z238=22,AH265,IF(Z238=23,AH266,IF(Z238=24,AH267,IF(Z238=25,AH268,IF(Z238=26,AH269,IF(Z238=27,AH270,IF(Z238=28,AH271,IF(Z238=29,AH272,IF(Z238=30,AH273))))))))))))))))))))))))))))))))</f>
        <v>35.364916513766289</v>
      </c>
    </row>
    <row r="239" spans="1:35" x14ac:dyDescent="0.35">
      <c r="A239" s="48">
        <v>1620</v>
      </c>
      <c r="B239" s="58">
        <f>SUMIF([2]!Table2_23[ETA],'FIS Optimal Model (3)'!A239,[2]!Table2_23[FIS PAX])</f>
        <v>0</v>
      </c>
      <c r="C239" s="44">
        <f>IF((D238-D239)&gt;-1,(D238-D239),18)</f>
        <v>18</v>
      </c>
      <c r="D239" s="52">
        <f>MAX(D238-$E$31+B238,0)</f>
        <v>62</v>
      </c>
      <c r="E239" s="26">
        <f>$C$30*C239</f>
        <v>9.9503999999999984</v>
      </c>
      <c r="F239" s="26">
        <f>$C$31*C239</f>
        <v>4.2713999999999999</v>
      </c>
      <c r="G239" s="26">
        <f>$C$32*C239</f>
        <v>2.9447999999999999</v>
      </c>
      <c r="H239" s="26">
        <f>$C$33*C239</f>
        <v>0.83340000000000003</v>
      </c>
      <c r="I239" s="27">
        <f>E234</f>
        <v>9.9503999999999984</v>
      </c>
      <c r="J239" s="27">
        <f>F234</f>
        <v>4.2713999999999999</v>
      </c>
      <c r="K239" s="27">
        <f>G234</f>
        <v>2.9447999999999999</v>
      </c>
      <c r="L239" s="27">
        <f>H234</f>
        <v>0.83340000000000003</v>
      </c>
      <c r="M239" s="28">
        <f>$M$235</f>
        <v>6</v>
      </c>
      <c r="N239" s="29">
        <f>$N$235</f>
        <v>6</v>
      </c>
      <c r="O239" s="28">
        <f>$O$235</f>
        <v>2</v>
      </c>
      <c r="P239" s="28">
        <f>$P$235</f>
        <v>2</v>
      </c>
      <c r="Q239" s="28">
        <f>SUM(M239:P239)</f>
        <v>16</v>
      </c>
      <c r="R239" s="22">
        <f>MAX(R238-($J$30*M239*$L$33)+I239,0)</f>
        <v>86.303630723517983</v>
      </c>
      <c r="S239" s="22">
        <f>IF(U239&lt;&gt;0,(MAX(S238-($J$31*N239*$L$33)+J239,0)),(MAX(S238-($J$31*(N239+P239)*$L$33)+J239,0)))</f>
        <v>5.4992902963642694</v>
      </c>
      <c r="T239" s="22">
        <f>MAX(T238-($J$32*O239*$L$33)+K239,0)</f>
        <v>34.086232540490997</v>
      </c>
      <c r="U239" s="22">
        <f>MAX(U238-($J$33*P239*$L$33)+L239,0)</f>
        <v>0</v>
      </c>
      <c r="V239" s="21">
        <f>IFERROR(R239*($I$30/M239),0)</f>
        <v>5.8090973839999949</v>
      </c>
      <c r="W239" s="21">
        <f>IFERROR(S239*($I$31/N239),0)</f>
        <v>1.5721132796666666</v>
      </c>
      <c r="X239" s="21">
        <f>IFERROR(T239*($I$32/O239),0)</f>
        <v>5.839090935999999</v>
      </c>
      <c r="Y239" s="21">
        <f>IFERROR(U239*($I$33/P239),0)</f>
        <v>0</v>
      </c>
      <c r="Z239" s="221">
        <f>ROUNDUP(SUM(V239*$C$30,W239*$C$31,X239*$C$32,Y239*$C$33),0)</f>
        <v>5</v>
      </c>
      <c r="AA239" s="30">
        <f>IF(R239&lt;&gt;0,($J$30*M239*$L$33),0)</f>
        <v>12.628138463824097</v>
      </c>
      <c r="AB239" s="30">
        <f>IF(W239&lt;&gt;0,($J$31*N239*$L$33),0)</f>
        <v>2.9733205694316993</v>
      </c>
      <c r="AC239" s="30">
        <f>IF(X239&lt;&gt;0,($J$32*O239*$L$33),0)</f>
        <v>4.9619534919017996</v>
      </c>
      <c r="AD239" s="30">
        <f>IF(Y239&lt;&gt;0,($J$33*P239*$L$33),0)</f>
        <v>0</v>
      </c>
      <c r="AE239" s="32">
        <f>SUM(AA239:AD239)</f>
        <v>20.563412525157595</v>
      </c>
      <c r="AF239" s="33">
        <f>AE235</f>
        <v>24.236078599876905</v>
      </c>
      <c r="AG239" s="40">
        <f>MAX(AG238-$Q$33+AF239,0)</f>
        <v>22.883652686009871</v>
      </c>
      <c r="AH239" s="224">
        <f>AG239*$P$33</f>
        <v>1.9192210566172931</v>
      </c>
      <c r="AI239" s="227">
        <f>SUM(Z239,IF(Z239&lt;&gt;0,$F$31,0),IF(Z239&lt;&gt;0,$N$33,0),IF(Z239&lt;&gt;0,$T$33,0),IF(Z239=0,AH244,IF(Z239=1,AH245,IF(Z239=2,AH246,IF(Z239=3,AH247,IF(Z239=4,AH248,IF(Z239=5,AH249,IF(Z239=6,AH250,IF(Z239=7,AH251,IF(Z239=8,AH252,IF(Z239=9,AH253,IF(Z239=10,AH254,IF(Z239=11,AH255,IF(Z239=12,AH256,IF(Z239=13,AH257,IF(Z239=14,AH258,IF(Z239=15,AH259,IF(Z239=16,AH260,IF(Z239=17,AH261,IF(Z239=18,AH262,IF(Z239=19,AH263,IF(Z239=20,AH264,IF(Z239=21,AH265,IF(Z239=22,AH266,IF(Z239=23,AH267,IF(Z239=24,AH268,IF(Z239=25,AH269,IF(Z239=26,AH270,IF(Z239=27,AH271,IF(Z239=28,AH272,IF(Z239=29,AH273,IF(Z239=30,AH274))))))))))))))))))))))))))))))))</f>
        <v>36.089542160541555</v>
      </c>
    </row>
    <row r="240" spans="1:35" x14ac:dyDescent="0.35">
      <c r="A240" s="48">
        <v>1621</v>
      </c>
      <c r="B240" s="58">
        <f>SUMIF([2]!Table2_23[ETA],'FIS Optimal Model (3)'!A240,[2]!Table2_23[FIS PAX])</f>
        <v>0</v>
      </c>
      <c r="C240" s="44">
        <f>IF((D239-D240)&gt;-1,(D239-D240),18)</f>
        <v>18</v>
      </c>
      <c r="D240" s="52">
        <f>MAX(D239-$E$31+B239,0)</f>
        <v>44</v>
      </c>
      <c r="E240" s="26">
        <f>$C$30*C240</f>
        <v>9.9503999999999984</v>
      </c>
      <c r="F240" s="26">
        <f>$C$31*C240</f>
        <v>4.2713999999999999</v>
      </c>
      <c r="G240" s="26">
        <f>$C$32*C240</f>
        <v>2.9447999999999999</v>
      </c>
      <c r="H240" s="26">
        <f>$C$33*C240</f>
        <v>0.83340000000000003</v>
      </c>
      <c r="I240" s="27">
        <f>E235</f>
        <v>9.9503999999999984</v>
      </c>
      <c r="J240" s="27">
        <f>F235</f>
        <v>4.2713999999999999</v>
      </c>
      <c r="K240" s="27">
        <f>G235</f>
        <v>2.9447999999999999</v>
      </c>
      <c r="L240" s="27">
        <f>H235</f>
        <v>0.83340000000000003</v>
      </c>
      <c r="M240" s="28">
        <f>$M$235</f>
        <v>6</v>
      </c>
      <c r="N240" s="29">
        <f>$N$235</f>
        <v>6</v>
      </c>
      <c r="O240" s="28">
        <f>$O$235</f>
        <v>2</v>
      </c>
      <c r="P240" s="28">
        <f>$P$235</f>
        <v>2</v>
      </c>
      <c r="Q240" s="28">
        <f>SUM(M240:P240)</f>
        <v>16</v>
      </c>
      <c r="R240" s="22">
        <f>MAX(R239-($J$30*M240*$L$33)+I240,0)</f>
        <v>83.625892259693885</v>
      </c>
      <c r="S240" s="22">
        <f>IF(U240&lt;&gt;0,(MAX(S239-($J$31*N240*$L$33)+J240,0)),(MAX(S239-($J$31*(N240+P240)*$L$33)+J240,0)))</f>
        <v>5.8062628704553365</v>
      </c>
      <c r="T240" s="22">
        <f>MAX(T239-($J$32*O240*$L$33)+K240,0)</f>
        <v>32.069079048589195</v>
      </c>
      <c r="U240" s="22">
        <f>MAX(U239-($J$33*P240*$L$33)+L240,0)</f>
        <v>0</v>
      </c>
      <c r="V240" s="21">
        <f>IFERROR(R240*($I$30/M240),0)</f>
        <v>5.6288588079999951</v>
      </c>
      <c r="W240" s="21">
        <f>IFERROR(S240*($I$31/N240),0)</f>
        <v>1.6598692689333332</v>
      </c>
      <c r="X240" s="21">
        <f>IFERROR(T240*($I$32/O240),0)</f>
        <v>5.4935454827999992</v>
      </c>
      <c r="Y240" s="21">
        <f>IFERROR(U240*($I$33/P240),0)</f>
        <v>0</v>
      </c>
      <c r="Z240" s="221">
        <f>ROUNDUP(SUM(V240*$C$30,W240*$C$31,X240*$C$32,Y240*$C$33),0)</f>
        <v>5</v>
      </c>
      <c r="AA240" s="30">
        <f>IF(R240&lt;&gt;0,($J$30*M240*$L$33),0)</f>
        <v>12.628138463824097</v>
      </c>
      <c r="AB240" s="30">
        <f>IF(W240&lt;&gt;0,($J$31*N240*$L$33),0)</f>
        <v>2.9733205694316993</v>
      </c>
      <c r="AC240" s="30">
        <f>IF(X240&lt;&gt;0,($J$32*O240*$L$33),0)</f>
        <v>4.9619534919017996</v>
      </c>
      <c r="AD240" s="30">
        <f>IF(Y240&lt;&gt;0,($J$33*P240*$L$33),0)</f>
        <v>0</v>
      </c>
      <c r="AE240" s="32">
        <f>SUM(AA240:AD240)</f>
        <v>20.563412525157595</v>
      </c>
      <c r="AF240" s="33">
        <f>AE236</f>
        <v>24.236078599876905</v>
      </c>
      <c r="AG240" s="40">
        <f>MAX(AG239-$Q$33+AF240,0)</f>
        <v>35.196324856434998</v>
      </c>
      <c r="AH240" s="224">
        <f>AG240*$P$33</f>
        <v>2.9518682487831014</v>
      </c>
      <c r="AI240" s="227">
        <f>SUM(Z240,IF(Z240&lt;&gt;0,$F$31,0),IF(Z240&lt;&gt;0,$N$33,0),IF(Z240&lt;&gt;0,$T$33,0),IF(Z240=0,AH245,IF(Z240=1,AH246,IF(Z240=2,AH247,IF(Z240=3,AH248,IF(Z240=4,AH249,IF(Z240=5,AH250,IF(Z240=6,AH251,IF(Z240=7,AH252,IF(Z240=8,AH253,IF(Z240=9,AH254,IF(Z240=10,AH255,IF(Z240=11,AH256,IF(Z240=12,AH257,IF(Z240=13,AH258,IF(Z240=14,AH259,IF(Z240=15,AH260,IF(Z240=16,AH261,IF(Z240=17,AH262,IF(Z240=18,AH263,IF(Z240=19,AH264,IF(Z240=20,AH265,IF(Z240=21,AH266,IF(Z240=22,AH267,IF(Z240=23,AH268,IF(Z240=24,AH269,IF(Z240=25,AH270,IF(Z240=26,AH271,IF(Z240=27,AH272,IF(Z240=28,AH273,IF(Z240=29,AH274,IF(Z240=30,AH275))))))))))))))))))))))))))))))))</f>
        <v>36.814167807316814</v>
      </c>
    </row>
    <row r="241" spans="1:35" x14ac:dyDescent="0.35">
      <c r="A241" s="48">
        <v>1622</v>
      </c>
      <c r="B241" s="58">
        <f>SUMIF([2]!Table2_23[ETA],'FIS Optimal Model (3)'!A241,[2]!Table2_23[FIS PAX])</f>
        <v>0</v>
      </c>
      <c r="C241" s="44">
        <f>IF((D240-D241)&gt;-1,(D240-D241),18)</f>
        <v>18</v>
      </c>
      <c r="D241" s="52">
        <f>MAX(D240-$E$31+B240,0)</f>
        <v>26</v>
      </c>
      <c r="E241" s="26">
        <f>$C$30*C241</f>
        <v>9.9503999999999984</v>
      </c>
      <c r="F241" s="26">
        <f>$C$31*C241</f>
        <v>4.2713999999999999</v>
      </c>
      <c r="G241" s="26">
        <f>$C$32*C241</f>
        <v>2.9447999999999999</v>
      </c>
      <c r="H241" s="26">
        <f>$C$33*C241</f>
        <v>0.83340000000000003</v>
      </c>
      <c r="I241" s="27">
        <f>E236</f>
        <v>9.9503999999999984</v>
      </c>
      <c r="J241" s="27">
        <f>F236</f>
        <v>4.2713999999999999</v>
      </c>
      <c r="K241" s="27">
        <f>G236</f>
        <v>2.9447999999999999</v>
      </c>
      <c r="L241" s="27">
        <f>H236</f>
        <v>0.83340000000000003</v>
      </c>
      <c r="M241" s="28">
        <f>$M$235</f>
        <v>6</v>
      </c>
      <c r="N241" s="29">
        <f>$N$235</f>
        <v>6</v>
      </c>
      <c r="O241" s="28">
        <f>$O$235</f>
        <v>2</v>
      </c>
      <c r="P241" s="28">
        <f>$P$235</f>
        <v>2</v>
      </c>
      <c r="Q241" s="28">
        <f>SUM(M241:P241)</f>
        <v>16</v>
      </c>
      <c r="R241" s="22">
        <f>MAX(R240-($J$30*M241*$L$33)+I241,0)</f>
        <v>80.948153795869786</v>
      </c>
      <c r="S241" s="22">
        <f>IF(U241&lt;&gt;0,(MAX(S240-($J$31*N241*$L$33)+J241,0)),(MAX(S240-($J$31*(N241+P241)*$L$33)+J241,0)))</f>
        <v>6.1132354445464037</v>
      </c>
      <c r="T241" s="22">
        <f>MAX(T240-($J$32*O241*$L$33)+K241,0)</f>
        <v>30.051925556687397</v>
      </c>
      <c r="U241" s="22">
        <f>MAX(U240-($J$33*P241*$L$33)+L241,0)</f>
        <v>0</v>
      </c>
      <c r="V241" s="21">
        <f>IFERROR(R241*($I$30/M241),0)</f>
        <v>5.4486202319999952</v>
      </c>
      <c r="W241" s="21">
        <f>IFERROR(S241*($I$31/N241),0)</f>
        <v>1.7476252581999996</v>
      </c>
      <c r="X241" s="21">
        <f>IFERROR(T241*($I$32/O241),0)</f>
        <v>5.1480000295999995</v>
      </c>
      <c r="Y241" s="21">
        <f>IFERROR(U241*($I$33/P241),0)</f>
        <v>0</v>
      </c>
      <c r="Z241" s="221">
        <f>ROUNDUP(SUM(V241*$C$30,W241*$C$31,X241*$C$32,Y241*$C$33),0)</f>
        <v>5</v>
      </c>
      <c r="AA241" s="30">
        <f>IF(R241&lt;&gt;0,($J$30*M241*$L$33),0)</f>
        <v>12.628138463824097</v>
      </c>
      <c r="AB241" s="30">
        <f>IF(W241&lt;&gt;0,($J$31*N241*$L$33),0)</f>
        <v>2.9733205694316993</v>
      </c>
      <c r="AC241" s="30">
        <f>IF(X241&lt;&gt;0,($J$32*O241*$L$33),0)</f>
        <v>4.9619534919017996</v>
      </c>
      <c r="AD241" s="30">
        <f>IF(Y241&lt;&gt;0,($J$33*P241*$L$33),0)</f>
        <v>0</v>
      </c>
      <c r="AE241" s="32">
        <f>SUM(AA241:AD241)</f>
        <v>20.563412525157595</v>
      </c>
      <c r="AF241" s="33">
        <f>AE237</f>
        <v>24.236078599876905</v>
      </c>
      <c r="AG241" s="40">
        <f>MAX(AG240-$Q$33+AF241,0)</f>
        <v>47.508997026860122</v>
      </c>
      <c r="AH241" s="224">
        <f>AG241*$P$33</f>
        <v>3.9845154409489094</v>
      </c>
      <c r="AI241" s="227">
        <f>SUM(Z241,IF(Z241&lt;&gt;0,$F$31,0),IF(Z241&lt;&gt;0,$N$33,0),IF(Z241&lt;&gt;0,$T$33,0),IF(Z241=0,AH246,IF(Z241=1,AH247,IF(Z241=2,AH248,IF(Z241=3,AH249,IF(Z241=4,AH250,IF(Z241=5,AH251,IF(Z241=6,AH252,IF(Z241=7,AH253,IF(Z241=8,AH254,IF(Z241=9,AH255,IF(Z241=10,AH256,IF(Z241=11,AH257,IF(Z241=12,AH258,IF(Z241=13,AH259,IF(Z241=14,AH260,IF(Z241=15,AH261,IF(Z241=16,AH262,IF(Z241=17,AH263,IF(Z241=18,AH264,IF(Z241=19,AH265,IF(Z241=20,AH266,IF(Z241=21,AH267,IF(Z241=22,AH268,IF(Z241=23,AH269,IF(Z241=24,AH270,IF(Z241=25,AH271,IF(Z241=26,AH272,IF(Z241=27,AH273,IF(Z241=28,AH274,IF(Z241=29,AH275,IF(Z241=30,AH276))))))))))))))))))))))))))))))))</f>
        <v>37.538793454092072</v>
      </c>
    </row>
    <row r="242" spans="1:35" x14ac:dyDescent="0.35">
      <c r="A242" s="48">
        <v>1623</v>
      </c>
      <c r="B242" s="58">
        <f>SUMIF([2]!Table2_23[ETA],'FIS Optimal Model (3)'!A242,[2]!Table2_23[FIS PAX])</f>
        <v>0</v>
      </c>
      <c r="C242" s="44">
        <f>IF((D241-D242)&gt;-1,(D241-D242),18)</f>
        <v>18</v>
      </c>
      <c r="D242" s="52">
        <f>MAX(D241-$E$31+B241,0)</f>
        <v>8</v>
      </c>
      <c r="E242" s="26">
        <f>$C$30*C242</f>
        <v>9.9503999999999984</v>
      </c>
      <c r="F242" s="26">
        <f>$C$31*C242</f>
        <v>4.2713999999999999</v>
      </c>
      <c r="G242" s="26">
        <f>$C$32*C242</f>
        <v>2.9447999999999999</v>
      </c>
      <c r="H242" s="26">
        <f>$C$33*C242</f>
        <v>0.83340000000000003</v>
      </c>
      <c r="I242" s="27">
        <f>E237</f>
        <v>9.9503999999999984</v>
      </c>
      <c r="J242" s="27">
        <f>F237</f>
        <v>4.2713999999999999</v>
      </c>
      <c r="K242" s="27">
        <f>G237</f>
        <v>2.9447999999999999</v>
      </c>
      <c r="L242" s="27">
        <f>H237</f>
        <v>0.83340000000000003</v>
      </c>
      <c r="M242" s="28">
        <f>$M$235</f>
        <v>6</v>
      </c>
      <c r="N242" s="29">
        <f>$N$235</f>
        <v>6</v>
      </c>
      <c r="O242" s="28">
        <f>$O$235</f>
        <v>2</v>
      </c>
      <c r="P242" s="28">
        <f>$P$235</f>
        <v>2</v>
      </c>
      <c r="Q242" s="28">
        <f>SUM(M242:P242)</f>
        <v>16</v>
      </c>
      <c r="R242" s="22">
        <f>MAX(R241-($J$30*M242*$L$33)+I242,0)</f>
        <v>78.270415332045687</v>
      </c>
      <c r="S242" s="22">
        <f>IF(U242&lt;&gt;0,(MAX(S241-($J$31*N242*$L$33)+J242,0)),(MAX(S241-($J$31*(N242+P242)*$L$33)+J242,0)))</f>
        <v>6.4202080186374708</v>
      </c>
      <c r="T242" s="22">
        <f>MAX(T241-($J$32*O242*$L$33)+K242,0)</f>
        <v>28.034772064785599</v>
      </c>
      <c r="U242" s="22">
        <f>MAX(U241-($J$33*P242*$L$33)+L242,0)</f>
        <v>0</v>
      </c>
      <c r="V242" s="21">
        <f>IFERROR(R242*($I$30/M242),0)</f>
        <v>5.2683816559999945</v>
      </c>
      <c r="W242" s="21">
        <f>IFERROR(S242*($I$31/N242),0)</f>
        <v>1.8353812474666662</v>
      </c>
      <c r="X242" s="21">
        <f>IFERROR(T242*($I$32/O242),0)</f>
        <v>4.8024545763999997</v>
      </c>
      <c r="Y242" s="21">
        <f>IFERROR(U242*($I$33/P242),0)</f>
        <v>0</v>
      </c>
      <c r="Z242" s="221">
        <f>ROUNDUP(SUM(V242*$C$30,W242*$C$31,X242*$C$32,Y242*$C$33),0)</f>
        <v>5</v>
      </c>
      <c r="AA242" s="30">
        <f>IF(R242&lt;&gt;0,($J$30*M242*$L$33),0)</f>
        <v>12.628138463824097</v>
      </c>
      <c r="AB242" s="30">
        <f>IF(W242&lt;&gt;0,($J$31*N242*$L$33),0)</f>
        <v>2.9733205694316993</v>
      </c>
      <c r="AC242" s="30">
        <f>IF(X242&lt;&gt;0,($J$32*O242*$L$33),0)</f>
        <v>4.9619534919017996</v>
      </c>
      <c r="AD242" s="30">
        <f>IF(Y242&lt;&gt;0,($J$33*P242*$L$33),0)</f>
        <v>0</v>
      </c>
      <c r="AE242" s="32">
        <f>SUM(AA242:AD242)</f>
        <v>20.563412525157595</v>
      </c>
      <c r="AF242" s="33">
        <f>AE238</f>
        <v>24.236078599876905</v>
      </c>
      <c r="AG242" s="40">
        <f>MAX(AG241-$Q$33+AF242,0)</f>
        <v>59.821669197285246</v>
      </c>
      <c r="AH242" s="224">
        <f>AG242*$P$33</f>
        <v>5.0171626331147179</v>
      </c>
      <c r="AI242" s="227">
        <f>SUM(Z242,IF(Z242&lt;&gt;0,$F$31,0),IF(Z242&lt;&gt;0,$N$33,0),IF(Z242&lt;&gt;0,$T$33,0),IF(Z242=0,AH247,IF(Z242=1,AH248,IF(Z242=2,AH249,IF(Z242=3,AH250,IF(Z242=4,AH251,IF(Z242=5,AH252,IF(Z242=6,AH253,IF(Z242=7,AH254,IF(Z242=8,AH255,IF(Z242=9,AH256,IF(Z242=10,AH257,IF(Z242=11,AH258,IF(Z242=12,AH259,IF(Z242=13,AH260,IF(Z242=14,AH261,IF(Z242=15,AH262,IF(Z242=16,AH263,IF(Z242=17,AH264,IF(Z242=18,AH265,IF(Z242=19,AH266,IF(Z242=20,AH267,IF(Z242=21,AH268,IF(Z242=22,AH269,IF(Z242=23,AH270,IF(Z242=24,AH271,IF(Z242=25,AH272,IF(Z242=26,AH273,IF(Z242=27,AH274,IF(Z242=28,AH275,IF(Z242=29,AH276,IF(Z242=30,AH277))))))))))))))))))))))))))))))))</f>
        <v>38.263419100867338</v>
      </c>
    </row>
    <row r="243" spans="1:35" x14ac:dyDescent="0.35">
      <c r="A243" s="48">
        <v>1624</v>
      </c>
      <c r="B243" s="58">
        <f>SUMIF([2]!Table2_23[ETA],'FIS Optimal Model (3)'!A243,[2]!Table2_23[FIS PAX])</f>
        <v>0</v>
      </c>
      <c r="C243" s="44">
        <f>IF((D242-D243)&gt;-1,(D242-D243),18)</f>
        <v>8</v>
      </c>
      <c r="D243" s="52">
        <f>MAX(D242-$E$31+B242,0)</f>
        <v>0</v>
      </c>
      <c r="E243" s="26">
        <f>$C$30*C243</f>
        <v>4.4223999999999997</v>
      </c>
      <c r="F243" s="26">
        <f>$C$31*C243</f>
        <v>1.8984000000000001</v>
      </c>
      <c r="G243" s="26">
        <f>$C$32*C243</f>
        <v>1.3088</v>
      </c>
      <c r="H243" s="26">
        <f>$C$33*C243</f>
        <v>0.37040000000000001</v>
      </c>
      <c r="I243" s="27">
        <f>E238</f>
        <v>9.9503999999999984</v>
      </c>
      <c r="J243" s="27">
        <f>F238</f>
        <v>4.2713999999999999</v>
      </c>
      <c r="K243" s="27">
        <f>G238</f>
        <v>2.9447999999999999</v>
      </c>
      <c r="L243" s="27">
        <f>H238</f>
        <v>0.83340000000000003</v>
      </c>
      <c r="M243" s="28">
        <f>$M$235</f>
        <v>6</v>
      </c>
      <c r="N243" s="29">
        <f>$N$235</f>
        <v>6</v>
      </c>
      <c r="O243" s="28">
        <f>$O$235</f>
        <v>2</v>
      </c>
      <c r="P243" s="28">
        <f>$P$235</f>
        <v>2</v>
      </c>
      <c r="Q243" s="28">
        <f>SUM(M243:P243)</f>
        <v>16</v>
      </c>
      <c r="R243" s="22">
        <f>MAX(R242-($J$30*M243*$L$33)+I243,0)</f>
        <v>75.592676868221588</v>
      </c>
      <c r="S243" s="22">
        <f>IF(U243&lt;&gt;0,(MAX(S242-($J$31*N243*$L$33)+J243,0)),(MAX(S242-($J$31*(N243+P243)*$L$33)+J243,0)))</f>
        <v>6.727180592728538</v>
      </c>
      <c r="T243" s="22">
        <f>MAX(T242-($J$32*O243*$L$33)+K243,0)</f>
        <v>26.017618572883801</v>
      </c>
      <c r="U243" s="22">
        <f>MAX(U242-($J$33*P243*$L$33)+L243,0)</f>
        <v>0</v>
      </c>
      <c r="V243" s="21">
        <f>IFERROR(R243*($I$30/M243),0)</f>
        <v>5.0881430799999947</v>
      </c>
      <c r="W243" s="21">
        <f>IFERROR(S243*($I$31/N243),0)</f>
        <v>1.9231372367333328</v>
      </c>
      <c r="X243" s="21">
        <f>IFERROR(T243*($I$32/O243),0)</f>
        <v>4.4569091232</v>
      </c>
      <c r="Y243" s="21">
        <f>IFERROR(U243*($I$33/P243),0)</f>
        <v>0</v>
      </c>
      <c r="Z243" s="221">
        <f>ROUNDUP(SUM(V243*$C$30,W243*$C$31,X243*$C$32,Y243*$C$33),0)</f>
        <v>4</v>
      </c>
      <c r="AA243" s="30">
        <f>IF(R243&lt;&gt;0,($J$30*M243*$L$33),0)</f>
        <v>12.628138463824097</v>
      </c>
      <c r="AB243" s="30">
        <f>IF(W243&lt;&gt;0,($J$31*N243*$L$33),0)</f>
        <v>2.9733205694316993</v>
      </c>
      <c r="AC243" s="30">
        <f>IF(X243&lt;&gt;0,($J$32*O243*$L$33),0)</f>
        <v>4.9619534919017996</v>
      </c>
      <c r="AD243" s="30">
        <f>IF(Y243&lt;&gt;0,($J$33*P243*$L$33),0)</f>
        <v>0</v>
      </c>
      <c r="AE243" s="32">
        <f>SUM(AA243:AD243)</f>
        <v>20.563412525157595</v>
      </c>
      <c r="AF243" s="33">
        <f>AE239</f>
        <v>20.563412525157595</v>
      </c>
      <c r="AG243" s="40">
        <f>MAX(AG242-$Q$33+AF243,0)</f>
        <v>68.46167529299106</v>
      </c>
      <c r="AH243" s="224">
        <f>AG243*$P$33</f>
        <v>5.7417882798899793</v>
      </c>
      <c r="AI243" s="227">
        <f>SUM(Z243,IF(Z243&lt;&gt;0,$F$31,0),IF(Z243&lt;&gt;0,$N$33,0),IF(Z243&lt;&gt;0,$T$33,0),IF(Z243=0,AH248,IF(Z243=1,AH249,IF(Z243=2,AH250,IF(Z243=3,AH251,IF(Z243=4,AH252,IF(Z243=5,AH253,IF(Z243=6,AH254,IF(Z243=7,AH255,IF(Z243=8,AH256,IF(Z243=9,AH257,IF(Z243=10,AH258,IF(Z243=11,AH259,IF(Z243=12,AH260,IF(Z243=13,AH261,IF(Z243=14,AH262,IF(Z243=15,AH263,IF(Z243=16,AH264,IF(Z243=17,AH265,IF(Z243=18,AH266,IF(Z243=19,AH267,IF(Z243=20,AH268,IF(Z243=21,AH269,IF(Z243=22,AH270,IF(Z243=23,AH271,IF(Z243=24,AH272,IF(Z243=25,AH273,IF(Z243=26,AH274,IF(Z243=27,AH275,IF(Z243=28,AH276,IF(Z243=29,AH277,IF(Z243=30,AH278))))))))))))))))))))))))))))))))</f>
        <v>37.263419100867338</v>
      </c>
    </row>
    <row r="244" spans="1:35" x14ac:dyDescent="0.35">
      <c r="A244" s="48">
        <v>1625</v>
      </c>
      <c r="B244" s="58">
        <f>SUMIF([2]!Table2_23[ETA],'FIS Optimal Model (3)'!A244,[2]!Table2_23[FIS PAX])</f>
        <v>0</v>
      </c>
      <c r="C244" s="44">
        <f>IF((D243-D244)&gt;-1,(D243-D244),18)</f>
        <v>0</v>
      </c>
      <c r="D244" s="52">
        <f>MAX(D243-$E$31+B243,0)</f>
        <v>0</v>
      </c>
      <c r="E244" s="26">
        <f>$C$30*C244</f>
        <v>0</v>
      </c>
      <c r="F244" s="26">
        <f>$C$31*C244</f>
        <v>0</v>
      </c>
      <c r="G244" s="26">
        <f>$C$32*C244</f>
        <v>0</v>
      </c>
      <c r="H244" s="26">
        <f>$C$33*C244</f>
        <v>0</v>
      </c>
      <c r="I244" s="27">
        <f>E239</f>
        <v>9.9503999999999984</v>
      </c>
      <c r="J244" s="27">
        <f>F239</f>
        <v>4.2713999999999999</v>
      </c>
      <c r="K244" s="27">
        <f>G239</f>
        <v>2.9447999999999999</v>
      </c>
      <c r="L244" s="27">
        <f>H239</f>
        <v>0.83340000000000003</v>
      </c>
      <c r="M244" s="28">
        <f>$M$235</f>
        <v>6</v>
      </c>
      <c r="N244" s="29">
        <f>$N$235</f>
        <v>6</v>
      </c>
      <c r="O244" s="28">
        <f>$O$235</f>
        <v>2</v>
      </c>
      <c r="P244" s="28">
        <f>$P$235</f>
        <v>2</v>
      </c>
      <c r="Q244" s="28">
        <f>SUM(M244:P244)</f>
        <v>16</v>
      </c>
      <c r="R244" s="22">
        <f>MAX(R243-($J$30*M244*$L$33)+I244,0)</f>
        <v>72.914938404397489</v>
      </c>
      <c r="S244" s="22">
        <f>IF(U244&lt;&gt;0,(MAX(S243-($J$31*N244*$L$33)+J244,0)),(MAX(S243-($J$31*(N244+P244)*$L$33)+J244,0)))</f>
        <v>7.0341531668196051</v>
      </c>
      <c r="T244" s="22">
        <f>MAX(T243-($J$32*O244*$L$33)+K244,0)</f>
        <v>24.000465080982003</v>
      </c>
      <c r="U244" s="22">
        <f>MAX(U243-($J$33*P244*$L$33)+L244,0)</f>
        <v>0</v>
      </c>
      <c r="V244" s="21">
        <f>IFERROR(R244*($I$30/M244),0)</f>
        <v>4.9079045039999949</v>
      </c>
      <c r="W244" s="21">
        <f>IFERROR(S244*($I$31/N244),0)</f>
        <v>2.0108932259999994</v>
      </c>
      <c r="X244" s="21">
        <f>IFERROR(T244*($I$32/O244),0)</f>
        <v>4.1113636700000002</v>
      </c>
      <c r="Y244" s="21">
        <f>IFERROR(U244*($I$33/P244),0)</f>
        <v>0</v>
      </c>
      <c r="Z244" s="221">
        <f>ROUNDUP(SUM(V244*$C$30,W244*$C$31,X244*$C$32,Y244*$C$33),0)</f>
        <v>4</v>
      </c>
      <c r="AA244" s="30">
        <f>IF(R244&lt;&gt;0,($J$30*M244*$L$33),0)</f>
        <v>12.628138463824097</v>
      </c>
      <c r="AB244" s="30">
        <f>IF(W244&lt;&gt;0,($J$31*N244*$L$33),0)</f>
        <v>2.9733205694316993</v>
      </c>
      <c r="AC244" s="30">
        <f>IF(X244&lt;&gt;0,($J$32*O244*$L$33),0)</f>
        <v>4.9619534919017996</v>
      </c>
      <c r="AD244" s="30">
        <f>IF(Y244&lt;&gt;0,($J$33*P244*$L$33),0)</f>
        <v>0</v>
      </c>
      <c r="AE244" s="32">
        <f>SUM(AA244:AD244)</f>
        <v>20.563412525157595</v>
      </c>
      <c r="AF244" s="33">
        <f>AE240</f>
        <v>20.563412525157595</v>
      </c>
      <c r="AG244" s="40">
        <f>MAX(AG243-$Q$33+AF244,0)</f>
        <v>77.101681388696875</v>
      </c>
      <c r="AH244" s="224">
        <f>AG244*$P$33</f>
        <v>6.4664139266652416</v>
      </c>
      <c r="AI244" s="227">
        <f>SUM(Z244,IF(Z244&lt;&gt;0,$F$31,0),IF(Z244&lt;&gt;0,$N$33,0),IF(Z244&lt;&gt;0,$T$33,0),IF(Z244=0,AH249,IF(Z244=1,AH250,IF(Z244=2,AH251,IF(Z244=3,AH252,IF(Z244=4,AH253,IF(Z244=5,AH254,IF(Z244=6,AH255,IF(Z244=7,AH256,IF(Z244=8,AH257,IF(Z244=9,AH258,IF(Z244=10,AH259,IF(Z244=11,AH260,IF(Z244=12,AH261,IF(Z244=13,AH262,IF(Z244=14,AH263,IF(Z244=15,AH264,IF(Z244=16,AH265,IF(Z244=17,AH266,IF(Z244=18,AH267,IF(Z244=19,AH268,IF(Z244=20,AH269,IF(Z244=21,AH270,IF(Z244=22,AH271,IF(Z244=23,AH272,IF(Z244=24,AH273,IF(Z244=25,AH274,IF(Z244=26,AH275,IF(Z244=27,AH276,IF(Z244=28,AH277,IF(Z244=29,AH278,IF(Z244=30,AH279))))))))))))))))))))))))))))))))</f>
        <v>37.988044747642604</v>
      </c>
    </row>
    <row r="245" spans="1:35" x14ac:dyDescent="0.35">
      <c r="A245" s="48">
        <v>1626</v>
      </c>
      <c r="B245" s="58">
        <f>SUMIF([2]!Table2_23[ETA],'FIS Optimal Model (3)'!A245,[2]!Table2_23[FIS PAX])</f>
        <v>0</v>
      </c>
      <c r="C245" s="44">
        <f>IF((D244-D245)&gt;-1,(D244-D245),18)</f>
        <v>0</v>
      </c>
      <c r="D245" s="52">
        <f>MAX(D244-$E$31+B244,0)</f>
        <v>0</v>
      </c>
      <c r="E245" s="26">
        <f>$C$30*C245</f>
        <v>0</v>
      </c>
      <c r="F245" s="26">
        <f>$C$31*C245</f>
        <v>0</v>
      </c>
      <c r="G245" s="26">
        <f>$C$32*C245</f>
        <v>0</v>
      </c>
      <c r="H245" s="26">
        <f>$C$33*C245</f>
        <v>0</v>
      </c>
      <c r="I245" s="27">
        <f>E240</f>
        <v>9.9503999999999984</v>
      </c>
      <c r="J245" s="27">
        <f>F240</f>
        <v>4.2713999999999999</v>
      </c>
      <c r="K245" s="27">
        <f>G240</f>
        <v>2.9447999999999999</v>
      </c>
      <c r="L245" s="27">
        <f>H240</f>
        <v>0.83340000000000003</v>
      </c>
      <c r="M245" s="28">
        <f>$M$235</f>
        <v>6</v>
      </c>
      <c r="N245" s="29">
        <f>$N$235</f>
        <v>6</v>
      </c>
      <c r="O245" s="28">
        <f>$O$235</f>
        <v>2</v>
      </c>
      <c r="P245" s="28">
        <f>$P$235</f>
        <v>2</v>
      </c>
      <c r="Q245" s="28">
        <f>SUM(M245:P245)</f>
        <v>16</v>
      </c>
      <c r="R245" s="22">
        <f>MAX(R244-($J$30*M245*$L$33)+I245,0)</f>
        <v>70.23719994057339</v>
      </c>
      <c r="S245" s="22">
        <f>IF(U245&lt;&gt;0,(MAX(S244-($J$31*N245*$L$33)+J245,0)),(MAX(S244-($J$31*(N245+P245)*$L$33)+J245,0)))</f>
        <v>7.3411257409106723</v>
      </c>
      <c r="T245" s="22">
        <f>MAX(T244-($J$32*O245*$L$33)+K245,0)</f>
        <v>21.983311589080206</v>
      </c>
      <c r="U245" s="22">
        <f>MAX(U244-($J$33*P245*$L$33)+L245,0)</f>
        <v>0</v>
      </c>
      <c r="V245" s="21">
        <f>IFERROR(R245*($I$30/M245),0)</f>
        <v>4.7276659279999942</v>
      </c>
      <c r="W245" s="21">
        <f>IFERROR(S245*($I$31/N245),0)</f>
        <v>2.0986492152666658</v>
      </c>
      <c r="X245" s="21">
        <f>IFERROR(T245*($I$32/O245),0)</f>
        <v>3.765818216800001</v>
      </c>
      <c r="Y245" s="21">
        <f>IFERROR(U245*($I$33/P245),0)</f>
        <v>0</v>
      </c>
      <c r="Z245" s="221">
        <f>ROUNDUP(SUM(V245*$C$30,W245*$C$31,X245*$C$32,Y245*$C$33),0)</f>
        <v>4</v>
      </c>
      <c r="AA245" s="30">
        <f>IF(R245&lt;&gt;0,($J$30*M245*$L$33),0)</f>
        <v>12.628138463824097</v>
      </c>
      <c r="AB245" s="30">
        <f>IF(W245&lt;&gt;0,($J$31*N245*$L$33),0)</f>
        <v>2.9733205694316993</v>
      </c>
      <c r="AC245" s="30">
        <f>IF(X245&lt;&gt;0,($J$32*O245*$L$33),0)</f>
        <v>4.9619534919017996</v>
      </c>
      <c r="AD245" s="30">
        <f>IF(Y245&lt;&gt;0,($J$33*P245*$L$33),0)</f>
        <v>0</v>
      </c>
      <c r="AE245" s="32">
        <f>SUM(AA245:AD245)</f>
        <v>20.563412525157595</v>
      </c>
      <c r="AF245" s="33">
        <f>AE241</f>
        <v>20.563412525157595</v>
      </c>
      <c r="AG245" s="40">
        <f>MAX(AG244-$Q$33+AF245,0)</f>
        <v>85.741687484402689</v>
      </c>
      <c r="AH245" s="224">
        <f>AG245*$P$33</f>
        <v>7.1910395734405039</v>
      </c>
      <c r="AI245" s="227">
        <f>SUM(Z245,IF(Z245&lt;&gt;0,$F$31,0),IF(Z245&lt;&gt;0,$N$33,0),IF(Z245&lt;&gt;0,$T$33,0),IF(Z245=0,AH250,IF(Z245=1,AH251,IF(Z245=2,AH252,IF(Z245=3,AH253,IF(Z245=4,AH254,IF(Z245=5,AH255,IF(Z245=6,AH256,IF(Z245=7,AH257,IF(Z245=8,AH258,IF(Z245=9,AH259,IF(Z245=10,AH260,IF(Z245=11,AH261,IF(Z245=12,AH262,IF(Z245=13,AH263,IF(Z245=14,AH264,IF(Z245=15,AH265,IF(Z245=16,AH266,IF(Z245=17,AH267,IF(Z245=18,AH268,IF(Z245=19,AH269,IF(Z245=20,AH270,IF(Z245=21,AH271,IF(Z245=22,AH272,IF(Z245=23,AH273,IF(Z245=24,AH274,IF(Z245=25,AH275,IF(Z245=26,AH276,IF(Z245=27,AH277,IF(Z245=28,AH278,IF(Z245=29,AH279,IF(Z245=30,AH280))))))))))))))))))))))))))))))))</f>
        <v>38.463302012401854</v>
      </c>
    </row>
    <row r="246" spans="1:35" x14ac:dyDescent="0.35">
      <c r="A246" s="48">
        <v>1627</v>
      </c>
      <c r="B246" s="58">
        <f>SUMIF([2]!Table2_23[ETA],'FIS Optimal Model (3)'!A246,[2]!Table2_23[FIS PAX])</f>
        <v>0</v>
      </c>
      <c r="C246" s="44">
        <f>IF((D245-D246)&gt;-1,(D245-D246),18)</f>
        <v>0</v>
      </c>
      <c r="D246" s="52">
        <f>MAX(D245-$E$31+B245,0)</f>
        <v>0</v>
      </c>
      <c r="E246" s="26">
        <f>$C$30*C246</f>
        <v>0</v>
      </c>
      <c r="F246" s="26">
        <f>$C$31*C246</f>
        <v>0</v>
      </c>
      <c r="G246" s="26">
        <f>$C$32*C246</f>
        <v>0</v>
      </c>
      <c r="H246" s="26">
        <f>$C$33*C246</f>
        <v>0</v>
      </c>
      <c r="I246" s="27">
        <f>E241</f>
        <v>9.9503999999999984</v>
      </c>
      <c r="J246" s="27">
        <f>F241</f>
        <v>4.2713999999999999</v>
      </c>
      <c r="K246" s="27">
        <f>G241</f>
        <v>2.9447999999999999</v>
      </c>
      <c r="L246" s="27">
        <f>H241</f>
        <v>0.83340000000000003</v>
      </c>
      <c r="M246" s="28">
        <f>$M$235</f>
        <v>6</v>
      </c>
      <c r="N246" s="29">
        <f>$N$235</f>
        <v>6</v>
      </c>
      <c r="O246" s="28">
        <f>$O$235</f>
        <v>2</v>
      </c>
      <c r="P246" s="28">
        <f>$P$235</f>
        <v>2</v>
      </c>
      <c r="Q246" s="28">
        <f>SUM(M246:P246)</f>
        <v>16</v>
      </c>
      <c r="R246" s="22">
        <f>MAX(R245-($J$30*M246*$L$33)+I246,0)</f>
        <v>67.559461476749291</v>
      </c>
      <c r="S246" s="22">
        <f>IF(U246&lt;&gt;0,(MAX(S245-($J$31*N246*$L$33)+J246,0)),(MAX(S245-($J$31*(N246+P246)*$L$33)+J246,0)))</f>
        <v>7.6480983150017394</v>
      </c>
      <c r="T246" s="22">
        <f>MAX(T245-($J$32*O246*$L$33)+K246,0)</f>
        <v>19.966158097178408</v>
      </c>
      <c r="U246" s="22">
        <f>MAX(U245-($J$33*P246*$L$33)+L246,0)</f>
        <v>0</v>
      </c>
      <c r="V246" s="21">
        <f>IFERROR(R246*($I$30/M246),0)</f>
        <v>4.5474273519999944</v>
      </c>
      <c r="W246" s="21">
        <f>IFERROR(S246*($I$31/N246),0)</f>
        <v>2.1864052045333326</v>
      </c>
      <c r="X246" s="21">
        <f>IFERROR(T246*($I$32/O246),0)</f>
        <v>3.4202727636000012</v>
      </c>
      <c r="Y246" s="21">
        <f>IFERROR(U246*($I$33/P246),0)</f>
        <v>0</v>
      </c>
      <c r="Z246" s="221">
        <f>ROUNDUP(SUM(V246*$C$30,W246*$C$31,X246*$C$32,Y246*$C$33),0)</f>
        <v>4</v>
      </c>
      <c r="AA246" s="30">
        <f>IF(R246&lt;&gt;0,($J$30*M246*$L$33),0)</f>
        <v>12.628138463824097</v>
      </c>
      <c r="AB246" s="30">
        <f>IF(W246&lt;&gt;0,($J$31*N246*$L$33),0)</f>
        <v>2.9733205694316993</v>
      </c>
      <c r="AC246" s="30">
        <f>IF(X246&lt;&gt;0,($J$32*O246*$L$33),0)</f>
        <v>4.9619534919017996</v>
      </c>
      <c r="AD246" s="30">
        <f>IF(Y246&lt;&gt;0,($J$33*P246*$L$33),0)</f>
        <v>0</v>
      </c>
      <c r="AE246" s="32">
        <f>SUM(AA246:AD246)</f>
        <v>20.563412525157595</v>
      </c>
      <c r="AF246" s="33">
        <f>AE242</f>
        <v>20.563412525157595</v>
      </c>
      <c r="AG246" s="40">
        <f>MAX(AG245-$Q$33+AF246,0)</f>
        <v>94.381693580108504</v>
      </c>
      <c r="AH246" s="224">
        <f>AG246*$P$33</f>
        <v>7.9156652202157662</v>
      </c>
      <c r="AI246" s="227">
        <f>SUM(Z246,IF(Z246&lt;&gt;0,$F$31,0),IF(Z246&lt;&gt;0,$N$33,0),IF(Z246&lt;&gt;0,$T$33,0),IF(Z246=0,AH251,IF(Z246=1,AH252,IF(Z246=2,AH253,IF(Z246=3,AH254,IF(Z246=4,AH255,IF(Z246=5,AH256,IF(Z246=6,AH257,IF(Z246=7,AH258,IF(Z246=8,AH259,IF(Z246=9,AH260,IF(Z246=10,AH261,IF(Z246=11,AH262,IF(Z246=12,AH263,IF(Z246=13,AH264,IF(Z246=14,AH265,IF(Z246=15,AH266,IF(Z246=16,AH267,IF(Z246=17,AH268,IF(Z246=18,AH269,IF(Z246=19,AH270,IF(Z246=20,AH271,IF(Z246=21,AH272,IF(Z246=22,AH273,IF(Z246=23,AH274,IF(Z246=24,AH275,IF(Z246=25,AH276,IF(Z246=26,AH277,IF(Z246=27,AH278,IF(Z246=28,AH279,IF(Z246=29,AH280,IF(Z246=30,AH281))))))))))))))))))))))))))))))))</f>
        <v>38.522406936698616</v>
      </c>
    </row>
    <row r="247" spans="1:35" x14ac:dyDescent="0.35">
      <c r="A247" s="48">
        <v>1628</v>
      </c>
      <c r="B247" s="58">
        <f>SUMIF([2]!Table2_23[ETA],'FIS Optimal Model (3)'!A247,[2]!Table2_23[FIS PAX])</f>
        <v>139</v>
      </c>
      <c r="C247" s="44">
        <f>IF((D246-D247)&gt;-1,(D246-D247),18)</f>
        <v>0</v>
      </c>
      <c r="D247" s="52">
        <f>MAX(D246-$E$31+B246,0)</f>
        <v>0</v>
      </c>
      <c r="E247" s="26">
        <f>$C$30*C247</f>
        <v>0</v>
      </c>
      <c r="F247" s="26">
        <f>$C$31*C247</f>
        <v>0</v>
      </c>
      <c r="G247" s="26">
        <f>$C$32*C247</f>
        <v>0</v>
      </c>
      <c r="H247" s="26">
        <f>$C$33*C247</f>
        <v>0</v>
      </c>
      <c r="I247" s="27">
        <f>E242</f>
        <v>9.9503999999999984</v>
      </c>
      <c r="J247" s="27">
        <f>F242</f>
        <v>4.2713999999999999</v>
      </c>
      <c r="K247" s="27">
        <f>G242</f>
        <v>2.9447999999999999</v>
      </c>
      <c r="L247" s="27">
        <f>H242</f>
        <v>0.83340000000000003</v>
      </c>
      <c r="M247" s="28">
        <f>$M$235</f>
        <v>6</v>
      </c>
      <c r="N247" s="29">
        <f>$N$235</f>
        <v>6</v>
      </c>
      <c r="O247" s="28">
        <f>$O$235</f>
        <v>2</v>
      </c>
      <c r="P247" s="28">
        <f>$P$235</f>
        <v>2</v>
      </c>
      <c r="Q247" s="28">
        <f>SUM(M247:P247)</f>
        <v>16</v>
      </c>
      <c r="R247" s="22">
        <f>MAX(R246-($J$30*M247*$L$33)+I247,0)</f>
        <v>64.881723012925193</v>
      </c>
      <c r="S247" s="22">
        <f>IF(U247&lt;&gt;0,(MAX(S246-($J$31*N247*$L$33)+J247,0)),(MAX(S246-($J$31*(N247+P247)*$L$33)+J247,0)))</f>
        <v>7.9550708890928066</v>
      </c>
      <c r="T247" s="22">
        <f>MAX(T246-($J$32*O247*$L$33)+K247,0)</f>
        <v>17.94900460527661</v>
      </c>
      <c r="U247" s="22">
        <f>MAX(U246-($J$33*P247*$L$33)+L247,0)</f>
        <v>0</v>
      </c>
      <c r="V247" s="21">
        <f>IFERROR(R247*($I$30/M247),0)</f>
        <v>4.3671887759999946</v>
      </c>
      <c r="W247" s="21">
        <f>IFERROR(S247*($I$31/N247),0)</f>
        <v>2.274161193799999</v>
      </c>
      <c r="X247" s="21">
        <f>IFERROR(T247*($I$32/O247),0)</f>
        <v>3.0747273104000015</v>
      </c>
      <c r="Y247" s="21">
        <f>IFERROR(U247*($I$33/P247),0)</f>
        <v>0</v>
      </c>
      <c r="Z247" s="221">
        <f>ROUNDUP(SUM(V247*$C$30,W247*$C$31,X247*$C$32,Y247*$C$33),0)</f>
        <v>4</v>
      </c>
      <c r="AA247" s="30">
        <f>IF(R247&lt;&gt;0,($J$30*M247*$L$33),0)</f>
        <v>12.628138463824097</v>
      </c>
      <c r="AB247" s="30">
        <f>IF(W247&lt;&gt;0,($J$31*N247*$L$33),0)</f>
        <v>2.9733205694316993</v>
      </c>
      <c r="AC247" s="30">
        <f>IF(X247&lt;&gt;0,($J$32*O247*$L$33),0)</f>
        <v>4.9619534919017996</v>
      </c>
      <c r="AD247" s="30">
        <f>IF(Y247&lt;&gt;0,($J$33*P247*$L$33),0)</f>
        <v>0</v>
      </c>
      <c r="AE247" s="32">
        <f>SUM(AA247:AD247)</f>
        <v>20.563412525157595</v>
      </c>
      <c r="AF247" s="33">
        <f>AE243</f>
        <v>20.563412525157595</v>
      </c>
      <c r="AG247" s="40">
        <f>MAX(AG246-$Q$33+AF247,0)</f>
        <v>103.02169967581432</v>
      </c>
      <c r="AH247" s="224">
        <f>AG247*$P$33</f>
        <v>8.6402908669910286</v>
      </c>
      <c r="AI247" s="227">
        <f>SUM(Z247,IF(Z247&lt;&gt;0,$F$31,0),IF(Z247&lt;&gt;0,$N$33,0),IF(Z247&lt;&gt;0,$T$33,0),IF(Z247=0,AH252,IF(Z247=1,AH253,IF(Z247=2,AH254,IF(Z247=3,AH255,IF(Z247=4,AH256,IF(Z247=5,AH257,IF(Z247=6,AH258,IF(Z247=7,AH259,IF(Z247=8,AH260,IF(Z247=9,AH261,IF(Z247=10,AH262,IF(Z247=11,AH263,IF(Z247=12,AH264,IF(Z247=13,AH265,IF(Z247=14,AH266,IF(Z247=15,AH267,IF(Z247=16,AH268,IF(Z247=17,AH269,IF(Z247=18,AH270,IF(Z247=19,AH271,IF(Z247=20,AH272,IF(Z247=21,AH273,IF(Z247=22,AH274,IF(Z247=23,AH275,IF(Z247=24,AH276,IF(Z247=25,AH277,IF(Z247=26,AH278,IF(Z247=27,AH279,IF(Z247=28,AH280,IF(Z247=29,AH281,IF(Z247=30,AH282))))))))))))))))))))))))))))))))</f>
        <v>38.581511860995384</v>
      </c>
    </row>
    <row r="248" spans="1:35" x14ac:dyDescent="0.35">
      <c r="A248" s="48">
        <v>1629</v>
      </c>
      <c r="B248" s="58">
        <f>SUMIF([2]!Table2_23[ETA],'FIS Optimal Model (3)'!A248,[2]!Table2_23[FIS PAX])</f>
        <v>0</v>
      </c>
      <c r="C248" s="44">
        <f>IF((D247-D248)&gt;-1,(D247-D248),18)</f>
        <v>18</v>
      </c>
      <c r="D248" s="52">
        <f>MAX(D247-$E$31+B247,0)</f>
        <v>121</v>
      </c>
      <c r="E248" s="26">
        <f>$C$30*C248</f>
        <v>9.9503999999999984</v>
      </c>
      <c r="F248" s="26">
        <f>$C$31*C248</f>
        <v>4.2713999999999999</v>
      </c>
      <c r="G248" s="26">
        <f>$C$32*C248</f>
        <v>2.9447999999999999</v>
      </c>
      <c r="H248" s="26">
        <f>$C$33*C248</f>
        <v>0.83340000000000003</v>
      </c>
      <c r="I248" s="27">
        <f>E243</f>
        <v>4.4223999999999997</v>
      </c>
      <c r="J248" s="27">
        <f>F243</f>
        <v>1.8984000000000001</v>
      </c>
      <c r="K248" s="27">
        <f>G243</f>
        <v>1.3088</v>
      </c>
      <c r="L248" s="27">
        <f>H243</f>
        <v>0.37040000000000001</v>
      </c>
      <c r="M248" s="28">
        <f>$M$235</f>
        <v>6</v>
      </c>
      <c r="N248" s="29">
        <f>$N$235</f>
        <v>6</v>
      </c>
      <c r="O248" s="28">
        <f>$O$235</f>
        <v>2</v>
      </c>
      <c r="P248" s="28">
        <f>$P$235</f>
        <v>2</v>
      </c>
      <c r="Q248" s="28">
        <f>SUM(M248:P248)</f>
        <v>16</v>
      </c>
      <c r="R248" s="22">
        <f>MAX(R247-($J$30*M248*$L$33)+I248,0)</f>
        <v>56.675984549101088</v>
      </c>
      <c r="S248" s="22">
        <f>IF(U248&lt;&gt;0,(MAX(S247-($J$31*N248*$L$33)+J248,0)),(MAX(S247-($J$31*(N248+P248)*$L$33)+J248,0)))</f>
        <v>5.8890434631838744</v>
      </c>
      <c r="T248" s="22">
        <f>MAX(T247-($J$32*O248*$L$33)+K248,0)</f>
        <v>14.295851113374811</v>
      </c>
      <c r="U248" s="22">
        <f>MAX(U247-($J$33*P248*$L$33)+L248,0)</f>
        <v>0</v>
      </c>
      <c r="V248" s="21">
        <f>IFERROR(R248*($I$30/M248),0)</f>
        <v>3.8148605199999941</v>
      </c>
      <c r="W248" s="21">
        <f>IFERROR(S248*($I$31/N248),0)</f>
        <v>1.6835342260666657</v>
      </c>
      <c r="X248" s="21">
        <f>IFERROR(T248*($I$32/O248),0)</f>
        <v>2.4489293312000018</v>
      </c>
      <c r="Y248" s="21">
        <f>IFERROR(U248*($I$33/P248),0)</f>
        <v>0</v>
      </c>
      <c r="Z248" s="221">
        <f>ROUNDUP(SUM(V248*$C$30,W248*$C$31,X248*$C$32,Y248*$C$33),0)</f>
        <v>3</v>
      </c>
      <c r="AA248" s="30">
        <f>IF(R248&lt;&gt;0,($J$30*M248*$L$33),0)</f>
        <v>12.628138463824097</v>
      </c>
      <c r="AB248" s="30">
        <f>IF(W248&lt;&gt;0,($J$31*N248*$L$33),0)</f>
        <v>2.9733205694316993</v>
      </c>
      <c r="AC248" s="30">
        <f>IF(X248&lt;&gt;0,($J$32*O248*$L$33),0)</f>
        <v>4.9619534919017996</v>
      </c>
      <c r="AD248" s="30">
        <f>IF(Y248&lt;&gt;0,($J$33*P248*$L$33),0)</f>
        <v>0</v>
      </c>
      <c r="AE248" s="32">
        <f>SUM(AA248:AD248)</f>
        <v>20.563412525157595</v>
      </c>
      <c r="AF248" s="33">
        <f>AE244</f>
        <v>20.563412525157595</v>
      </c>
      <c r="AG248" s="40">
        <f>MAX(AG247-$Q$33+AF248,0)</f>
        <v>111.66170577152013</v>
      </c>
      <c r="AH248" s="224">
        <f>AG248*$P$33</f>
        <v>9.3649165137662909</v>
      </c>
      <c r="AI248" s="227">
        <f>SUM(Z248,IF(Z248&lt;&gt;0,$F$31,0),IF(Z248&lt;&gt;0,$N$33,0),IF(Z248&lt;&gt;0,$T$33,0),IF(Z248=0,AH253,IF(Z248=1,AH254,IF(Z248=2,AH255,IF(Z248=3,AH256,IF(Z248=4,AH257,IF(Z248=5,AH258,IF(Z248=6,AH259,IF(Z248=7,AH260,IF(Z248=8,AH261,IF(Z248=9,AH262,IF(Z248=10,AH263,IF(Z248=11,AH264,IF(Z248=12,AH265,IF(Z248=13,AH266,IF(Z248=14,AH267,IF(Z248=15,AH268,IF(Z248=16,AH269,IF(Z248=17,AH270,IF(Z248=18,AH271,IF(Z248=19,AH272,IF(Z248=20,AH273,IF(Z248=21,AH274,IF(Z248=22,AH275,IF(Z248=23,AH276,IF(Z248=24,AH277,IF(Z248=25,AH278,IF(Z248=26,AH279,IF(Z248=27,AH280,IF(Z248=28,AH281,IF(Z248=29,AH282,IF(Z248=30,AH283))))))))))))))))))))))))))))))))</f>
        <v>37.581511860995384</v>
      </c>
    </row>
    <row r="249" spans="1:35" x14ac:dyDescent="0.35">
      <c r="A249" s="48">
        <v>1630</v>
      </c>
      <c r="B249" s="58">
        <f>SUMIF([2]!Table2_23[ETA],'FIS Optimal Model (3)'!A249,[2]!Table2_23[FIS PAX])</f>
        <v>0</v>
      </c>
      <c r="C249" s="44">
        <f>IF((D248-D249)&gt;-1,(D248-D249),18)</f>
        <v>18</v>
      </c>
      <c r="D249" s="52">
        <f>MAX(D248-$E$31+B248,0)</f>
        <v>103</v>
      </c>
      <c r="E249" s="26">
        <f>$C$30*C249</f>
        <v>9.9503999999999984</v>
      </c>
      <c r="F249" s="26">
        <f>$C$31*C249</f>
        <v>4.2713999999999999</v>
      </c>
      <c r="G249" s="26">
        <f>$C$32*C249</f>
        <v>2.9447999999999999</v>
      </c>
      <c r="H249" s="26">
        <f>$C$33*C249</f>
        <v>0.83340000000000003</v>
      </c>
      <c r="I249" s="27">
        <f>E244</f>
        <v>0</v>
      </c>
      <c r="J249" s="27">
        <f>F244</f>
        <v>0</v>
      </c>
      <c r="K249" s="27">
        <f>G244</f>
        <v>0</v>
      </c>
      <c r="L249" s="27">
        <f>H244</f>
        <v>0</v>
      </c>
      <c r="M249" s="28">
        <f>$M$235</f>
        <v>6</v>
      </c>
      <c r="N249" s="29">
        <f>$N$235</f>
        <v>6</v>
      </c>
      <c r="O249" s="28">
        <f>$O$235</f>
        <v>2</v>
      </c>
      <c r="P249" s="28">
        <f>$P$235</f>
        <v>2</v>
      </c>
      <c r="Q249" s="28">
        <f>SUM(M249:P249)</f>
        <v>16</v>
      </c>
      <c r="R249" s="22">
        <f>MAX(R248-($J$30*M249*$L$33)+I249,0)</f>
        <v>44.047846085276987</v>
      </c>
      <c r="S249" s="22">
        <f>IF(U249&lt;&gt;0,(MAX(S248-($J$31*N249*$L$33)+J249,0)),(MAX(S248-($J$31*(N249+P249)*$L$33)+J249,0)))</f>
        <v>1.9246160372749417</v>
      </c>
      <c r="T249" s="22">
        <f>MAX(T248-($J$32*O249*$L$33)+K249,0)</f>
        <v>9.3338976214730103</v>
      </c>
      <c r="U249" s="22">
        <f>MAX(U248-($J$33*P249*$L$33)+L249,0)</f>
        <v>0</v>
      </c>
      <c r="V249" s="21">
        <f>IFERROR(R249*($I$30/M249),0)</f>
        <v>2.9648605199999936</v>
      </c>
      <c r="W249" s="21">
        <f>IFERROR(S249*($I$31/N249),0)</f>
        <v>0.55020089273333217</v>
      </c>
      <c r="X249" s="21">
        <f>IFERROR(T249*($I$32/O249),0)</f>
        <v>1.5989293312000017</v>
      </c>
      <c r="Y249" s="21">
        <f>IFERROR(U249*($I$33/P249),0)</f>
        <v>0</v>
      </c>
      <c r="Z249" s="221">
        <f>ROUNDUP(SUM(V249*$C$30,W249*$C$31,X249*$C$32,Y249*$C$33),0)</f>
        <v>3</v>
      </c>
      <c r="AA249" s="30">
        <f>IF(R249&lt;&gt;0,($J$30*M249*$L$33),0)</f>
        <v>12.628138463824097</v>
      </c>
      <c r="AB249" s="30">
        <f>IF(W249&lt;&gt;0,($J$31*N249*$L$33),0)</f>
        <v>2.9733205694316993</v>
      </c>
      <c r="AC249" s="30">
        <f>IF(X249&lt;&gt;0,($J$32*O249*$L$33),0)</f>
        <v>4.9619534919017996</v>
      </c>
      <c r="AD249" s="30">
        <f>IF(Y249&lt;&gt;0,($J$33*P249*$L$33),0)</f>
        <v>0</v>
      </c>
      <c r="AE249" s="32">
        <f>SUM(AA249:AD249)</f>
        <v>20.563412525157595</v>
      </c>
      <c r="AF249" s="33">
        <f>AE245</f>
        <v>20.563412525157595</v>
      </c>
      <c r="AG249" s="40">
        <f>MAX(AG248-$Q$33+AF249,0)</f>
        <v>120.30171186722595</v>
      </c>
      <c r="AH249" s="224">
        <f>AG249*$P$33</f>
        <v>10.089542160541551</v>
      </c>
      <c r="AI249" s="227">
        <f>SUM(Z249,IF(Z249&lt;&gt;0,$F$31,0),IF(Z249&lt;&gt;0,$N$33,0),IF(Z249&lt;&gt;0,$T$33,0),IF(Z249=0,AH254,IF(Z249=1,AH255,IF(Z249=2,AH256,IF(Z249=3,AH257,IF(Z249=4,AH258,IF(Z249=5,AH259,IF(Z249=6,AH260,IF(Z249=7,AH261,IF(Z249=8,AH262,IF(Z249=9,AH263,IF(Z249=10,AH264,IF(Z249=11,AH265,IF(Z249=12,AH266,IF(Z249=13,AH267,IF(Z249=14,AH268,IF(Z249=15,AH269,IF(Z249=16,AH270,IF(Z249=17,AH271,IF(Z249=18,AH272,IF(Z249=19,AH273,IF(Z249=20,AH274,IF(Z249=21,AH275,IF(Z249=22,AH276,IF(Z249=23,AH277,IF(Z249=24,AH278,IF(Z249=25,AH279,IF(Z249=26,AH280,IF(Z249=27,AH281,IF(Z249=28,AH282,IF(Z249=29,AH283,IF(Z249=30,AH284))))))))))))))))))))))))))))))))</f>
        <v>37.973107961313502</v>
      </c>
    </row>
    <row r="250" spans="1:35" x14ac:dyDescent="0.35">
      <c r="A250" s="48">
        <v>1631</v>
      </c>
      <c r="B250" s="58">
        <f>SUMIF([2]!Table2_23[ETA],'FIS Optimal Model (3)'!A250,[2]!Table2_23[FIS PAX])</f>
        <v>0</v>
      </c>
      <c r="C250" s="44">
        <f>IF((D249-D250)&gt;-1,(D249-D250),18)</f>
        <v>18</v>
      </c>
      <c r="D250" s="52">
        <f>MAX(D249-$E$31+B249,0)</f>
        <v>85</v>
      </c>
      <c r="E250" s="26">
        <f>$C$30*C250</f>
        <v>9.9503999999999984</v>
      </c>
      <c r="F250" s="26">
        <f>$C$31*C250</f>
        <v>4.2713999999999999</v>
      </c>
      <c r="G250" s="26">
        <f>$C$32*C250</f>
        <v>2.9447999999999999</v>
      </c>
      <c r="H250" s="26">
        <f>$C$33*C250</f>
        <v>0.83340000000000003</v>
      </c>
      <c r="I250" s="27">
        <f>E245</f>
        <v>0</v>
      </c>
      <c r="J250" s="27">
        <f>F245</f>
        <v>0</v>
      </c>
      <c r="K250" s="27">
        <f>G245</f>
        <v>0</v>
      </c>
      <c r="L250" s="27">
        <f>H245</f>
        <v>0</v>
      </c>
      <c r="M250" s="28">
        <f>IF(R249=0,0,$Q$20)</f>
        <v>6</v>
      </c>
      <c r="N250" s="29">
        <f>$U$20-M250-O250-P250</f>
        <v>8</v>
      </c>
      <c r="O250" s="28">
        <f>IF(T249=0,0,$S$20)</f>
        <v>2</v>
      </c>
      <c r="P250" s="28">
        <f>IF(U249=0,0,$T$20)</f>
        <v>0</v>
      </c>
      <c r="Q250" s="28">
        <f>SUM(M250:P250)</f>
        <v>16</v>
      </c>
      <c r="R250" s="22">
        <f>MAX(R249-($J$30*M250*$L$33)+I250,0)</f>
        <v>31.41970762145289</v>
      </c>
      <c r="S250" s="22">
        <f>IF(U250&lt;&gt;0,(MAX(S249-($J$31*N250*$L$33)+J250,0)),(MAX(S249-($J$31*(N250+P250)*$L$33)+J250,0)))</f>
        <v>0</v>
      </c>
      <c r="T250" s="22">
        <f>MAX(T249-($J$32*O250*$L$33)+K250,0)</f>
        <v>4.3719441295712107</v>
      </c>
      <c r="U250" s="22">
        <f>MAX(U249-($J$33*P250*$L$33)+L250,0)</f>
        <v>0</v>
      </c>
      <c r="V250" s="21">
        <f>IFERROR(R250*($I$30/M250),0)</f>
        <v>2.1148605199999939</v>
      </c>
      <c r="W250" s="21">
        <f>IFERROR(S250*($I$31/N250),0)</f>
        <v>0</v>
      </c>
      <c r="X250" s="21">
        <f>IFERROR(T250*($I$32/O250),0)</f>
        <v>0.74892933120000194</v>
      </c>
      <c r="Y250" s="21">
        <f>IFERROR(U250*($I$33/P250),0)</f>
        <v>0</v>
      </c>
      <c r="Z250" s="221">
        <f>ROUNDUP(SUM(V250*$C$30,W250*$C$31,X250*$C$32,Y250*$C$33),0)</f>
        <v>2</v>
      </c>
      <c r="AA250" s="30">
        <f>IF(R250&lt;&gt;0,($J$30*M250*$L$33),0)</f>
        <v>12.628138463824097</v>
      </c>
      <c r="AB250" s="30">
        <f>IF(W250&lt;&gt;0,($J$31*N250*$L$33),0)</f>
        <v>0</v>
      </c>
      <c r="AC250" s="30">
        <f>IF(X250&lt;&gt;0,($J$32*O250*$L$33),0)</f>
        <v>4.9619534919017996</v>
      </c>
      <c r="AD250" s="30">
        <f>IF(Y250&lt;&gt;0,($J$33*P250*$L$33),0)</f>
        <v>0</v>
      </c>
      <c r="AE250" s="32">
        <f>SUM(AA250:AD250)</f>
        <v>17.590091955725896</v>
      </c>
      <c r="AF250" s="33">
        <f>AE246</f>
        <v>20.563412525157595</v>
      </c>
      <c r="AG250" s="40">
        <f>MAX(AG249-$Q$33+AF250,0)</f>
        <v>128.94171796293176</v>
      </c>
      <c r="AH250" s="224">
        <f>AG250*$P$33</f>
        <v>10.814167807316814</v>
      </c>
      <c r="AI250" s="227">
        <f>SUM(Z250,IF(Z250&lt;&gt;0,$F$31,0),IF(Z250&lt;&gt;0,$N$33,0),IF(Z250&lt;&gt;0,$T$33,0),IF(Z250=0,AH255,IF(Z250=1,AH256,IF(Z250=2,AH257,IF(Z250=3,AH258,IF(Z250=4,AH259,IF(Z250=5,AH260,IF(Z250=6,AH261,IF(Z250=7,AH262,IF(Z250=8,AH263,IF(Z250=9,AH264,IF(Z250=10,AH265,IF(Z250=11,AH266,IF(Z250=12,AH267,IF(Z250=13,AH268,IF(Z250=14,AH269,IF(Z250=15,AH270,IF(Z250=16,AH271,IF(Z250=17,AH272,IF(Z250=18,AH273,IF(Z250=19,AH274,IF(Z250=20,AH275,IF(Z250=21,AH276,IF(Z250=22,AH277,IF(Z250=23,AH278,IF(Z250=24,AH279,IF(Z250=25,AH280,IF(Z250=26,AH281,IF(Z250=27,AH282,IF(Z250=28,AH283,IF(Z250=29,AH284,IF(Z250=30,AH285))))))))))))))))))))))))))))))))</f>
        <v>36.973107961313502</v>
      </c>
    </row>
    <row r="251" spans="1:35" x14ac:dyDescent="0.35">
      <c r="A251" s="48">
        <v>1632</v>
      </c>
      <c r="B251" s="58">
        <f>SUMIF([2]!Table2_23[ETA],'FIS Optimal Model (3)'!A251,[2]!Table2_23[FIS PAX])</f>
        <v>0</v>
      </c>
      <c r="C251" s="44">
        <f>IF((D250-D251)&gt;-1,(D250-D251),18)</f>
        <v>18</v>
      </c>
      <c r="D251" s="52">
        <f>MAX(D250-$E$31+B250,0)</f>
        <v>67</v>
      </c>
      <c r="E251" s="26">
        <f>$C$30*C251</f>
        <v>9.9503999999999984</v>
      </c>
      <c r="F251" s="26">
        <f>$C$31*C251</f>
        <v>4.2713999999999999</v>
      </c>
      <c r="G251" s="26">
        <f>$C$32*C251</f>
        <v>2.9447999999999999</v>
      </c>
      <c r="H251" s="26">
        <f>$C$33*C251</f>
        <v>0.83340000000000003</v>
      </c>
      <c r="I251" s="27">
        <f>E246</f>
        <v>0</v>
      </c>
      <c r="J251" s="27">
        <f>F246</f>
        <v>0</v>
      </c>
      <c r="K251" s="27">
        <f>G246</f>
        <v>0</v>
      </c>
      <c r="L251" s="27">
        <f>H246</f>
        <v>0</v>
      </c>
      <c r="M251" s="28">
        <f>$M$250</f>
        <v>6</v>
      </c>
      <c r="N251" s="29">
        <f>$N$250</f>
        <v>8</v>
      </c>
      <c r="O251" s="28">
        <f>$O$250</f>
        <v>2</v>
      </c>
      <c r="P251" s="28">
        <f>$P$250</f>
        <v>0</v>
      </c>
      <c r="Q251" s="28">
        <f>SUM(M251:P251)</f>
        <v>16</v>
      </c>
      <c r="R251" s="22">
        <f>MAX(R250-($J$30*M251*$L$33)+I251,0)</f>
        <v>18.791569157628793</v>
      </c>
      <c r="S251" s="22">
        <f>IF(U251&lt;&gt;0,(MAX(S250-($J$31*N251*$L$33)+J251,0)),(MAX(S250-($J$31*(N251+P251)*$L$33)+J251,0)))</f>
        <v>0</v>
      </c>
      <c r="T251" s="22">
        <f>MAX(T250-($J$32*O251*$L$33)+K251,0)</f>
        <v>0</v>
      </c>
      <c r="U251" s="22">
        <f>MAX(U250-($J$33*P251*$L$33)+L251,0)</f>
        <v>0</v>
      </c>
      <c r="V251" s="21">
        <f>IFERROR(R251*($I$30/M251),0)</f>
        <v>1.2648605199999938</v>
      </c>
      <c r="W251" s="21">
        <f>IFERROR(S251*($I$31/N251),0)</f>
        <v>0</v>
      </c>
      <c r="X251" s="21">
        <f>IFERROR(T251*($I$32/O251),0)</f>
        <v>0</v>
      </c>
      <c r="Y251" s="21">
        <f>IFERROR(U251*($I$33/P251),0)</f>
        <v>0</v>
      </c>
      <c r="Z251" s="221">
        <f>ROUNDUP(SUM(V251*$C$30,W251*$C$31,X251*$C$32,Y251*$C$33),0)</f>
        <v>1</v>
      </c>
      <c r="AA251" s="30">
        <f>IF(R251&lt;&gt;0,($J$30*M251*$L$33),0)</f>
        <v>12.628138463824097</v>
      </c>
      <c r="AB251" s="30">
        <f>IF(W251&lt;&gt;0,($J$31*N251*$L$33),0)</f>
        <v>0</v>
      </c>
      <c r="AC251" s="30">
        <f>IF(X251&lt;&gt;0,($J$32*O251*$L$33),0)</f>
        <v>0</v>
      </c>
      <c r="AD251" s="30">
        <f>IF(Y251&lt;&gt;0,($J$33*P251*$L$33),0)</f>
        <v>0</v>
      </c>
      <c r="AE251" s="32">
        <f>SUM(AA251:AD251)</f>
        <v>12.628138463824097</v>
      </c>
      <c r="AF251" s="33">
        <f>AE247</f>
        <v>20.563412525157595</v>
      </c>
      <c r="AG251" s="40">
        <f>MAX(AG250-$Q$33+AF251,0)</f>
        <v>137.58172405863758</v>
      </c>
      <c r="AH251" s="224">
        <f>AG251*$P$33</f>
        <v>11.538793454092076</v>
      </c>
      <c r="AI251" s="227">
        <f>SUM(Z251,IF(Z251&lt;&gt;0,$F$31,0),IF(Z251&lt;&gt;0,$N$33,0),IF(Z251&lt;&gt;0,$T$33,0),IF(Z251=0,AH256,IF(Z251=1,AH257,IF(Z251=2,AH258,IF(Z251=3,AH259,IF(Z251=4,AH260,IF(Z251=5,AH261,IF(Z251=6,AH262,IF(Z251=7,AH263,IF(Z251=8,AH264,IF(Z251=9,AH265,IF(Z251=10,AH266,IF(Z251=11,AH267,IF(Z251=12,AH268,IF(Z251=13,AH269,IF(Z251=14,AH270,IF(Z251=15,AH271,IF(Z251=16,AH272,IF(Z251=17,AH273,IF(Z251=18,AH274,IF(Z251=19,AH275,IF(Z251=20,AH276,IF(Z251=21,AH277,IF(Z251=22,AH278,IF(Z251=23,AH279,IF(Z251=24,AH280,IF(Z251=25,AH281,IF(Z251=26,AH282,IF(Z251=27,AH283,IF(Z251=28,AH284,IF(Z251=29,AH285,IF(Z251=30,AH286))))))))))))))))))))))))))))))))</f>
        <v>35.973107961313502</v>
      </c>
    </row>
    <row r="252" spans="1:35" x14ac:dyDescent="0.35">
      <c r="A252" s="48">
        <v>1633</v>
      </c>
      <c r="B252" s="58">
        <f>SUMIF([2]!Table2_23[ETA],'FIS Optimal Model (3)'!A252,[2]!Table2_23[FIS PAX])</f>
        <v>0</v>
      </c>
      <c r="C252" s="44">
        <f>IF((D251-D252)&gt;-1,(D251-D252),18)</f>
        <v>18</v>
      </c>
      <c r="D252" s="52">
        <f>MAX(D251-$E$31+B251,0)</f>
        <v>49</v>
      </c>
      <c r="E252" s="26">
        <f>$C$30*C252</f>
        <v>9.9503999999999984</v>
      </c>
      <c r="F252" s="26">
        <f>$C$31*C252</f>
        <v>4.2713999999999999</v>
      </c>
      <c r="G252" s="26">
        <f>$C$32*C252</f>
        <v>2.9447999999999999</v>
      </c>
      <c r="H252" s="26">
        <f>$C$33*C252</f>
        <v>0.83340000000000003</v>
      </c>
      <c r="I252" s="27">
        <f>E247</f>
        <v>0</v>
      </c>
      <c r="J252" s="27">
        <f>F247</f>
        <v>0</v>
      </c>
      <c r="K252" s="27">
        <f>G247</f>
        <v>0</v>
      </c>
      <c r="L252" s="27">
        <f>H247</f>
        <v>0</v>
      </c>
      <c r="M252" s="28">
        <f>$M$250</f>
        <v>6</v>
      </c>
      <c r="N252" s="29">
        <f>$N$250</f>
        <v>8</v>
      </c>
      <c r="O252" s="28">
        <f>$O$250</f>
        <v>2</v>
      </c>
      <c r="P252" s="28">
        <f>$P$250</f>
        <v>0</v>
      </c>
      <c r="Q252" s="28">
        <f>SUM(M252:P252)</f>
        <v>16</v>
      </c>
      <c r="R252" s="22">
        <f>MAX(R251-($J$30*M252*$L$33)+I252,0)</f>
        <v>6.1634306938046954</v>
      </c>
      <c r="S252" s="22">
        <f>IF(U252&lt;&gt;0,(MAX(S251-($J$31*N252*$L$33)+J252,0)),(MAX(S251-($J$31*(N252+P252)*$L$33)+J252,0)))</f>
        <v>0</v>
      </c>
      <c r="T252" s="22">
        <f>MAX(T251-($J$32*O252*$L$33)+K252,0)</f>
        <v>0</v>
      </c>
      <c r="U252" s="22">
        <f>MAX(U251-($J$33*P252*$L$33)+L252,0)</f>
        <v>0</v>
      </c>
      <c r="V252" s="21">
        <f>IFERROR(R252*($I$30/M252),0)</f>
        <v>0.41486051999999402</v>
      </c>
      <c r="W252" s="21">
        <f>IFERROR(S252*($I$31/N252),0)</f>
        <v>0</v>
      </c>
      <c r="X252" s="21">
        <f>IFERROR(T252*($I$32/O252),0)</f>
        <v>0</v>
      </c>
      <c r="Y252" s="21">
        <f>IFERROR(U252*($I$33/P252),0)</f>
        <v>0</v>
      </c>
      <c r="Z252" s="221">
        <f>ROUNDUP(SUM(V252*$C$30,W252*$C$31,X252*$C$32,Y252*$C$33),0)</f>
        <v>1</v>
      </c>
      <c r="AA252" s="30">
        <f>IF(R252&lt;&gt;0,($J$30*M252*$L$33),0)</f>
        <v>12.628138463824097</v>
      </c>
      <c r="AB252" s="30">
        <f>IF(W252&lt;&gt;0,($J$31*N252*$L$33),0)</f>
        <v>0</v>
      </c>
      <c r="AC252" s="30">
        <f>IF(X252&lt;&gt;0,($J$32*O252*$L$33),0)</f>
        <v>0</v>
      </c>
      <c r="AD252" s="30">
        <f>IF(Y252&lt;&gt;0,($J$33*P252*$L$33),0)</f>
        <v>0</v>
      </c>
      <c r="AE252" s="32">
        <f>SUM(AA252:AD252)</f>
        <v>12.628138463824097</v>
      </c>
      <c r="AF252" s="33">
        <f>AE248</f>
        <v>20.563412525157595</v>
      </c>
      <c r="AG252" s="40">
        <f>MAX(AG251-$Q$33+AF252,0)</f>
        <v>146.22173015434339</v>
      </c>
      <c r="AH252" s="224">
        <f>AG252*$P$33</f>
        <v>12.263419100867338</v>
      </c>
      <c r="AI252" s="227">
        <f>SUM(Z252,IF(Z252&lt;&gt;0,$F$31,0),IF(Z252&lt;&gt;0,$N$33,0),IF(Z252&lt;&gt;0,$T$33,0),IF(Z252=0,AH257,IF(Z252=1,AH258,IF(Z252=2,AH259,IF(Z252=3,AH260,IF(Z252=4,AH261,IF(Z252=5,AH262,IF(Z252=6,AH263,IF(Z252=7,AH264,IF(Z252=8,AH265,IF(Z252=9,AH266,IF(Z252=10,AH267,IF(Z252=11,AH268,IF(Z252=12,AH269,IF(Z252=13,AH270,IF(Z252=14,AH271,IF(Z252=15,AH272,IF(Z252=16,AH273,IF(Z252=17,AH274,IF(Z252=18,AH275,IF(Z252=19,AH276,IF(Z252=20,AH277,IF(Z252=21,AH278,IF(Z252=22,AH279,IF(Z252=23,AH280,IF(Z252=24,AH281,IF(Z252=25,AH282,IF(Z252=26,AH283,IF(Z252=27,AH284,IF(Z252=28,AH285,IF(Z252=29,AH286,IF(Z252=30,AH287))))))))))))))))))))))))))))))))</f>
        <v>36.364704061631613</v>
      </c>
    </row>
    <row r="253" spans="1:35" x14ac:dyDescent="0.35">
      <c r="A253" s="48">
        <v>1634</v>
      </c>
      <c r="B253" s="58">
        <f>SUMIF([2]!Table2_23[ETA],'FIS Optimal Model (3)'!A253,[2]!Table2_23[FIS PAX])</f>
        <v>0</v>
      </c>
      <c r="C253" s="44">
        <f>IF((D252-D253)&gt;-1,(D252-D253),18)</f>
        <v>18</v>
      </c>
      <c r="D253" s="52">
        <f>MAX(D252-$E$31+B252,0)</f>
        <v>31</v>
      </c>
      <c r="E253" s="26">
        <f>$C$30*C253</f>
        <v>9.9503999999999984</v>
      </c>
      <c r="F253" s="26">
        <f>$C$31*C253</f>
        <v>4.2713999999999999</v>
      </c>
      <c r="G253" s="26">
        <f>$C$32*C253</f>
        <v>2.9447999999999999</v>
      </c>
      <c r="H253" s="26">
        <f>$C$33*C253</f>
        <v>0.83340000000000003</v>
      </c>
      <c r="I253" s="27">
        <f>E248</f>
        <v>9.9503999999999984</v>
      </c>
      <c r="J253" s="27">
        <f>F248</f>
        <v>4.2713999999999999</v>
      </c>
      <c r="K253" s="27">
        <f>G248</f>
        <v>2.9447999999999999</v>
      </c>
      <c r="L253" s="27">
        <f>H248</f>
        <v>0.83340000000000003</v>
      </c>
      <c r="M253" s="28">
        <f>$M$250</f>
        <v>6</v>
      </c>
      <c r="N253" s="29">
        <f>$N$250</f>
        <v>8</v>
      </c>
      <c r="O253" s="28">
        <f>$O$250</f>
        <v>2</v>
      </c>
      <c r="P253" s="28">
        <f>$P$250</f>
        <v>0</v>
      </c>
      <c r="Q253" s="28">
        <f>SUM(M253:P253)</f>
        <v>16</v>
      </c>
      <c r="R253" s="22">
        <f>MAX(R252-($J$30*M253*$L$33)+I253,0)</f>
        <v>3.4856922299805966</v>
      </c>
      <c r="S253" s="22">
        <f>IF(U253&lt;&gt;0,(MAX(S252-($J$31*N253*$L$33)+J253,0)),(MAX(S252-($J$31*(N253+P253)*$L$33)+J253,0)))</f>
        <v>0.30697257409106715</v>
      </c>
      <c r="T253" s="22">
        <f>MAX(T252-($J$32*O253*$L$33)+K253,0)</f>
        <v>0</v>
      </c>
      <c r="U253" s="22">
        <f>MAX(U252-($J$33*P253*$L$33)+L253,0)</f>
        <v>0.83340000000000003</v>
      </c>
      <c r="V253" s="21">
        <f>IFERROR(R253*($I$30/M253),0)</f>
        <v>0.23462194399999395</v>
      </c>
      <c r="W253" s="21">
        <f>IFERROR(S253*($I$31/N253),0)</f>
        <v>6.5816991949999917E-2</v>
      </c>
      <c r="X253" s="21">
        <f>IFERROR(T253*($I$32/O253),0)</f>
        <v>0</v>
      </c>
      <c r="Y253" s="21">
        <f>IFERROR(U253*($I$33/P253),0)</f>
        <v>0</v>
      </c>
      <c r="Z253" s="221">
        <f>ROUNDUP(SUM(V253*$C$30,W253*$C$31,X253*$C$32,Y253*$C$33),0)</f>
        <v>1</v>
      </c>
      <c r="AA253" s="30">
        <f>IF(R253&lt;&gt;0,($J$30*M253*$L$33),0)</f>
        <v>12.628138463824097</v>
      </c>
      <c r="AB253" s="30">
        <f>IF(W253&lt;&gt;0,($J$31*N253*$L$33),0)</f>
        <v>3.9644274259089327</v>
      </c>
      <c r="AC253" s="30">
        <f>IF(X253&lt;&gt;0,($J$32*O253*$L$33),0)</f>
        <v>0</v>
      </c>
      <c r="AD253" s="30">
        <f>IF(Y253&lt;&gt;0,($J$33*P253*$L$33),0)</f>
        <v>0</v>
      </c>
      <c r="AE253" s="32">
        <f>SUM(AA253:AD253)</f>
        <v>16.592565889733031</v>
      </c>
      <c r="AF253" s="33">
        <f>AE249</f>
        <v>20.563412525157595</v>
      </c>
      <c r="AG253" s="40">
        <f>MAX(AG252-$Q$33+AF253,0)</f>
        <v>154.8617362500492</v>
      </c>
      <c r="AH253" s="224">
        <f>AG253*$P$33</f>
        <v>12.988044747642601</v>
      </c>
      <c r="AI253" s="227">
        <f>SUM(Z253,IF(Z253&lt;&gt;0,$F$31,0),IF(Z253&lt;&gt;0,$N$33,0),IF(Z253&lt;&gt;0,$T$33,0),IF(Z253=0,AH258,IF(Z253=1,AH259,IF(Z253=2,AH260,IF(Z253=3,AH261,IF(Z253=4,AH262,IF(Z253=5,AH263,IF(Z253=6,AH264,IF(Z253=7,AH265,IF(Z253=8,AH266,IF(Z253=9,AH267,IF(Z253=10,AH268,IF(Z253=11,AH269,IF(Z253=12,AH270,IF(Z253=13,AH271,IF(Z253=14,AH272,IF(Z253=15,AH273,IF(Z253=16,AH274,IF(Z253=17,AH275,IF(Z253=18,AH276,IF(Z253=19,AH277,IF(Z253=20,AH278,IF(Z253=21,AH279,IF(Z253=22,AH280,IF(Z253=23,AH281,IF(Z253=24,AH282,IF(Z253=25,AH283,IF(Z253=26,AH284,IF(Z253=27,AH285,IF(Z253=28,AH286,IF(Z253=29,AH287,IF(Z253=30,AH288))))))))))))))))))))))))))))))))</f>
        <v>35.697195237652963</v>
      </c>
    </row>
    <row r="254" spans="1:35" x14ac:dyDescent="0.35">
      <c r="A254" s="48">
        <v>1635</v>
      </c>
      <c r="B254" s="58">
        <f>SUMIF([2]!Table2_23[ETA],'FIS Optimal Model (3)'!A254,[2]!Table2_23[FIS PAX])</f>
        <v>0</v>
      </c>
      <c r="C254" s="44">
        <f>IF((D253-D254)&gt;-1,(D253-D254),18)</f>
        <v>18</v>
      </c>
      <c r="D254" s="52">
        <f>MAX(D253-$E$31+B253,0)</f>
        <v>13</v>
      </c>
      <c r="E254" s="26">
        <f>$C$30*C254</f>
        <v>9.9503999999999984</v>
      </c>
      <c r="F254" s="26">
        <f>$C$31*C254</f>
        <v>4.2713999999999999</v>
      </c>
      <c r="G254" s="26">
        <f>$C$32*C254</f>
        <v>2.9447999999999999</v>
      </c>
      <c r="H254" s="26">
        <f>$C$33*C254</f>
        <v>0.83340000000000003</v>
      </c>
      <c r="I254" s="27">
        <f>E249</f>
        <v>9.9503999999999984</v>
      </c>
      <c r="J254" s="27">
        <f>F249</f>
        <v>4.2713999999999999</v>
      </c>
      <c r="K254" s="27">
        <f>G249</f>
        <v>2.9447999999999999</v>
      </c>
      <c r="L254" s="27">
        <f>H249</f>
        <v>0.83340000000000003</v>
      </c>
      <c r="M254" s="28">
        <f>$M$250</f>
        <v>6</v>
      </c>
      <c r="N254" s="29">
        <f>$N$250</f>
        <v>8</v>
      </c>
      <c r="O254" s="28">
        <f>$O$250</f>
        <v>2</v>
      </c>
      <c r="P254" s="28">
        <f>$P$250</f>
        <v>0</v>
      </c>
      <c r="Q254" s="28">
        <f>SUM(M254:P254)</f>
        <v>16</v>
      </c>
      <c r="R254" s="22">
        <f>MAX(R253-($J$30*M254*$L$33)+I254,0)</f>
        <v>0.80795376615649772</v>
      </c>
      <c r="S254" s="22">
        <f>IF(U254&lt;&gt;0,(MAX(S253-($J$31*N254*$L$33)+J254,0)),(MAX(S253-($J$31*(N254+P254)*$L$33)+J254,0)))</f>
        <v>0.6139451481821343</v>
      </c>
      <c r="T254" s="22">
        <f>MAX(T253-($J$32*O254*$L$33)+K254,0)</f>
        <v>0</v>
      </c>
      <c r="U254" s="22">
        <f>MAX(U253-($J$33*P254*$L$33)+L254,0)</f>
        <v>1.6668000000000001</v>
      </c>
      <c r="V254" s="21">
        <f>IFERROR(R254*($I$30/M254),0)</f>
        <v>5.438336799999386E-2</v>
      </c>
      <c r="W254" s="21">
        <f>IFERROR(S254*($I$31/N254),0)</f>
        <v>0.13163398389999983</v>
      </c>
      <c r="X254" s="21">
        <f>IFERROR(T254*($I$32/O254),0)</f>
        <v>0</v>
      </c>
      <c r="Y254" s="21">
        <f>IFERROR(U254*($I$33/P254),0)</f>
        <v>0</v>
      </c>
      <c r="Z254" s="221">
        <f>ROUNDUP(SUM(V254*$C$30,W254*$C$31,X254*$C$32,Y254*$C$33),0)</f>
        <v>1</v>
      </c>
      <c r="AA254" s="30">
        <f>IF(R254&lt;&gt;0,($J$30*M254*$L$33),0)</f>
        <v>12.628138463824097</v>
      </c>
      <c r="AB254" s="30">
        <f>IF(W254&lt;&gt;0,($J$31*N254*$L$33),0)</f>
        <v>3.9644274259089327</v>
      </c>
      <c r="AC254" s="30">
        <f>IF(X254&lt;&gt;0,($J$32*O254*$L$33),0)</f>
        <v>0</v>
      </c>
      <c r="AD254" s="30">
        <f>IF(Y254&lt;&gt;0,($J$33*P254*$L$33),0)</f>
        <v>0</v>
      </c>
      <c r="AE254" s="32">
        <f>SUM(AA254:AD254)</f>
        <v>16.592565889733031</v>
      </c>
      <c r="AF254" s="33">
        <f>AE250</f>
        <v>17.590091955725896</v>
      </c>
      <c r="AG254" s="40">
        <f>MAX(AG253-$Q$33+AF254,0)</f>
        <v>160.52842177632334</v>
      </c>
      <c r="AH254" s="224">
        <f>AG254*$P$33</f>
        <v>13.463302012401853</v>
      </c>
      <c r="AI254" s="227">
        <f>SUM(Z254,IF(Z254&lt;&gt;0,$F$31,0),IF(Z254&lt;&gt;0,$N$33,0),IF(Z254&lt;&gt;0,$T$33,0),IF(Z254=0,AH259,IF(Z254=1,AH260,IF(Z254=2,AH261,IF(Z254=3,AH262,IF(Z254=4,AH263,IF(Z254=5,AH264,IF(Z254=6,AH265,IF(Z254=7,AH266,IF(Z254=8,AH267,IF(Z254=9,AH268,IF(Z254=10,AH269,IF(Z254=11,AH270,IF(Z254=12,AH271,IF(Z254=13,AH272,IF(Z254=14,AH273,IF(Z254=15,AH274,IF(Z254=16,AH275,IF(Z254=17,AH276,IF(Z254=18,AH277,IF(Z254=19,AH278,IF(Z254=20,AH279,IF(Z254=21,AH280,IF(Z254=22,AH281,IF(Z254=23,AH282,IF(Z254=24,AH283,IF(Z254=25,AH284,IF(Z254=26,AH285,IF(Z254=27,AH286,IF(Z254=28,AH287,IF(Z254=29,AH288,IF(Z254=30,AH289))))))))))))))))))))))))))))))))</f>
        <v>35.029686413674312</v>
      </c>
    </row>
    <row r="255" spans="1:35" x14ac:dyDescent="0.35">
      <c r="A255" s="48">
        <v>1636</v>
      </c>
      <c r="B255" s="58">
        <f>SUMIF([2]!Table2_23[ETA],'FIS Optimal Model (3)'!A255,[2]!Table2_23[FIS PAX])</f>
        <v>0</v>
      </c>
      <c r="C255" s="44">
        <f>IF((D254-D255)&gt;-1,(D254-D255),18)</f>
        <v>13</v>
      </c>
      <c r="D255" s="52">
        <f>MAX(D254-$E$31+B254,0)</f>
        <v>0</v>
      </c>
      <c r="E255" s="26">
        <f>$C$30*C255</f>
        <v>7.186399999999999</v>
      </c>
      <c r="F255" s="26">
        <f>$C$31*C255</f>
        <v>3.0849000000000002</v>
      </c>
      <c r="G255" s="26">
        <f>$C$32*C255</f>
        <v>2.1267999999999998</v>
      </c>
      <c r="H255" s="26">
        <f>$C$33*C255</f>
        <v>0.60189999999999999</v>
      </c>
      <c r="I255" s="27">
        <f>E250</f>
        <v>9.9503999999999984</v>
      </c>
      <c r="J255" s="27">
        <f>F250</f>
        <v>4.2713999999999999</v>
      </c>
      <c r="K255" s="27">
        <f>G250</f>
        <v>2.9447999999999999</v>
      </c>
      <c r="L255" s="27">
        <f>H250</f>
        <v>0.83340000000000003</v>
      </c>
      <c r="M255" s="28">
        <f>$M$250</f>
        <v>6</v>
      </c>
      <c r="N255" s="29">
        <f>$N$250</f>
        <v>8</v>
      </c>
      <c r="O255" s="28">
        <f>$O$250</f>
        <v>2</v>
      </c>
      <c r="P255" s="28">
        <f>$P$250</f>
        <v>0</v>
      </c>
      <c r="Q255" s="28">
        <f>SUM(M255:P255)</f>
        <v>16</v>
      </c>
      <c r="R255" s="22">
        <f>MAX(R254-($J$30*M255*$L$33)+I255,0)</f>
        <v>0</v>
      </c>
      <c r="S255" s="22">
        <f>IF(U255&lt;&gt;0,(MAX(S254-($J$31*N255*$L$33)+J255,0)),(MAX(S254-($J$31*(N255+P255)*$L$33)+J255,0)))</f>
        <v>0.92091772227320146</v>
      </c>
      <c r="T255" s="22">
        <f>MAX(T254-($J$32*O255*$L$33)+K255,0)</f>
        <v>0</v>
      </c>
      <c r="U255" s="22">
        <f>MAX(U254-($J$33*P255*$L$33)+L255,0)</f>
        <v>2.5002</v>
      </c>
      <c r="V255" s="21">
        <f>IFERROR(R255*($I$30/M255),0)</f>
        <v>0</v>
      </c>
      <c r="W255" s="21">
        <f>IFERROR(S255*($I$31/N255),0)</f>
        <v>0.19745097584999974</v>
      </c>
      <c r="X255" s="21">
        <f>IFERROR(T255*($I$32/O255),0)</f>
        <v>0</v>
      </c>
      <c r="Y255" s="21">
        <f>IFERROR(U255*($I$33/P255),0)</f>
        <v>0</v>
      </c>
      <c r="Z255" s="221">
        <f>ROUNDUP(SUM(V255*$C$30,W255*$C$31,X255*$C$32,Y255*$C$33),0)</f>
        <v>1</v>
      </c>
      <c r="AA255" s="30">
        <f>IF(R255&lt;&gt;0,($J$30*M255*$L$33),0)</f>
        <v>0</v>
      </c>
      <c r="AB255" s="30">
        <f>IF(W255&lt;&gt;0,($J$31*N255*$L$33),0)</f>
        <v>3.9644274259089327</v>
      </c>
      <c r="AC255" s="30">
        <f>IF(X255&lt;&gt;0,($J$32*O255*$L$33),0)</f>
        <v>0</v>
      </c>
      <c r="AD255" s="30">
        <f>IF(Y255&lt;&gt;0,($J$33*P255*$L$33),0)</f>
        <v>0</v>
      </c>
      <c r="AE255" s="32">
        <f>SUM(AA255:AD255)</f>
        <v>3.9644274259089327</v>
      </c>
      <c r="AF255" s="33">
        <f>AE251</f>
        <v>12.628138463824097</v>
      </c>
      <c r="AG255" s="40">
        <f>MAX(AG254-$Q$33+AF255,0)</f>
        <v>161.23315381069565</v>
      </c>
      <c r="AH255" s="224">
        <f>AG255*$P$33</f>
        <v>13.522406936698617</v>
      </c>
      <c r="AI255" s="227">
        <f>SUM(Z255,IF(Z255&lt;&gt;0,$F$31,0),IF(Z255&lt;&gt;0,$N$33,0),IF(Z255&lt;&gt;0,$T$33,0),IF(Z255=0,AH260,IF(Z255=1,AH261,IF(Z255=2,AH262,IF(Z255=3,AH263,IF(Z255=4,AH264,IF(Z255=5,AH265,IF(Z255=6,AH266,IF(Z255=7,AH267,IF(Z255=8,AH268,IF(Z255=9,AH269,IF(Z255=10,AH270,IF(Z255=11,AH271,IF(Z255=12,AH272,IF(Z255=13,AH273,IF(Z255=14,AH274,IF(Z255=15,AH275,IF(Z255=16,AH276,IF(Z255=17,AH277,IF(Z255=18,AH278,IF(Z255=19,AH279,IF(Z255=20,AH280,IF(Z255=21,AH281,IF(Z255=22,AH282,IF(Z255=23,AH283,IF(Z255=24,AH284,IF(Z255=25,AH285,IF(Z255=26,AH286,IF(Z255=27,AH287,IF(Z255=28,AH288,IF(Z255=29,AH289,IF(Z255=30,AH290))))))))))))))))))))))))))))))))</f>
        <v>34.362177589695662</v>
      </c>
    </row>
    <row r="256" spans="1:35" x14ac:dyDescent="0.35">
      <c r="A256" s="48">
        <v>1637</v>
      </c>
      <c r="B256" s="58">
        <f>SUMIF([2]!Table2_23[ETA],'FIS Optimal Model (3)'!A256,[2]!Table2_23[FIS PAX])</f>
        <v>0</v>
      </c>
      <c r="C256" s="44">
        <f>IF((D255-D256)&gt;-1,(D255-D256),18)</f>
        <v>0</v>
      </c>
      <c r="D256" s="52">
        <f>MAX(D255-$E$31+B255,0)</f>
        <v>0</v>
      </c>
      <c r="E256" s="26">
        <f>$C$30*C256</f>
        <v>0</v>
      </c>
      <c r="F256" s="26">
        <f>$C$31*C256</f>
        <v>0</v>
      </c>
      <c r="G256" s="26">
        <f>$C$32*C256</f>
        <v>0</v>
      </c>
      <c r="H256" s="26">
        <f>$C$33*C256</f>
        <v>0</v>
      </c>
      <c r="I256" s="27">
        <f>E251</f>
        <v>9.9503999999999984</v>
      </c>
      <c r="J256" s="27">
        <f>F251</f>
        <v>4.2713999999999999</v>
      </c>
      <c r="K256" s="27">
        <f>G251</f>
        <v>2.9447999999999999</v>
      </c>
      <c r="L256" s="27">
        <f>H251</f>
        <v>0.83340000000000003</v>
      </c>
      <c r="M256" s="28">
        <f>$M$250</f>
        <v>6</v>
      </c>
      <c r="N256" s="29">
        <f>$N$250</f>
        <v>8</v>
      </c>
      <c r="O256" s="28">
        <f>$O$250</f>
        <v>2</v>
      </c>
      <c r="P256" s="28">
        <f>$P$250</f>
        <v>0</v>
      </c>
      <c r="Q256" s="28">
        <f>SUM(M256:P256)</f>
        <v>16</v>
      </c>
      <c r="R256" s="22">
        <f>MAX(R255-($J$30*M256*$L$33)+I256,0)</f>
        <v>0</v>
      </c>
      <c r="S256" s="22">
        <f>IF(U256&lt;&gt;0,(MAX(S255-($J$31*N256*$L$33)+J256,0)),(MAX(S255-($J$31*(N256+P256)*$L$33)+J256,0)))</f>
        <v>1.2278902963642686</v>
      </c>
      <c r="T256" s="22">
        <f>MAX(T255-($J$32*O256*$L$33)+K256,0)</f>
        <v>0</v>
      </c>
      <c r="U256" s="22">
        <f>MAX(U255-($J$33*P256*$L$33)+L256,0)</f>
        <v>3.3336000000000001</v>
      </c>
      <c r="V256" s="21">
        <f>IFERROR(R256*($I$30/M256),0)</f>
        <v>0</v>
      </c>
      <c r="W256" s="21">
        <f>IFERROR(S256*($I$31/N256),0)</f>
        <v>0.26326796779999967</v>
      </c>
      <c r="X256" s="21">
        <f>IFERROR(T256*($I$32/O256),0)</f>
        <v>0</v>
      </c>
      <c r="Y256" s="21">
        <f>IFERROR(U256*($I$33/P256),0)</f>
        <v>0</v>
      </c>
      <c r="Z256" s="221">
        <f>ROUNDUP(SUM(V256*$C$30,W256*$C$31,X256*$C$32,Y256*$C$33),0)</f>
        <v>1</v>
      </c>
      <c r="AA256" s="30">
        <f>IF(R256&lt;&gt;0,($J$30*M256*$L$33),0)</f>
        <v>0</v>
      </c>
      <c r="AB256" s="30">
        <f>IF(W256&lt;&gt;0,($J$31*N256*$L$33),0)</f>
        <v>3.9644274259089327</v>
      </c>
      <c r="AC256" s="30">
        <f>IF(X256&lt;&gt;0,($J$32*O256*$L$33),0)</f>
        <v>0</v>
      </c>
      <c r="AD256" s="30">
        <f>IF(Y256&lt;&gt;0,($J$33*P256*$L$33),0)</f>
        <v>0</v>
      </c>
      <c r="AE256" s="32">
        <f>SUM(AA256:AD256)</f>
        <v>3.9644274259089327</v>
      </c>
      <c r="AF256" s="33">
        <f>AE252</f>
        <v>12.628138463824097</v>
      </c>
      <c r="AG256" s="40">
        <f>MAX(AG255-$Q$33+AF256,0)</f>
        <v>161.93788584506797</v>
      </c>
      <c r="AH256" s="224">
        <f>AG256*$P$33</f>
        <v>13.581511860995384</v>
      </c>
      <c r="AI256" s="227">
        <f>SUM(Z256,IF(Z256&lt;&gt;0,$F$31,0),IF(Z256&lt;&gt;0,$N$33,0),IF(Z256&lt;&gt;0,$T$33,0),IF(Z256=0,AH261,IF(Z256=1,AH262,IF(Z256=2,AH263,IF(Z256=3,AH264,IF(Z256=4,AH265,IF(Z256=5,AH266,IF(Z256=6,AH267,IF(Z256=7,AH268,IF(Z256=8,AH269,IF(Z256=9,AH270,IF(Z256=10,AH271,IF(Z256=11,AH272,IF(Z256=12,AH273,IF(Z256=13,AH274,IF(Z256=14,AH275,IF(Z256=15,AH276,IF(Z256=16,AH277,IF(Z256=17,AH278,IF(Z256=18,AH279,IF(Z256=19,AH280,IF(Z256=20,AH281,IF(Z256=21,AH282,IF(Z256=22,AH283,IF(Z256=23,AH284,IF(Z256=24,AH285,IF(Z256=25,AH286,IF(Z256=26,AH287,IF(Z256=27,AH288,IF(Z256=28,AH289,IF(Z256=29,AH290,IF(Z256=30,AH291))))))))))))))))))))))))))))))))</f>
        <v>33.694668765717012</v>
      </c>
    </row>
    <row r="257" spans="1:35" x14ac:dyDescent="0.35">
      <c r="A257" s="48">
        <v>1638</v>
      </c>
      <c r="B257" s="58">
        <f>SUMIF([2]!Table2_23[ETA],'FIS Optimal Model (3)'!A257,[2]!Table2_23[FIS PAX])</f>
        <v>0</v>
      </c>
      <c r="C257" s="44">
        <f>IF((D256-D257)&gt;-1,(D256-D257),18)</f>
        <v>0</v>
      </c>
      <c r="D257" s="52">
        <f>MAX(D256-$E$31+B256,0)</f>
        <v>0</v>
      </c>
      <c r="E257" s="26">
        <f>$C$30*C257</f>
        <v>0</v>
      </c>
      <c r="F257" s="26">
        <f>$C$31*C257</f>
        <v>0</v>
      </c>
      <c r="G257" s="26">
        <f>$C$32*C257</f>
        <v>0</v>
      </c>
      <c r="H257" s="26">
        <f>$C$33*C257</f>
        <v>0</v>
      </c>
      <c r="I257" s="27">
        <f>E252</f>
        <v>9.9503999999999984</v>
      </c>
      <c r="J257" s="27">
        <f>F252</f>
        <v>4.2713999999999999</v>
      </c>
      <c r="K257" s="27">
        <f>G252</f>
        <v>2.9447999999999999</v>
      </c>
      <c r="L257" s="27">
        <f>H252</f>
        <v>0.83340000000000003</v>
      </c>
      <c r="M257" s="28">
        <f>$M$250</f>
        <v>6</v>
      </c>
      <c r="N257" s="29">
        <f>$N$250</f>
        <v>8</v>
      </c>
      <c r="O257" s="28">
        <f>$O$250</f>
        <v>2</v>
      </c>
      <c r="P257" s="28">
        <f>$P$250</f>
        <v>0</v>
      </c>
      <c r="Q257" s="28">
        <f>SUM(M257:P257)</f>
        <v>16</v>
      </c>
      <c r="R257" s="22">
        <f>MAX(R256-($J$30*M257*$L$33)+I257,0)</f>
        <v>0</v>
      </c>
      <c r="S257" s="22">
        <f>IF(U257&lt;&gt;0,(MAX(S256-($J$31*N257*$L$33)+J257,0)),(MAX(S256-($J$31*(N257+P257)*$L$33)+J257,0)))</f>
        <v>1.5348628704553358</v>
      </c>
      <c r="T257" s="22">
        <f>MAX(T256-($J$32*O257*$L$33)+K257,0)</f>
        <v>0</v>
      </c>
      <c r="U257" s="22">
        <f>MAX(U256-($J$33*P257*$L$33)+L257,0)</f>
        <v>4.1669999999999998</v>
      </c>
      <c r="V257" s="21">
        <f>IFERROR(R257*($I$30/M257),0)</f>
        <v>0</v>
      </c>
      <c r="W257" s="21">
        <f>IFERROR(S257*($I$31/N257),0)</f>
        <v>0.32908495974999957</v>
      </c>
      <c r="X257" s="21">
        <f>IFERROR(T257*($I$32/O257),0)</f>
        <v>0</v>
      </c>
      <c r="Y257" s="21">
        <f>IFERROR(U257*($I$33/P257),0)</f>
        <v>0</v>
      </c>
      <c r="Z257" s="221">
        <f>ROUNDUP(SUM(V257*$C$30,W257*$C$31,X257*$C$32,Y257*$C$33),0)</f>
        <v>1</v>
      </c>
      <c r="AA257" s="30">
        <f>IF(R257&lt;&gt;0,($J$30*M257*$L$33),0)</f>
        <v>0</v>
      </c>
      <c r="AB257" s="30">
        <f>IF(W257&lt;&gt;0,($J$31*N257*$L$33),0)</f>
        <v>3.9644274259089327</v>
      </c>
      <c r="AC257" s="30">
        <f>IF(X257&lt;&gt;0,($J$32*O257*$L$33),0)</f>
        <v>0</v>
      </c>
      <c r="AD257" s="30">
        <f>IF(Y257&lt;&gt;0,($J$33*P257*$L$33),0)</f>
        <v>0</v>
      </c>
      <c r="AE257" s="32">
        <f>SUM(AA257:AD257)</f>
        <v>3.9644274259089327</v>
      </c>
      <c r="AF257" s="33">
        <f>AE253</f>
        <v>16.592565889733031</v>
      </c>
      <c r="AG257" s="40">
        <f>MAX(AG256-$Q$33+AF257,0)</f>
        <v>166.60704530534923</v>
      </c>
      <c r="AH257" s="224">
        <f>AG257*$P$33</f>
        <v>13.973107961313499</v>
      </c>
      <c r="AI257" s="227">
        <f>SUM(Z257,IF(Z257&lt;&gt;0,$F$31,0),IF(Z257&lt;&gt;0,$N$33,0),IF(Z257&lt;&gt;0,$T$33,0),IF(Z257=0,AH262,IF(Z257=1,AH263,IF(Z257=2,AH264,IF(Z257=3,AH265,IF(Z257=4,AH266,IF(Z257=5,AH267,IF(Z257=6,AH268,IF(Z257=7,AH269,IF(Z257=8,AH270,IF(Z257=9,AH271,IF(Z257=10,AH272,IF(Z257=11,AH273,IF(Z257=12,AH274,IF(Z257=13,AH275,IF(Z257=14,AH276,IF(Z257=15,AH277,IF(Z257=16,AH278,IF(Z257=17,AH279,IF(Z257=18,AH280,IF(Z257=19,AH281,IF(Z257=20,AH282,IF(Z257=21,AH283,IF(Z257=22,AH284,IF(Z257=23,AH285,IF(Z257=24,AH286,IF(Z257=25,AH287,IF(Z257=26,AH288,IF(Z257=27,AH289,IF(Z257=28,AH290,IF(Z257=29,AH291,IF(Z257=30,AH292))))))))))))))))))))))))))))))))</f>
        <v>33.027159941738361</v>
      </c>
    </row>
    <row r="258" spans="1:35" x14ac:dyDescent="0.35">
      <c r="A258" s="48">
        <v>1639</v>
      </c>
      <c r="B258" s="58">
        <f>SUMIF([2]!Table2_23[ETA],'FIS Optimal Model (3)'!A258,[2]!Table2_23[FIS PAX])</f>
        <v>0</v>
      </c>
      <c r="C258" s="44">
        <f>IF((D257-D258)&gt;-1,(D257-D258),18)</f>
        <v>0</v>
      </c>
      <c r="D258" s="52">
        <f>MAX(D257-$E$31+B257,0)</f>
        <v>0</v>
      </c>
      <c r="E258" s="26">
        <f>$C$30*C258</f>
        <v>0</v>
      </c>
      <c r="F258" s="26">
        <f>$C$31*C258</f>
        <v>0</v>
      </c>
      <c r="G258" s="26">
        <f>$C$32*C258</f>
        <v>0</v>
      </c>
      <c r="H258" s="26">
        <f>$C$33*C258</f>
        <v>0</v>
      </c>
      <c r="I258" s="27">
        <f>E253</f>
        <v>9.9503999999999984</v>
      </c>
      <c r="J258" s="27">
        <f>F253</f>
        <v>4.2713999999999999</v>
      </c>
      <c r="K258" s="27">
        <f>G253</f>
        <v>2.9447999999999999</v>
      </c>
      <c r="L258" s="27">
        <f>H253</f>
        <v>0.83340000000000003</v>
      </c>
      <c r="M258" s="28">
        <f>$M$250</f>
        <v>6</v>
      </c>
      <c r="N258" s="29">
        <f>$N$250</f>
        <v>8</v>
      </c>
      <c r="O258" s="28">
        <f>$O$250</f>
        <v>2</v>
      </c>
      <c r="P258" s="28">
        <f>$P$250</f>
        <v>0</v>
      </c>
      <c r="Q258" s="28">
        <f>SUM(M258:P258)</f>
        <v>16</v>
      </c>
      <c r="R258" s="22">
        <f>MAX(R257-($J$30*M258*$L$33)+I258,0)</f>
        <v>0</v>
      </c>
      <c r="S258" s="22">
        <f>IF(U258&lt;&gt;0,(MAX(S257-($J$31*N258*$L$33)+J258,0)),(MAX(S257-($J$31*(N258+P258)*$L$33)+J258,0)))</f>
        <v>1.8418354445464029</v>
      </c>
      <c r="T258" s="22">
        <f>MAX(T257-($J$32*O258*$L$33)+K258,0)</f>
        <v>0</v>
      </c>
      <c r="U258" s="22">
        <f>MAX(U257-($J$33*P258*$L$33)+L258,0)</f>
        <v>5.0004</v>
      </c>
      <c r="V258" s="21">
        <f>IFERROR(R258*($I$30/M258),0)</f>
        <v>0</v>
      </c>
      <c r="W258" s="21">
        <f>IFERROR(S258*($I$31/N258),0)</f>
        <v>0.39490195169999948</v>
      </c>
      <c r="X258" s="21">
        <f>IFERROR(T258*($I$32/O258),0)</f>
        <v>0</v>
      </c>
      <c r="Y258" s="21">
        <f>IFERROR(U258*($I$33/P258),0)</f>
        <v>0</v>
      </c>
      <c r="Z258" s="221">
        <f>ROUNDUP(SUM(V258*$C$30,W258*$C$31,X258*$C$32,Y258*$C$33),0)</f>
        <v>1</v>
      </c>
      <c r="AA258" s="30">
        <f>IF(R258&lt;&gt;0,($J$30*M258*$L$33),0)</f>
        <v>0</v>
      </c>
      <c r="AB258" s="30">
        <f>IF(W258&lt;&gt;0,($J$31*N258*$L$33),0)</f>
        <v>3.9644274259089327</v>
      </c>
      <c r="AC258" s="30">
        <f>IF(X258&lt;&gt;0,($J$32*O258*$L$33),0)</f>
        <v>0</v>
      </c>
      <c r="AD258" s="30">
        <f>IF(Y258&lt;&gt;0,($J$33*P258*$L$33),0)</f>
        <v>0</v>
      </c>
      <c r="AE258" s="32">
        <f>SUM(AA258:AD258)</f>
        <v>3.9644274259089327</v>
      </c>
      <c r="AF258" s="33">
        <f>AE254</f>
        <v>16.592565889733031</v>
      </c>
      <c r="AG258" s="40">
        <f>MAX(AG257-$Q$33+AF258,0)</f>
        <v>171.2762047656305</v>
      </c>
      <c r="AH258" s="224">
        <f>AG258*$P$33</f>
        <v>14.364704061631615</v>
      </c>
      <c r="AI258" s="227">
        <f>SUM(Z258,IF(Z258&lt;&gt;0,$F$31,0),IF(Z258&lt;&gt;0,$N$33,0),IF(Z258&lt;&gt;0,$T$33,0),IF(Z258=0,AH263,IF(Z258=1,AH264,IF(Z258=2,AH265,IF(Z258=3,AH266,IF(Z258=4,AH267,IF(Z258=5,AH268,IF(Z258=6,AH269,IF(Z258=7,AH270,IF(Z258=8,AH271,IF(Z258=9,AH272,IF(Z258=10,AH273,IF(Z258=11,AH274,IF(Z258=12,AH275,IF(Z258=13,AH276,IF(Z258=14,AH277,IF(Z258=15,AH278,IF(Z258=16,AH279,IF(Z258=17,AH280,IF(Z258=18,AH281,IF(Z258=19,AH282,IF(Z258=20,AH283,IF(Z258=21,AH284,IF(Z258=22,AH285,IF(Z258=23,AH286,IF(Z258=24,AH287,IF(Z258=25,AH288,IF(Z258=26,AH289,IF(Z258=27,AH290,IF(Z258=28,AH291,IF(Z258=29,AH292,IF(Z258=30,AH293))))))))))))))))))))))))))))))))</f>
        <v>32.359651117759711</v>
      </c>
    </row>
    <row r="259" spans="1:35" x14ac:dyDescent="0.35">
      <c r="A259" s="48">
        <v>1640</v>
      </c>
      <c r="B259" s="58">
        <f>SUMIF([2]!Table2_23[ETA],'FIS Optimal Model (3)'!A259,[2]!Table2_23[FIS PAX])</f>
        <v>0</v>
      </c>
      <c r="C259" s="44">
        <f>IF((D258-D259)&gt;-1,(D258-D259),18)</f>
        <v>0</v>
      </c>
      <c r="D259" s="52">
        <f>MAX(D258-$E$31+B258,0)</f>
        <v>0</v>
      </c>
      <c r="E259" s="26">
        <f>$C$30*C259</f>
        <v>0</v>
      </c>
      <c r="F259" s="26">
        <f>$C$31*C259</f>
        <v>0</v>
      </c>
      <c r="G259" s="26">
        <f>$C$32*C259</f>
        <v>0</v>
      </c>
      <c r="H259" s="26">
        <f>$C$33*C259</f>
        <v>0</v>
      </c>
      <c r="I259" s="27">
        <f>E254</f>
        <v>9.9503999999999984</v>
      </c>
      <c r="J259" s="27">
        <f>F254</f>
        <v>4.2713999999999999</v>
      </c>
      <c r="K259" s="27">
        <f>G254</f>
        <v>2.9447999999999999</v>
      </c>
      <c r="L259" s="27">
        <f>H254</f>
        <v>0.83340000000000003</v>
      </c>
      <c r="M259" s="28">
        <f>$M$250</f>
        <v>6</v>
      </c>
      <c r="N259" s="29">
        <f>$N$250</f>
        <v>8</v>
      </c>
      <c r="O259" s="28">
        <f>$O$250</f>
        <v>2</v>
      </c>
      <c r="P259" s="28">
        <f>$P$250</f>
        <v>0</v>
      </c>
      <c r="Q259" s="28">
        <f>SUM(M259:P259)</f>
        <v>16</v>
      </c>
      <c r="R259" s="22">
        <f>MAX(R258-($J$30*M259*$L$33)+I259,0)</f>
        <v>0</v>
      </c>
      <c r="S259" s="22">
        <f>IF(U259&lt;&gt;0,(MAX(S258-($J$31*N259*$L$33)+J259,0)),(MAX(S258-($J$31*(N259+P259)*$L$33)+J259,0)))</f>
        <v>2.1488080186374701</v>
      </c>
      <c r="T259" s="22">
        <f>MAX(T258-($J$32*O259*$L$33)+K259,0)</f>
        <v>0</v>
      </c>
      <c r="U259" s="22">
        <f>MAX(U258-($J$33*P259*$L$33)+L259,0)</f>
        <v>5.8338000000000001</v>
      </c>
      <c r="V259" s="21">
        <f>IFERROR(R259*($I$30/M259),0)</f>
        <v>0</v>
      </c>
      <c r="W259" s="21">
        <f>IFERROR(S259*($I$31/N259),0)</f>
        <v>0.46071894364999938</v>
      </c>
      <c r="X259" s="21">
        <f>IFERROR(T259*($I$32/O259),0)</f>
        <v>0</v>
      </c>
      <c r="Y259" s="21">
        <f>IFERROR(U259*($I$33/P259),0)</f>
        <v>0</v>
      </c>
      <c r="Z259" s="221">
        <f>ROUNDUP(SUM(V259*$C$30,W259*$C$31,X259*$C$32,Y259*$C$33),0)</f>
        <v>1</v>
      </c>
      <c r="AA259" s="30">
        <f>IF(R259&lt;&gt;0,($J$30*M259*$L$33),0)</f>
        <v>0</v>
      </c>
      <c r="AB259" s="30">
        <f>IF(W259&lt;&gt;0,($J$31*N259*$L$33),0)</f>
        <v>3.9644274259089327</v>
      </c>
      <c r="AC259" s="30">
        <f>IF(X259&lt;&gt;0,($J$32*O259*$L$33),0)</f>
        <v>0</v>
      </c>
      <c r="AD259" s="30">
        <f>IF(Y259&lt;&gt;0,($J$33*P259*$L$33),0)</f>
        <v>0</v>
      </c>
      <c r="AE259" s="32">
        <f>SUM(AA259:AD259)</f>
        <v>3.9644274259089327</v>
      </c>
      <c r="AF259" s="33">
        <f>AE255</f>
        <v>3.9644274259089327</v>
      </c>
      <c r="AG259" s="40">
        <f>MAX(AG258-$Q$33+AF259,0)</f>
        <v>163.31722576208765</v>
      </c>
      <c r="AH259" s="224">
        <f>AG259*$P$33</f>
        <v>13.697195237652963</v>
      </c>
      <c r="AI259" s="227">
        <f>SUM(Z259,IF(Z259&lt;&gt;0,$F$31,0),IF(Z259&lt;&gt;0,$N$33,0),IF(Z259&lt;&gt;0,$T$33,0),IF(Z259=0,AH264,IF(Z259=1,AH265,IF(Z259=2,AH266,IF(Z259=3,AH267,IF(Z259=4,AH268,IF(Z259=5,AH269,IF(Z259=6,AH270,IF(Z259=7,AH271,IF(Z259=8,AH272,IF(Z259=9,AH273,IF(Z259=10,AH274,IF(Z259=11,AH275,IF(Z259=12,AH276,IF(Z259=13,AH277,IF(Z259=14,AH278,IF(Z259=15,AH279,IF(Z259=16,AH280,IF(Z259=17,AH281,IF(Z259=18,AH282,IF(Z259=19,AH283,IF(Z259=20,AH284,IF(Z259=21,AH285,IF(Z259=22,AH286,IF(Z259=23,AH287,IF(Z259=24,AH288,IF(Z259=25,AH289,IF(Z259=26,AH290,IF(Z259=27,AH291,IF(Z259=28,AH292,IF(Z259=29,AH293,IF(Z259=30,AH294))))))))))))))))))))))))))))))))</f>
        <v>31.359651117759704</v>
      </c>
    </row>
    <row r="260" spans="1:35" x14ac:dyDescent="0.35">
      <c r="A260" s="48">
        <v>1641</v>
      </c>
      <c r="B260" s="58">
        <f>SUMIF([2]!Table2_23[ETA],'FIS Optimal Model (3)'!A260,[2]!Table2_23[FIS PAX])</f>
        <v>0</v>
      </c>
      <c r="C260" s="44">
        <f>IF((D259-D260)&gt;-1,(D259-D260),18)</f>
        <v>0</v>
      </c>
      <c r="D260" s="52">
        <f>MAX(D259-$E$31+B259,0)</f>
        <v>0</v>
      </c>
      <c r="E260" s="26">
        <f>$C$30*C260</f>
        <v>0</v>
      </c>
      <c r="F260" s="26">
        <f>$C$31*C260</f>
        <v>0</v>
      </c>
      <c r="G260" s="26">
        <f>$C$32*C260</f>
        <v>0</v>
      </c>
      <c r="H260" s="26">
        <f>$C$33*C260</f>
        <v>0</v>
      </c>
      <c r="I260" s="27">
        <f>E255</f>
        <v>7.186399999999999</v>
      </c>
      <c r="J260" s="27">
        <f>F255</f>
        <v>3.0849000000000002</v>
      </c>
      <c r="K260" s="27">
        <f>G255</f>
        <v>2.1267999999999998</v>
      </c>
      <c r="L260" s="27">
        <f>H255</f>
        <v>0.60189999999999999</v>
      </c>
      <c r="M260" s="28">
        <f>$M$250</f>
        <v>6</v>
      </c>
      <c r="N260" s="29">
        <f>$N$250</f>
        <v>8</v>
      </c>
      <c r="O260" s="28">
        <f>$O$250</f>
        <v>2</v>
      </c>
      <c r="P260" s="28">
        <f>$P$250</f>
        <v>0</v>
      </c>
      <c r="Q260" s="28">
        <f>SUM(M260:P260)</f>
        <v>16</v>
      </c>
      <c r="R260" s="22">
        <f>MAX(R259-($J$30*M260*$L$33)+I260,0)</f>
        <v>0</v>
      </c>
      <c r="S260" s="22">
        <f>IF(U260&lt;&gt;0,(MAX(S259-($J$31*N260*$L$33)+J260,0)),(MAX(S259-($J$31*(N260+P260)*$L$33)+J260,0)))</f>
        <v>1.2692805927285375</v>
      </c>
      <c r="T260" s="22">
        <f>MAX(T259-($J$32*O260*$L$33)+K260,0)</f>
        <v>0</v>
      </c>
      <c r="U260" s="22">
        <f>MAX(U259-($J$33*P260*$L$33)+L260,0)</f>
        <v>6.4356999999999998</v>
      </c>
      <c r="V260" s="21">
        <f>IFERROR(R260*($I$30/M260),0)</f>
        <v>0</v>
      </c>
      <c r="W260" s="21">
        <f>IFERROR(S260*($I$31/N260),0)</f>
        <v>0.27214232672499938</v>
      </c>
      <c r="X260" s="21">
        <f>IFERROR(T260*($I$32/O260),0)</f>
        <v>0</v>
      </c>
      <c r="Y260" s="21">
        <f>IFERROR(U260*($I$33/P260),0)</f>
        <v>0</v>
      </c>
      <c r="Z260" s="221">
        <f>ROUNDUP(SUM(V260*$C$30,W260*$C$31,X260*$C$32,Y260*$C$33),0)</f>
        <v>1</v>
      </c>
      <c r="AA260" s="30">
        <f>IF(R260&lt;&gt;0,($J$30*M260*$L$33),0)</f>
        <v>0</v>
      </c>
      <c r="AB260" s="30">
        <f>IF(W260&lt;&gt;0,($J$31*N260*$L$33),0)</f>
        <v>3.9644274259089327</v>
      </c>
      <c r="AC260" s="30">
        <f>IF(X260&lt;&gt;0,($J$32*O260*$L$33),0)</f>
        <v>0</v>
      </c>
      <c r="AD260" s="30">
        <f>IF(Y260&lt;&gt;0,($J$33*P260*$L$33),0)</f>
        <v>0</v>
      </c>
      <c r="AE260" s="32">
        <f>SUM(AA260:AD260)</f>
        <v>3.9644274259089327</v>
      </c>
      <c r="AF260" s="33">
        <f>AE256</f>
        <v>3.9644274259089327</v>
      </c>
      <c r="AG260" s="40">
        <f>MAX(AG259-$Q$33+AF260,0)</f>
        <v>155.35824675854479</v>
      </c>
      <c r="AH260" s="224">
        <f>AG260*$P$33</f>
        <v>13.029686413674312</v>
      </c>
      <c r="AI260" s="227">
        <f>SUM(Z260,IF(Z260&lt;&gt;0,$F$31,0),IF(Z260&lt;&gt;0,$N$33,0),IF(Z260&lt;&gt;0,$T$33,0),IF(Z260=0,AH265,IF(Z260=1,AH266,IF(Z260=2,AH267,IF(Z260=3,AH268,IF(Z260=4,AH269,IF(Z260=5,AH270,IF(Z260=6,AH271,IF(Z260=7,AH272,IF(Z260=8,AH273,IF(Z260=9,AH274,IF(Z260=10,AH275,IF(Z260=11,AH276,IF(Z260=12,AH277,IF(Z260=13,AH278,IF(Z260=14,AH279,IF(Z260=15,AH280,IF(Z260=16,AH281,IF(Z260=17,AH282,IF(Z260=18,AH283,IF(Z260=19,AH284,IF(Z260=20,AH285,IF(Z260=21,AH286,IF(Z260=22,AH287,IF(Z260=23,AH288,IF(Z260=24,AH289,IF(Z260=25,AH290,IF(Z260=26,AH291,IF(Z260=27,AH292,IF(Z260=28,AH293,IF(Z260=29,AH294,IF(Z260=30,AH295))))))))))))))))))))))))))))))))</f>
        <v>30.359651117759707</v>
      </c>
    </row>
    <row r="261" spans="1:35" x14ac:dyDescent="0.35">
      <c r="A261" s="48">
        <v>1642</v>
      </c>
      <c r="B261" s="58">
        <f>SUMIF([2]!Table2_23[ETA],'FIS Optimal Model (3)'!A261,[2]!Table2_23[FIS PAX])</f>
        <v>0</v>
      </c>
      <c r="C261" s="44">
        <f>IF((D260-D261)&gt;-1,(D260-D261),18)</f>
        <v>0</v>
      </c>
      <c r="D261" s="52">
        <f>MAX(D260-$E$31+B260,0)</f>
        <v>0</v>
      </c>
      <c r="E261" s="26">
        <f>$C$30*C261</f>
        <v>0</v>
      </c>
      <c r="F261" s="26">
        <f>$C$31*C261</f>
        <v>0</v>
      </c>
      <c r="G261" s="26">
        <f>$C$32*C261</f>
        <v>0</v>
      </c>
      <c r="H261" s="26">
        <f>$C$33*C261</f>
        <v>0</v>
      </c>
      <c r="I261" s="27">
        <f>E256</f>
        <v>0</v>
      </c>
      <c r="J261" s="27">
        <f>F256</f>
        <v>0</v>
      </c>
      <c r="K261" s="27">
        <f>G256</f>
        <v>0</v>
      </c>
      <c r="L261" s="27">
        <f>H256</f>
        <v>0</v>
      </c>
      <c r="M261" s="28">
        <f>$M$250</f>
        <v>6</v>
      </c>
      <c r="N261" s="29">
        <f>$N$250</f>
        <v>8</v>
      </c>
      <c r="O261" s="28">
        <f>$O$250</f>
        <v>2</v>
      </c>
      <c r="P261" s="28">
        <f>$P$250</f>
        <v>0</v>
      </c>
      <c r="Q261" s="28">
        <f>SUM(M261:P261)</f>
        <v>16</v>
      </c>
      <c r="R261" s="22">
        <f>MAX(R260-($J$30*M261*$L$33)+I261,0)</f>
        <v>0</v>
      </c>
      <c r="S261" s="22">
        <f>IF(U261&lt;&gt;0,(MAX(S260-($J$31*N261*$L$33)+J261,0)),(MAX(S260-($J$31*(N261+P261)*$L$33)+J261,0)))</f>
        <v>0</v>
      </c>
      <c r="T261" s="22">
        <f>MAX(T260-($J$32*O261*$L$33)+K261,0)</f>
        <v>0</v>
      </c>
      <c r="U261" s="22">
        <f>MAX(U260-($J$33*P261*$L$33)+L261,0)</f>
        <v>6.4356999999999998</v>
      </c>
      <c r="V261" s="21">
        <f>IFERROR(R261*($I$30/M261),0)</f>
        <v>0</v>
      </c>
      <c r="W261" s="21">
        <f>IFERROR(S261*($I$31/N261),0)</f>
        <v>0</v>
      </c>
      <c r="X261" s="21">
        <f>IFERROR(T261*($I$32/O261),0)</f>
        <v>0</v>
      </c>
      <c r="Y261" s="21">
        <f>IFERROR(U261*($I$33/P261),0)</f>
        <v>0</v>
      </c>
      <c r="Z261" s="221">
        <f>ROUNDUP(SUM(V261*$C$30,W261*$C$31,X261*$C$32,Y261*$C$33),0)</f>
        <v>0</v>
      </c>
      <c r="AA261" s="30">
        <f>IF(R261&lt;&gt;0,($J$30*M261*$L$33),0)</f>
        <v>0</v>
      </c>
      <c r="AB261" s="30">
        <f>IF(W261&lt;&gt;0,($J$31*N261*$L$33),0)</f>
        <v>0</v>
      </c>
      <c r="AC261" s="30">
        <f>IF(X261&lt;&gt;0,($J$32*O261*$L$33),0)</f>
        <v>0</v>
      </c>
      <c r="AD261" s="30">
        <f>IF(Y261&lt;&gt;0,($J$33*P261*$L$33),0)</f>
        <v>0</v>
      </c>
      <c r="AE261" s="32">
        <f>SUM(AA261:AD261)</f>
        <v>0</v>
      </c>
      <c r="AF261" s="33">
        <f>AE257</f>
        <v>3.9644274259089327</v>
      </c>
      <c r="AG261" s="40">
        <f>MAX(AG260-$Q$33+AF261,0)</f>
        <v>147.39926775500194</v>
      </c>
      <c r="AH261" s="224">
        <f>AG261*$P$33</f>
        <v>12.36217758969566</v>
      </c>
      <c r="AI261" s="227">
        <f>SUM(Z261,IF(Z261&lt;&gt;0,$F$31,0),IF(Z261&lt;&gt;0,$N$33,0),IF(Z261&lt;&gt;0,$T$33,0),IF(Z261=0,AH266,IF(Z261=1,AH267,IF(Z261=2,AH268,IF(Z261=3,AH269,IF(Z261=4,AH270,IF(Z261=5,AH271,IF(Z261=6,AH272,IF(Z261=7,AH273,IF(Z261=8,AH274,IF(Z261=9,AH275,IF(Z261=10,AH276,IF(Z261=11,AH277,IF(Z261=12,AH278,IF(Z261=13,AH279,IF(Z261=14,AH280,IF(Z261=15,AH281,IF(Z261=16,AH282,IF(Z261=17,AH283,IF(Z261=18,AH284,IF(Z261=19,AH285,IF(Z261=20,AH286,IF(Z261=21,AH287,IF(Z261=22,AH288,IF(Z261=23,AH289,IF(Z261=24,AH290,IF(Z261=25,AH291,IF(Z261=26,AH292,IF(Z261=27,AH293,IF(Z261=28,AH294,IF(Z261=29,AH295,IF(Z261=30,AH296))))))))))))))))))))))))))))))))</f>
        <v>8.3596511177597073</v>
      </c>
    </row>
    <row r="262" spans="1:35" x14ac:dyDescent="0.35">
      <c r="A262" s="48">
        <v>1643</v>
      </c>
      <c r="B262" s="58">
        <f>SUMIF([2]!Table2_23[ETA],'FIS Optimal Model (3)'!A262,[2]!Table2_23[FIS PAX])</f>
        <v>0</v>
      </c>
      <c r="C262" s="44">
        <f>IF((D261-D262)&gt;-1,(D261-D262),18)</f>
        <v>0</v>
      </c>
      <c r="D262" s="52">
        <f>MAX(D261-$E$31+B261,0)</f>
        <v>0</v>
      </c>
      <c r="E262" s="26">
        <f>$C$30*C262</f>
        <v>0</v>
      </c>
      <c r="F262" s="26">
        <f>$C$31*C262</f>
        <v>0</v>
      </c>
      <c r="G262" s="26">
        <f>$C$32*C262</f>
        <v>0</v>
      </c>
      <c r="H262" s="26">
        <f>$C$33*C262</f>
        <v>0</v>
      </c>
      <c r="I262" s="27">
        <f>E257</f>
        <v>0</v>
      </c>
      <c r="J262" s="27">
        <f>F257</f>
        <v>0</v>
      </c>
      <c r="K262" s="27">
        <f>G257</f>
        <v>0</v>
      </c>
      <c r="L262" s="27">
        <f>H257</f>
        <v>0</v>
      </c>
      <c r="M262" s="28">
        <f>$M$250</f>
        <v>6</v>
      </c>
      <c r="N262" s="29">
        <f>$N$250</f>
        <v>8</v>
      </c>
      <c r="O262" s="28">
        <f>$O$250</f>
        <v>2</v>
      </c>
      <c r="P262" s="28">
        <f>$P$250</f>
        <v>0</v>
      </c>
      <c r="Q262" s="28">
        <f>SUM(M262:P262)</f>
        <v>16</v>
      </c>
      <c r="R262" s="22">
        <f>MAX(R261-($J$30*M262*$L$33)+I262,0)</f>
        <v>0</v>
      </c>
      <c r="S262" s="22">
        <f>IF(U262&lt;&gt;0,(MAX(S261-($J$31*N262*$L$33)+J262,0)),(MAX(S261-($J$31*(N262+P262)*$L$33)+J262,0)))</f>
        <v>0</v>
      </c>
      <c r="T262" s="22">
        <f>MAX(T261-($J$32*O262*$L$33)+K262,0)</f>
        <v>0</v>
      </c>
      <c r="U262" s="22">
        <f>MAX(U261-($J$33*P262*$L$33)+L262,0)</f>
        <v>6.4356999999999998</v>
      </c>
      <c r="V262" s="21">
        <f>IFERROR(R262*($I$30/M262),0)</f>
        <v>0</v>
      </c>
      <c r="W262" s="21">
        <f>IFERROR(S262*($I$31/N262),0)</f>
        <v>0</v>
      </c>
      <c r="X262" s="21">
        <f>IFERROR(T262*($I$32/O262),0)</f>
        <v>0</v>
      </c>
      <c r="Y262" s="21">
        <f>IFERROR(U262*($I$33/P262),0)</f>
        <v>0</v>
      </c>
      <c r="Z262" s="221">
        <f>ROUNDUP(SUM(V262*$C$30,W262*$C$31,X262*$C$32,Y262*$C$33),0)</f>
        <v>0</v>
      </c>
      <c r="AA262" s="30">
        <f>IF(R262&lt;&gt;0,($J$30*M262*$L$33),0)</f>
        <v>0</v>
      </c>
      <c r="AB262" s="30">
        <f>IF(W262&lt;&gt;0,($J$31*N262*$L$33),0)</f>
        <v>0</v>
      </c>
      <c r="AC262" s="30">
        <f>IF(X262&lt;&gt;0,($J$32*O262*$L$33),0)</f>
        <v>0</v>
      </c>
      <c r="AD262" s="30">
        <f>IF(Y262&lt;&gt;0,($J$33*P262*$L$33),0)</f>
        <v>0</v>
      </c>
      <c r="AE262" s="32">
        <f>SUM(AA262:AD262)</f>
        <v>0</v>
      </c>
      <c r="AF262" s="33">
        <f>AE258</f>
        <v>3.9644274259089327</v>
      </c>
      <c r="AG262" s="40">
        <f>MAX(AG261-$Q$33+AF262,0)</f>
        <v>139.44028875145909</v>
      </c>
      <c r="AH262" s="224">
        <f>AG262*$P$33</f>
        <v>11.694668765717008</v>
      </c>
      <c r="AI262" s="227">
        <f>SUM(Z262,IF(Z262&lt;&gt;0,$F$31,0),IF(Z262&lt;&gt;0,$N$33,0),IF(Z262&lt;&gt;0,$T$33,0),IF(Z262=0,AH267,IF(Z262=1,AH268,IF(Z262=2,AH269,IF(Z262=3,AH270,IF(Z262=4,AH271,IF(Z262=5,AH272,IF(Z262=6,AH273,IF(Z262=7,AH274,IF(Z262=8,AH275,IF(Z262=9,AH276,IF(Z262=10,AH277,IF(Z262=11,AH278,IF(Z262=12,AH279,IF(Z262=13,AH280,IF(Z262=14,AH281,IF(Z262=15,AH282,IF(Z262=16,AH283,IF(Z262=17,AH284,IF(Z262=18,AH285,IF(Z262=19,AH286,IF(Z262=20,AH287,IF(Z262=21,AH288,IF(Z262=22,AH289,IF(Z262=23,AH290,IF(Z262=24,AH291,IF(Z262=25,AH292,IF(Z262=26,AH293,IF(Z262=27,AH294,IF(Z262=28,AH295,IF(Z262=29,AH296,IF(Z262=30,AH297))))))))))))))))))))))))))))))))</f>
        <v>7.3596511177597073</v>
      </c>
    </row>
    <row r="263" spans="1:35" x14ac:dyDescent="0.35">
      <c r="A263" s="48">
        <v>1644</v>
      </c>
      <c r="B263" s="58">
        <f>SUMIF([2]!Table2_23[ETA],'FIS Optimal Model (3)'!A263,[2]!Table2_23[FIS PAX])</f>
        <v>0</v>
      </c>
      <c r="C263" s="44">
        <f>IF((D262-D263)&gt;-1,(D262-D263),18)</f>
        <v>0</v>
      </c>
      <c r="D263" s="52">
        <f>MAX(D262-$E$31+B262,0)</f>
        <v>0</v>
      </c>
      <c r="E263" s="26">
        <f>$C$30*C263</f>
        <v>0</v>
      </c>
      <c r="F263" s="26">
        <f>$C$31*C263</f>
        <v>0</v>
      </c>
      <c r="G263" s="26">
        <f>$C$32*C263</f>
        <v>0</v>
      </c>
      <c r="H263" s="26">
        <f>$C$33*C263</f>
        <v>0</v>
      </c>
      <c r="I263" s="27">
        <f>E258</f>
        <v>0</v>
      </c>
      <c r="J263" s="27">
        <f>F258</f>
        <v>0</v>
      </c>
      <c r="K263" s="27">
        <f>G258</f>
        <v>0</v>
      </c>
      <c r="L263" s="27">
        <f>H258</f>
        <v>0</v>
      </c>
      <c r="M263" s="28">
        <f>$M$250</f>
        <v>6</v>
      </c>
      <c r="N263" s="29">
        <f>$N$250</f>
        <v>8</v>
      </c>
      <c r="O263" s="28">
        <f>$O$250</f>
        <v>2</v>
      </c>
      <c r="P263" s="28">
        <f>$P$250</f>
        <v>0</v>
      </c>
      <c r="Q263" s="28">
        <f>SUM(M263:P263)</f>
        <v>16</v>
      </c>
      <c r="R263" s="22">
        <f>MAX(R262-($J$30*M263*$L$33)+I263,0)</f>
        <v>0</v>
      </c>
      <c r="S263" s="22">
        <f>IF(U263&lt;&gt;0,(MAX(S262-($J$31*N263*$L$33)+J263,0)),(MAX(S262-($J$31*(N263+P263)*$L$33)+J263,0)))</f>
        <v>0</v>
      </c>
      <c r="T263" s="22">
        <f>MAX(T262-($J$32*O263*$L$33)+K263,0)</f>
        <v>0</v>
      </c>
      <c r="U263" s="22">
        <f>MAX(U262-($J$33*P263*$L$33)+L263,0)</f>
        <v>6.4356999999999998</v>
      </c>
      <c r="V263" s="21">
        <f>IFERROR(R263*($I$30/M263),0)</f>
        <v>0</v>
      </c>
      <c r="W263" s="21">
        <f>IFERROR(S263*($I$31/N263),0)</f>
        <v>0</v>
      </c>
      <c r="X263" s="21">
        <f>IFERROR(T263*($I$32/O263),0)</f>
        <v>0</v>
      </c>
      <c r="Y263" s="21">
        <f>IFERROR(U263*($I$33/P263),0)</f>
        <v>0</v>
      </c>
      <c r="Z263" s="221">
        <f>ROUNDUP(SUM(V263*$C$30,W263*$C$31,X263*$C$32,Y263*$C$33),0)</f>
        <v>0</v>
      </c>
      <c r="AA263" s="30">
        <f>IF(R263&lt;&gt;0,($J$30*M263*$L$33),0)</f>
        <v>0</v>
      </c>
      <c r="AB263" s="30">
        <f>IF(W263&lt;&gt;0,($J$31*N263*$L$33),0)</f>
        <v>0</v>
      </c>
      <c r="AC263" s="30">
        <f>IF(X263&lt;&gt;0,($J$32*O263*$L$33),0)</f>
        <v>0</v>
      </c>
      <c r="AD263" s="30">
        <f>IF(Y263&lt;&gt;0,($J$33*P263*$L$33),0)</f>
        <v>0</v>
      </c>
      <c r="AE263" s="32">
        <f>SUM(AA263:AD263)</f>
        <v>0</v>
      </c>
      <c r="AF263" s="33">
        <f>AE259</f>
        <v>3.9644274259089327</v>
      </c>
      <c r="AG263" s="40">
        <f>MAX(AG262-$Q$33+AF263,0)</f>
        <v>131.48130974791624</v>
      </c>
      <c r="AH263" s="224">
        <f>AG263*$P$33</f>
        <v>11.027159941738358</v>
      </c>
      <c r="AI263" s="227">
        <f>SUM(Z263,IF(Z263&lt;&gt;0,$F$31,0),IF(Z263&lt;&gt;0,$N$33,0),IF(Z263&lt;&gt;0,$T$33,0),IF(Z263=0,AH268,IF(Z263=1,AH269,IF(Z263=2,AH270,IF(Z263=3,AH271,IF(Z263=4,AH272,IF(Z263=5,AH273,IF(Z263=6,AH274,IF(Z263=7,AH275,IF(Z263=8,AH276,IF(Z263=9,AH277,IF(Z263=10,AH278,IF(Z263=11,AH279,IF(Z263=12,AH280,IF(Z263=13,AH281,IF(Z263=14,AH282,IF(Z263=15,AH283,IF(Z263=16,AH284,IF(Z263=17,AH285,IF(Z263=18,AH286,IF(Z263=19,AH287,IF(Z263=20,AH288,IF(Z263=21,AH289,IF(Z263=22,AH290,IF(Z263=23,AH291,IF(Z263=24,AH292,IF(Z263=25,AH293,IF(Z263=26,AH294,IF(Z263=27,AH295,IF(Z263=28,AH296,IF(Z263=29,AH297,IF(Z263=30,AH298))))))))))))))))))))))))))))))))</f>
        <v>6.3596511177597073</v>
      </c>
    </row>
    <row r="264" spans="1:35" x14ac:dyDescent="0.35">
      <c r="A264" s="48">
        <v>1645</v>
      </c>
      <c r="B264" s="58">
        <f>SUMIF([2]!Table2_23[ETA],'FIS Optimal Model (3)'!A264,[2]!Table2_23[FIS PAX])</f>
        <v>0</v>
      </c>
      <c r="C264" s="44">
        <f>IF((D263-D264)&gt;-1,(D263-D264),18)</f>
        <v>0</v>
      </c>
      <c r="D264" s="52">
        <f>MAX(D263-$E$31+B263,0)</f>
        <v>0</v>
      </c>
      <c r="E264" s="26">
        <f>$C$30*C264</f>
        <v>0</v>
      </c>
      <c r="F264" s="26">
        <f>$C$31*C264</f>
        <v>0</v>
      </c>
      <c r="G264" s="26">
        <f>$C$32*C264</f>
        <v>0</v>
      </c>
      <c r="H264" s="26">
        <f>$C$33*C264</f>
        <v>0</v>
      </c>
      <c r="I264" s="27">
        <f>E259</f>
        <v>0</v>
      </c>
      <c r="J264" s="27">
        <f>F259</f>
        <v>0</v>
      </c>
      <c r="K264" s="27">
        <f>G259</f>
        <v>0</v>
      </c>
      <c r="L264" s="27">
        <f>H259</f>
        <v>0</v>
      </c>
      <c r="M264" s="28">
        <f>$M$250</f>
        <v>6</v>
      </c>
      <c r="N264" s="29">
        <f>$N$250</f>
        <v>8</v>
      </c>
      <c r="O264" s="28">
        <f>$O$250</f>
        <v>2</v>
      </c>
      <c r="P264" s="28">
        <f>$P$250</f>
        <v>0</v>
      </c>
      <c r="Q264" s="28">
        <f>SUM(M264:P264)</f>
        <v>16</v>
      </c>
      <c r="R264" s="22">
        <f>MAX(R263-($J$30*M264*$L$33)+I264,0)</f>
        <v>0</v>
      </c>
      <c r="S264" s="22">
        <f>IF(U264&lt;&gt;0,(MAX(S263-($J$31*N264*$L$33)+J264,0)),(MAX(S263-($J$31*(N264+P264)*$L$33)+J264,0)))</f>
        <v>0</v>
      </c>
      <c r="T264" s="22">
        <f>MAX(T263-($J$32*O264*$L$33)+K264,0)</f>
        <v>0</v>
      </c>
      <c r="U264" s="22">
        <f>MAX(U263-($J$33*P264*$L$33)+L264,0)</f>
        <v>6.4356999999999998</v>
      </c>
      <c r="V264" s="21">
        <f>IFERROR(R264*($I$30/M264),0)</f>
        <v>0</v>
      </c>
      <c r="W264" s="21">
        <f>IFERROR(S264*($I$31/N264),0)</f>
        <v>0</v>
      </c>
      <c r="X264" s="21">
        <f>IFERROR(T264*($I$32/O264),0)</f>
        <v>0</v>
      </c>
      <c r="Y264" s="21">
        <f>IFERROR(U264*($I$33/P264),0)</f>
        <v>0</v>
      </c>
      <c r="Z264" s="221">
        <f>ROUNDUP(SUM(V264*$C$30,W264*$C$31,X264*$C$32,Y264*$C$33),0)</f>
        <v>0</v>
      </c>
      <c r="AA264" s="30">
        <f>IF(R264&lt;&gt;0,($J$30*M264*$L$33),0)</f>
        <v>0</v>
      </c>
      <c r="AB264" s="30">
        <f>IF(W264&lt;&gt;0,($J$31*N264*$L$33),0)</f>
        <v>0</v>
      </c>
      <c r="AC264" s="30">
        <f>IF(X264&lt;&gt;0,($J$32*O264*$L$33),0)</f>
        <v>0</v>
      </c>
      <c r="AD264" s="30">
        <f>IF(Y264&lt;&gt;0,($J$33*P264*$L$33),0)</f>
        <v>0</v>
      </c>
      <c r="AE264" s="32">
        <f>SUM(AA264:AD264)</f>
        <v>0</v>
      </c>
      <c r="AF264" s="33">
        <f>AE260</f>
        <v>3.9644274259089327</v>
      </c>
      <c r="AG264" s="40">
        <f>MAX(AG263-$Q$33+AF264,0)</f>
        <v>123.52233074437341</v>
      </c>
      <c r="AH264" s="224">
        <f>AG264*$P$33</f>
        <v>10.359651117759707</v>
      </c>
      <c r="AI264" s="227">
        <f>SUM(Z264,IF(Z264&lt;&gt;0,$F$31,0),IF(Z264&lt;&gt;0,$N$33,0),IF(Z264&lt;&gt;0,$T$33,0),IF(Z264=0,AH269,IF(Z264=1,AH270,IF(Z264=2,AH271,IF(Z264=3,AH272,IF(Z264=4,AH273,IF(Z264=5,AH274,IF(Z264=6,AH275,IF(Z264=7,AH276,IF(Z264=8,AH277,IF(Z264=9,AH278,IF(Z264=10,AH279,IF(Z264=11,AH280,IF(Z264=12,AH281,IF(Z264=13,AH282,IF(Z264=14,AH283,IF(Z264=15,AH284,IF(Z264=16,AH285,IF(Z264=17,AH286,IF(Z264=18,AH287,IF(Z264=19,AH288,IF(Z264=20,AH289,IF(Z264=21,AH290,IF(Z264=22,AH291,IF(Z264=23,AH292,IF(Z264=24,AH293,IF(Z264=25,AH294,IF(Z264=26,AH295,IF(Z264=27,AH296,IF(Z264=28,AH297,IF(Z264=29,AH298,IF(Z264=30,AH299))))))))))))))))))))))))))))))))</f>
        <v>5.6676726631502534</v>
      </c>
    </row>
    <row r="265" spans="1:35" x14ac:dyDescent="0.35">
      <c r="A265" s="48">
        <v>1646</v>
      </c>
      <c r="B265" s="58">
        <f>SUMIF([2]!Table2_23[ETA],'FIS Optimal Model (3)'!A265,[2]!Table2_23[FIS PAX])</f>
        <v>0</v>
      </c>
      <c r="C265" s="44">
        <f>IF((D264-D265)&gt;-1,(D264-D265),18)</f>
        <v>0</v>
      </c>
      <c r="D265" s="52">
        <f>MAX(D264-$E$31+B264,0)</f>
        <v>0</v>
      </c>
      <c r="E265" s="26">
        <f>$C$30*C265</f>
        <v>0</v>
      </c>
      <c r="F265" s="26">
        <f>$C$31*C265</f>
        <v>0</v>
      </c>
      <c r="G265" s="26">
        <f>$C$32*C265</f>
        <v>0</v>
      </c>
      <c r="H265" s="26">
        <f>$C$33*C265</f>
        <v>0</v>
      </c>
      <c r="I265" s="27">
        <f>E260</f>
        <v>0</v>
      </c>
      <c r="J265" s="27">
        <f>F260</f>
        <v>0</v>
      </c>
      <c r="K265" s="27">
        <f>G260</f>
        <v>0</v>
      </c>
      <c r="L265" s="27">
        <f>H260</f>
        <v>0</v>
      </c>
      <c r="M265" s="28">
        <f>IF(R264=0,0,$Q$21)</f>
        <v>0</v>
      </c>
      <c r="N265" s="29">
        <f>$U$21-M265-O265-P265</f>
        <v>14</v>
      </c>
      <c r="O265" s="28">
        <f>IF(T264=0,0,$S$21)</f>
        <v>0</v>
      </c>
      <c r="P265" s="28">
        <f>IF(U264=0,0,$T$21)</f>
        <v>2</v>
      </c>
      <c r="Q265" s="28">
        <f>SUM(M265:P265)</f>
        <v>16</v>
      </c>
      <c r="R265" s="22">
        <f>MAX(R264-($J$30*M265*$L$33)+I265,0)</f>
        <v>0</v>
      </c>
      <c r="S265" s="22">
        <f>IF(U265&lt;&gt;0,(MAX(S264-($J$31*N265*$L$33)+J265,0)),(MAX(S264-($J$31*(N265+P265)*$L$33)+J265,0)))</f>
        <v>0</v>
      </c>
      <c r="T265" s="22">
        <f>MAX(T264-($J$32*O265*$L$33)+K265,0)</f>
        <v>0</v>
      </c>
      <c r="U265" s="22">
        <f>MAX(U264-($J$33*P265*$L$33)+L265,0)</f>
        <v>2.763033925280689</v>
      </c>
      <c r="V265" s="21">
        <f>IFERROR(R265*($I$30/M265),0)</f>
        <v>0</v>
      </c>
      <c r="W265" s="21">
        <f>IFERROR(S265*($I$31/N265),0)</f>
        <v>0</v>
      </c>
      <c r="X265" s="21">
        <f>IFERROR(T265*($I$32/O265),0)</f>
        <v>0</v>
      </c>
      <c r="Y265" s="21">
        <f>IFERROR(U265*($I$33/P265),0)</f>
        <v>0.63947519014999998</v>
      </c>
      <c r="Z265" s="221">
        <f>ROUNDUP(SUM(V265*$C$30,W265*$C$31,X265*$C$32,Y265*$C$33),0)</f>
        <v>1</v>
      </c>
      <c r="AA265" s="30">
        <f>IF(R265&lt;&gt;0,($J$30*M265*$L$33),0)</f>
        <v>0</v>
      </c>
      <c r="AB265" s="30">
        <f>IF(W265&lt;&gt;0,($J$31*N265*$L$33),0)</f>
        <v>0</v>
      </c>
      <c r="AC265" s="30">
        <f>IF(X265&lt;&gt;0,($J$32*O265*$L$33),0)</f>
        <v>0</v>
      </c>
      <c r="AD265" s="30">
        <f>IF(Y265&lt;&gt;0,($J$33*P265*$L$33),0)</f>
        <v>3.6726660747193107</v>
      </c>
      <c r="AE265" s="32">
        <f>SUM(AA265:AD265)</f>
        <v>3.6726660747193107</v>
      </c>
      <c r="AF265" s="33">
        <f>AE261</f>
        <v>0</v>
      </c>
      <c r="AG265" s="40">
        <f>MAX(AG264-$Q$33+AF265,0)</f>
        <v>111.59892431492162</v>
      </c>
      <c r="AH265" s="224">
        <f>AG265*$P$33</f>
        <v>9.3596511177597055</v>
      </c>
      <c r="AI265" s="227">
        <f>SUM(Z265,IF(Z265&lt;&gt;0,$F$31,0),IF(Z265&lt;&gt;0,$N$33,0),IF(Z265&lt;&gt;0,$T$33,0),IF(Z265=0,AH270,IF(Z265=1,AH271,IF(Z265=2,AH272,IF(Z265=3,AH273,IF(Z265=4,AH274,IF(Z265=5,AH275,IF(Z265=6,AH276,IF(Z265=7,AH277,IF(Z265=8,AH278,IF(Z265=9,AH279,IF(Z265=10,AH280,IF(Z265=11,AH281,IF(Z265=12,AH282,IF(Z265=13,AH283,IF(Z265=14,AH284,IF(Z265=15,AH285,IF(Z265=16,AH286,IF(Z265=17,AH287,IF(Z265=18,AH288,IF(Z265=19,AH289,IF(Z265=20,AH290,IF(Z265=21,AH291,IF(Z265=22,AH292,IF(Z265=23,AH293,IF(Z265=24,AH294,IF(Z265=25,AH295,IF(Z265=26,AH296,IF(Z265=27,AH297,IF(Z265=28,AH298,IF(Z265=29,AH299,IF(Z265=30,AH300))))))))))))))))))))))))))))))))</f>
        <v>25.667672663150253</v>
      </c>
    </row>
    <row r="266" spans="1:35" x14ac:dyDescent="0.35">
      <c r="A266" s="48">
        <v>1647</v>
      </c>
      <c r="B266" s="58">
        <f>SUMIF([2]!Table2_23[ETA],'FIS Optimal Model (3)'!A266,[2]!Table2_23[FIS PAX])</f>
        <v>0</v>
      </c>
      <c r="C266" s="44">
        <f>IF((D265-D266)&gt;-1,(D265-D266),18)</f>
        <v>0</v>
      </c>
      <c r="D266" s="52">
        <f>MAX(D265-$E$31+B265,0)</f>
        <v>0</v>
      </c>
      <c r="E266" s="26">
        <f>$C$30*C266</f>
        <v>0</v>
      </c>
      <c r="F266" s="26">
        <f>$C$31*C266</f>
        <v>0</v>
      </c>
      <c r="G266" s="26">
        <f>$C$32*C266</f>
        <v>0</v>
      </c>
      <c r="H266" s="26">
        <f>$C$33*C266</f>
        <v>0</v>
      </c>
      <c r="I266" s="27">
        <f>E261</f>
        <v>0</v>
      </c>
      <c r="J266" s="27">
        <f>F261</f>
        <v>0</v>
      </c>
      <c r="K266" s="27">
        <f>G261</f>
        <v>0</v>
      </c>
      <c r="L266" s="27">
        <f>H261</f>
        <v>0</v>
      </c>
      <c r="M266" s="28">
        <f>$M$265</f>
        <v>0</v>
      </c>
      <c r="N266" s="29">
        <f>$N$265</f>
        <v>14</v>
      </c>
      <c r="O266" s="28">
        <f>$O$265</f>
        <v>0</v>
      </c>
      <c r="P266" s="28">
        <f>$P$265</f>
        <v>2</v>
      </c>
      <c r="Q266" s="28">
        <f>SUM(M266:P266)</f>
        <v>16</v>
      </c>
      <c r="R266" s="22">
        <f>MAX(R265-($J$30*M266*$L$33)+I266,0)</f>
        <v>0</v>
      </c>
      <c r="S266" s="22">
        <f>IF(U266&lt;&gt;0,(MAX(S265-($J$31*N266*$L$33)+J266,0)),(MAX(S265-($J$31*(N266+P266)*$L$33)+J266,0)))</f>
        <v>0</v>
      </c>
      <c r="T266" s="22">
        <f>MAX(T265-($J$32*O266*$L$33)+K266,0)</f>
        <v>0</v>
      </c>
      <c r="U266" s="22">
        <f>MAX(U265-($J$33*P266*$L$33)+L266,0)</f>
        <v>0</v>
      </c>
      <c r="V266" s="21">
        <f>IFERROR(R266*($I$30/M266),0)</f>
        <v>0</v>
      </c>
      <c r="W266" s="21">
        <f>IFERROR(S266*($I$31/N266),0)</f>
        <v>0</v>
      </c>
      <c r="X266" s="21">
        <f>IFERROR(T266*($I$32/O266),0)</f>
        <v>0</v>
      </c>
      <c r="Y266" s="21">
        <f>IFERROR(U266*($I$33/P266),0)</f>
        <v>0</v>
      </c>
      <c r="Z266" s="221">
        <f>ROUNDUP(SUM(V266*$C$30,W266*$C$31,X266*$C$32,Y266*$C$33),0)</f>
        <v>0</v>
      </c>
      <c r="AA266" s="30">
        <f>IF(R266&lt;&gt;0,($J$30*M266*$L$33),0)</f>
        <v>0</v>
      </c>
      <c r="AB266" s="30">
        <f>IF(W266&lt;&gt;0,($J$31*N266*$L$33),0)</f>
        <v>0</v>
      </c>
      <c r="AC266" s="30">
        <f>IF(X266&lt;&gt;0,($J$32*O266*$L$33),0)</f>
        <v>0</v>
      </c>
      <c r="AD266" s="30">
        <f>IF(Y266&lt;&gt;0,($J$33*P266*$L$33),0)</f>
        <v>0</v>
      </c>
      <c r="AE266" s="32">
        <f>SUM(AA266:AD266)</f>
        <v>0</v>
      </c>
      <c r="AF266" s="33">
        <f>AE262</f>
        <v>0</v>
      </c>
      <c r="AG266" s="40">
        <f>MAX(AG265-$Q$33+AF266,0)</f>
        <v>99.675517885469844</v>
      </c>
      <c r="AH266" s="224">
        <f>AG266*$P$33</f>
        <v>8.3596511177597073</v>
      </c>
      <c r="AI266" s="227">
        <f>SUM(Z266,IF(Z266&lt;&gt;0,$F$31,0),IF(Z266&lt;&gt;0,$N$33,0),IF(Z266&lt;&gt;0,$T$33,0),IF(Z266=0,AH271,IF(Z266=1,AH272,IF(Z266=2,AH273,IF(Z266=3,AH274,IF(Z266=4,AH275,IF(Z266=5,AH276,IF(Z266=6,AH277,IF(Z266=7,AH278,IF(Z266=8,AH279,IF(Z266=9,AH280,IF(Z266=10,AH281,IF(Z266=11,AH282,IF(Z266=12,AH283,IF(Z266=13,AH284,IF(Z266=14,AH285,IF(Z266=15,AH286,IF(Z266=16,AH287,IF(Z266=17,AH288,IF(Z266=18,AH289,IF(Z266=19,AH290,IF(Z266=20,AH291,IF(Z266=21,AH292,IF(Z266=22,AH293,IF(Z266=23,AH294,IF(Z266=24,AH295,IF(Z266=25,AH296,IF(Z266=26,AH297,IF(Z266=27,AH298,IF(Z266=28,AH299,IF(Z266=29,AH300,IF(Z266=30,AH301))))))))))))))))))))))))))))))))</f>
        <v>3.6676726631502534</v>
      </c>
    </row>
    <row r="267" spans="1:35" x14ac:dyDescent="0.35">
      <c r="A267" s="48">
        <v>1648</v>
      </c>
      <c r="B267" s="58">
        <f>SUMIF([2]!Table2_23[ETA],'FIS Optimal Model (3)'!A267,[2]!Table2_23[FIS PAX])</f>
        <v>0</v>
      </c>
      <c r="C267" s="44">
        <f>IF((D266-D267)&gt;-1,(D266-D267),18)</f>
        <v>0</v>
      </c>
      <c r="D267" s="52">
        <f>MAX(D266-$E$31+B266,0)</f>
        <v>0</v>
      </c>
      <c r="E267" s="26">
        <f>$C$30*C267</f>
        <v>0</v>
      </c>
      <c r="F267" s="26">
        <f>$C$31*C267</f>
        <v>0</v>
      </c>
      <c r="G267" s="26">
        <f>$C$32*C267</f>
        <v>0</v>
      </c>
      <c r="H267" s="26">
        <f>$C$33*C267</f>
        <v>0</v>
      </c>
      <c r="I267" s="27">
        <f>E262</f>
        <v>0</v>
      </c>
      <c r="J267" s="27">
        <f>F262</f>
        <v>0</v>
      </c>
      <c r="K267" s="27">
        <f>G262</f>
        <v>0</v>
      </c>
      <c r="L267" s="27">
        <f>H262</f>
        <v>0</v>
      </c>
      <c r="M267" s="28">
        <f>$M$265</f>
        <v>0</v>
      </c>
      <c r="N267" s="29">
        <f>$N$265</f>
        <v>14</v>
      </c>
      <c r="O267" s="28">
        <f>$O$265</f>
        <v>0</v>
      </c>
      <c r="P267" s="28">
        <f>$P$265</f>
        <v>2</v>
      </c>
      <c r="Q267" s="28">
        <f>SUM(M267:P267)</f>
        <v>16</v>
      </c>
      <c r="R267" s="22">
        <f>MAX(R266-($J$30*M267*$L$33)+I267,0)</f>
        <v>0</v>
      </c>
      <c r="S267" s="22">
        <f>IF(U267&lt;&gt;0,(MAX(S266-($J$31*N267*$L$33)+J267,0)),(MAX(S266-($J$31*(N267+P267)*$L$33)+J267,0)))</f>
        <v>0</v>
      </c>
      <c r="T267" s="22">
        <f>MAX(T266-($J$32*O267*$L$33)+K267,0)</f>
        <v>0</v>
      </c>
      <c r="U267" s="22">
        <f>MAX(U266-($J$33*P267*$L$33)+L267,0)</f>
        <v>0</v>
      </c>
      <c r="V267" s="21">
        <f>IFERROR(R267*($I$30/M267),0)</f>
        <v>0</v>
      </c>
      <c r="W267" s="21">
        <f>IFERROR(S267*($I$31/N267),0)</f>
        <v>0</v>
      </c>
      <c r="X267" s="21">
        <f>IFERROR(T267*($I$32/O267),0)</f>
        <v>0</v>
      </c>
      <c r="Y267" s="21">
        <f>IFERROR(U267*($I$33/P267),0)</f>
        <v>0</v>
      </c>
      <c r="Z267" s="221">
        <f>ROUNDUP(SUM(V267*$C$30,W267*$C$31,X267*$C$32,Y267*$C$33),0)</f>
        <v>0</v>
      </c>
      <c r="AA267" s="30">
        <f>IF(R267&lt;&gt;0,($J$30*M267*$L$33),0)</f>
        <v>0</v>
      </c>
      <c r="AB267" s="30">
        <f>IF(W267&lt;&gt;0,($J$31*N267*$L$33),0)</f>
        <v>0</v>
      </c>
      <c r="AC267" s="30">
        <f>IF(X267&lt;&gt;0,($J$32*O267*$L$33),0)</f>
        <v>0</v>
      </c>
      <c r="AD267" s="30">
        <f>IF(Y267&lt;&gt;0,($J$33*P267*$L$33),0)</f>
        <v>0</v>
      </c>
      <c r="AE267" s="32">
        <f>SUM(AA267:AD267)</f>
        <v>0</v>
      </c>
      <c r="AF267" s="33">
        <f>AE263</f>
        <v>0</v>
      </c>
      <c r="AG267" s="40">
        <f>MAX(AG266-$Q$33+AF267,0)</f>
        <v>87.752111456018071</v>
      </c>
      <c r="AH267" s="224">
        <f>AG267*$P$33</f>
        <v>7.3596511177597073</v>
      </c>
      <c r="AI267" s="227">
        <f>SUM(Z267,IF(Z267&lt;&gt;0,$F$31,0),IF(Z267&lt;&gt;0,$N$33,0),IF(Z267&lt;&gt;0,$T$33,0),IF(Z267=0,AH272,IF(Z267=1,AH273,IF(Z267=2,AH274,IF(Z267=3,AH275,IF(Z267=4,AH276,IF(Z267=5,AH277,IF(Z267=6,AH278,IF(Z267=7,AH279,IF(Z267=8,AH280,IF(Z267=9,AH281,IF(Z267=10,AH282,IF(Z267=11,AH283,IF(Z267=12,AH284,IF(Z267=13,AH285,IF(Z267=14,AH286,IF(Z267=15,AH287,IF(Z267=16,AH288,IF(Z267=17,AH289,IF(Z267=18,AH290,IF(Z267=19,AH291,IF(Z267=20,AH292,IF(Z267=21,AH293,IF(Z267=22,AH294,IF(Z267=23,AH295,IF(Z267=24,AH296,IF(Z267=25,AH297,IF(Z267=26,AH298,IF(Z267=27,AH299,IF(Z267=28,AH300,IF(Z267=29,AH301,IF(Z267=30,AH302))))))))))))))))))))))))))))))))</f>
        <v>2.6676726631502534</v>
      </c>
    </row>
    <row r="268" spans="1:35" x14ac:dyDescent="0.35">
      <c r="A268" s="48">
        <v>1649</v>
      </c>
      <c r="B268" s="58">
        <f>SUMIF([2]!Table2_23[ETA],'FIS Optimal Model (3)'!A268,[2]!Table2_23[FIS PAX])</f>
        <v>0</v>
      </c>
      <c r="C268" s="44">
        <f>IF((D267-D268)&gt;-1,(D267-D268),18)</f>
        <v>0</v>
      </c>
      <c r="D268" s="52">
        <f>MAX(D267-$E$31+B267,0)</f>
        <v>0</v>
      </c>
      <c r="E268" s="26">
        <f>$C$30*C268</f>
        <v>0</v>
      </c>
      <c r="F268" s="26">
        <f>$C$31*C268</f>
        <v>0</v>
      </c>
      <c r="G268" s="26">
        <f>$C$32*C268</f>
        <v>0</v>
      </c>
      <c r="H268" s="26">
        <f>$C$33*C268</f>
        <v>0</v>
      </c>
      <c r="I268" s="27">
        <f>E263</f>
        <v>0</v>
      </c>
      <c r="J268" s="27">
        <f>F263</f>
        <v>0</v>
      </c>
      <c r="K268" s="27">
        <f>G263</f>
        <v>0</v>
      </c>
      <c r="L268" s="27">
        <f>H263</f>
        <v>0</v>
      </c>
      <c r="M268" s="28">
        <f>$M$265</f>
        <v>0</v>
      </c>
      <c r="N268" s="29">
        <f>$N$265</f>
        <v>14</v>
      </c>
      <c r="O268" s="28">
        <f>$O$265</f>
        <v>0</v>
      </c>
      <c r="P268" s="28">
        <f>$P$265</f>
        <v>2</v>
      </c>
      <c r="Q268" s="28">
        <f>SUM(M268:P268)</f>
        <v>16</v>
      </c>
      <c r="R268" s="22">
        <f>MAX(R267-($J$30*M268*$L$33)+I268,0)</f>
        <v>0</v>
      </c>
      <c r="S268" s="22">
        <f>IF(U268&lt;&gt;0,(MAX(S267-($J$31*N268*$L$33)+J268,0)),(MAX(S267-($J$31*(N268+P268)*$L$33)+J268,0)))</f>
        <v>0</v>
      </c>
      <c r="T268" s="22">
        <f>MAX(T267-($J$32*O268*$L$33)+K268,0)</f>
        <v>0</v>
      </c>
      <c r="U268" s="22">
        <f>MAX(U267-($J$33*P268*$L$33)+L268,0)</f>
        <v>0</v>
      </c>
      <c r="V268" s="21">
        <f>IFERROR(R268*($I$30/M268),0)</f>
        <v>0</v>
      </c>
      <c r="W268" s="21">
        <f>IFERROR(S268*($I$31/N268),0)</f>
        <v>0</v>
      </c>
      <c r="X268" s="21">
        <f>IFERROR(T268*($I$32/O268),0)</f>
        <v>0</v>
      </c>
      <c r="Y268" s="21">
        <f>IFERROR(U268*($I$33/P268),0)</f>
        <v>0</v>
      </c>
      <c r="Z268" s="221">
        <f>ROUNDUP(SUM(V268*$C$30,W268*$C$31,X268*$C$32,Y268*$C$33),0)</f>
        <v>0</v>
      </c>
      <c r="AA268" s="30">
        <f>IF(R268&lt;&gt;0,($J$30*M268*$L$33),0)</f>
        <v>0</v>
      </c>
      <c r="AB268" s="30">
        <f>IF(W268&lt;&gt;0,($J$31*N268*$L$33),0)</f>
        <v>0</v>
      </c>
      <c r="AC268" s="30">
        <f>IF(X268&lt;&gt;0,($J$32*O268*$L$33),0)</f>
        <v>0</v>
      </c>
      <c r="AD268" s="30">
        <f>IF(Y268&lt;&gt;0,($J$33*P268*$L$33),0)</f>
        <v>0</v>
      </c>
      <c r="AE268" s="32">
        <f>SUM(AA268:AD268)</f>
        <v>0</v>
      </c>
      <c r="AF268" s="33">
        <f>AE264</f>
        <v>0</v>
      </c>
      <c r="AG268" s="40">
        <f>MAX(AG267-$Q$33+AF268,0)</f>
        <v>75.828705026566297</v>
      </c>
      <c r="AH268" s="224">
        <f>AG268*$P$33</f>
        <v>6.3596511177597073</v>
      </c>
      <c r="AI268" s="227">
        <f>SUM(Z268,IF(Z268&lt;&gt;0,$F$31,0),IF(Z268&lt;&gt;0,$N$33,0),IF(Z268&lt;&gt;0,$T$33,0),IF(Z268=0,AH273,IF(Z268=1,AH274,IF(Z268=2,AH275,IF(Z268=3,AH276,IF(Z268=4,AH277,IF(Z268=5,AH278,IF(Z268=6,AH279,IF(Z268=7,AH280,IF(Z268=8,AH281,IF(Z268=9,AH282,IF(Z268=10,AH283,IF(Z268=11,AH284,IF(Z268=12,AH285,IF(Z268=13,AH286,IF(Z268=14,AH287,IF(Z268=15,AH288,IF(Z268=16,AH289,IF(Z268=17,AH290,IF(Z268=18,AH291,IF(Z268=19,AH292,IF(Z268=20,AH293,IF(Z268=21,AH294,IF(Z268=22,AH295,IF(Z268=23,AH296,IF(Z268=24,AH297,IF(Z268=25,AH298,IF(Z268=26,AH299,IF(Z268=27,AH300,IF(Z268=28,AH301,IF(Z268=29,AH302,IF(Z268=30,AH303))))))))))))))))))))))))))))))))</f>
        <v>1.6676726631502532</v>
      </c>
    </row>
    <row r="269" spans="1:35" x14ac:dyDescent="0.35">
      <c r="A269" s="48">
        <v>1650</v>
      </c>
      <c r="B269" s="58">
        <f>SUMIF([2]!Table2_23[ETA],'FIS Optimal Model (3)'!A269,[2]!Table2_23[FIS PAX])</f>
        <v>0</v>
      </c>
      <c r="C269" s="44">
        <f>IF((D268-D269)&gt;-1,(D268-D269),18)</f>
        <v>0</v>
      </c>
      <c r="D269" s="52">
        <f>MAX(D268-$E$31+B268,0)</f>
        <v>0</v>
      </c>
      <c r="E269" s="26">
        <f>$C$30*C269</f>
        <v>0</v>
      </c>
      <c r="F269" s="26">
        <f>$C$31*C269</f>
        <v>0</v>
      </c>
      <c r="G269" s="26">
        <f>$C$32*C269</f>
        <v>0</v>
      </c>
      <c r="H269" s="26">
        <f>$C$33*C269</f>
        <v>0</v>
      </c>
      <c r="I269" s="27">
        <f>E264</f>
        <v>0</v>
      </c>
      <c r="J269" s="27">
        <f>F264</f>
        <v>0</v>
      </c>
      <c r="K269" s="27">
        <f>G264</f>
        <v>0</v>
      </c>
      <c r="L269" s="27">
        <f>H264</f>
        <v>0</v>
      </c>
      <c r="M269" s="28">
        <f>$M$265</f>
        <v>0</v>
      </c>
      <c r="N269" s="29">
        <f>$N$265</f>
        <v>14</v>
      </c>
      <c r="O269" s="28">
        <f>$O$265</f>
        <v>0</v>
      </c>
      <c r="P269" s="28">
        <f>$P$265</f>
        <v>2</v>
      </c>
      <c r="Q269" s="28">
        <f>SUM(M269:P269)</f>
        <v>16</v>
      </c>
      <c r="R269" s="22">
        <f>MAX(R268-($J$30*M269*$L$33)+I269,0)</f>
        <v>0</v>
      </c>
      <c r="S269" s="22">
        <f>IF(U269&lt;&gt;0,(MAX(S268-($J$31*N269*$L$33)+J269,0)),(MAX(S268-($J$31*(N269+P269)*$L$33)+J269,0)))</f>
        <v>0</v>
      </c>
      <c r="T269" s="22">
        <f>MAX(T268-($J$32*O269*$L$33)+K269,0)</f>
        <v>0</v>
      </c>
      <c r="U269" s="22">
        <f>MAX(U268-($J$33*P269*$L$33)+L269,0)</f>
        <v>0</v>
      </c>
      <c r="V269" s="21">
        <f>IFERROR(R269*($I$30/M269),0)</f>
        <v>0</v>
      </c>
      <c r="W269" s="21">
        <f>IFERROR(S269*($I$31/N269),0)</f>
        <v>0</v>
      </c>
      <c r="X269" s="21">
        <f>IFERROR(T269*($I$32/O269),0)</f>
        <v>0</v>
      </c>
      <c r="Y269" s="21">
        <f>IFERROR(U269*($I$33/P269),0)</f>
        <v>0</v>
      </c>
      <c r="Z269" s="221">
        <f>ROUNDUP(SUM(V269*$C$30,W269*$C$31,X269*$C$32,Y269*$C$33),0)</f>
        <v>0</v>
      </c>
      <c r="AA269" s="30">
        <f>IF(R269&lt;&gt;0,($J$30*M269*$L$33),0)</f>
        <v>0</v>
      </c>
      <c r="AB269" s="30">
        <f>IF(W269&lt;&gt;0,($J$31*N269*$L$33),0)</f>
        <v>0</v>
      </c>
      <c r="AC269" s="30">
        <f>IF(X269&lt;&gt;0,($J$32*O269*$L$33),0)</f>
        <v>0</v>
      </c>
      <c r="AD269" s="30">
        <f>IF(Y269&lt;&gt;0,($J$33*P269*$L$33),0)</f>
        <v>0</v>
      </c>
      <c r="AE269" s="32">
        <f>SUM(AA269:AD269)</f>
        <v>0</v>
      </c>
      <c r="AF269" s="33">
        <f>AE265</f>
        <v>3.6726660747193107</v>
      </c>
      <c r="AG269" s="40">
        <f>MAX(AG268-$Q$33+AF269,0)</f>
        <v>67.577964671833826</v>
      </c>
      <c r="AH269" s="224">
        <f>AG269*$P$33</f>
        <v>5.6676726631502534</v>
      </c>
      <c r="AI269" s="227">
        <f>SUM(Z269,IF(Z269&lt;&gt;0,$F$31,0),IF(Z269&lt;&gt;0,$N$33,0),IF(Z269&lt;&gt;0,$T$33,0),IF(Z269=0,AH274,IF(Z269=1,AH275,IF(Z269=2,AH276,IF(Z269=3,AH277,IF(Z269=4,AH278,IF(Z269=5,AH279,IF(Z269=6,AH280,IF(Z269=7,AH281,IF(Z269=8,AH282,IF(Z269=9,AH283,IF(Z269=10,AH284,IF(Z269=11,AH285,IF(Z269=12,AH286,IF(Z269=13,AH287,IF(Z269=14,AH288,IF(Z269=15,AH289,IF(Z269=16,AH290,IF(Z269=17,AH291,IF(Z269=18,AH292,IF(Z269=19,AH293,IF(Z269=20,AH294,IF(Z269=21,AH295,IF(Z269=22,AH296,IF(Z269=23,AH297,IF(Z269=24,AH298,IF(Z269=25,AH299,IF(Z269=26,AH300,IF(Z269=27,AH301,IF(Z269=28,AH302,IF(Z269=29,AH303,IF(Z269=30,AH304))))))))))))))))))))))))))))))))</f>
        <v>0.6676726631502532</v>
      </c>
    </row>
    <row r="270" spans="1:35" x14ac:dyDescent="0.35">
      <c r="A270" s="48">
        <v>1651</v>
      </c>
      <c r="B270" s="58">
        <f>SUMIF([2]!Table2_23[ETA],'FIS Optimal Model (3)'!A270,[2]!Table2_23[FIS PAX])</f>
        <v>0</v>
      </c>
      <c r="C270" s="44">
        <f>IF((D269-D270)&gt;-1,(D269-D270),18)</f>
        <v>0</v>
      </c>
      <c r="D270" s="52">
        <f>MAX(D269-$E$31+B269,0)</f>
        <v>0</v>
      </c>
      <c r="E270" s="26">
        <f>$C$30*C270</f>
        <v>0</v>
      </c>
      <c r="F270" s="26">
        <f>$C$31*C270</f>
        <v>0</v>
      </c>
      <c r="G270" s="26">
        <f>$C$32*C270</f>
        <v>0</v>
      </c>
      <c r="H270" s="26">
        <f>$C$33*C270</f>
        <v>0</v>
      </c>
      <c r="I270" s="27">
        <f>E265</f>
        <v>0</v>
      </c>
      <c r="J270" s="27">
        <f>F265</f>
        <v>0</v>
      </c>
      <c r="K270" s="27">
        <f>G265</f>
        <v>0</v>
      </c>
      <c r="L270" s="27">
        <f>H265</f>
        <v>0</v>
      </c>
      <c r="M270" s="28">
        <f>$M$265</f>
        <v>0</v>
      </c>
      <c r="N270" s="29">
        <f>$N$265</f>
        <v>14</v>
      </c>
      <c r="O270" s="28">
        <f>$O$265</f>
        <v>0</v>
      </c>
      <c r="P270" s="28">
        <f>$P$265</f>
        <v>2</v>
      </c>
      <c r="Q270" s="28">
        <f>SUM(M270:P270)</f>
        <v>16</v>
      </c>
      <c r="R270" s="22">
        <f>MAX(R269-($J$30*M270*$L$33)+I270,0)</f>
        <v>0</v>
      </c>
      <c r="S270" s="22">
        <f>IF(U270&lt;&gt;0,(MAX(S269-($J$31*N270*$L$33)+J270,0)),(MAX(S269-($J$31*(N270+P270)*$L$33)+J270,0)))</f>
        <v>0</v>
      </c>
      <c r="T270" s="22">
        <f>MAX(T269-($J$32*O270*$L$33)+K270,0)</f>
        <v>0</v>
      </c>
      <c r="U270" s="22">
        <f>MAX(U269-($J$33*P270*$L$33)+L270,0)</f>
        <v>0</v>
      </c>
      <c r="V270" s="21">
        <f>IFERROR(R270*($I$30/M270),0)</f>
        <v>0</v>
      </c>
      <c r="W270" s="21">
        <f>IFERROR(S270*($I$31/N270),0)</f>
        <v>0</v>
      </c>
      <c r="X270" s="21">
        <f>IFERROR(T270*($I$32/O270),0)</f>
        <v>0</v>
      </c>
      <c r="Y270" s="21">
        <f>IFERROR(U270*($I$33/P270),0)</f>
        <v>0</v>
      </c>
      <c r="Z270" s="221">
        <f>ROUNDUP(SUM(V270*$C$30,W270*$C$31,X270*$C$32,Y270*$C$33),0)</f>
        <v>0</v>
      </c>
      <c r="AA270" s="30">
        <f>IF(R270&lt;&gt;0,($J$30*M270*$L$33),0)</f>
        <v>0</v>
      </c>
      <c r="AB270" s="30">
        <f>IF(W270&lt;&gt;0,($J$31*N270*$L$33),0)</f>
        <v>0</v>
      </c>
      <c r="AC270" s="30">
        <f>IF(X270&lt;&gt;0,($J$32*O270*$L$33),0)</f>
        <v>0</v>
      </c>
      <c r="AD270" s="30">
        <f>IF(Y270&lt;&gt;0,($J$33*P270*$L$33),0)</f>
        <v>0</v>
      </c>
      <c r="AE270" s="32">
        <f>SUM(AA270:AD270)</f>
        <v>0</v>
      </c>
      <c r="AF270" s="33">
        <f>AE266</f>
        <v>0</v>
      </c>
      <c r="AG270" s="40">
        <f>MAX(AG269-$Q$33+AF270,0)</f>
        <v>55.654558242382045</v>
      </c>
      <c r="AH270" s="224">
        <f>AG270*$P$33</f>
        <v>4.6676726631502534</v>
      </c>
      <c r="AI270" s="227">
        <f>SUM(Z270,IF(Z270&lt;&gt;0,$F$31,0),IF(Z270&lt;&gt;0,$N$33,0),IF(Z270&lt;&gt;0,$T$33,0),IF(Z270=0,AH275,IF(Z270=1,AH276,IF(Z270=2,AH277,IF(Z270=3,AH278,IF(Z270=4,AH279,IF(Z270=5,AH280,IF(Z270=6,AH281,IF(Z270=7,AH282,IF(Z270=8,AH283,IF(Z270=9,AH284,IF(Z270=10,AH285,IF(Z270=11,AH286,IF(Z270=12,AH287,IF(Z270=13,AH288,IF(Z270=14,AH289,IF(Z270=15,AH290,IF(Z270=16,AH291,IF(Z270=17,AH292,IF(Z270=18,AH293,IF(Z270=19,AH294,IF(Z270=20,AH295,IF(Z270=21,AH296,IF(Z270=22,AH297,IF(Z270=23,AH298,IF(Z270=24,AH299,IF(Z270=25,AH300,IF(Z270=26,AH301,IF(Z270=27,AH302,IF(Z270=28,AH303,IF(Z270=29,AH304,IF(Z270=30,AH305))))))))))))))))))))))))))))))))</f>
        <v>0</v>
      </c>
    </row>
    <row r="271" spans="1:35" x14ac:dyDescent="0.35">
      <c r="A271" s="48">
        <v>1652</v>
      </c>
      <c r="B271" s="58">
        <f>SUMIF([2]!Table2_23[ETA],'FIS Optimal Model (3)'!A271,[2]!Table2_23[FIS PAX])</f>
        <v>62</v>
      </c>
      <c r="C271" s="44">
        <f>IF((D270-D271)&gt;-1,(D270-D271),18)</f>
        <v>0</v>
      </c>
      <c r="D271" s="52">
        <f>MAX(D270-$E$31+B270,0)</f>
        <v>0</v>
      </c>
      <c r="E271" s="26">
        <f>$C$30*C271</f>
        <v>0</v>
      </c>
      <c r="F271" s="26">
        <f>$C$31*C271</f>
        <v>0</v>
      </c>
      <c r="G271" s="26">
        <f>$C$32*C271</f>
        <v>0</v>
      </c>
      <c r="H271" s="26">
        <f>$C$33*C271</f>
        <v>0</v>
      </c>
      <c r="I271" s="27">
        <f>E266</f>
        <v>0</v>
      </c>
      <c r="J271" s="27">
        <f>F266</f>
        <v>0</v>
      </c>
      <c r="K271" s="27">
        <f>G266</f>
        <v>0</v>
      </c>
      <c r="L271" s="27">
        <f>H266</f>
        <v>0</v>
      </c>
      <c r="M271" s="28">
        <f>$M$265</f>
        <v>0</v>
      </c>
      <c r="N271" s="29">
        <f>$N$265</f>
        <v>14</v>
      </c>
      <c r="O271" s="28">
        <f>$O$265</f>
        <v>0</v>
      </c>
      <c r="P271" s="28">
        <f>$P$265</f>
        <v>2</v>
      </c>
      <c r="Q271" s="28">
        <f>SUM(M271:P271)</f>
        <v>16</v>
      </c>
      <c r="R271" s="22">
        <f>MAX(R270-($J$30*M271*$L$33)+I271,0)</f>
        <v>0</v>
      </c>
      <c r="S271" s="22">
        <f>IF(U271&lt;&gt;0,(MAX(S270-($J$31*N271*$L$33)+J271,0)),(MAX(S270-($J$31*(N271+P271)*$L$33)+J271,0)))</f>
        <v>0</v>
      </c>
      <c r="T271" s="22">
        <f>MAX(T270-($J$32*O271*$L$33)+K271,0)</f>
        <v>0</v>
      </c>
      <c r="U271" s="22">
        <f>MAX(U270-($J$33*P271*$L$33)+L271,0)</f>
        <v>0</v>
      </c>
      <c r="V271" s="21">
        <f>IFERROR(R271*($I$30/M271),0)</f>
        <v>0</v>
      </c>
      <c r="W271" s="21">
        <f>IFERROR(S271*($I$31/N271),0)</f>
        <v>0</v>
      </c>
      <c r="X271" s="21">
        <f>IFERROR(T271*($I$32/O271),0)</f>
        <v>0</v>
      </c>
      <c r="Y271" s="21">
        <f>IFERROR(U271*($I$33/P271),0)</f>
        <v>0</v>
      </c>
      <c r="Z271" s="221">
        <f>ROUNDUP(SUM(V271*$C$30,W271*$C$31,X271*$C$32,Y271*$C$33),0)</f>
        <v>0</v>
      </c>
      <c r="AA271" s="30">
        <f>IF(R271&lt;&gt;0,($J$30*M271*$L$33),0)</f>
        <v>0</v>
      </c>
      <c r="AB271" s="30">
        <f>IF(W271&lt;&gt;0,($J$31*N271*$L$33),0)</f>
        <v>0</v>
      </c>
      <c r="AC271" s="30">
        <f>IF(X271&lt;&gt;0,($J$32*O271*$L$33),0)</f>
        <v>0</v>
      </c>
      <c r="AD271" s="30">
        <f>IF(Y271&lt;&gt;0,($J$33*P271*$L$33),0)</f>
        <v>0</v>
      </c>
      <c r="AE271" s="32">
        <f>SUM(AA271:AD271)</f>
        <v>0</v>
      </c>
      <c r="AF271" s="33">
        <f>AE267</f>
        <v>0</v>
      </c>
      <c r="AG271" s="40">
        <f>MAX(AG270-$Q$33+AF271,0)</f>
        <v>43.731151812930264</v>
      </c>
      <c r="AH271" s="224">
        <f>AG271*$P$33</f>
        <v>3.6676726631502534</v>
      </c>
      <c r="AI271" s="227">
        <f>SUM(Z271,IF(Z271&lt;&gt;0,$F$31,0),IF(Z271&lt;&gt;0,$N$33,0),IF(Z271&lt;&gt;0,$T$33,0),IF(Z271=0,AH276,IF(Z271=1,AH277,IF(Z271=2,AH278,IF(Z271=3,AH279,IF(Z271=4,AH280,IF(Z271=5,AH281,IF(Z271=6,AH282,IF(Z271=7,AH283,IF(Z271=8,AH284,IF(Z271=9,AH285,IF(Z271=10,AH286,IF(Z271=11,AH287,IF(Z271=12,AH288,IF(Z271=13,AH289,IF(Z271=14,AH290,IF(Z271=15,AH291,IF(Z271=16,AH292,IF(Z271=17,AH293,IF(Z271=18,AH294,IF(Z271=19,AH295,IF(Z271=20,AH296,IF(Z271=21,AH297,IF(Z271=22,AH298,IF(Z271=23,AH299,IF(Z271=24,AH300,IF(Z271=25,AH301,IF(Z271=26,AH302,IF(Z271=27,AH303,IF(Z271=28,AH304,IF(Z271=29,AH305,IF(Z271=30,AH306))))))))))))))))))))))))))))))))</f>
        <v>0</v>
      </c>
    </row>
    <row r="272" spans="1:35" x14ac:dyDescent="0.35">
      <c r="A272" s="48">
        <v>1653</v>
      </c>
      <c r="B272" s="58">
        <f>SUMIF([2]!Table2_23[ETA],'FIS Optimal Model (3)'!A272,[2]!Table2_23[FIS PAX])</f>
        <v>0</v>
      </c>
      <c r="C272" s="44">
        <f>IF((D271-D272)&gt;-1,(D271-D272),18)</f>
        <v>18</v>
      </c>
      <c r="D272" s="52">
        <f>MAX(D271-$E$31+B271,0)</f>
        <v>44</v>
      </c>
      <c r="E272" s="26">
        <f>$C$30*C272</f>
        <v>9.9503999999999984</v>
      </c>
      <c r="F272" s="26">
        <f>$C$31*C272</f>
        <v>4.2713999999999999</v>
      </c>
      <c r="G272" s="26">
        <f>$C$32*C272</f>
        <v>2.9447999999999999</v>
      </c>
      <c r="H272" s="26">
        <f>$C$33*C272</f>
        <v>0.83340000000000003</v>
      </c>
      <c r="I272" s="27">
        <f>E267</f>
        <v>0</v>
      </c>
      <c r="J272" s="27">
        <f>F267</f>
        <v>0</v>
      </c>
      <c r="K272" s="27">
        <f>G267</f>
        <v>0</v>
      </c>
      <c r="L272" s="27">
        <f>H267</f>
        <v>0</v>
      </c>
      <c r="M272" s="28">
        <f>$M$265</f>
        <v>0</v>
      </c>
      <c r="N272" s="29">
        <f>$N$265</f>
        <v>14</v>
      </c>
      <c r="O272" s="28">
        <f>$O$265</f>
        <v>0</v>
      </c>
      <c r="P272" s="28">
        <f>$P$265</f>
        <v>2</v>
      </c>
      <c r="Q272" s="28">
        <f>SUM(M272:P272)</f>
        <v>16</v>
      </c>
      <c r="R272" s="22">
        <f>MAX(R271-($J$30*M272*$L$33)+I272,0)</f>
        <v>0</v>
      </c>
      <c r="S272" s="22">
        <f>IF(U272&lt;&gt;0,(MAX(S271-($J$31*N272*$L$33)+J272,0)),(MAX(S271-($J$31*(N272+P272)*$L$33)+J272,0)))</f>
        <v>0</v>
      </c>
      <c r="T272" s="22">
        <f>MAX(T271-($J$32*O272*$L$33)+K272,0)</f>
        <v>0</v>
      </c>
      <c r="U272" s="22">
        <f>MAX(U271-($J$33*P272*$L$33)+L272,0)</f>
        <v>0</v>
      </c>
      <c r="V272" s="21">
        <f>IFERROR(R272*($I$30/M272),0)</f>
        <v>0</v>
      </c>
      <c r="W272" s="21">
        <f>IFERROR(S272*($I$31/N272),0)</f>
        <v>0</v>
      </c>
      <c r="X272" s="21">
        <f>IFERROR(T272*($I$32/O272),0)</f>
        <v>0</v>
      </c>
      <c r="Y272" s="21">
        <f>IFERROR(U272*($I$33/P272),0)</f>
        <v>0</v>
      </c>
      <c r="Z272" s="221">
        <f>ROUNDUP(SUM(V272*$C$30,W272*$C$31,X272*$C$32,Y272*$C$33),0)</f>
        <v>0</v>
      </c>
      <c r="AA272" s="30">
        <f>IF(R272&lt;&gt;0,($J$30*M272*$L$33),0)</f>
        <v>0</v>
      </c>
      <c r="AB272" s="30">
        <f>IF(W272&lt;&gt;0,($J$31*N272*$L$33),0)</f>
        <v>0</v>
      </c>
      <c r="AC272" s="30">
        <f>IF(X272&lt;&gt;0,($J$32*O272*$L$33),0)</f>
        <v>0</v>
      </c>
      <c r="AD272" s="30">
        <f>IF(Y272&lt;&gt;0,($J$33*P272*$L$33),0)</f>
        <v>0</v>
      </c>
      <c r="AE272" s="32">
        <f>SUM(AA272:AD272)</f>
        <v>0</v>
      </c>
      <c r="AF272" s="33">
        <f>AE268</f>
        <v>0</v>
      </c>
      <c r="AG272" s="40">
        <f>MAX(AG271-$Q$33+AF272,0)</f>
        <v>31.807745383478483</v>
      </c>
      <c r="AH272" s="224">
        <f>AG272*$P$33</f>
        <v>2.6676726631502534</v>
      </c>
      <c r="AI272" s="227">
        <f>SUM(Z272,IF(Z272&lt;&gt;0,$F$31,0),IF(Z272&lt;&gt;0,$N$33,0),IF(Z272&lt;&gt;0,$T$33,0),IF(Z272=0,AH277,IF(Z272=1,AH278,IF(Z272=2,AH279,IF(Z272=3,AH280,IF(Z272=4,AH281,IF(Z272=5,AH282,IF(Z272=6,AH283,IF(Z272=7,AH284,IF(Z272=8,AH285,IF(Z272=9,AH286,IF(Z272=10,AH287,IF(Z272=11,AH288,IF(Z272=12,AH289,IF(Z272=13,AH290,IF(Z272=14,AH291,IF(Z272=15,AH292,IF(Z272=16,AH293,IF(Z272=17,AH294,IF(Z272=18,AH295,IF(Z272=19,AH296,IF(Z272=20,AH297,IF(Z272=21,AH298,IF(Z272=22,AH299,IF(Z272=23,AH300,IF(Z272=24,AH301,IF(Z272=25,AH302,IF(Z272=26,AH303,IF(Z272=27,AH304,IF(Z272=28,AH305,IF(Z272=29,AH306,IF(Z272=30,AH307))))))))))))))))))))))))))))))))</f>
        <v>0</v>
      </c>
    </row>
    <row r="273" spans="1:35" x14ac:dyDescent="0.35">
      <c r="A273" s="48">
        <v>1654</v>
      </c>
      <c r="B273" s="58">
        <f>SUMIF([2]!Table2_23[ETA],'FIS Optimal Model (3)'!A273,[2]!Table2_23[FIS PAX])</f>
        <v>104</v>
      </c>
      <c r="C273" s="44">
        <f>IF((D272-D273)&gt;-1,(D272-D273),18)</f>
        <v>18</v>
      </c>
      <c r="D273" s="52">
        <f>MAX(D272-$E$31+B272,0)</f>
        <v>26</v>
      </c>
      <c r="E273" s="26">
        <f>$C$30*C273</f>
        <v>9.9503999999999984</v>
      </c>
      <c r="F273" s="26">
        <f>$C$31*C273</f>
        <v>4.2713999999999999</v>
      </c>
      <c r="G273" s="26">
        <f>$C$32*C273</f>
        <v>2.9447999999999999</v>
      </c>
      <c r="H273" s="26">
        <f>$C$33*C273</f>
        <v>0.83340000000000003</v>
      </c>
      <c r="I273" s="27">
        <f>E268</f>
        <v>0</v>
      </c>
      <c r="J273" s="27">
        <f>F268</f>
        <v>0</v>
      </c>
      <c r="K273" s="27">
        <f>G268</f>
        <v>0</v>
      </c>
      <c r="L273" s="27">
        <f>H268</f>
        <v>0</v>
      </c>
      <c r="M273" s="28">
        <f>$M$265</f>
        <v>0</v>
      </c>
      <c r="N273" s="29">
        <f>$N$265</f>
        <v>14</v>
      </c>
      <c r="O273" s="28">
        <f>$O$265</f>
        <v>0</v>
      </c>
      <c r="P273" s="28">
        <f>$P$265</f>
        <v>2</v>
      </c>
      <c r="Q273" s="28">
        <f>SUM(M273:P273)</f>
        <v>16</v>
      </c>
      <c r="R273" s="22">
        <f>MAX(R272-($J$30*M273*$L$33)+I273,0)</f>
        <v>0</v>
      </c>
      <c r="S273" s="22">
        <f>IF(U273&lt;&gt;0,(MAX(S272-($J$31*N273*$L$33)+J273,0)),(MAX(S272-($J$31*(N273+P273)*$L$33)+J273,0)))</f>
        <v>0</v>
      </c>
      <c r="T273" s="22">
        <f>MAX(T272-($J$32*O273*$L$33)+K273,0)</f>
        <v>0</v>
      </c>
      <c r="U273" s="22">
        <f>MAX(U272-($J$33*P273*$L$33)+L273,0)</f>
        <v>0</v>
      </c>
      <c r="V273" s="21">
        <f>IFERROR(R273*($I$30/M273),0)</f>
        <v>0</v>
      </c>
      <c r="W273" s="21">
        <f>IFERROR(S273*($I$31/N273),0)</f>
        <v>0</v>
      </c>
      <c r="X273" s="21">
        <f>IFERROR(T273*($I$32/O273),0)</f>
        <v>0</v>
      </c>
      <c r="Y273" s="21">
        <f>IFERROR(U273*($I$33/P273),0)</f>
        <v>0</v>
      </c>
      <c r="Z273" s="221">
        <f>ROUNDUP(SUM(V273*$C$30,W273*$C$31,X273*$C$32,Y273*$C$33),0)</f>
        <v>0</v>
      </c>
      <c r="AA273" s="30">
        <f>IF(R273&lt;&gt;0,($J$30*M273*$L$33),0)</f>
        <v>0</v>
      </c>
      <c r="AB273" s="30">
        <f>IF(W273&lt;&gt;0,($J$31*N273*$L$33),0)</f>
        <v>0</v>
      </c>
      <c r="AC273" s="30">
        <f>IF(X273&lt;&gt;0,($J$32*O273*$L$33),0)</f>
        <v>0</v>
      </c>
      <c r="AD273" s="30">
        <f>IF(Y273&lt;&gt;0,($J$33*P273*$L$33),0)</f>
        <v>0</v>
      </c>
      <c r="AE273" s="32">
        <f>SUM(AA273:AD273)</f>
        <v>0</v>
      </c>
      <c r="AF273" s="33">
        <f>AE269</f>
        <v>0</v>
      </c>
      <c r="AG273" s="40">
        <f>MAX(AG272-$Q$33+AF273,0)</f>
        <v>19.884338954026703</v>
      </c>
      <c r="AH273" s="224">
        <f>AG273*$P$33</f>
        <v>1.6676726631502532</v>
      </c>
      <c r="AI273" s="227">
        <f>SUM(Z273,IF(Z273&lt;&gt;0,$F$31,0),IF(Z273&lt;&gt;0,$N$33,0),IF(Z273&lt;&gt;0,$T$33,0),IF(Z273=0,AH278,IF(Z273=1,AH279,IF(Z273=2,AH280,IF(Z273=3,AH281,IF(Z273=4,AH282,IF(Z273=5,AH283,IF(Z273=6,AH284,IF(Z273=7,AH285,IF(Z273=8,AH286,IF(Z273=9,AH287,IF(Z273=10,AH288,IF(Z273=11,AH289,IF(Z273=12,AH290,IF(Z273=13,AH291,IF(Z273=14,AH292,IF(Z273=15,AH293,IF(Z273=16,AH294,IF(Z273=17,AH295,IF(Z273=18,AH296,IF(Z273=19,AH297,IF(Z273=20,AH298,IF(Z273=21,AH299,IF(Z273=22,AH300,IF(Z273=23,AH301,IF(Z273=24,AH302,IF(Z273=25,AH303,IF(Z273=26,AH304,IF(Z273=27,AH305,IF(Z273=28,AH306,IF(Z273=29,AH307,IF(Z273=30,AH308))))))))))))))))))))))))))))))))</f>
        <v>0</v>
      </c>
    </row>
    <row r="274" spans="1:35" x14ac:dyDescent="0.35">
      <c r="A274" s="48">
        <v>1655</v>
      </c>
      <c r="B274" s="58">
        <f>SUMIF([2]!Table2_23[ETA],'FIS Optimal Model (3)'!A274,[2]!Table2_23[FIS PAX])</f>
        <v>0</v>
      </c>
      <c r="C274" s="44">
        <f>IF((D273-D274)&gt;-1,(D273-D274),18)</f>
        <v>18</v>
      </c>
      <c r="D274" s="52">
        <f>MAX(D273-$E$31+B273,0)</f>
        <v>112</v>
      </c>
      <c r="E274" s="26">
        <f>$C$30*C274</f>
        <v>9.9503999999999984</v>
      </c>
      <c r="F274" s="26">
        <f>$C$31*C274</f>
        <v>4.2713999999999999</v>
      </c>
      <c r="G274" s="26">
        <f>$C$32*C274</f>
        <v>2.9447999999999999</v>
      </c>
      <c r="H274" s="26">
        <f>$C$33*C274</f>
        <v>0.83340000000000003</v>
      </c>
      <c r="I274" s="27">
        <f>E269</f>
        <v>0</v>
      </c>
      <c r="J274" s="27">
        <f>F269</f>
        <v>0</v>
      </c>
      <c r="K274" s="27">
        <f>G269</f>
        <v>0</v>
      </c>
      <c r="L274" s="27">
        <f>H269</f>
        <v>0</v>
      </c>
      <c r="M274" s="28">
        <f>$M$265</f>
        <v>0</v>
      </c>
      <c r="N274" s="29">
        <f>$N$265</f>
        <v>14</v>
      </c>
      <c r="O274" s="28">
        <f>$O$265</f>
        <v>0</v>
      </c>
      <c r="P274" s="28">
        <f>$P$265</f>
        <v>2</v>
      </c>
      <c r="Q274" s="28">
        <f>SUM(M274:P274)</f>
        <v>16</v>
      </c>
      <c r="R274" s="22">
        <f>MAX(R273-($J$30*M274*$L$33)+I274,0)</f>
        <v>0</v>
      </c>
      <c r="S274" s="22">
        <f>IF(U274&lt;&gt;0,(MAX(S273-($J$31*N274*$L$33)+J274,0)),(MAX(S273-($J$31*(N274+P274)*$L$33)+J274,0)))</f>
        <v>0</v>
      </c>
      <c r="T274" s="22">
        <f>MAX(T273-($J$32*O274*$L$33)+K274,0)</f>
        <v>0</v>
      </c>
      <c r="U274" s="22">
        <f>MAX(U273-($J$33*P274*$L$33)+L274,0)</f>
        <v>0</v>
      </c>
      <c r="V274" s="21">
        <f>IFERROR(R274*($I$30/M274),0)</f>
        <v>0</v>
      </c>
      <c r="W274" s="21">
        <f>IFERROR(S274*($I$31/N274),0)</f>
        <v>0</v>
      </c>
      <c r="X274" s="21">
        <f>IFERROR(T274*($I$32/O274),0)</f>
        <v>0</v>
      </c>
      <c r="Y274" s="21">
        <f>IFERROR(U274*($I$33/P274),0)</f>
        <v>0</v>
      </c>
      <c r="Z274" s="221">
        <f>ROUNDUP(SUM(V274*$C$30,W274*$C$31,X274*$C$32,Y274*$C$33),0)</f>
        <v>0</v>
      </c>
      <c r="AA274" s="30">
        <f>IF(R274&lt;&gt;0,($J$30*M274*$L$33),0)</f>
        <v>0</v>
      </c>
      <c r="AB274" s="30">
        <f>IF(W274&lt;&gt;0,($J$31*N274*$L$33),0)</f>
        <v>0</v>
      </c>
      <c r="AC274" s="30">
        <f>IF(X274&lt;&gt;0,($J$32*O274*$L$33),0)</f>
        <v>0</v>
      </c>
      <c r="AD274" s="30">
        <f>IF(Y274&lt;&gt;0,($J$33*P274*$L$33),0)</f>
        <v>0</v>
      </c>
      <c r="AE274" s="32">
        <f>SUM(AA274:AD274)</f>
        <v>0</v>
      </c>
      <c r="AF274" s="33">
        <f>AE270</f>
        <v>0</v>
      </c>
      <c r="AG274" s="40">
        <f>MAX(AG273-$Q$33+AF274,0)</f>
        <v>7.9609325245749218</v>
      </c>
      <c r="AH274" s="224">
        <f>AG274*$P$33</f>
        <v>0.6676726631502532</v>
      </c>
      <c r="AI274" s="227">
        <f>SUM(Z274,IF(Z274&lt;&gt;0,$F$31,0),IF(Z274&lt;&gt;0,$N$33,0),IF(Z274&lt;&gt;0,$T$33,0),IF(Z274=0,AH279,IF(Z274=1,AH280,IF(Z274=2,AH281,IF(Z274=3,AH282,IF(Z274=4,AH283,IF(Z274=5,AH284,IF(Z274=6,AH285,IF(Z274=7,AH286,IF(Z274=8,AH287,IF(Z274=9,AH288,IF(Z274=10,AH289,IF(Z274=11,AH290,IF(Z274=12,AH291,IF(Z274=13,AH292,IF(Z274=14,AH293,IF(Z274=15,AH294,IF(Z274=16,AH295,IF(Z274=17,AH296,IF(Z274=18,AH297,IF(Z274=19,AH298,IF(Z274=20,AH299,IF(Z274=21,AH300,IF(Z274=22,AH301,IF(Z274=23,AH302,IF(Z274=24,AH303,IF(Z274=25,AH304,IF(Z274=26,AH305,IF(Z274=27,AH306,IF(Z274=28,AH307,IF(Z274=29,AH308,IF(Z274=30,AH309))))))))))))))))))))))))))))))))</f>
        <v>0</v>
      </c>
    </row>
    <row r="275" spans="1:35" x14ac:dyDescent="0.35">
      <c r="A275" s="48">
        <v>1656</v>
      </c>
      <c r="B275" s="58">
        <f>SUMIF([2]!Table2_23[ETA],'FIS Optimal Model (3)'!A275,[2]!Table2_23[FIS PAX])</f>
        <v>0</v>
      </c>
      <c r="C275" s="44">
        <f>IF((D274-D275)&gt;-1,(D274-D275),18)</f>
        <v>18</v>
      </c>
      <c r="D275" s="52">
        <f>MAX(D274-$E$31+B274,0)</f>
        <v>94</v>
      </c>
      <c r="E275" s="26">
        <f>$C$30*C275</f>
        <v>9.9503999999999984</v>
      </c>
      <c r="F275" s="26">
        <f>$C$31*C275</f>
        <v>4.2713999999999999</v>
      </c>
      <c r="G275" s="26">
        <f>$C$32*C275</f>
        <v>2.9447999999999999</v>
      </c>
      <c r="H275" s="26">
        <f>$C$33*C275</f>
        <v>0.83340000000000003</v>
      </c>
      <c r="I275" s="27">
        <f>E270</f>
        <v>0</v>
      </c>
      <c r="J275" s="27">
        <f>F270</f>
        <v>0</v>
      </c>
      <c r="K275" s="27">
        <f>G270</f>
        <v>0</v>
      </c>
      <c r="L275" s="27">
        <f>H270</f>
        <v>0</v>
      </c>
      <c r="M275" s="28">
        <f>$M$265</f>
        <v>0</v>
      </c>
      <c r="N275" s="29">
        <f>$N$265</f>
        <v>14</v>
      </c>
      <c r="O275" s="28">
        <f>$O$265</f>
        <v>0</v>
      </c>
      <c r="P275" s="28">
        <f>$P$265</f>
        <v>2</v>
      </c>
      <c r="Q275" s="28">
        <f>SUM(M275:P275)</f>
        <v>16</v>
      </c>
      <c r="R275" s="22">
        <f>MAX(R274-($J$30*M275*$L$33)+I275,0)</f>
        <v>0</v>
      </c>
      <c r="S275" s="22">
        <f>IF(U275&lt;&gt;0,(MAX(S274-($J$31*N275*$L$33)+J275,0)),(MAX(S274-($J$31*(N275+P275)*$L$33)+J275,0)))</f>
        <v>0</v>
      </c>
      <c r="T275" s="22">
        <f>MAX(T274-($J$32*O275*$L$33)+K275,0)</f>
        <v>0</v>
      </c>
      <c r="U275" s="22">
        <f>MAX(U274-($J$33*P275*$L$33)+L275,0)</f>
        <v>0</v>
      </c>
      <c r="V275" s="21">
        <f>IFERROR(R275*($I$30/M275),0)</f>
        <v>0</v>
      </c>
      <c r="W275" s="21">
        <f>IFERROR(S275*($I$31/N275),0)</f>
        <v>0</v>
      </c>
      <c r="X275" s="21">
        <f>IFERROR(T275*($I$32/O275),0)</f>
        <v>0</v>
      </c>
      <c r="Y275" s="21">
        <f>IFERROR(U275*($I$33/P275),0)</f>
        <v>0</v>
      </c>
      <c r="Z275" s="221">
        <f>ROUNDUP(SUM(V275*$C$30,W275*$C$31,X275*$C$32,Y275*$C$33),0)</f>
        <v>0</v>
      </c>
      <c r="AA275" s="30">
        <f>IF(R275&lt;&gt;0,($J$30*M275*$L$33),0)</f>
        <v>0</v>
      </c>
      <c r="AB275" s="30">
        <f>IF(W275&lt;&gt;0,($J$31*N275*$L$33),0)</f>
        <v>0</v>
      </c>
      <c r="AC275" s="30">
        <f>IF(X275&lt;&gt;0,($J$32*O275*$L$33),0)</f>
        <v>0</v>
      </c>
      <c r="AD275" s="30">
        <f>IF(Y275&lt;&gt;0,($J$33*P275*$L$33),0)</f>
        <v>0</v>
      </c>
      <c r="AE275" s="32">
        <f>SUM(AA275:AD275)</f>
        <v>0</v>
      </c>
      <c r="AF275" s="33">
        <f>AE271</f>
        <v>0</v>
      </c>
      <c r="AG275" s="40">
        <f>MAX(AG274-$Q$33+AF275,0)</f>
        <v>0</v>
      </c>
      <c r="AH275" s="224">
        <f>AG275*$P$33</f>
        <v>0</v>
      </c>
      <c r="AI275" s="227">
        <f>SUM(Z275,IF(Z275&lt;&gt;0,$F$31,0),IF(Z275&lt;&gt;0,$N$33,0),IF(Z275&lt;&gt;0,$T$33,0),IF(Z275=0,AH280,IF(Z275=1,AH281,IF(Z275=2,AH282,IF(Z275=3,AH283,IF(Z275=4,AH284,IF(Z275=5,AH285,IF(Z275=6,AH286,IF(Z275=7,AH287,IF(Z275=8,AH288,IF(Z275=9,AH289,IF(Z275=10,AH290,IF(Z275=11,AH291,IF(Z275=12,AH292,IF(Z275=13,AH293,IF(Z275=14,AH294,IF(Z275=15,AH295,IF(Z275=16,AH296,IF(Z275=17,AH297,IF(Z275=18,AH298,IF(Z275=19,AH299,IF(Z275=20,AH300,IF(Z275=21,AH301,IF(Z275=22,AH302,IF(Z275=23,AH303,IF(Z275=24,AH304,IF(Z275=25,AH305,IF(Z275=26,AH306,IF(Z275=27,AH307,IF(Z275=28,AH308,IF(Z275=29,AH309,IF(Z275=30,AH310))))))))))))))))))))))))))))))))</f>
        <v>0</v>
      </c>
    </row>
    <row r="276" spans="1:35" x14ac:dyDescent="0.35">
      <c r="A276" s="48">
        <v>1657</v>
      </c>
      <c r="B276" s="58">
        <f>SUMIF([2]!Table2_23[ETA],'FIS Optimal Model (3)'!A276,[2]!Table2_23[FIS PAX])</f>
        <v>0</v>
      </c>
      <c r="C276" s="44">
        <f>IF((D275-D276)&gt;-1,(D275-D276),18)</f>
        <v>18</v>
      </c>
      <c r="D276" s="52">
        <f>MAX(D275-$E$31+B275,0)</f>
        <v>76</v>
      </c>
      <c r="E276" s="26">
        <f>$C$30*C276</f>
        <v>9.9503999999999984</v>
      </c>
      <c r="F276" s="26">
        <f>$C$31*C276</f>
        <v>4.2713999999999999</v>
      </c>
      <c r="G276" s="26">
        <f>$C$32*C276</f>
        <v>2.9447999999999999</v>
      </c>
      <c r="H276" s="26">
        <f>$C$33*C276</f>
        <v>0.83340000000000003</v>
      </c>
      <c r="I276" s="27">
        <f>E271</f>
        <v>0</v>
      </c>
      <c r="J276" s="27">
        <f>F271</f>
        <v>0</v>
      </c>
      <c r="K276" s="27">
        <f>G271</f>
        <v>0</v>
      </c>
      <c r="L276" s="27">
        <f>H271</f>
        <v>0</v>
      </c>
      <c r="M276" s="28">
        <f>$M$265</f>
        <v>0</v>
      </c>
      <c r="N276" s="29">
        <f>$N$265</f>
        <v>14</v>
      </c>
      <c r="O276" s="28">
        <f>$O$265</f>
        <v>0</v>
      </c>
      <c r="P276" s="28">
        <f>$P$265</f>
        <v>2</v>
      </c>
      <c r="Q276" s="28">
        <f>SUM(M276:P276)</f>
        <v>16</v>
      </c>
      <c r="R276" s="22">
        <f>MAX(R275-($J$30*M276*$L$33)+I276,0)</f>
        <v>0</v>
      </c>
      <c r="S276" s="22">
        <f>IF(U276&lt;&gt;0,(MAX(S275-($J$31*N276*$L$33)+J276,0)),(MAX(S275-($J$31*(N276+P276)*$L$33)+J276,0)))</f>
        <v>0</v>
      </c>
      <c r="T276" s="22">
        <f>MAX(T275-($J$32*O276*$L$33)+K276,0)</f>
        <v>0</v>
      </c>
      <c r="U276" s="22">
        <f>MAX(U275-($J$33*P276*$L$33)+L276,0)</f>
        <v>0</v>
      </c>
      <c r="V276" s="21">
        <f>IFERROR(R276*($I$30/M276),0)</f>
        <v>0</v>
      </c>
      <c r="W276" s="21">
        <f>IFERROR(S276*($I$31/N276),0)</f>
        <v>0</v>
      </c>
      <c r="X276" s="21">
        <f>IFERROR(T276*($I$32/O276),0)</f>
        <v>0</v>
      </c>
      <c r="Y276" s="21">
        <f>IFERROR(U276*($I$33/P276),0)</f>
        <v>0</v>
      </c>
      <c r="Z276" s="221">
        <f>ROUNDUP(SUM(V276*$C$30,W276*$C$31,X276*$C$32,Y276*$C$33),0)</f>
        <v>0</v>
      </c>
      <c r="AA276" s="30">
        <f>IF(R276&lt;&gt;0,($J$30*M276*$L$33),0)</f>
        <v>0</v>
      </c>
      <c r="AB276" s="30">
        <f>IF(W276&lt;&gt;0,($J$31*N276*$L$33),0)</f>
        <v>0</v>
      </c>
      <c r="AC276" s="30">
        <f>IF(X276&lt;&gt;0,($J$32*O276*$L$33),0)</f>
        <v>0</v>
      </c>
      <c r="AD276" s="30">
        <f>IF(Y276&lt;&gt;0,($J$33*P276*$L$33),0)</f>
        <v>0</v>
      </c>
      <c r="AE276" s="32">
        <f>SUM(AA276:AD276)</f>
        <v>0</v>
      </c>
      <c r="AF276" s="33">
        <f>AE272</f>
        <v>0</v>
      </c>
      <c r="AG276" s="40">
        <f>MAX(AG275-$Q$33+AF276,0)</f>
        <v>0</v>
      </c>
      <c r="AH276" s="224">
        <f>AG276*$P$33</f>
        <v>0</v>
      </c>
      <c r="AI276" s="227">
        <f>SUM(Z276,IF(Z276&lt;&gt;0,$F$31,0),IF(Z276&lt;&gt;0,$N$33,0),IF(Z276&lt;&gt;0,$T$33,0),IF(Z276=0,AH281,IF(Z276=1,AH282,IF(Z276=2,AH283,IF(Z276=3,AH284,IF(Z276=4,AH285,IF(Z276=5,AH286,IF(Z276=6,AH287,IF(Z276=7,AH288,IF(Z276=8,AH289,IF(Z276=9,AH290,IF(Z276=10,AH291,IF(Z276=11,AH292,IF(Z276=12,AH293,IF(Z276=13,AH294,IF(Z276=14,AH295,IF(Z276=15,AH296,IF(Z276=16,AH297,IF(Z276=17,AH298,IF(Z276=18,AH299,IF(Z276=19,AH300,IF(Z276=20,AH301,IF(Z276=21,AH302,IF(Z276=22,AH303,IF(Z276=23,AH304,IF(Z276=24,AH305,IF(Z276=25,AH306,IF(Z276=26,AH307,IF(Z276=27,AH308,IF(Z276=28,AH309,IF(Z276=29,AH310,IF(Z276=30,AH311))))))))))))))))))))))))))))))))</f>
        <v>0</v>
      </c>
    </row>
    <row r="277" spans="1:35" x14ac:dyDescent="0.35">
      <c r="A277" s="48">
        <v>1658</v>
      </c>
      <c r="B277" s="58">
        <f>SUMIF([2]!Table2_23[ETA],'FIS Optimal Model (3)'!A277,[2]!Table2_23[FIS PAX])</f>
        <v>0</v>
      </c>
      <c r="C277" s="44">
        <f>IF((D276-D277)&gt;-1,(D276-D277),18)</f>
        <v>18</v>
      </c>
      <c r="D277" s="52">
        <f>MAX(D276-$E$31+B276,0)</f>
        <v>58</v>
      </c>
      <c r="E277" s="26">
        <f>$C$30*C277</f>
        <v>9.9503999999999984</v>
      </c>
      <c r="F277" s="26">
        <f>$C$31*C277</f>
        <v>4.2713999999999999</v>
      </c>
      <c r="G277" s="26">
        <f>$C$32*C277</f>
        <v>2.9447999999999999</v>
      </c>
      <c r="H277" s="26">
        <f>$C$33*C277</f>
        <v>0.83340000000000003</v>
      </c>
      <c r="I277" s="27">
        <f>E272</f>
        <v>9.9503999999999984</v>
      </c>
      <c r="J277" s="27">
        <f>F272</f>
        <v>4.2713999999999999</v>
      </c>
      <c r="K277" s="27">
        <f>G272</f>
        <v>2.9447999999999999</v>
      </c>
      <c r="L277" s="27">
        <f>H272</f>
        <v>0.83340000000000003</v>
      </c>
      <c r="M277" s="28">
        <f>$M$265</f>
        <v>0</v>
      </c>
      <c r="N277" s="29">
        <f>$N$265</f>
        <v>14</v>
      </c>
      <c r="O277" s="28">
        <f>$O$265</f>
        <v>0</v>
      </c>
      <c r="P277" s="28">
        <f>$P$265</f>
        <v>2</v>
      </c>
      <c r="Q277" s="28">
        <f>SUM(M277:P277)</f>
        <v>16</v>
      </c>
      <c r="R277" s="22">
        <f>MAX(R276-($J$30*M277*$L$33)+I277,0)</f>
        <v>9.9503999999999984</v>
      </c>
      <c r="S277" s="22">
        <f>IF(U277&lt;&gt;0,(MAX(S276-($J$31*N277*$L$33)+J277,0)),(MAX(S276-($J$31*(N277+P277)*$L$33)+J277,0)))</f>
        <v>0</v>
      </c>
      <c r="T277" s="22">
        <f>MAX(T276-($J$32*O277*$L$33)+K277,0)</f>
        <v>2.9447999999999999</v>
      </c>
      <c r="U277" s="22">
        <f>MAX(U276-($J$33*P277*$L$33)+L277,0)</f>
        <v>0</v>
      </c>
      <c r="V277" s="21">
        <f>IFERROR(R277*($I$30/M277),0)</f>
        <v>0</v>
      </c>
      <c r="W277" s="21">
        <f>IFERROR(S277*($I$31/N277),0)</f>
        <v>0</v>
      </c>
      <c r="X277" s="21">
        <f>IFERROR(T277*($I$32/O277),0)</f>
        <v>0</v>
      </c>
      <c r="Y277" s="21">
        <f>IFERROR(U277*($I$33/P277),0)</f>
        <v>0</v>
      </c>
      <c r="Z277" s="221">
        <f>ROUNDUP(SUM(V277*$C$30,W277*$C$31,X277*$C$32,Y277*$C$33),0)</f>
        <v>0</v>
      </c>
      <c r="AA277" s="30">
        <f>IF(R277&lt;&gt;0,($J$30*M277*$L$33),0)</f>
        <v>0</v>
      </c>
      <c r="AB277" s="30">
        <f>IF(W277&lt;&gt;0,($J$31*N277*$L$33),0)</f>
        <v>0</v>
      </c>
      <c r="AC277" s="30">
        <f>IF(X277&lt;&gt;0,($J$32*O277*$L$33),0)</f>
        <v>0</v>
      </c>
      <c r="AD277" s="30">
        <f>IF(Y277&lt;&gt;0,($J$33*P277*$L$33),0)</f>
        <v>0</v>
      </c>
      <c r="AE277" s="32">
        <f>SUM(AA277:AD277)</f>
        <v>0</v>
      </c>
      <c r="AF277" s="33">
        <f>AE273</f>
        <v>0</v>
      </c>
      <c r="AG277" s="40">
        <f>MAX(AG276-$Q$33+AF277,0)</f>
        <v>0</v>
      </c>
      <c r="AH277" s="224">
        <f>AG277*$P$33</f>
        <v>0</v>
      </c>
      <c r="AI277" s="227">
        <f>SUM(Z277,IF(Z277&lt;&gt;0,$F$31,0),IF(Z277&lt;&gt;0,$N$33,0),IF(Z277&lt;&gt;0,$T$33,0),IF(Z277=0,AH282,IF(Z277=1,AH283,IF(Z277=2,AH284,IF(Z277=3,AH285,IF(Z277=4,AH286,IF(Z277=5,AH287,IF(Z277=6,AH288,IF(Z277=7,AH289,IF(Z277=8,AH290,IF(Z277=9,AH291,IF(Z277=10,AH292,IF(Z277=11,AH293,IF(Z277=12,AH294,IF(Z277=13,AH295,IF(Z277=14,AH296,IF(Z277=15,AH297,IF(Z277=16,AH298,IF(Z277=17,AH299,IF(Z277=18,AH300,IF(Z277=19,AH301,IF(Z277=20,AH302,IF(Z277=21,AH303,IF(Z277=22,AH304,IF(Z277=23,AH305,IF(Z277=24,AH306,IF(Z277=25,AH307,IF(Z277=26,AH308,IF(Z277=27,AH309,IF(Z277=28,AH310,IF(Z277=29,AH311,IF(Z277=30,AH312))))))))))))))))))))))))))))))))</f>
        <v>0</v>
      </c>
    </row>
    <row r="278" spans="1:35" x14ac:dyDescent="0.35">
      <c r="A278" s="48">
        <v>1659</v>
      </c>
      <c r="B278" s="58">
        <f>SUMIF([2]!Table2_23[ETA],'FIS Optimal Model (3)'!A278,[2]!Table2_23[FIS PAX])</f>
        <v>106</v>
      </c>
      <c r="C278" s="44">
        <f>IF((D277-D278)&gt;-1,(D277-D278),18)</f>
        <v>18</v>
      </c>
      <c r="D278" s="52">
        <f>MAX(D277-$E$31+B277,0)</f>
        <v>40</v>
      </c>
      <c r="E278" s="26">
        <f>$C$30*C278</f>
        <v>9.9503999999999984</v>
      </c>
      <c r="F278" s="26">
        <f>$C$31*C278</f>
        <v>4.2713999999999999</v>
      </c>
      <c r="G278" s="26">
        <f>$C$32*C278</f>
        <v>2.9447999999999999</v>
      </c>
      <c r="H278" s="26">
        <f>$C$33*C278</f>
        <v>0.83340000000000003</v>
      </c>
      <c r="I278" s="27">
        <f>E273</f>
        <v>9.9503999999999984</v>
      </c>
      <c r="J278" s="27">
        <f>F273</f>
        <v>4.2713999999999999</v>
      </c>
      <c r="K278" s="27">
        <f>G273</f>
        <v>2.9447999999999999</v>
      </c>
      <c r="L278" s="27">
        <f>H273</f>
        <v>0.83340000000000003</v>
      </c>
      <c r="M278" s="28">
        <f>$M$265</f>
        <v>0</v>
      </c>
      <c r="N278" s="29">
        <f>$N$265</f>
        <v>14</v>
      </c>
      <c r="O278" s="28">
        <f>$O$265</f>
        <v>0</v>
      </c>
      <c r="P278" s="28">
        <f>$P$265</f>
        <v>2</v>
      </c>
      <c r="Q278" s="28">
        <f>SUM(M278:P278)</f>
        <v>16</v>
      </c>
      <c r="R278" s="22">
        <f>MAX(R277-($J$30*M278*$L$33)+I278,0)</f>
        <v>19.900799999999997</v>
      </c>
      <c r="S278" s="22">
        <f>IF(U278&lt;&gt;0,(MAX(S277-($J$31*N278*$L$33)+J278,0)),(MAX(S277-($J$31*(N278+P278)*$L$33)+J278,0)))</f>
        <v>0</v>
      </c>
      <c r="T278" s="22">
        <f>MAX(T277-($J$32*O278*$L$33)+K278,0)</f>
        <v>5.8895999999999997</v>
      </c>
      <c r="U278" s="22">
        <f>MAX(U277-($J$33*P278*$L$33)+L278,0)</f>
        <v>0</v>
      </c>
      <c r="V278" s="21">
        <f>IFERROR(R278*($I$30/M278),0)</f>
        <v>0</v>
      </c>
      <c r="W278" s="21">
        <f>IFERROR(S278*($I$31/N278),0)</f>
        <v>0</v>
      </c>
      <c r="X278" s="21">
        <f>IFERROR(T278*($I$32/O278),0)</f>
        <v>0</v>
      </c>
      <c r="Y278" s="21">
        <f>IFERROR(U278*($I$33/P278),0)</f>
        <v>0</v>
      </c>
      <c r="Z278" s="221">
        <f>ROUNDUP(SUM(V278*$C$30,W278*$C$31,X278*$C$32,Y278*$C$33),0)</f>
        <v>0</v>
      </c>
      <c r="AA278" s="30">
        <f>IF(R278&lt;&gt;0,($J$30*M278*$L$33),0)</f>
        <v>0</v>
      </c>
      <c r="AB278" s="30">
        <f>IF(W278&lt;&gt;0,($J$31*N278*$L$33),0)</f>
        <v>0</v>
      </c>
      <c r="AC278" s="30">
        <f>IF(X278&lt;&gt;0,($J$32*O278*$L$33),0)</f>
        <v>0</v>
      </c>
      <c r="AD278" s="30">
        <f>IF(Y278&lt;&gt;0,($J$33*P278*$L$33),0)</f>
        <v>0</v>
      </c>
      <c r="AE278" s="32">
        <f>SUM(AA278:AD278)</f>
        <v>0</v>
      </c>
      <c r="AF278" s="33">
        <f>AE274</f>
        <v>0</v>
      </c>
      <c r="AG278" s="40">
        <f>MAX(AG277-$Q$33+AF278,0)</f>
        <v>0</v>
      </c>
      <c r="AH278" s="224">
        <f>AG278*$P$33</f>
        <v>0</v>
      </c>
      <c r="AI278" s="227">
        <f>SUM(Z278,IF(Z278&lt;&gt;0,$F$31,0),IF(Z278&lt;&gt;0,$N$33,0),IF(Z278&lt;&gt;0,$T$33,0),IF(Z278=0,AH283,IF(Z278=1,AH284,IF(Z278=2,AH285,IF(Z278=3,AH286,IF(Z278=4,AH287,IF(Z278=5,AH288,IF(Z278=6,AH289,IF(Z278=7,AH290,IF(Z278=8,AH291,IF(Z278=9,AH292,IF(Z278=10,AH293,IF(Z278=11,AH294,IF(Z278=12,AH295,IF(Z278=13,AH296,IF(Z278=14,AH297,IF(Z278=15,AH298,IF(Z278=16,AH299,IF(Z278=17,AH300,IF(Z278=18,AH301,IF(Z278=19,AH302,IF(Z278=20,AH303,IF(Z278=21,AH304,IF(Z278=22,AH305,IF(Z278=23,AH306,IF(Z278=24,AH307,IF(Z278=25,AH308,IF(Z278=26,AH309,IF(Z278=27,AH310,IF(Z278=28,AH311,IF(Z278=29,AH312,IF(Z278=30,AH313))))))))))))))))))))))))))))))))</f>
        <v>0</v>
      </c>
    </row>
    <row r="279" spans="1:35" x14ac:dyDescent="0.35">
      <c r="A279" s="48">
        <v>1700</v>
      </c>
      <c r="B279" s="58">
        <f>SUMIF([2]!Table2_23[ETA],'FIS Optimal Model (3)'!A279,[2]!Table2_23[FIS PAX])</f>
        <v>0</v>
      </c>
      <c r="C279" s="44">
        <f>IF((D278-D279)&gt;-1,(D278-D279),18)</f>
        <v>18</v>
      </c>
      <c r="D279" s="52">
        <f>MAX(D278-$E$31+B278,0)</f>
        <v>128</v>
      </c>
      <c r="E279" s="26">
        <f>$C$30*C279</f>
        <v>9.9503999999999984</v>
      </c>
      <c r="F279" s="26">
        <f>$C$31*C279</f>
        <v>4.2713999999999999</v>
      </c>
      <c r="G279" s="26">
        <f>$C$32*C279</f>
        <v>2.9447999999999999</v>
      </c>
      <c r="H279" s="26">
        <f>$C$33*C279</f>
        <v>0.83340000000000003</v>
      </c>
      <c r="I279" s="27">
        <f>E274</f>
        <v>9.9503999999999984</v>
      </c>
      <c r="J279" s="27">
        <f>F274</f>
        <v>4.2713999999999999</v>
      </c>
      <c r="K279" s="27">
        <f>G274</f>
        <v>2.9447999999999999</v>
      </c>
      <c r="L279" s="27">
        <f>H274</f>
        <v>0.83340000000000003</v>
      </c>
      <c r="M279" s="28">
        <f>$M$265</f>
        <v>0</v>
      </c>
      <c r="N279" s="29">
        <f>$N$265</f>
        <v>14</v>
      </c>
      <c r="O279" s="28">
        <f>$O$265</f>
        <v>0</v>
      </c>
      <c r="P279" s="28">
        <f>$P$265</f>
        <v>2</v>
      </c>
      <c r="Q279" s="28">
        <f>SUM(M279:P279)</f>
        <v>16</v>
      </c>
      <c r="R279" s="22">
        <f>MAX(R278-($J$30*M279*$L$33)+I279,0)</f>
        <v>29.851199999999995</v>
      </c>
      <c r="S279" s="22">
        <f>IF(U279&lt;&gt;0,(MAX(S278-($J$31*N279*$L$33)+J279,0)),(MAX(S278-($J$31*(N279+P279)*$L$33)+J279,0)))</f>
        <v>0</v>
      </c>
      <c r="T279" s="22">
        <f>MAX(T278-($J$32*O279*$L$33)+K279,0)</f>
        <v>8.8343999999999987</v>
      </c>
      <c r="U279" s="22">
        <f>MAX(U278-($J$33*P279*$L$33)+L279,0)</f>
        <v>0</v>
      </c>
      <c r="V279" s="21">
        <f>IFERROR(R279*($I$30/M279),0)</f>
        <v>0</v>
      </c>
      <c r="W279" s="21">
        <f>IFERROR(S279*($I$31/N279),0)</f>
        <v>0</v>
      </c>
      <c r="X279" s="21">
        <f>IFERROR(T279*($I$32/O279),0)</f>
        <v>0</v>
      </c>
      <c r="Y279" s="21">
        <f>IFERROR(U279*($I$33/P279),0)</f>
        <v>0</v>
      </c>
      <c r="Z279" s="221">
        <f>ROUNDUP(SUM(V279*$C$30,W279*$C$31,X279*$C$32,Y279*$C$33),0)</f>
        <v>0</v>
      </c>
      <c r="AA279" s="30">
        <f>IF(R279&lt;&gt;0,($J$30*M279*$L$33),0)</f>
        <v>0</v>
      </c>
      <c r="AB279" s="30">
        <f>IF(W279&lt;&gt;0,($J$31*N279*$L$33),0)</f>
        <v>0</v>
      </c>
      <c r="AC279" s="30">
        <f>IF(X279&lt;&gt;0,($J$32*O279*$L$33),0)</f>
        <v>0</v>
      </c>
      <c r="AD279" s="30">
        <f>IF(Y279&lt;&gt;0,($J$33*P279*$L$33),0)</f>
        <v>0</v>
      </c>
      <c r="AE279" s="32">
        <f>SUM(AA279:AD279)</f>
        <v>0</v>
      </c>
      <c r="AF279" s="33">
        <f>AE275</f>
        <v>0</v>
      </c>
      <c r="AG279" s="40">
        <f>MAX(AG278-$Q$33+AF279,0)</f>
        <v>0</v>
      </c>
      <c r="AH279" s="224">
        <f>AG279*$P$33</f>
        <v>0</v>
      </c>
      <c r="AI279" s="227">
        <f>SUM(Z279,IF(Z279&lt;&gt;0,$F$31,0),IF(Z279&lt;&gt;0,$N$33,0),IF(Z279&lt;&gt;0,$T$33,0),IF(Z279=0,AH284,IF(Z279=1,AH285,IF(Z279=2,AH286,IF(Z279=3,AH287,IF(Z279=4,AH288,IF(Z279=5,AH289,IF(Z279=6,AH290,IF(Z279=7,AH291,IF(Z279=8,AH292,IF(Z279=9,AH293,IF(Z279=10,AH294,IF(Z279=11,AH295,IF(Z279=12,AH296,IF(Z279=13,AH297,IF(Z279=14,AH298,IF(Z279=15,AH299,IF(Z279=16,AH300,IF(Z279=17,AH301,IF(Z279=18,AH302,IF(Z279=19,AH303,IF(Z279=20,AH304,IF(Z279=21,AH305,IF(Z279=22,AH306,IF(Z279=23,AH307,IF(Z279=24,AH308,IF(Z279=25,AH309,IF(Z279=26,AH310,IF(Z279=27,AH311,IF(Z279=28,AH312,IF(Z279=29,AH313,IF(Z279=30,AH314))))))))))))))))))))))))))))))))</f>
        <v>0.80774844078059937</v>
      </c>
    </row>
    <row r="280" spans="1:35" x14ac:dyDescent="0.35">
      <c r="A280" s="48">
        <v>1701</v>
      </c>
      <c r="B280" s="58">
        <f>SUMIF([2]!Table2_23[ETA],'FIS Optimal Model (3)'!A280,[2]!Table2_23[FIS PAX])</f>
        <v>0</v>
      </c>
      <c r="C280" s="44">
        <f>IF((D279-D280)&gt;-1,(D279-D280),18)</f>
        <v>18</v>
      </c>
      <c r="D280" s="52">
        <f>MAX(D279-$E$31+B279,0)</f>
        <v>110</v>
      </c>
      <c r="E280" s="26">
        <f>$C$30*C280</f>
        <v>9.9503999999999984</v>
      </c>
      <c r="F280" s="26">
        <f>$C$31*C280</f>
        <v>4.2713999999999999</v>
      </c>
      <c r="G280" s="26">
        <f>$C$32*C280</f>
        <v>2.9447999999999999</v>
      </c>
      <c r="H280" s="26">
        <f>$C$33*C280</f>
        <v>0.83340000000000003</v>
      </c>
      <c r="I280" s="27">
        <f>E275</f>
        <v>9.9503999999999984</v>
      </c>
      <c r="J280" s="27">
        <f>F275</f>
        <v>4.2713999999999999</v>
      </c>
      <c r="K280" s="27">
        <f>G275</f>
        <v>2.9447999999999999</v>
      </c>
      <c r="L280" s="27">
        <f>H275</f>
        <v>0.83340000000000003</v>
      </c>
      <c r="M280" s="28">
        <f>IF(R279=0,0,$Q$22)</f>
        <v>6</v>
      </c>
      <c r="N280" s="29">
        <f>$U$22-M280-O280-P280</f>
        <v>8</v>
      </c>
      <c r="O280" s="28">
        <f>IF(T279=0,0,$S$22)</f>
        <v>2</v>
      </c>
      <c r="P280" s="28">
        <f>IF(U279=0,0,$T$22)</f>
        <v>0</v>
      </c>
      <c r="Q280" s="28">
        <f>SUM(M280:P280)</f>
        <v>16</v>
      </c>
      <c r="R280" s="22">
        <f>MAX(R279-($J$30*M280*$L$33)+I280,0)</f>
        <v>27.173461536175896</v>
      </c>
      <c r="S280" s="22">
        <f>IF(U280&lt;&gt;0,(MAX(S279-($J$31*N280*$L$33)+J280,0)),(MAX(S279-($J$31*(N280+P280)*$L$33)+J280,0)))</f>
        <v>0.30697257409106715</v>
      </c>
      <c r="T280" s="22">
        <f>MAX(T279-($J$32*O280*$L$33)+K280,0)</f>
        <v>6.817246508098199</v>
      </c>
      <c r="U280" s="22">
        <f>MAX(U279-($J$33*P280*$L$33)+L280,0)</f>
        <v>0.83340000000000003</v>
      </c>
      <c r="V280" s="21">
        <f>IFERROR(R280*($I$30/M280),0)</f>
        <v>1.8290456959999994</v>
      </c>
      <c r="W280" s="21">
        <f>IFERROR(S280*($I$31/N280),0)</f>
        <v>6.5816991949999917E-2</v>
      </c>
      <c r="X280" s="21">
        <f>IFERROR(T280*($I$32/O280),0)</f>
        <v>1.1678181871999997</v>
      </c>
      <c r="Y280" s="21">
        <f>IFERROR(U280*($I$33/P280),0)</f>
        <v>0</v>
      </c>
      <c r="Z280" s="221">
        <f>ROUNDUP(SUM(V280*$C$30,W280*$C$31,X280*$C$32,Y280*$C$33),0)</f>
        <v>2</v>
      </c>
      <c r="AA280" s="30">
        <f>IF(R280&lt;&gt;0,($J$30*M280*$L$33),0)</f>
        <v>12.628138463824097</v>
      </c>
      <c r="AB280" s="30">
        <f>IF(W280&lt;&gt;0,($J$31*N280*$L$33),0)</f>
        <v>3.9644274259089327</v>
      </c>
      <c r="AC280" s="30">
        <f>IF(X280&lt;&gt;0,($J$32*O280*$L$33),0)</f>
        <v>4.9619534919017996</v>
      </c>
      <c r="AD280" s="30">
        <f>IF(Y280&lt;&gt;0,($J$33*P280*$L$33),0)</f>
        <v>0</v>
      </c>
      <c r="AE280" s="32">
        <f>SUM(AA280:AD280)</f>
        <v>21.55451938163483</v>
      </c>
      <c r="AF280" s="33">
        <f>AE276</f>
        <v>0</v>
      </c>
      <c r="AG280" s="40">
        <f>MAX(AG279-$Q$33+AF280,0)</f>
        <v>0</v>
      </c>
      <c r="AH280" s="224">
        <f>AG280*$P$33</f>
        <v>0</v>
      </c>
      <c r="AI280" s="227">
        <f>SUM(Z280,IF(Z280&lt;&gt;0,$F$31,0),IF(Z280&lt;&gt;0,$N$33,0),IF(Z280&lt;&gt;0,$T$33,0),IF(Z280=0,AH285,IF(Z280=1,AH286,IF(Z280=2,AH287,IF(Z280=3,AH288,IF(Z280=4,AH289,IF(Z280=5,AH290,IF(Z280=6,AH291,IF(Z280=7,AH292,IF(Z280=8,AH293,IF(Z280=9,AH294,IF(Z280=10,AH295,IF(Z280=11,AH296,IF(Z280=12,AH297,IF(Z280=13,AH298,IF(Z280=14,AH299,IF(Z280=15,AH300,IF(Z280=16,AH301,IF(Z280=17,AH302,IF(Z280=18,AH303,IF(Z280=19,AH304,IF(Z280=20,AH305,IF(Z280=21,AH306,IF(Z280=22,AH307,IF(Z280=23,AH308,IF(Z280=24,AH309,IF(Z280=25,AH310,IF(Z280=26,AH311,IF(Z280=27,AH312,IF(Z280=28,AH313,IF(Z280=29,AH314,IF(Z280=30,AH315))))))))))))))))))))))))))))))))</f>
        <v>26.230993763122399</v>
      </c>
    </row>
    <row r="281" spans="1:35" x14ac:dyDescent="0.35">
      <c r="A281" s="48">
        <v>1702</v>
      </c>
      <c r="B281" s="58">
        <f>SUMIF([2]!Table2_23[ETA],'FIS Optimal Model (3)'!A281,[2]!Table2_23[FIS PAX])</f>
        <v>0</v>
      </c>
      <c r="C281" s="44">
        <f>IF((D280-D281)&gt;-1,(D280-D281),18)</f>
        <v>18</v>
      </c>
      <c r="D281" s="52">
        <f>MAX(D280-$E$31+B280,0)</f>
        <v>92</v>
      </c>
      <c r="E281" s="26">
        <f>$C$30*C281</f>
        <v>9.9503999999999984</v>
      </c>
      <c r="F281" s="26">
        <f>$C$31*C281</f>
        <v>4.2713999999999999</v>
      </c>
      <c r="G281" s="26">
        <f>$C$32*C281</f>
        <v>2.9447999999999999</v>
      </c>
      <c r="H281" s="26">
        <f>$C$33*C281</f>
        <v>0.83340000000000003</v>
      </c>
      <c r="I281" s="27">
        <f>E276</f>
        <v>9.9503999999999984</v>
      </c>
      <c r="J281" s="27">
        <f>F276</f>
        <v>4.2713999999999999</v>
      </c>
      <c r="K281" s="27">
        <f>G276</f>
        <v>2.9447999999999999</v>
      </c>
      <c r="L281" s="27">
        <f>H276</f>
        <v>0.83340000000000003</v>
      </c>
      <c r="M281" s="28">
        <f>$M$280</f>
        <v>6</v>
      </c>
      <c r="N281" s="29">
        <f>$N$280</f>
        <v>8</v>
      </c>
      <c r="O281" s="28">
        <f>$O$280</f>
        <v>2</v>
      </c>
      <c r="P281" s="28">
        <f>$P$280</f>
        <v>0</v>
      </c>
      <c r="Q281" s="28">
        <f>SUM(M281:P281)</f>
        <v>16</v>
      </c>
      <c r="R281" s="22">
        <f>MAX(R280-($J$30*M281*$L$33)+I281,0)</f>
        <v>24.495723072351797</v>
      </c>
      <c r="S281" s="22">
        <f>IF(U281&lt;&gt;0,(MAX(S280-($J$31*N281*$L$33)+J281,0)),(MAX(S280-($J$31*(N281+P281)*$L$33)+J281,0)))</f>
        <v>0.6139451481821343</v>
      </c>
      <c r="T281" s="22">
        <f>MAX(T280-($J$32*O281*$L$33)+K281,0)</f>
        <v>4.8000930161963993</v>
      </c>
      <c r="U281" s="22">
        <f>MAX(U280-($J$33*P281*$L$33)+L281,0)</f>
        <v>1.6668000000000001</v>
      </c>
      <c r="V281" s="21">
        <f>IFERROR(R281*($I$30/M281),0)</f>
        <v>1.6488071199999994</v>
      </c>
      <c r="W281" s="21">
        <f>IFERROR(S281*($I$31/N281),0)</f>
        <v>0.13163398389999983</v>
      </c>
      <c r="X281" s="21">
        <f>IFERROR(T281*($I$32/O281),0)</f>
        <v>0.82227273399999989</v>
      </c>
      <c r="Y281" s="21">
        <f>IFERROR(U281*($I$33/P281),0)</f>
        <v>0</v>
      </c>
      <c r="Z281" s="221">
        <f>ROUNDUP(SUM(V281*$C$30,W281*$C$31,X281*$C$32,Y281*$C$33),0)</f>
        <v>2</v>
      </c>
      <c r="AA281" s="30">
        <f>IF(R281&lt;&gt;0,($J$30*M281*$L$33),0)</f>
        <v>12.628138463824097</v>
      </c>
      <c r="AB281" s="30">
        <f>IF(W281&lt;&gt;0,($J$31*N281*$L$33),0)</f>
        <v>3.9644274259089327</v>
      </c>
      <c r="AC281" s="30">
        <f>IF(X281&lt;&gt;0,($J$32*O281*$L$33),0)</f>
        <v>4.9619534919017996</v>
      </c>
      <c r="AD281" s="30">
        <f>IF(Y281&lt;&gt;0,($J$33*P281*$L$33),0)</f>
        <v>0</v>
      </c>
      <c r="AE281" s="32">
        <f>SUM(AA281:AD281)</f>
        <v>21.55451938163483</v>
      </c>
      <c r="AF281" s="33">
        <f>AE277</f>
        <v>0</v>
      </c>
      <c r="AG281" s="40">
        <f>MAX(AG280-$Q$33+AF281,0)</f>
        <v>0</v>
      </c>
      <c r="AH281" s="224">
        <f>AG281*$P$33</f>
        <v>0</v>
      </c>
      <c r="AI281" s="227">
        <f>SUM(Z281,IF(Z281&lt;&gt;0,$F$31,0),IF(Z281&lt;&gt;0,$N$33,0),IF(Z281&lt;&gt;0,$T$33,0),IF(Z281=0,AH286,IF(Z281=1,AH287,IF(Z281=2,AH288,IF(Z281=3,AH289,IF(Z281=4,AH290,IF(Z281=5,AH291,IF(Z281=6,AH292,IF(Z281=7,AH293,IF(Z281=8,AH294,IF(Z281=9,AH295,IF(Z281=10,AH296,IF(Z281=11,AH297,IF(Z281=12,AH298,IF(Z281=13,AH299,IF(Z281=14,AH300,IF(Z281=15,AH301,IF(Z281=16,AH302,IF(Z281=17,AH303,IF(Z281=18,AH304,IF(Z281=19,AH305,IF(Z281=20,AH306,IF(Z281=21,AH307,IF(Z281=22,AH308,IF(Z281=23,AH309,IF(Z281=24,AH310,IF(Z281=25,AH311,IF(Z281=26,AH312,IF(Z281=27,AH313,IF(Z281=28,AH314,IF(Z281=29,AH315,IF(Z281=30,AH316))))))))))))))))))))))))))))))))</f>
        <v>26.622589863440513</v>
      </c>
    </row>
    <row r="282" spans="1:35" x14ac:dyDescent="0.35">
      <c r="A282" s="48">
        <v>1703</v>
      </c>
      <c r="B282" s="58">
        <f>SUMIF([2]!Table2_23[ETA],'FIS Optimal Model (3)'!A282,[2]!Table2_23[FIS PAX])</f>
        <v>0</v>
      </c>
      <c r="C282" s="44">
        <f>IF((D281-D282)&gt;-1,(D281-D282),18)</f>
        <v>18</v>
      </c>
      <c r="D282" s="52">
        <f>MAX(D281-$E$31+B281,0)</f>
        <v>74</v>
      </c>
      <c r="E282" s="26">
        <f>$C$30*C282</f>
        <v>9.9503999999999984</v>
      </c>
      <c r="F282" s="26">
        <f>$C$31*C282</f>
        <v>4.2713999999999999</v>
      </c>
      <c r="G282" s="26">
        <f>$C$32*C282</f>
        <v>2.9447999999999999</v>
      </c>
      <c r="H282" s="26">
        <f>$C$33*C282</f>
        <v>0.83340000000000003</v>
      </c>
      <c r="I282" s="27">
        <f>E277</f>
        <v>9.9503999999999984</v>
      </c>
      <c r="J282" s="27">
        <f>F277</f>
        <v>4.2713999999999999</v>
      </c>
      <c r="K282" s="27">
        <f>G277</f>
        <v>2.9447999999999999</v>
      </c>
      <c r="L282" s="27">
        <f>H277</f>
        <v>0.83340000000000003</v>
      </c>
      <c r="M282" s="28">
        <f>$M$280</f>
        <v>6</v>
      </c>
      <c r="N282" s="29">
        <f>$N$280</f>
        <v>8</v>
      </c>
      <c r="O282" s="28">
        <f>$O$280</f>
        <v>2</v>
      </c>
      <c r="P282" s="28">
        <f>$P$280</f>
        <v>0</v>
      </c>
      <c r="Q282" s="28">
        <f>SUM(M282:P282)</f>
        <v>16</v>
      </c>
      <c r="R282" s="22">
        <f>MAX(R281-($J$30*M282*$L$33)+I282,0)</f>
        <v>21.817984608527698</v>
      </c>
      <c r="S282" s="22">
        <f>IF(U282&lt;&gt;0,(MAX(S281-($J$31*N282*$L$33)+J282,0)),(MAX(S281-($J$31*(N282+P282)*$L$33)+J282,0)))</f>
        <v>0.92091772227320146</v>
      </c>
      <c r="T282" s="22">
        <f>MAX(T281-($J$32*O282*$L$33)+K282,0)</f>
        <v>2.7829395242945996</v>
      </c>
      <c r="U282" s="22">
        <f>MAX(U281-($J$33*P282*$L$33)+L282,0)</f>
        <v>2.5002</v>
      </c>
      <c r="V282" s="21">
        <f>IFERROR(R282*($I$30/M282),0)</f>
        <v>1.4685685439999994</v>
      </c>
      <c r="W282" s="21">
        <f>IFERROR(S282*($I$31/N282),0)</f>
        <v>0.19745097584999974</v>
      </c>
      <c r="X282" s="21">
        <f>IFERROR(T282*($I$32/O282),0)</f>
        <v>0.47672728079999993</v>
      </c>
      <c r="Y282" s="21">
        <f>IFERROR(U282*($I$33/P282),0)</f>
        <v>0</v>
      </c>
      <c r="Z282" s="221">
        <f>ROUNDUP(SUM(V282*$C$30,W282*$C$31,X282*$C$32,Y282*$C$33),0)</f>
        <v>1</v>
      </c>
      <c r="AA282" s="30">
        <f>IF(R282&lt;&gt;0,($J$30*M282*$L$33),0)</f>
        <v>12.628138463824097</v>
      </c>
      <c r="AB282" s="30">
        <f>IF(W282&lt;&gt;0,($J$31*N282*$L$33),0)</f>
        <v>3.9644274259089327</v>
      </c>
      <c r="AC282" s="30">
        <f>IF(X282&lt;&gt;0,($J$32*O282*$L$33),0)</f>
        <v>4.9619534919017996</v>
      </c>
      <c r="AD282" s="30">
        <f>IF(Y282&lt;&gt;0,($J$33*P282*$L$33),0)</f>
        <v>0</v>
      </c>
      <c r="AE282" s="32">
        <f>SUM(AA282:AD282)</f>
        <v>21.55451938163483</v>
      </c>
      <c r="AF282" s="33">
        <f>AE278</f>
        <v>0</v>
      </c>
      <c r="AG282" s="40">
        <f>MAX(AG281-$Q$33+AF282,0)</f>
        <v>0</v>
      </c>
      <c r="AH282" s="224">
        <f>AG282*$P$33</f>
        <v>0</v>
      </c>
      <c r="AI282" s="227">
        <f>SUM(Z282,IF(Z282&lt;&gt;0,$F$31,0),IF(Z282&lt;&gt;0,$N$33,0),IF(Z282&lt;&gt;0,$T$33,0),IF(Z282=0,AH287,IF(Z282=1,AH288,IF(Z282=2,AH289,IF(Z282=3,AH290,IF(Z282=4,AH291,IF(Z282=5,AH292,IF(Z282=6,AH293,IF(Z282=7,AH294,IF(Z282=8,AH295,IF(Z282=9,AH296,IF(Z282=10,AH297,IF(Z282=11,AH298,IF(Z282=12,AH299,IF(Z282=13,AH300,IF(Z282=14,AH301,IF(Z282=15,AH302,IF(Z282=16,AH303,IF(Z282=17,AH304,IF(Z282=18,AH305,IF(Z282=19,AH306,IF(Z282=20,AH307,IF(Z282=21,AH308,IF(Z282=22,AH309,IF(Z282=23,AH310,IF(Z282=24,AH311,IF(Z282=25,AH312,IF(Z282=26,AH313,IF(Z282=27,AH314,IF(Z282=28,AH315,IF(Z282=29,AH316,IF(Z282=30,AH317))))))))))))))))))))))))))))))))</f>
        <v>25.622589863440513</v>
      </c>
    </row>
    <row r="283" spans="1:35" x14ac:dyDescent="0.35">
      <c r="A283" s="48">
        <v>1704</v>
      </c>
      <c r="B283" s="58">
        <f>SUMIF([2]!Table2_23[ETA],'FIS Optimal Model (3)'!A283,[2]!Table2_23[FIS PAX])</f>
        <v>0</v>
      </c>
      <c r="C283" s="44">
        <f>IF((D282-D283)&gt;-1,(D282-D283),18)</f>
        <v>18</v>
      </c>
      <c r="D283" s="52">
        <f>MAX(D282-$E$31+B282,0)</f>
        <v>56</v>
      </c>
      <c r="E283" s="26">
        <f>$C$30*C283</f>
        <v>9.9503999999999984</v>
      </c>
      <c r="F283" s="26">
        <f>$C$31*C283</f>
        <v>4.2713999999999999</v>
      </c>
      <c r="G283" s="26">
        <f>$C$32*C283</f>
        <v>2.9447999999999999</v>
      </c>
      <c r="H283" s="26">
        <f>$C$33*C283</f>
        <v>0.83340000000000003</v>
      </c>
      <c r="I283" s="27">
        <f>E278</f>
        <v>9.9503999999999984</v>
      </c>
      <c r="J283" s="27">
        <f>F278</f>
        <v>4.2713999999999999</v>
      </c>
      <c r="K283" s="27">
        <f>G278</f>
        <v>2.9447999999999999</v>
      </c>
      <c r="L283" s="27">
        <f>H278</f>
        <v>0.83340000000000003</v>
      </c>
      <c r="M283" s="28">
        <f>$M$280</f>
        <v>6</v>
      </c>
      <c r="N283" s="29">
        <f>$N$280</f>
        <v>8</v>
      </c>
      <c r="O283" s="28">
        <f>$O$280</f>
        <v>2</v>
      </c>
      <c r="P283" s="28">
        <f>$P$280</f>
        <v>0</v>
      </c>
      <c r="Q283" s="28">
        <f>SUM(M283:P283)</f>
        <v>16</v>
      </c>
      <c r="R283" s="22">
        <f>MAX(R282-($J$30*M283*$L$33)+I283,0)</f>
        <v>19.1402461447036</v>
      </c>
      <c r="S283" s="22">
        <f>IF(U283&lt;&gt;0,(MAX(S282-($J$31*N283*$L$33)+J283,0)),(MAX(S282-($J$31*(N283+P283)*$L$33)+J283,0)))</f>
        <v>1.2278902963642686</v>
      </c>
      <c r="T283" s="22">
        <f>MAX(T282-($J$32*O283*$L$33)+K283,0)</f>
        <v>0.76578603239279985</v>
      </c>
      <c r="U283" s="22">
        <f>MAX(U282-($J$33*P283*$L$33)+L283,0)</f>
        <v>3.3336000000000001</v>
      </c>
      <c r="V283" s="21">
        <f>IFERROR(R283*($I$30/M283),0)</f>
        <v>1.2883299679999991</v>
      </c>
      <c r="W283" s="21">
        <f>IFERROR(S283*($I$31/N283),0)</f>
        <v>0.26326796779999967</v>
      </c>
      <c r="X283" s="21">
        <f>IFERROR(T283*($I$32/O283),0)</f>
        <v>0.13118182759999999</v>
      </c>
      <c r="Y283" s="21">
        <f>IFERROR(U283*($I$33/P283),0)</f>
        <v>0</v>
      </c>
      <c r="Z283" s="221">
        <f>ROUNDUP(SUM(V283*$C$30,W283*$C$31,X283*$C$32,Y283*$C$33),0)</f>
        <v>1</v>
      </c>
      <c r="AA283" s="30">
        <f>IF(R283&lt;&gt;0,($J$30*M283*$L$33),0)</f>
        <v>12.628138463824097</v>
      </c>
      <c r="AB283" s="30">
        <f>IF(W283&lt;&gt;0,($J$31*N283*$L$33),0)</f>
        <v>3.9644274259089327</v>
      </c>
      <c r="AC283" s="30">
        <f>IF(X283&lt;&gt;0,($J$32*O283*$L$33),0)</f>
        <v>4.9619534919017996</v>
      </c>
      <c r="AD283" s="30">
        <f>IF(Y283&lt;&gt;0,($J$33*P283*$L$33),0)</f>
        <v>0</v>
      </c>
      <c r="AE283" s="32">
        <f>SUM(AA283:AD283)</f>
        <v>21.55451938163483</v>
      </c>
      <c r="AF283" s="33">
        <f>AE279</f>
        <v>0</v>
      </c>
      <c r="AG283" s="40">
        <f>MAX(AG282-$Q$33+AF283,0)</f>
        <v>0</v>
      </c>
      <c r="AH283" s="224">
        <f>AG283*$P$33</f>
        <v>0</v>
      </c>
      <c r="AI283" s="227">
        <f>SUM(Z283,IF(Z283&lt;&gt;0,$F$31,0),IF(Z283&lt;&gt;0,$N$33,0),IF(Z283&lt;&gt;0,$T$33,0),IF(Z283=0,AH288,IF(Z283=1,AH289,IF(Z283=2,AH290,IF(Z283=3,AH291,IF(Z283=4,AH292,IF(Z283=5,AH293,IF(Z283=6,AH294,IF(Z283=7,AH295,IF(Z283=8,AH296,IF(Z283=9,AH297,IF(Z283=10,AH298,IF(Z283=11,AH299,IF(Z283=12,AH300,IF(Z283=13,AH301,IF(Z283=14,AH302,IF(Z283=15,AH303,IF(Z283=16,AH304,IF(Z283=17,AH305,IF(Z283=18,AH306,IF(Z283=19,AH307,IF(Z283=20,AH308,IF(Z283=21,AH309,IF(Z283=22,AH310,IF(Z283=23,AH311,IF(Z283=24,AH312,IF(Z283=25,AH313,IF(Z283=26,AH314,IF(Z283=27,AH315,IF(Z283=28,AH316,IF(Z283=29,AH317,IF(Z283=30,AH318))))))))))))))))))))))))))))))))</f>
        <v>26.014185963758628</v>
      </c>
    </row>
    <row r="284" spans="1:35" x14ac:dyDescent="0.35">
      <c r="A284" s="48">
        <v>1705</v>
      </c>
      <c r="B284" s="58">
        <f>SUMIF([2]!Table2_23[ETA],'FIS Optimal Model (3)'!A284,[2]!Table2_23[FIS PAX])</f>
        <v>0</v>
      </c>
      <c r="C284" s="44">
        <f>IF((D283-D284)&gt;-1,(D283-D284),18)</f>
        <v>18</v>
      </c>
      <c r="D284" s="52">
        <f>MAX(D283-$E$31+B283,0)</f>
        <v>38</v>
      </c>
      <c r="E284" s="26">
        <f>$C$30*C284</f>
        <v>9.9503999999999984</v>
      </c>
      <c r="F284" s="26">
        <f>$C$31*C284</f>
        <v>4.2713999999999999</v>
      </c>
      <c r="G284" s="26">
        <f>$C$32*C284</f>
        <v>2.9447999999999999</v>
      </c>
      <c r="H284" s="26">
        <f>$C$33*C284</f>
        <v>0.83340000000000003</v>
      </c>
      <c r="I284" s="27">
        <f>E279</f>
        <v>9.9503999999999984</v>
      </c>
      <c r="J284" s="27">
        <f>F279</f>
        <v>4.2713999999999999</v>
      </c>
      <c r="K284" s="27">
        <f>G279</f>
        <v>2.9447999999999999</v>
      </c>
      <c r="L284" s="27">
        <f>H279</f>
        <v>0.83340000000000003</v>
      </c>
      <c r="M284" s="28">
        <f>$M$280</f>
        <v>6</v>
      </c>
      <c r="N284" s="29">
        <f>$N$280</f>
        <v>8</v>
      </c>
      <c r="O284" s="28">
        <f>$O$280</f>
        <v>2</v>
      </c>
      <c r="P284" s="28">
        <f>$P$280</f>
        <v>0</v>
      </c>
      <c r="Q284" s="28">
        <f>SUM(M284:P284)</f>
        <v>16</v>
      </c>
      <c r="R284" s="22">
        <f>MAX(R283-($J$30*M284*$L$33)+I284,0)</f>
        <v>16.462507680879501</v>
      </c>
      <c r="S284" s="22">
        <f>IF(U284&lt;&gt;0,(MAX(S283-($J$31*N284*$L$33)+J284,0)),(MAX(S283-($J$31*(N284+P284)*$L$33)+J284,0)))</f>
        <v>1.5348628704553358</v>
      </c>
      <c r="T284" s="22">
        <f>MAX(T283-($J$32*O284*$L$33)+K284,0)</f>
        <v>0</v>
      </c>
      <c r="U284" s="22">
        <f>MAX(U283-($J$33*P284*$L$33)+L284,0)</f>
        <v>4.1669999999999998</v>
      </c>
      <c r="V284" s="21">
        <f>IFERROR(R284*($I$30/M284),0)</f>
        <v>1.1080913919999991</v>
      </c>
      <c r="W284" s="21">
        <f>IFERROR(S284*($I$31/N284),0)</f>
        <v>0.32908495974999957</v>
      </c>
      <c r="X284" s="21">
        <f>IFERROR(T284*($I$32/O284),0)</f>
        <v>0</v>
      </c>
      <c r="Y284" s="21">
        <f>IFERROR(U284*($I$33/P284),0)</f>
        <v>0</v>
      </c>
      <c r="Z284" s="221">
        <f>ROUNDUP(SUM(V284*$C$30,W284*$C$31,X284*$C$32,Y284*$C$33),0)</f>
        <v>1</v>
      </c>
      <c r="AA284" s="30">
        <f>IF(R284&lt;&gt;0,($J$30*M284*$L$33),0)</f>
        <v>12.628138463824097</v>
      </c>
      <c r="AB284" s="30">
        <f>IF(W284&lt;&gt;0,($J$31*N284*$L$33),0)</f>
        <v>3.9644274259089327</v>
      </c>
      <c r="AC284" s="30">
        <f>IF(X284&lt;&gt;0,($J$32*O284*$L$33),0)</f>
        <v>0</v>
      </c>
      <c r="AD284" s="30">
        <f>IF(Y284&lt;&gt;0,($J$33*P284*$L$33),0)</f>
        <v>0</v>
      </c>
      <c r="AE284" s="32">
        <f>SUM(AA284:AD284)</f>
        <v>16.592565889733031</v>
      </c>
      <c r="AF284" s="33">
        <f>AE280</f>
        <v>21.55451938163483</v>
      </c>
      <c r="AG284" s="40">
        <f>MAX(AG283-$Q$33+AF284,0)</f>
        <v>9.6311129521830487</v>
      </c>
      <c r="AH284" s="224">
        <f>AG284*$P$33</f>
        <v>0.80774844078059937</v>
      </c>
      <c r="AI284" s="227">
        <f>SUM(Z284,IF(Z284&lt;&gt;0,$F$31,0),IF(Z284&lt;&gt;0,$N$33,0),IF(Z284&lt;&gt;0,$T$33,0),IF(Z284=0,AH289,IF(Z284=1,AH290,IF(Z284=2,AH291,IF(Z284=3,AH292,IF(Z284=4,AH293,IF(Z284=5,AH294,IF(Z284=6,AH295,IF(Z284=7,AH296,IF(Z284=8,AH297,IF(Z284=9,AH298,IF(Z284=10,AH299,IF(Z284=11,AH300,IF(Z284=12,AH301,IF(Z284=13,AH302,IF(Z284=14,AH303,IF(Z284=15,AH304,IF(Z284=16,AH305,IF(Z284=17,AH306,IF(Z284=18,AH307,IF(Z284=19,AH308,IF(Z284=20,AH309,IF(Z284=21,AH310,IF(Z284=22,AH311,IF(Z284=23,AH312,IF(Z284=24,AH313,IF(Z284=25,AH314,IF(Z284=26,AH315,IF(Z284=27,AH316,IF(Z284=28,AH317,IF(Z284=29,AH318,IF(Z284=30,AH319))))))))))))))))))))))))))))))))</f>
        <v>26.405782064076739</v>
      </c>
    </row>
    <row r="285" spans="1:35" x14ac:dyDescent="0.35">
      <c r="A285" s="48">
        <v>1706</v>
      </c>
      <c r="B285" s="58">
        <f>SUMIF([2]!Table2_23[ETA],'FIS Optimal Model (3)'!A285,[2]!Table2_23[FIS PAX])</f>
        <v>0</v>
      </c>
      <c r="C285" s="44">
        <f>IF((D284-D285)&gt;-1,(D284-D285),18)</f>
        <v>18</v>
      </c>
      <c r="D285" s="52">
        <f>MAX(D284-$E$31+B284,0)</f>
        <v>20</v>
      </c>
      <c r="E285" s="26">
        <f>$C$30*C285</f>
        <v>9.9503999999999984</v>
      </c>
      <c r="F285" s="26">
        <f>$C$31*C285</f>
        <v>4.2713999999999999</v>
      </c>
      <c r="G285" s="26">
        <f>$C$32*C285</f>
        <v>2.9447999999999999</v>
      </c>
      <c r="H285" s="26">
        <f>$C$33*C285</f>
        <v>0.83340000000000003</v>
      </c>
      <c r="I285" s="27">
        <f>E280</f>
        <v>9.9503999999999984</v>
      </c>
      <c r="J285" s="27">
        <f>F280</f>
        <v>4.2713999999999999</v>
      </c>
      <c r="K285" s="27">
        <f>G280</f>
        <v>2.9447999999999999</v>
      </c>
      <c r="L285" s="27">
        <f>H280</f>
        <v>0.83340000000000003</v>
      </c>
      <c r="M285" s="28">
        <f>$M$280</f>
        <v>6</v>
      </c>
      <c r="N285" s="29">
        <f>$N$280</f>
        <v>8</v>
      </c>
      <c r="O285" s="28">
        <f>$O$280</f>
        <v>2</v>
      </c>
      <c r="P285" s="28">
        <f>$P$280</f>
        <v>0</v>
      </c>
      <c r="Q285" s="28">
        <f>SUM(M285:P285)</f>
        <v>16</v>
      </c>
      <c r="R285" s="22">
        <f>MAX(R284-($J$30*M285*$L$33)+I285,0)</f>
        <v>13.784769217055402</v>
      </c>
      <c r="S285" s="22">
        <f>IF(U285&lt;&gt;0,(MAX(S284-($J$31*N285*$L$33)+J285,0)),(MAX(S284-($J$31*(N285+P285)*$L$33)+J285,0)))</f>
        <v>1.8418354445464029</v>
      </c>
      <c r="T285" s="22">
        <f>MAX(T284-($J$32*O285*$L$33)+K285,0)</f>
        <v>0</v>
      </c>
      <c r="U285" s="22">
        <f>MAX(U284-($J$33*P285*$L$33)+L285,0)</f>
        <v>5.0004</v>
      </c>
      <c r="V285" s="21">
        <f>IFERROR(R285*($I$30/M285),0)</f>
        <v>0.92785281599999903</v>
      </c>
      <c r="W285" s="21">
        <f>IFERROR(S285*($I$31/N285),0)</f>
        <v>0.39490195169999948</v>
      </c>
      <c r="X285" s="21">
        <f>IFERROR(T285*($I$32/O285),0)</f>
        <v>0</v>
      </c>
      <c r="Y285" s="21">
        <f>IFERROR(U285*($I$33/P285),0)</f>
        <v>0</v>
      </c>
      <c r="Z285" s="221">
        <f>ROUNDUP(SUM(V285*$C$30,W285*$C$31,X285*$C$32,Y285*$C$33),0)</f>
        <v>1</v>
      </c>
      <c r="AA285" s="30">
        <f>IF(R285&lt;&gt;0,($J$30*M285*$L$33),0)</f>
        <v>12.628138463824097</v>
      </c>
      <c r="AB285" s="30">
        <f>IF(W285&lt;&gt;0,($J$31*N285*$L$33),0)</f>
        <v>3.9644274259089327</v>
      </c>
      <c r="AC285" s="30">
        <f>IF(X285&lt;&gt;0,($J$32*O285*$L$33),0)</f>
        <v>0</v>
      </c>
      <c r="AD285" s="30">
        <f>IF(Y285&lt;&gt;0,($J$33*P285*$L$33),0)</f>
        <v>0</v>
      </c>
      <c r="AE285" s="32">
        <f>SUM(AA285:AD285)</f>
        <v>16.592565889733031</v>
      </c>
      <c r="AF285" s="33">
        <f>AE281</f>
        <v>21.55451938163483</v>
      </c>
      <c r="AG285" s="40">
        <f>MAX(AG284-$Q$33+AF285,0)</f>
        <v>19.262225904366097</v>
      </c>
      <c r="AH285" s="224">
        <f>AG285*$P$33</f>
        <v>1.6154968815611987</v>
      </c>
      <c r="AI285" s="227">
        <f>SUM(Z285,IF(Z285&lt;&gt;0,$F$31,0),IF(Z285&lt;&gt;0,$N$33,0),IF(Z285&lt;&gt;0,$T$33,0),IF(Z285=0,AH290,IF(Z285=1,AH291,IF(Z285=2,AH292,IF(Z285=3,AH293,IF(Z285=4,AH294,IF(Z285=5,AH295,IF(Z285=6,AH296,IF(Z285=7,AH297,IF(Z285=8,AH298,IF(Z285=9,AH299,IF(Z285=10,AH300,IF(Z285=11,AH301,IF(Z285=12,AH302,IF(Z285=13,AH303,IF(Z285=14,AH304,IF(Z285=15,AH305,IF(Z285=16,AH306,IF(Z285=17,AH307,IF(Z285=18,AH308,IF(Z285=19,AH309,IF(Z285=20,AH310,IF(Z285=21,AH311,IF(Z285=22,AH312,IF(Z285=23,AH313,IF(Z285=24,AH314,IF(Z285=25,AH315,IF(Z285=26,AH316,IF(Z285=27,AH317,IF(Z285=28,AH318,IF(Z285=29,AH319,IF(Z285=30,AH320))))))))))))))))))))))))))))))))</f>
        <v>26.797378164394857</v>
      </c>
    </row>
    <row r="286" spans="1:35" x14ac:dyDescent="0.35">
      <c r="A286" s="48">
        <v>1707</v>
      </c>
      <c r="B286" s="58">
        <f>SUMIF([2]!Table2_23[ETA],'FIS Optimal Model (3)'!A286,[2]!Table2_23[FIS PAX])</f>
        <v>0</v>
      </c>
      <c r="C286" s="44">
        <f>IF((D285-D286)&gt;-1,(D285-D286),18)</f>
        <v>18</v>
      </c>
      <c r="D286" s="52">
        <f>MAX(D285-$E$31+B285,0)</f>
        <v>2</v>
      </c>
      <c r="E286" s="26">
        <f>$C$30*C286</f>
        <v>9.9503999999999984</v>
      </c>
      <c r="F286" s="26">
        <f>$C$31*C286</f>
        <v>4.2713999999999999</v>
      </c>
      <c r="G286" s="26">
        <f>$C$32*C286</f>
        <v>2.9447999999999999</v>
      </c>
      <c r="H286" s="26">
        <f>$C$33*C286</f>
        <v>0.83340000000000003</v>
      </c>
      <c r="I286" s="27">
        <f>E281</f>
        <v>9.9503999999999984</v>
      </c>
      <c r="J286" s="27">
        <f>F281</f>
        <v>4.2713999999999999</v>
      </c>
      <c r="K286" s="27">
        <f>G281</f>
        <v>2.9447999999999999</v>
      </c>
      <c r="L286" s="27">
        <f>H281</f>
        <v>0.83340000000000003</v>
      </c>
      <c r="M286" s="28">
        <f>$M$280</f>
        <v>6</v>
      </c>
      <c r="N286" s="29">
        <f>$N$280</f>
        <v>8</v>
      </c>
      <c r="O286" s="28">
        <f>$O$280</f>
        <v>2</v>
      </c>
      <c r="P286" s="28">
        <f>$P$280</f>
        <v>0</v>
      </c>
      <c r="Q286" s="28">
        <f>SUM(M286:P286)</f>
        <v>16</v>
      </c>
      <c r="R286" s="22">
        <f>MAX(R285-($J$30*M286*$L$33)+I286,0)</f>
        <v>11.107030753231303</v>
      </c>
      <c r="S286" s="22">
        <f>IF(U286&lt;&gt;0,(MAX(S285-($J$31*N286*$L$33)+J286,0)),(MAX(S285-($J$31*(N286+P286)*$L$33)+J286,0)))</f>
        <v>2.1488080186374701</v>
      </c>
      <c r="T286" s="22">
        <f>MAX(T285-($J$32*O286*$L$33)+K286,0)</f>
        <v>0</v>
      </c>
      <c r="U286" s="22">
        <f>MAX(U285-($J$33*P286*$L$33)+L286,0)</f>
        <v>5.8338000000000001</v>
      </c>
      <c r="V286" s="21">
        <f>IFERROR(R286*($I$30/M286),0)</f>
        <v>0.74761423999999899</v>
      </c>
      <c r="W286" s="21">
        <f>IFERROR(S286*($I$31/N286),0)</f>
        <v>0.46071894364999938</v>
      </c>
      <c r="X286" s="21">
        <f>IFERROR(T286*($I$32/O286),0)</f>
        <v>0</v>
      </c>
      <c r="Y286" s="21">
        <f>IFERROR(U286*($I$33/P286),0)</f>
        <v>0</v>
      </c>
      <c r="Z286" s="221">
        <f>ROUNDUP(SUM(V286*$C$30,W286*$C$31,X286*$C$32,Y286*$C$33),0)</f>
        <v>1</v>
      </c>
      <c r="AA286" s="30">
        <f>IF(R286&lt;&gt;0,($J$30*M286*$L$33),0)</f>
        <v>12.628138463824097</v>
      </c>
      <c r="AB286" s="30">
        <f>IF(W286&lt;&gt;0,($J$31*N286*$L$33),0)</f>
        <v>3.9644274259089327</v>
      </c>
      <c r="AC286" s="30">
        <f>IF(X286&lt;&gt;0,($J$32*O286*$L$33),0)</f>
        <v>0</v>
      </c>
      <c r="AD286" s="30">
        <f>IF(Y286&lt;&gt;0,($J$33*P286*$L$33),0)</f>
        <v>0</v>
      </c>
      <c r="AE286" s="32">
        <f>SUM(AA286:AD286)</f>
        <v>16.592565889733031</v>
      </c>
      <c r="AF286" s="33">
        <f>AE282</f>
        <v>21.55451938163483</v>
      </c>
      <c r="AG286" s="40">
        <f>MAX(AG285-$Q$33+AF286,0)</f>
        <v>28.893338856549146</v>
      </c>
      <c r="AH286" s="224">
        <f>AG286*$P$33</f>
        <v>2.4232453223417982</v>
      </c>
      <c r="AI286" s="227">
        <f>SUM(Z286,IF(Z286&lt;&gt;0,$F$31,0),IF(Z286&lt;&gt;0,$N$33,0),IF(Z286&lt;&gt;0,$T$33,0),IF(Z286=0,AH291,IF(Z286=1,AH292,IF(Z286=2,AH293,IF(Z286=3,AH294,IF(Z286=4,AH295,IF(Z286=5,AH296,IF(Z286=6,AH297,IF(Z286=7,AH298,IF(Z286=8,AH299,IF(Z286=9,AH300,IF(Z286=10,AH301,IF(Z286=11,AH302,IF(Z286=12,AH303,IF(Z286=13,AH304,IF(Z286=14,AH305,IF(Z286=15,AH306,IF(Z286=16,AH307,IF(Z286=17,AH308,IF(Z286=18,AH309,IF(Z286=19,AH310,IF(Z286=20,AH311,IF(Z286=21,AH312,IF(Z286=22,AH313,IF(Z286=23,AH314,IF(Z286=24,AH315,IF(Z286=25,AH316,IF(Z286=26,AH317,IF(Z286=27,AH318,IF(Z286=28,AH319,IF(Z286=29,AH320,IF(Z286=30,AH321))))))))))))))))))))))))))))))))</f>
        <v>27.188974264712968</v>
      </c>
    </row>
    <row r="287" spans="1:35" x14ac:dyDescent="0.35">
      <c r="A287" s="48">
        <v>1708</v>
      </c>
      <c r="B287" s="58">
        <f>SUMIF([2]!Table2_23[ETA],'FIS Optimal Model (3)'!A287,[2]!Table2_23[FIS PAX])</f>
        <v>0</v>
      </c>
      <c r="C287" s="44">
        <f>IF((D286-D287)&gt;-1,(D286-D287),18)</f>
        <v>2</v>
      </c>
      <c r="D287" s="52">
        <f>MAX(D286-$E$31+B286,0)</f>
        <v>0</v>
      </c>
      <c r="E287" s="26">
        <f>$C$30*C287</f>
        <v>1.1055999999999999</v>
      </c>
      <c r="F287" s="26">
        <f>$C$31*C287</f>
        <v>0.47460000000000002</v>
      </c>
      <c r="G287" s="26">
        <f>$C$32*C287</f>
        <v>0.32719999999999999</v>
      </c>
      <c r="H287" s="26">
        <f>$C$33*C287</f>
        <v>9.2600000000000002E-2</v>
      </c>
      <c r="I287" s="27">
        <f>E282</f>
        <v>9.9503999999999984</v>
      </c>
      <c r="J287" s="27">
        <f>F282</f>
        <v>4.2713999999999999</v>
      </c>
      <c r="K287" s="27">
        <f>G282</f>
        <v>2.9447999999999999</v>
      </c>
      <c r="L287" s="27">
        <f>H282</f>
        <v>0.83340000000000003</v>
      </c>
      <c r="M287" s="28">
        <f>$M$280</f>
        <v>6</v>
      </c>
      <c r="N287" s="29">
        <f>$N$280</f>
        <v>8</v>
      </c>
      <c r="O287" s="28">
        <f>$O$280</f>
        <v>2</v>
      </c>
      <c r="P287" s="28">
        <f>$P$280</f>
        <v>0</v>
      </c>
      <c r="Q287" s="28">
        <f>SUM(M287:P287)</f>
        <v>16</v>
      </c>
      <c r="R287" s="22">
        <f>MAX(R286-($J$30*M287*$L$33)+I287,0)</f>
        <v>8.4292922894072042</v>
      </c>
      <c r="S287" s="22">
        <f>IF(U287&lt;&gt;0,(MAX(S286-($J$31*N287*$L$33)+J287,0)),(MAX(S286-($J$31*(N287+P287)*$L$33)+J287,0)))</f>
        <v>2.4557805927285372</v>
      </c>
      <c r="T287" s="22">
        <f>MAX(T286-($J$32*O287*$L$33)+K287,0)</f>
        <v>0</v>
      </c>
      <c r="U287" s="22">
        <f>MAX(U286-($J$33*P287*$L$33)+L287,0)</f>
        <v>6.6672000000000002</v>
      </c>
      <c r="V287" s="21">
        <f>IFERROR(R287*($I$30/M287),0)</f>
        <v>0.56737566399999884</v>
      </c>
      <c r="W287" s="21">
        <f>IFERROR(S287*($I$31/N287),0)</f>
        <v>0.52653593559999934</v>
      </c>
      <c r="X287" s="21">
        <f>IFERROR(T287*($I$32/O287),0)</f>
        <v>0</v>
      </c>
      <c r="Y287" s="21">
        <f>IFERROR(U287*($I$33/P287),0)</f>
        <v>0</v>
      </c>
      <c r="Z287" s="221">
        <f>ROUNDUP(SUM(V287*$C$30,W287*$C$31,X287*$C$32,Y287*$C$33),0)</f>
        <v>1</v>
      </c>
      <c r="AA287" s="30">
        <f>IF(R287&lt;&gt;0,($J$30*M287*$L$33),0)</f>
        <v>12.628138463824097</v>
      </c>
      <c r="AB287" s="30">
        <f>IF(W287&lt;&gt;0,($J$31*N287*$L$33),0)</f>
        <v>3.9644274259089327</v>
      </c>
      <c r="AC287" s="30">
        <f>IF(X287&lt;&gt;0,($J$32*O287*$L$33),0)</f>
        <v>0</v>
      </c>
      <c r="AD287" s="30">
        <f>IF(Y287&lt;&gt;0,($J$33*P287*$L$33),0)</f>
        <v>0</v>
      </c>
      <c r="AE287" s="32">
        <f>SUM(AA287:AD287)</f>
        <v>16.592565889733031</v>
      </c>
      <c r="AF287" s="33">
        <f>AE283</f>
        <v>21.55451938163483</v>
      </c>
      <c r="AG287" s="40">
        <f>MAX(AG286-$Q$33+AF287,0)</f>
        <v>38.524451808732195</v>
      </c>
      <c r="AH287" s="224">
        <f>AG287*$P$33</f>
        <v>3.2309937631223975</v>
      </c>
      <c r="AI287" s="227">
        <f>SUM(Z287,IF(Z287&lt;&gt;0,$F$31,0),IF(Z287&lt;&gt;0,$N$33,0),IF(Z287&lt;&gt;0,$T$33,0),IF(Z287=0,AH292,IF(Z287=1,AH293,IF(Z287=2,AH294,IF(Z287=3,AH295,IF(Z287=4,AH296,IF(Z287=5,AH297,IF(Z287=6,AH298,IF(Z287=7,AH299,IF(Z287=8,AH300,IF(Z287=9,AH301,IF(Z287=10,AH302,IF(Z287=11,AH303,IF(Z287=12,AH304,IF(Z287=13,AH305,IF(Z287=14,AH306,IF(Z287=15,AH307,IF(Z287=16,AH308,IF(Z287=17,AH309,IF(Z287=18,AH310,IF(Z287=19,AH311,IF(Z287=20,AH312,IF(Z287=21,AH313,IF(Z287=22,AH314,IF(Z287=23,AH315,IF(Z287=24,AH316,IF(Z287=25,AH317,IF(Z287=26,AH318,IF(Z287=27,AH319,IF(Z287=28,AH320,IF(Z287=29,AH321,IF(Z287=30,AH322))))))))))))))))))))))))))))))))</f>
        <v>27.580570365031086</v>
      </c>
    </row>
    <row r="288" spans="1:35" x14ac:dyDescent="0.35">
      <c r="A288" s="48">
        <v>1709</v>
      </c>
      <c r="B288" s="58">
        <f>SUMIF([2]!Table2_23[ETA],'FIS Optimal Model (3)'!A288,[2]!Table2_23[FIS PAX])</f>
        <v>0</v>
      </c>
      <c r="C288" s="44">
        <f>IF((D287-D288)&gt;-1,(D287-D288),18)</f>
        <v>0</v>
      </c>
      <c r="D288" s="52">
        <f>MAX(D287-$E$31+B287,0)</f>
        <v>0</v>
      </c>
      <c r="E288" s="26">
        <f>$C$30*C288</f>
        <v>0</v>
      </c>
      <c r="F288" s="26">
        <f>$C$31*C288</f>
        <v>0</v>
      </c>
      <c r="G288" s="26">
        <f>$C$32*C288</f>
        <v>0</v>
      </c>
      <c r="H288" s="26">
        <f>$C$33*C288</f>
        <v>0</v>
      </c>
      <c r="I288" s="27">
        <f>E283</f>
        <v>9.9503999999999984</v>
      </c>
      <c r="J288" s="27">
        <f>F283</f>
        <v>4.2713999999999999</v>
      </c>
      <c r="K288" s="27">
        <f>G283</f>
        <v>2.9447999999999999</v>
      </c>
      <c r="L288" s="27">
        <f>H283</f>
        <v>0.83340000000000003</v>
      </c>
      <c r="M288" s="28">
        <f>$M$280</f>
        <v>6</v>
      </c>
      <c r="N288" s="29">
        <f>$N$280</f>
        <v>8</v>
      </c>
      <c r="O288" s="28">
        <f>$O$280</f>
        <v>2</v>
      </c>
      <c r="P288" s="28">
        <f>$P$280</f>
        <v>0</v>
      </c>
      <c r="Q288" s="28">
        <f>SUM(M288:P288)</f>
        <v>16</v>
      </c>
      <c r="R288" s="22">
        <f>MAX(R287-($J$30*M288*$L$33)+I288,0)</f>
        <v>5.7515538255831054</v>
      </c>
      <c r="S288" s="22">
        <f>IF(U288&lt;&gt;0,(MAX(S287-($J$31*N288*$L$33)+J288,0)),(MAX(S287-($J$31*(N288+P288)*$L$33)+J288,0)))</f>
        <v>2.7627531668196044</v>
      </c>
      <c r="T288" s="22">
        <f>MAX(T287-($J$32*O288*$L$33)+K288,0)</f>
        <v>0</v>
      </c>
      <c r="U288" s="22">
        <f>MAX(U287-($J$33*P288*$L$33)+L288,0)</f>
        <v>7.5006000000000004</v>
      </c>
      <c r="V288" s="21">
        <f>IFERROR(R288*($I$30/M288),0)</f>
        <v>0.3871370879999988</v>
      </c>
      <c r="W288" s="21">
        <f>IFERROR(S288*($I$31/N288),0)</f>
        <v>0.59235292754999924</v>
      </c>
      <c r="X288" s="21">
        <f>IFERROR(T288*($I$32/O288),0)</f>
        <v>0</v>
      </c>
      <c r="Y288" s="21">
        <f>IFERROR(U288*($I$33/P288),0)</f>
        <v>0</v>
      </c>
      <c r="Z288" s="221">
        <f>ROUNDUP(SUM(V288*$C$30,W288*$C$31,X288*$C$32,Y288*$C$33),0)</f>
        <v>1</v>
      </c>
      <c r="AA288" s="30">
        <f>IF(R288&lt;&gt;0,($J$30*M288*$L$33),0)</f>
        <v>12.628138463824097</v>
      </c>
      <c r="AB288" s="30">
        <f>IF(W288&lt;&gt;0,($J$31*N288*$L$33),0)</f>
        <v>3.9644274259089327</v>
      </c>
      <c r="AC288" s="30">
        <f>IF(X288&lt;&gt;0,($J$32*O288*$L$33),0)</f>
        <v>0</v>
      </c>
      <c r="AD288" s="30">
        <f>IF(Y288&lt;&gt;0,($J$33*P288*$L$33),0)</f>
        <v>0</v>
      </c>
      <c r="AE288" s="32">
        <f>SUM(AA288:AD288)</f>
        <v>16.592565889733031</v>
      </c>
      <c r="AF288" s="33">
        <f>AE284</f>
        <v>16.592565889733031</v>
      </c>
      <c r="AG288" s="40">
        <f>MAX(AG287-$Q$33+AF288,0)</f>
        <v>43.193611269013445</v>
      </c>
      <c r="AH288" s="224">
        <f>AG288*$P$33</f>
        <v>3.622589863440512</v>
      </c>
      <c r="AI288" s="227">
        <f>SUM(Z288,IF(Z288&lt;&gt;0,$F$31,0),IF(Z288&lt;&gt;0,$N$33,0),IF(Z288&lt;&gt;0,$T$33,0),IF(Z288=0,AH293,IF(Z288=1,AH294,IF(Z288=2,AH295,IF(Z288=3,AH296,IF(Z288=4,AH297,IF(Z288=5,AH298,IF(Z288=6,AH299,IF(Z288=7,AH300,IF(Z288=8,AH301,IF(Z288=9,AH302,IF(Z288=10,AH303,IF(Z288=11,AH304,IF(Z288=12,AH305,IF(Z288=13,AH306,IF(Z288=14,AH307,IF(Z288=15,AH308,IF(Z288=16,AH309,IF(Z288=17,AH310,IF(Z288=18,AH311,IF(Z288=19,AH312,IF(Z288=20,AH313,IF(Z288=21,AH314,IF(Z288=22,AH315,IF(Z288=23,AH316,IF(Z288=24,AH317,IF(Z288=25,AH318,IF(Z288=26,AH319,IF(Z288=27,AH320,IF(Z288=28,AH321,IF(Z288=29,AH322,IF(Z288=30,AH323))))))))))))))))))))))))))))))))</f>
        <v>27.972166465349197</v>
      </c>
    </row>
    <row r="289" spans="1:35" x14ac:dyDescent="0.35">
      <c r="A289" s="48">
        <v>1710</v>
      </c>
      <c r="B289" s="58">
        <f>SUMIF([2]!Table2_23[ETA],'FIS Optimal Model (3)'!A289,[2]!Table2_23[FIS PAX])</f>
        <v>0</v>
      </c>
      <c r="C289" s="44">
        <f>IF((D288-D289)&gt;-1,(D288-D289),18)</f>
        <v>0</v>
      </c>
      <c r="D289" s="52">
        <f>MAX(D288-$E$31+B288,0)</f>
        <v>0</v>
      </c>
      <c r="E289" s="26">
        <f>$C$30*C289</f>
        <v>0</v>
      </c>
      <c r="F289" s="26">
        <f>$C$31*C289</f>
        <v>0</v>
      </c>
      <c r="G289" s="26">
        <f>$C$32*C289</f>
        <v>0</v>
      </c>
      <c r="H289" s="26">
        <f>$C$33*C289</f>
        <v>0</v>
      </c>
      <c r="I289" s="27">
        <f>E284</f>
        <v>9.9503999999999984</v>
      </c>
      <c r="J289" s="27">
        <f>F284</f>
        <v>4.2713999999999999</v>
      </c>
      <c r="K289" s="27">
        <f>G284</f>
        <v>2.9447999999999999</v>
      </c>
      <c r="L289" s="27">
        <f>H284</f>
        <v>0.83340000000000003</v>
      </c>
      <c r="M289" s="28">
        <f>$M$280</f>
        <v>6</v>
      </c>
      <c r="N289" s="29">
        <f>$N$280</f>
        <v>8</v>
      </c>
      <c r="O289" s="28">
        <f>$O$280</f>
        <v>2</v>
      </c>
      <c r="P289" s="28">
        <f>$P$280</f>
        <v>0</v>
      </c>
      <c r="Q289" s="28">
        <f>SUM(M289:P289)</f>
        <v>16</v>
      </c>
      <c r="R289" s="22">
        <f>MAX(R288-($J$30*M289*$L$33)+I289,0)</f>
        <v>3.0738153617590065</v>
      </c>
      <c r="S289" s="22">
        <f>IF(U289&lt;&gt;0,(MAX(S288-($J$31*N289*$L$33)+J289,0)),(MAX(S288-($J$31*(N289+P289)*$L$33)+J289,0)))</f>
        <v>3.0697257409106715</v>
      </c>
      <c r="T289" s="22">
        <f>MAX(T288-($J$32*O289*$L$33)+K289,0)</f>
        <v>0</v>
      </c>
      <c r="U289" s="22">
        <f>MAX(U288-($J$33*P289*$L$33)+L289,0)</f>
        <v>8.3339999999999996</v>
      </c>
      <c r="V289" s="21">
        <f>IFERROR(R289*($I$30/M289),0)</f>
        <v>0.2068985119999987</v>
      </c>
      <c r="W289" s="21">
        <f>IFERROR(S289*($I$31/N289),0)</f>
        <v>0.65816991949999915</v>
      </c>
      <c r="X289" s="21">
        <f>IFERROR(T289*($I$32/O289),0)</f>
        <v>0</v>
      </c>
      <c r="Y289" s="21">
        <f>IFERROR(U289*($I$33/P289),0)</f>
        <v>0</v>
      </c>
      <c r="Z289" s="221">
        <f>ROUNDUP(SUM(V289*$C$30,W289*$C$31,X289*$C$32,Y289*$C$33),0)</f>
        <v>1</v>
      </c>
      <c r="AA289" s="30">
        <f>IF(R289&lt;&gt;0,($J$30*M289*$L$33),0)</f>
        <v>12.628138463824097</v>
      </c>
      <c r="AB289" s="30">
        <f>IF(W289&lt;&gt;0,($J$31*N289*$L$33),0)</f>
        <v>3.9644274259089327</v>
      </c>
      <c r="AC289" s="30">
        <f>IF(X289&lt;&gt;0,($J$32*O289*$L$33),0)</f>
        <v>0</v>
      </c>
      <c r="AD289" s="30">
        <f>IF(Y289&lt;&gt;0,($J$33*P289*$L$33),0)</f>
        <v>0</v>
      </c>
      <c r="AE289" s="32">
        <f>SUM(AA289:AD289)</f>
        <v>16.592565889733031</v>
      </c>
      <c r="AF289" s="33">
        <f>AE285</f>
        <v>16.592565889733031</v>
      </c>
      <c r="AG289" s="40">
        <f>MAX(AG288-$Q$33+AF289,0)</f>
        <v>47.862770729294695</v>
      </c>
      <c r="AH289" s="224">
        <f>AG289*$P$33</f>
        <v>4.0141859637586261</v>
      </c>
      <c r="AI289" s="227">
        <f>SUM(Z289,IF(Z289&lt;&gt;0,$F$31,0),IF(Z289&lt;&gt;0,$N$33,0),IF(Z289&lt;&gt;0,$T$33,0),IF(Z289=0,AH294,IF(Z289=1,AH295,IF(Z289=2,AH296,IF(Z289=3,AH297,IF(Z289=4,AH298,IF(Z289=5,AH299,IF(Z289=6,AH300,IF(Z289=7,AH301,IF(Z289=8,AH302,IF(Z289=9,AH303,IF(Z289=10,AH304,IF(Z289=11,AH305,IF(Z289=12,AH306,IF(Z289=13,AH307,IF(Z289=14,AH308,IF(Z289=15,AH309,IF(Z289=16,AH310,IF(Z289=17,AH311,IF(Z289=18,AH312,IF(Z289=19,AH313,IF(Z289=20,AH314,IF(Z289=21,AH315,IF(Z289=22,AH316,IF(Z289=23,AH317,IF(Z289=24,AH318,IF(Z289=25,AH319,IF(Z289=26,AH320,IF(Z289=27,AH321,IF(Z289=28,AH322,IF(Z289=29,AH323,IF(Z289=30,AH324))))))))))))))))))))))))))))))))</f>
        <v>27.304657641370547</v>
      </c>
    </row>
    <row r="290" spans="1:35" x14ac:dyDescent="0.35">
      <c r="A290" s="48">
        <v>1711</v>
      </c>
      <c r="B290" s="58">
        <f>SUMIF([2]!Table2_23[ETA],'FIS Optimal Model (3)'!A290,[2]!Table2_23[FIS PAX])</f>
        <v>104</v>
      </c>
      <c r="C290" s="44">
        <f>IF((D289-D290)&gt;-1,(D289-D290),18)</f>
        <v>0</v>
      </c>
      <c r="D290" s="52">
        <f>MAX(D289-$E$31+B289,0)</f>
        <v>0</v>
      </c>
      <c r="E290" s="26">
        <f>$C$30*C290</f>
        <v>0</v>
      </c>
      <c r="F290" s="26">
        <f>$C$31*C290</f>
        <v>0</v>
      </c>
      <c r="G290" s="26">
        <f>$C$32*C290</f>
        <v>0</v>
      </c>
      <c r="H290" s="26">
        <f>$C$33*C290</f>
        <v>0</v>
      </c>
      <c r="I290" s="27">
        <f>E285</f>
        <v>9.9503999999999984</v>
      </c>
      <c r="J290" s="27">
        <f>F285</f>
        <v>4.2713999999999999</v>
      </c>
      <c r="K290" s="27">
        <f>G285</f>
        <v>2.9447999999999999</v>
      </c>
      <c r="L290" s="27">
        <f>H285</f>
        <v>0.83340000000000003</v>
      </c>
      <c r="M290" s="28">
        <f>$M$280</f>
        <v>6</v>
      </c>
      <c r="N290" s="29">
        <f>$N$280</f>
        <v>8</v>
      </c>
      <c r="O290" s="28">
        <f>$O$280</f>
        <v>2</v>
      </c>
      <c r="P290" s="28">
        <f>$P$280</f>
        <v>0</v>
      </c>
      <c r="Q290" s="28">
        <f>SUM(M290:P290)</f>
        <v>16</v>
      </c>
      <c r="R290" s="22">
        <f>MAX(R289-($J$30*M290*$L$33)+I290,0)</f>
        <v>0.39607689793490763</v>
      </c>
      <c r="S290" s="22">
        <f>IF(U290&lt;&gt;0,(MAX(S289-($J$31*N290*$L$33)+J290,0)),(MAX(S289-($J$31*(N290+P290)*$L$33)+J290,0)))</f>
        <v>3.3766983150017387</v>
      </c>
      <c r="T290" s="22">
        <f>MAX(T289-($J$32*O290*$L$33)+K290,0)</f>
        <v>0</v>
      </c>
      <c r="U290" s="22">
        <f>MAX(U289-($J$33*P290*$L$33)+L290,0)</f>
        <v>9.1673999999999989</v>
      </c>
      <c r="V290" s="21">
        <f>IFERROR(R290*($I$30/M290),0)</f>
        <v>2.6659935999998632E-2</v>
      </c>
      <c r="W290" s="21">
        <f>IFERROR(S290*($I$31/N290),0)</f>
        <v>0.72398691144999905</v>
      </c>
      <c r="X290" s="21">
        <f>IFERROR(T290*($I$32/O290),0)</f>
        <v>0</v>
      </c>
      <c r="Y290" s="21">
        <f>IFERROR(U290*($I$33/P290),0)</f>
        <v>0</v>
      </c>
      <c r="Z290" s="221">
        <f>ROUNDUP(SUM(V290*$C$30,W290*$C$31,X290*$C$32,Y290*$C$33),0)</f>
        <v>1</v>
      </c>
      <c r="AA290" s="30">
        <f>IF(R290&lt;&gt;0,($J$30*M290*$L$33),0)</f>
        <v>12.628138463824097</v>
      </c>
      <c r="AB290" s="30">
        <f>IF(W290&lt;&gt;0,($J$31*N290*$L$33),0)</f>
        <v>3.9644274259089327</v>
      </c>
      <c r="AC290" s="30">
        <f>IF(X290&lt;&gt;0,($J$32*O290*$L$33),0)</f>
        <v>0</v>
      </c>
      <c r="AD290" s="30">
        <f>IF(Y290&lt;&gt;0,($J$33*P290*$L$33),0)</f>
        <v>0</v>
      </c>
      <c r="AE290" s="32">
        <f>SUM(AA290:AD290)</f>
        <v>16.592565889733031</v>
      </c>
      <c r="AF290" s="33">
        <f>AE286</f>
        <v>16.592565889733031</v>
      </c>
      <c r="AG290" s="40">
        <f>MAX(AG289-$Q$33+AF290,0)</f>
        <v>52.531930189575945</v>
      </c>
      <c r="AH290" s="224">
        <f>AG290*$P$33</f>
        <v>4.4057820640767407</v>
      </c>
      <c r="AI290" s="227">
        <f>SUM(Z290,IF(Z290&lt;&gt;0,$F$31,0),IF(Z290&lt;&gt;0,$N$33,0),IF(Z290&lt;&gt;0,$T$33,0),IF(Z290=0,AH295,IF(Z290=1,AH296,IF(Z290=2,AH297,IF(Z290=3,AH298,IF(Z290=4,AH299,IF(Z290=5,AH300,IF(Z290=6,AH301,IF(Z290=7,AH302,IF(Z290=8,AH303,IF(Z290=9,AH304,IF(Z290=10,AH305,IF(Z290=11,AH306,IF(Z290=12,AH307,IF(Z290=13,AH308,IF(Z290=14,AH309,IF(Z290=15,AH310,IF(Z290=16,AH311,IF(Z290=17,AH312,IF(Z290=18,AH313,IF(Z290=19,AH314,IF(Z290=20,AH315,IF(Z290=21,AH316,IF(Z290=22,AH317,IF(Z290=23,AH318,IF(Z290=24,AH319,IF(Z290=25,AH320,IF(Z290=26,AH321,IF(Z290=27,AH322,IF(Z290=28,AH323,IF(Z290=29,AH324,IF(Z290=30,AH325))))))))))))))))))))))))))))))))</f>
        <v>26.637148817391896</v>
      </c>
    </row>
    <row r="291" spans="1:35" x14ac:dyDescent="0.35">
      <c r="A291" s="48">
        <v>1712</v>
      </c>
      <c r="B291" s="58">
        <f>SUMIF([2]!Table2_23[ETA],'FIS Optimal Model (3)'!A291,[2]!Table2_23[FIS PAX])</f>
        <v>0</v>
      </c>
      <c r="C291" s="44">
        <f>IF((D290-D291)&gt;-1,(D290-D291),18)</f>
        <v>18</v>
      </c>
      <c r="D291" s="52">
        <f>MAX(D290-$E$31+B290,0)</f>
        <v>86</v>
      </c>
      <c r="E291" s="26">
        <f>$C$30*C291</f>
        <v>9.9503999999999984</v>
      </c>
      <c r="F291" s="26">
        <f>$C$31*C291</f>
        <v>4.2713999999999999</v>
      </c>
      <c r="G291" s="26">
        <f>$C$32*C291</f>
        <v>2.9447999999999999</v>
      </c>
      <c r="H291" s="26">
        <f>$C$33*C291</f>
        <v>0.83340000000000003</v>
      </c>
      <c r="I291" s="27">
        <f>E286</f>
        <v>9.9503999999999984</v>
      </c>
      <c r="J291" s="27">
        <f>F286</f>
        <v>4.2713999999999999</v>
      </c>
      <c r="K291" s="27">
        <f>G286</f>
        <v>2.9447999999999999</v>
      </c>
      <c r="L291" s="27">
        <f>H286</f>
        <v>0.83340000000000003</v>
      </c>
      <c r="M291" s="28">
        <f>$M$280</f>
        <v>6</v>
      </c>
      <c r="N291" s="29">
        <f>$N$280</f>
        <v>8</v>
      </c>
      <c r="O291" s="28">
        <f>$O$280</f>
        <v>2</v>
      </c>
      <c r="P291" s="28">
        <f>$P$280</f>
        <v>0</v>
      </c>
      <c r="Q291" s="28">
        <f>SUM(M291:P291)</f>
        <v>16</v>
      </c>
      <c r="R291" s="22">
        <f>MAX(R290-($J$30*M291*$L$33)+I291,0)</f>
        <v>0</v>
      </c>
      <c r="S291" s="22">
        <f>IF(U291&lt;&gt;0,(MAX(S290-($J$31*N291*$L$33)+J291,0)),(MAX(S290-($J$31*(N291+P291)*$L$33)+J291,0)))</f>
        <v>3.6836708890928058</v>
      </c>
      <c r="T291" s="22">
        <f>MAX(T290-($J$32*O291*$L$33)+K291,0)</f>
        <v>0</v>
      </c>
      <c r="U291" s="22">
        <f>MAX(U290-($J$33*P291*$L$33)+L291,0)</f>
        <v>10.000799999999998</v>
      </c>
      <c r="V291" s="21">
        <f>IFERROR(R291*($I$30/M291),0)</f>
        <v>0</v>
      </c>
      <c r="W291" s="21">
        <f>IFERROR(S291*($I$31/N291),0)</f>
        <v>0.78980390339999895</v>
      </c>
      <c r="X291" s="21">
        <f>IFERROR(T291*($I$32/O291),0)</f>
        <v>0</v>
      </c>
      <c r="Y291" s="21">
        <f>IFERROR(U291*($I$33/P291),0)</f>
        <v>0</v>
      </c>
      <c r="Z291" s="221">
        <f>ROUNDUP(SUM(V291*$C$30,W291*$C$31,X291*$C$32,Y291*$C$33),0)</f>
        <v>1</v>
      </c>
      <c r="AA291" s="30">
        <f>IF(R291&lt;&gt;0,($J$30*M291*$L$33),0)</f>
        <v>0</v>
      </c>
      <c r="AB291" s="30">
        <f>IF(W291&lt;&gt;0,($J$31*N291*$L$33),0)</f>
        <v>3.9644274259089327</v>
      </c>
      <c r="AC291" s="30">
        <f>IF(X291&lt;&gt;0,($J$32*O291*$L$33),0)</f>
        <v>0</v>
      </c>
      <c r="AD291" s="30">
        <f>IF(Y291&lt;&gt;0,($J$33*P291*$L$33),0)</f>
        <v>0</v>
      </c>
      <c r="AE291" s="32">
        <f>SUM(AA291:AD291)</f>
        <v>3.9644274259089327</v>
      </c>
      <c r="AF291" s="33">
        <f>AE287</f>
        <v>16.592565889733031</v>
      </c>
      <c r="AG291" s="40">
        <f>MAX(AG290-$Q$33+AF291,0)</f>
        <v>57.201089649857195</v>
      </c>
      <c r="AH291" s="224">
        <f>AG291*$P$33</f>
        <v>4.7973781643948552</v>
      </c>
      <c r="AI291" s="227">
        <f>SUM(Z291,IF(Z291&lt;&gt;0,$F$31,0),IF(Z291&lt;&gt;0,$N$33,0),IF(Z291&lt;&gt;0,$T$33,0),IF(Z291=0,AH296,IF(Z291=1,AH297,IF(Z291=2,AH298,IF(Z291=3,AH299,IF(Z291=4,AH300,IF(Z291=5,AH301,IF(Z291=6,AH302,IF(Z291=7,AH303,IF(Z291=8,AH304,IF(Z291=9,AH305,IF(Z291=10,AH306,IF(Z291=11,AH307,IF(Z291=12,AH308,IF(Z291=13,AH309,IF(Z291=14,AH310,IF(Z291=15,AH311,IF(Z291=16,AH312,IF(Z291=17,AH313,IF(Z291=18,AH314,IF(Z291=19,AH315,IF(Z291=20,AH316,IF(Z291=21,AH317,IF(Z291=22,AH318,IF(Z291=23,AH319,IF(Z291=24,AH320,IF(Z291=25,AH321,IF(Z291=26,AH322,IF(Z291=27,AH323,IF(Z291=28,AH324,IF(Z291=29,AH325,IF(Z291=30,AH326))))))))))))))))))))))))))))))))</f>
        <v>25.637148817391896</v>
      </c>
    </row>
    <row r="292" spans="1:35" x14ac:dyDescent="0.35">
      <c r="A292" s="48">
        <v>1713</v>
      </c>
      <c r="B292" s="58">
        <f>SUMIF([2]!Table2_23[ETA],'FIS Optimal Model (3)'!A292,[2]!Table2_23[FIS PAX])</f>
        <v>0</v>
      </c>
      <c r="C292" s="44">
        <f>IF((D291-D292)&gt;-1,(D291-D292),18)</f>
        <v>18</v>
      </c>
      <c r="D292" s="52">
        <f>MAX(D291-$E$31+B291,0)</f>
        <v>68</v>
      </c>
      <c r="E292" s="26">
        <f>$C$30*C292</f>
        <v>9.9503999999999984</v>
      </c>
      <c r="F292" s="26">
        <f>$C$31*C292</f>
        <v>4.2713999999999999</v>
      </c>
      <c r="G292" s="26">
        <f>$C$32*C292</f>
        <v>2.9447999999999999</v>
      </c>
      <c r="H292" s="26">
        <f>$C$33*C292</f>
        <v>0.83340000000000003</v>
      </c>
      <c r="I292" s="27">
        <f>E287</f>
        <v>1.1055999999999999</v>
      </c>
      <c r="J292" s="27">
        <f>F287</f>
        <v>0.47460000000000002</v>
      </c>
      <c r="K292" s="27">
        <f>G287</f>
        <v>0.32719999999999999</v>
      </c>
      <c r="L292" s="27">
        <f>H287</f>
        <v>9.2600000000000002E-2</v>
      </c>
      <c r="M292" s="28">
        <f>$M$280</f>
        <v>6</v>
      </c>
      <c r="N292" s="29">
        <f>$N$280</f>
        <v>8</v>
      </c>
      <c r="O292" s="28">
        <f>$O$280</f>
        <v>2</v>
      </c>
      <c r="P292" s="28">
        <f>$P$280</f>
        <v>0</v>
      </c>
      <c r="Q292" s="28">
        <f>SUM(M292:P292)</f>
        <v>16</v>
      </c>
      <c r="R292" s="22">
        <f>MAX(R291-($J$30*M292*$L$33)+I292,0)</f>
        <v>0</v>
      </c>
      <c r="S292" s="22">
        <f>IF(U292&lt;&gt;0,(MAX(S291-($J$31*N292*$L$33)+J292,0)),(MAX(S291-($J$31*(N292+P292)*$L$33)+J292,0)))</f>
        <v>0.19384346318387313</v>
      </c>
      <c r="T292" s="22">
        <f>MAX(T291-($J$32*O292*$L$33)+K292,0)</f>
        <v>0</v>
      </c>
      <c r="U292" s="22">
        <f>MAX(U291-($J$33*P292*$L$33)+L292,0)</f>
        <v>10.093399999999997</v>
      </c>
      <c r="V292" s="21">
        <f>IFERROR(R292*($I$30/M292),0)</f>
        <v>0</v>
      </c>
      <c r="W292" s="21">
        <f>IFERROR(S292*($I$31/N292),0)</f>
        <v>4.1561346949998891E-2</v>
      </c>
      <c r="X292" s="21">
        <f>IFERROR(T292*($I$32/O292),0)</f>
        <v>0</v>
      </c>
      <c r="Y292" s="21">
        <f>IFERROR(U292*($I$33/P292),0)</f>
        <v>0</v>
      </c>
      <c r="Z292" s="221">
        <f>ROUNDUP(SUM(V292*$C$30,W292*$C$31,X292*$C$32,Y292*$C$33),0)</f>
        <v>1</v>
      </c>
      <c r="AA292" s="30">
        <f>IF(R292&lt;&gt;0,($J$30*M292*$L$33),0)</f>
        <v>0</v>
      </c>
      <c r="AB292" s="30">
        <f>IF(W292&lt;&gt;0,($J$31*N292*$L$33),0)</f>
        <v>3.9644274259089327</v>
      </c>
      <c r="AC292" s="30">
        <f>IF(X292&lt;&gt;0,($J$32*O292*$L$33),0)</f>
        <v>0</v>
      </c>
      <c r="AD292" s="30">
        <f>IF(Y292&lt;&gt;0,($J$33*P292*$L$33),0)</f>
        <v>0</v>
      </c>
      <c r="AE292" s="32">
        <f>SUM(AA292:AD292)</f>
        <v>3.9644274259089327</v>
      </c>
      <c r="AF292" s="33">
        <f>AE288</f>
        <v>16.592565889733031</v>
      </c>
      <c r="AG292" s="40">
        <f>MAX(AG291-$Q$33+AF292,0)</f>
        <v>61.870249110138445</v>
      </c>
      <c r="AH292" s="224">
        <f>AG292*$P$33</f>
        <v>5.1889742647129697</v>
      </c>
      <c r="AI292" s="227">
        <f>SUM(Z292,IF(Z292&lt;&gt;0,$F$31,0),IF(Z292&lt;&gt;0,$N$33,0),IF(Z292&lt;&gt;0,$T$33,0),IF(Z292=0,AH297,IF(Z292=1,AH298,IF(Z292=2,AH299,IF(Z292=3,AH300,IF(Z292=4,AH301,IF(Z292=5,AH302,IF(Z292=6,AH303,IF(Z292=7,AH304,IF(Z292=8,AH305,IF(Z292=9,AH306,IF(Z292=10,AH307,IF(Z292=11,AH308,IF(Z292=12,AH309,IF(Z292=13,AH310,IF(Z292=14,AH311,IF(Z292=15,AH312,IF(Z292=16,AH313,IF(Z292=17,AH314,IF(Z292=18,AH315,IF(Z292=19,AH316,IF(Z292=20,AH317,IF(Z292=21,AH318,IF(Z292=22,AH319,IF(Z292=23,AH320,IF(Z292=24,AH321,IF(Z292=25,AH322,IF(Z292=26,AH323,IF(Z292=27,AH324,IF(Z292=28,AH325,IF(Z292=29,AH326,IF(Z292=30,AH327))))))))))))))))))))))))))))))))</f>
        <v>24.637148817391896</v>
      </c>
    </row>
    <row r="293" spans="1:35" x14ac:dyDescent="0.35">
      <c r="A293" s="48">
        <v>1714</v>
      </c>
      <c r="B293" s="58">
        <f>SUMIF([2]!Table2_23[ETA],'FIS Optimal Model (3)'!A293,[2]!Table2_23[FIS PAX])</f>
        <v>0</v>
      </c>
      <c r="C293" s="44">
        <f>IF((D292-D293)&gt;-1,(D292-D293),18)</f>
        <v>18</v>
      </c>
      <c r="D293" s="52">
        <f>MAX(D292-$E$31+B292,0)</f>
        <v>50</v>
      </c>
      <c r="E293" s="26">
        <f>$C$30*C293</f>
        <v>9.9503999999999984</v>
      </c>
      <c r="F293" s="26">
        <f>$C$31*C293</f>
        <v>4.2713999999999999</v>
      </c>
      <c r="G293" s="26">
        <f>$C$32*C293</f>
        <v>2.9447999999999999</v>
      </c>
      <c r="H293" s="26">
        <f>$C$33*C293</f>
        <v>0.83340000000000003</v>
      </c>
      <c r="I293" s="27">
        <f>E288</f>
        <v>0</v>
      </c>
      <c r="J293" s="27">
        <f>F288</f>
        <v>0</v>
      </c>
      <c r="K293" s="27">
        <f>G288</f>
        <v>0</v>
      </c>
      <c r="L293" s="27">
        <f>H288</f>
        <v>0</v>
      </c>
      <c r="M293" s="28">
        <f>$M$280</f>
        <v>6</v>
      </c>
      <c r="N293" s="29">
        <f>$N$280</f>
        <v>8</v>
      </c>
      <c r="O293" s="28">
        <f>$O$280</f>
        <v>2</v>
      </c>
      <c r="P293" s="28">
        <f>$P$280</f>
        <v>0</v>
      </c>
      <c r="Q293" s="28">
        <f>SUM(M293:P293)</f>
        <v>16</v>
      </c>
      <c r="R293" s="22">
        <f>MAX(R292-($J$30*M293*$L$33)+I293,0)</f>
        <v>0</v>
      </c>
      <c r="S293" s="22">
        <f>IF(U293&lt;&gt;0,(MAX(S292-($J$31*N293*$L$33)+J293,0)),(MAX(S292-($J$31*(N293+P293)*$L$33)+J293,0)))</f>
        <v>0</v>
      </c>
      <c r="T293" s="22">
        <f>MAX(T292-($J$32*O293*$L$33)+K293,0)</f>
        <v>0</v>
      </c>
      <c r="U293" s="22">
        <f>MAX(U292-($J$33*P293*$L$33)+L293,0)</f>
        <v>10.093399999999997</v>
      </c>
      <c r="V293" s="21">
        <f>IFERROR(R293*($I$30/M293),0)</f>
        <v>0</v>
      </c>
      <c r="W293" s="21">
        <f>IFERROR(S293*($I$31/N293),0)</f>
        <v>0</v>
      </c>
      <c r="X293" s="21">
        <f>IFERROR(T293*($I$32/O293),0)</f>
        <v>0</v>
      </c>
      <c r="Y293" s="21">
        <f>IFERROR(U293*($I$33/P293),0)</f>
        <v>0</v>
      </c>
      <c r="Z293" s="221">
        <f>ROUNDUP(SUM(V293*$C$30,W293*$C$31,X293*$C$32,Y293*$C$33),0)</f>
        <v>0</v>
      </c>
      <c r="AA293" s="30">
        <f>IF(R293&lt;&gt;0,($J$30*M293*$L$33),0)</f>
        <v>0</v>
      </c>
      <c r="AB293" s="30">
        <f>IF(W293&lt;&gt;0,($J$31*N293*$L$33),0)</f>
        <v>0</v>
      </c>
      <c r="AC293" s="30">
        <f>IF(X293&lt;&gt;0,($J$32*O293*$L$33),0)</f>
        <v>0</v>
      </c>
      <c r="AD293" s="30">
        <f>IF(Y293&lt;&gt;0,($J$33*P293*$L$33),0)</f>
        <v>0</v>
      </c>
      <c r="AE293" s="32">
        <f>SUM(AA293:AD293)</f>
        <v>0</v>
      </c>
      <c r="AF293" s="33">
        <f>AE289</f>
        <v>16.592565889733031</v>
      </c>
      <c r="AG293" s="40">
        <f>MAX(AG292-$Q$33+AF293,0)</f>
        <v>66.539408570419695</v>
      </c>
      <c r="AH293" s="224">
        <f>AG293*$P$33</f>
        <v>5.5805703650310843</v>
      </c>
      <c r="AI293" s="227">
        <f>SUM(Z293,IF(Z293&lt;&gt;0,$F$31,0),IF(Z293&lt;&gt;0,$N$33,0),IF(Z293&lt;&gt;0,$T$33,0),IF(Z293=0,AH298,IF(Z293=1,AH299,IF(Z293=2,AH300,IF(Z293=3,AH301,IF(Z293=4,AH302,IF(Z293=5,AH303,IF(Z293=6,AH304,IF(Z293=7,AH305,IF(Z293=8,AH306,IF(Z293=9,AH307,IF(Z293=10,AH308,IF(Z293=11,AH309,IF(Z293=12,AH310,IF(Z293=13,AH311,IF(Z293=14,AH312,IF(Z293=15,AH313,IF(Z293=16,AH314,IF(Z293=17,AH315,IF(Z293=18,AH316,IF(Z293=19,AH317,IF(Z293=20,AH318,IF(Z293=21,AH319,IF(Z293=22,AH320,IF(Z293=23,AH321,IF(Z293=24,AH322,IF(Z293=25,AH323,IF(Z293=26,AH324,IF(Z293=27,AH325,IF(Z293=28,AH326,IF(Z293=29,AH327,IF(Z293=30,AH328))))))))))))))))))))))))))))))))</f>
        <v>2.6371488173918953</v>
      </c>
    </row>
    <row r="294" spans="1:35" x14ac:dyDescent="0.35">
      <c r="A294" s="48">
        <v>1715</v>
      </c>
      <c r="B294" s="58">
        <f>SUMIF([2]!Table2_23[ETA],'FIS Optimal Model (3)'!A294,[2]!Table2_23[FIS PAX])</f>
        <v>0</v>
      </c>
      <c r="C294" s="44">
        <f>IF((D293-D294)&gt;-1,(D293-D294),18)</f>
        <v>18</v>
      </c>
      <c r="D294" s="52">
        <f>MAX(D293-$E$31+B293,0)</f>
        <v>32</v>
      </c>
      <c r="E294" s="26">
        <f>$C$30*C294</f>
        <v>9.9503999999999984</v>
      </c>
      <c r="F294" s="26">
        <f>$C$31*C294</f>
        <v>4.2713999999999999</v>
      </c>
      <c r="G294" s="26">
        <f>$C$32*C294</f>
        <v>2.9447999999999999</v>
      </c>
      <c r="H294" s="26">
        <f>$C$33*C294</f>
        <v>0.83340000000000003</v>
      </c>
      <c r="I294" s="27">
        <f>E289</f>
        <v>0</v>
      </c>
      <c r="J294" s="27">
        <f>F289</f>
        <v>0</v>
      </c>
      <c r="K294" s="27">
        <f>G289</f>
        <v>0</v>
      </c>
      <c r="L294" s="27">
        <f>H289</f>
        <v>0</v>
      </c>
      <c r="M294" s="28">
        <f>$M$280</f>
        <v>6</v>
      </c>
      <c r="N294" s="29">
        <f>$N$280</f>
        <v>8</v>
      </c>
      <c r="O294" s="28">
        <f>$O$280</f>
        <v>2</v>
      </c>
      <c r="P294" s="28">
        <f>$P$280</f>
        <v>0</v>
      </c>
      <c r="Q294" s="28">
        <f>SUM(M294:P294)</f>
        <v>16</v>
      </c>
      <c r="R294" s="22">
        <f>MAX(R293-($J$30*M294*$L$33)+I294,0)</f>
        <v>0</v>
      </c>
      <c r="S294" s="22">
        <f>IF(U294&lt;&gt;0,(MAX(S293-($J$31*N294*$L$33)+J294,0)),(MAX(S293-($J$31*(N294+P294)*$L$33)+J294,0)))</f>
        <v>0</v>
      </c>
      <c r="T294" s="22">
        <f>MAX(T293-($J$32*O294*$L$33)+K294,0)</f>
        <v>0</v>
      </c>
      <c r="U294" s="22">
        <f>MAX(U293-($J$33*P294*$L$33)+L294,0)</f>
        <v>10.093399999999997</v>
      </c>
      <c r="V294" s="21">
        <f>IFERROR(R294*($I$30/M294),0)</f>
        <v>0</v>
      </c>
      <c r="W294" s="21">
        <f>IFERROR(S294*($I$31/N294),0)</f>
        <v>0</v>
      </c>
      <c r="X294" s="21">
        <f>IFERROR(T294*($I$32/O294),0)</f>
        <v>0</v>
      </c>
      <c r="Y294" s="21">
        <f>IFERROR(U294*($I$33/P294),0)</f>
        <v>0</v>
      </c>
      <c r="Z294" s="221">
        <f>ROUNDUP(SUM(V294*$C$30,W294*$C$31,X294*$C$32,Y294*$C$33),0)</f>
        <v>0</v>
      </c>
      <c r="AA294" s="30">
        <f>IF(R294&lt;&gt;0,($J$30*M294*$L$33),0)</f>
        <v>0</v>
      </c>
      <c r="AB294" s="30">
        <f>IF(W294&lt;&gt;0,($J$31*N294*$L$33),0)</f>
        <v>0</v>
      </c>
      <c r="AC294" s="30">
        <f>IF(X294&lt;&gt;0,($J$32*O294*$L$33),0)</f>
        <v>0</v>
      </c>
      <c r="AD294" s="30">
        <f>IF(Y294&lt;&gt;0,($J$33*P294*$L$33),0)</f>
        <v>0</v>
      </c>
      <c r="AE294" s="32">
        <f>SUM(AA294:AD294)</f>
        <v>0</v>
      </c>
      <c r="AF294" s="33">
        <f>AE290</f>
        <v>16.592565889733031</v>
      </c>
      <c r="AG294" s="40">
        <f>MAX(AG293-$Q$33+AF294,0)</f>
        <v>71.208568030700945</v>
      </c>
      <c r="AH294" s="224">
        <f>AG294*$P$33</f>
        <v>5.9721664653491988</v>
      </c>
      <c r="AI294" s="227">
        <f>SUM(Z294,IF(Z294&lt;&gt;0,$F$31,0),IF(Z294&lt;&gt;0,$N$33,0),IF(Z294&lt;&gt;0,$T$33,0),IF(Z294=0,AH299,IF(Z294=1,AH300,IF(Z294=2,AH301,IF(Z294=3,AH302,IF(Z294=4,AH303,IF(Z294=5,AH304,IF(Z294=6,AH305,IF(Z294=7,AH306,IF(Z294=8,AH307,IF(Z294=9,AH308,IF(Z294=10,AH309,IF(Z294=11,AH310,IF(Z294=12,AH311,IF(Z294=13,AH312,IF(Z294=14,AH313,IF(Z294=15,AH314,IF(Z294=16,AH315,IF(Z294=17,AH316,IF(Z294=18,AH317,IF(Z294=19,AH318,IF(Z294=20,AH319,IF(Z294=21,AH320,IF(Z294=22,AH321,IF(Z294=23,AH322,IF(Z294=24,AH323,IF(Z294=25,AH324,IF(Z294=26,AH325,IF(Z294=27,AH326,IF(Z294=28,AH327,IF(Z294=29,AH328,IF(Z294=30,AH329))))))))))))))))))))))))))))))))</f>
        <v>1.9451703627824413</v>
      </c>
    </row>
    <row r="295" spans="1:35" x14ac:dyDescent="0.35">
      <c r="A295" s="48">
        <v>1716</v>
      </c>
      <c r="B295" s="58">
        <f>SUMIF([2]!Table2_23[ETA],'FIS Optimal Model (3)'!A295,[2]!Table2_23[FIS PAX])</f>
        <v>0</v>
      </c>
      <c r="C295" s="44">
        <f>IF((D294-D295)&gt;-1,(D294-D295),18)</f>
        <v>18</v>
      </c>
      <c r="D295" s="52">
        <f>MAX(D294-$E$31+B294,0)</f>
        <v>14</v>
      </c>
      <c r="E295" s="26">
        <f>$C$30*C295</f>
        <v>9.9503999999999984</v>
      </c>
      <c r="F295" s="26">
        <f>$C$31*C295</f>
        <v>4.2713999999999999</v>
      </c>
      <c r="G295" s="26">
        <f>$C$32*C295</f>
        <v>2.9447999999999999</v>
      </c>
      <c r="H295" s="26">
        <f>$C$33*C295</f>
        <v>0.83340000000000003</v>
      </c>
      <c r="I295" s="27">
        <f>E290</f>
        <v>0</v>
      </c>
      <c r="J295" s="27">
        <f>F290</f>
        <v>0</v>
      </c>
      <c r="K295" s="27">
        <f>G290</f>
        <v>0</v>
      </c>
      <c r="L295" s="27">
        <f>H290</f>
        <v>0</v>
      </c>
      <c r="M295" s="28">
        <f>IF(R294=0,0,$Q$23)</f>
        <v>0</v>
      </c>
      <c r="N295" s="29">
        <f>$U$23-M295-O295-P295</f>
        <v>14</v>
      </c>
      <c r="O295" s="28">
        <f>IF(T294=0,0,$S$23)</f>
        <v>0</v>
      </c>
      <c r="P295" s="28">
        <f>IF(U294=0,0,$T$23)</f>
        <v>2</v>
      </c>
      <c r="Q295" s="28">
        <f>SUM(M295:P295)</f>
        <v>16</v>
      </c>
      <c r="R295" s="22">
        <f>MAX(R294-($J$30*M295*$L$33)+I295,0)</f>
        <v>0</v>
      </c>
      <c r="S295" s="22">
        <f>IF(U295&lt;&gt;0,(MAX(S294-($J$31*N295*$L$33)+J295,0)),(MAX(S294-($J$31*(N295+P295)*$L$33)+J295,0)))</f>
        <v>0</v>
      </c>
      <c r="T295" s="22">
        <f>MAX(T294-($J$32*O295*$L$33)+K295,0)</f>
        <v>0</v>
      </c>
      <c r="U295" s="22">
        <f>MAX(U294-($J$33*P295*$L$33)+L295,0)</f>
        <v>6.4207339252806861</v>
      </c>
      <c r="V295" s="21">
        <f>IFERROR(R295*($I$30/M295),0)</f>
        <v>0</v>
      </c>
      <c r="W295" s="21">
        <f>IFERROR(S295*($I$31/N295),0)</f>
        <v>0</v>
      </c>
      <c r="X295" s="21">
        <f>IFERROR(T295*($I$32/O295),0)</f>
        <v>0</v>
      </c>
      <c r="Y295" s="21">
        <f>IFERROR(U295*($I$33/P295),0)</f>
        <v>1.4860114492999994</v>
      </c>
      <c r="Z295" s="221">
        <f>ROUNDUP(SUM(V295*$C$30,W295*$C$31,X295*$C$32,Y295*$C$33),0)</f>
        <v>1</v>
      </c>
      <c r="AA295" s="30">
        <f>IF(R295&lt;&gt;0,($J$30*M295*$L$33),0)</f>
        <v>0</v>
      </c>
      <c r="AB295" s="30">
        <f>IF(W295&lt;&gt;0,($J$31*N295*$L$33),0)</f>
        <v>0</v>
      </c>
      <c r="AC295" s="30">
        <f>IF(X295&lt;&gt;0,($J$32*O295*$L$33),0)</f>
        <v>0</v>
      </c>
      <c r="AD295" s="30">
        <f>IF(Y295&lt;&gt;0,($J$33*P295*$L$33),0)</f>
        <v>3.6726660747193107</v>
      </c>
      <c r="AE295" s="32">
        <f>SUM(AA295:AD295)</f>
        <v>3.6726660747193107</v>
      </c>
      <c r="AF295" s="33">
        <f>AE291</f>
        <v>3.9644274259089327</v>
      </c>
      <c r="AG295" s="40">
        <f>MAX(AG294-$Q$33+AF295,0)</f>
        <v>63.249589027158095</v>
      </c>
      <c r="AH295" s="224">
        <f>AG295*$P$33</f>
        <v>5.3046576413705466</v>
      </c>
      <c r="AI295" s="227">
        <f>SUM(Z295,IF(Z295&lt;&gt;0,$F$31,0),IF(Z295&lt;&gt;0,$N$33,0),IF(Z295&lt;&gt;0,$T$33,0),IF(Z295=0,AH300,IF(Z295=1,AH301,IF(Z295=2,AH302,IF(Z295=3,AH303,IF(Z295=4,AH304,IF(Z295=5,AH305,IF(Z295=6,AH306,IF(Z295=7,AH307,IF(Z295=8,AH308,IF(Z295=9,AH309,IF(Z295=10,AH310,IF(Z295=11,AH311,IF(Z295=12,AH312,IF(Z295=13,AH313,IF(Z295=14,AH314,IF(Z295=15,AH315,IF(Z295=16,AH316,IF(Z295=17,AH317,IF(Z295=18,AH318,IF(Z295=19,AH319,IF(Z295=20,AH320,IF(Z295=21,AH321,IF(Z295=22,AH322,IF(Z295=23,AH323,IF(Z295=24,AH324,IF(Z295=25,AH325,IF(Z295=26,AH326,IF(Z295=27,AH327,IF(Z295=28,AH328,IF(Z295=29,AH329,IF(Z295=30,AH330))))))))))))))))))))))))))))))))</f>
        <v>22.561213453563532</v>
      </c>
    </row>
    <row r="296" spans="1:35" x14ac:dyDescent="0.35">
      <c r="A296" s="48">
        <v>1717</v>
      </c>
      <c r="B296" s="58">
        <f>SUMIF([2]!Table2_23[ETA],'FIS Optimal Model (3)'!A296,[2]!Table2_23[FIS PAX])</f>
        <v>0</v>
      </c>
      <c r="C296" s="44">
        <f>IF((D295-D296)&gt;-1,(D295-D296),18)</f>
        <v>14</v>
      </c>
      <c r="D296" s="52">
        <f>MAX(D295-$E$31+B295,0)</f>
        <v>0</v>
      </c>
      <c r="E296" s="26">
        <f>$C$30*C296</f>
        <v>7.7391999999999994</v>
      </c>
      <c r="F296" s="26">
        <f>$C$31*C296</f>
        <v>3.3222</v>
      </c>
      <c r="G296" s="26">
        <f>$C$32*C296</f>
        <v>2.2904</v>
      </c>
      <c r="H296" s="26">
        <f>$C$33*C296</f>
        <v>0.6482</v>
      </c>
      <c r="I296" s="27">
        <f>E291</f>
        <v>9.9503999999999984</v>
      </c>
      <c r="J296" s="27">
        <f>F291</f>
        <v>4.2713999999999999</v>
      </c>
      <c r="K296" s="27">
        <f>G291</f>
        <v>2.9447999999999999</v>
      </c>
      <c r="L296" s="27">
        <f>H291</f>
        <v>0.83340000000000003</v>
      </c>
      <c r="M296" s="28">
        <f>$M$295</f>
        <v>0</v>
      </c>
      <c r="N296" s="29">
        <f>$N$295</f>
        <v>14</v>
      </c>
      <c r="O296" s="28">
        <f>$O$295</f>
        <v>0</v>
      </c>
      <c r="P296" s="28">
        <f>$P$295</f>
        <v>2</v>
      </c>
      <c r="Q296" s="28">
        <f>SUM(M296:P296)</f>
        <v>16</v>
      </c>
      <c r="R296" s="22">
        <f>MAX(R295-($J$30*M296*$L$33)+I296,0)</f>
        <v>9.9503999999999984</v>
      </c>
      <c r="S296" s="22">
        <f>IF(U296&lt;&gt;0,(MAX(S295-($J$31*N296*$L$33)+J296,0)),(MAX(S295-($J$31*(N296+P296)*$L$33)+J296,0)))</f>
        <v>0</v>
      </c>
      <c r="T296" s="22">
        <f>MAX(T295-($J$32*O296*$L$33)+K296,0)</f>
        <v>2.9447999999999999</v>
      </c>
      <c r="U296" s="22">
        <f>MAX(U295-($J$33*P296*$L$33)+L296,0)</f>
        <v>3.5814678505613755</v>
      </c>
      <c r="V296" s="21">
        <f>IFERROR(R296*($I$30/M296),0)</f>
        <v>0</v>
      </c>
      <c r="W296" s="21">
        <f>IFERROR(S296*($I$31/N296),0)</f>
        <v>0</v>
      </c>
      <c r="X296" s="21">
        <f>IFERROR(T296*($I$32/O296),0)</f>
        <v>0</v>
      </c>
      <c r="Y296" s="21">
        <f>IFERROR(U296*($I$33/P296),0)</f>
        <v>0.82889312859999942</v>
      </c>
      <c r="Z296" s="221">
        <f>ROUNDUP(SUM(V296*$C$30,W296*$C$31,X296*$C$32,Y296*$C$33),0)</f>
        <v>1</v>
      </c>
      <c r="AA296" s="30">
        <f>IF(R296&lt;&gt;0,($J$30*M296*$L$33),0)</f>
        <v>0</v>
      </c>
      <c r="AB296" s="30">
        <f>IF(W296&lt;&gt;0,($J$31*N296*$L$33),0)</f>
        <v>0</v>
      </c>
      <c r="AC296" s="30">
        <f>IF(X296&lt;&gt;0,($J$32*O296*$L$33),0)</f>
        <v>0</v>
      </c>
      <c r="AD296" s="30">
        <f>IF(Y296&lt;&gt;0,($J$33*P296*$L$33),0)</f>
        <v>3.6726660747193107</v>
      </c>
      <c r="AE296" s="32">
        <f>SUM(AA296:AD296)</f>
        <v>3.6726660747193107</v>
      </c>
      <c r="AF296" s="33">
        <f>AE292</f>
        <v>3.9644274259089327</v>
      </c>
      <c r="AG296" s="40">
        <f>MAX(AG295-$Q$33+AF296,0)</f>
        <v>55.290610023615244</v>
      </c>
      <c r="AH296" s="224">
        <f>AG296*$P$33</f>
        <v>4.6371488173918953</v>
      </c>
      <c r="AI296" s="227">
        <f>SUM(Z296,IF(Z296&lt;&gt;0,$F$31,0),IF(Z296&lt;&gt;0,$N$33,0),IF(Z296&lt;&gt;0,$T$33,0),IF(Z296=0,AH301,IF(Z296=1,AH302,IF(Z296=2,AH303,IF(Z296=3,AH304,IF(Z296=4,AH305,IF(Z296=5,AH306,IF(Z296=6,AH307,IF(Z296=7,AH308,IF(Z296=8,AH309,IF(Z296=9,AH310,IF(Z296=10,AH311,IF(Z296=11,AH312,IF(Z296=12,AH313,IF(Z296=13,AH314,IF(Z296=14,AH315,IF(Z296=15,AH316,IF(Z296=16,AH317,IF(Z296=17,AH318,IF(Z296=18,AH319,IF(Z296=19,AH320,IF(Z296=20,AH321,IF(Z296=21,AH322,IF(Z296=22,AH323,IF(Z296=23,AH324,IF(Z296=24,AH325,IF(Z296=25,AH326,IF(Z296=26,AH327,IF(Z296=27,AH328,IF(Z296=28,AH329,IF(Z296=29,AH330,IF(Z296=30,AH331))))))))))))))))))))))))))))))))</f>
        <v>22</v>
      </c>
    </row>
    <row r="297" spans="1:35" x14ac:dyDescent="0.35">
      <c r="A297" s="48">
        <v>1718</v>
      </c>
      <c r="B297" s="58">
        <f>SUMIF([2]!Table2_23[ETA],'FIS Optimal Model (3)'!A297,[2]!Table2_23[FIS PAX])</f>
        <v>0</v>
      </c>
      <c r="C297" s="44">
        <f>IF((D296-D297)&gt;-1,(D296-D297),18)</f>
        <v>0</v>
      </c>
      <c r="D297" s="52">
        <f>MAX(D296-$E$31+B296,0)</f>
        <v>0</v>
      </c>
      <c r="E297" s="26">
        <f>$C$30*C297</f>
        <v>0</v>
      </c>
      <c r="F297" s="26">
        <f>$C$31*C297</f>
        <v>0</v>
      </c>
      <c r="G297" s="26">
        <f>$C$32*C297</f>
        <v>0</v>
      </c>
      <c r="H297" s="26">
        <f>$C$33*C297</f>
        <v>0</v>
      </c>
      <c r="I297" s="27">
        <f>E292</f>
        <v>9.9503999999999984</v>
      </c>
      <c r="J297" s="27">
        <f>F292</f>
        <v>4.2713999999999999</v>
      </c>
      <c r="K297" s="27">
        <f>G292</f>
        <v>2.9447999999999999</v>
      </c>
      <c r="L297" s="27">
        <f>H292</f>
        <v>0.83340000000000003</v>
      </c>
      <c r="M297" s="28">
        <f>$M$295</f>
        <v>0</v>
      </c>
      <c r="N297" s="29">
        <f>$N$295</f>
        <v>14</v>
      </c>
      <c r="O297" s="28">
        <f>$O$295</f>
        <v>0</v>
      </c>
      <c r="P297" s="28">
        <f>$P$295</f>
        <v>2</v>
      </c>
      <c r="Q297" s="28">
        <f>SUM(M297:P297)</f>
        <v>16</v>
      </c>
      <c r="R297" s="22">
        <f>MAX(R296-($J$30*M297*$L$33)+I297,0)</f>
        <v>19.900799999999997</v>
      </c>
      <c r="S297" s="22">
        <f>IF(U297&lt;&gt;0,(MAX(S296-($J$31*N297*$L$33)+J297,0)),(MAX(S296-($J$31*(N297+P297)*$L$33)+J297,0)))</f>
        <v>0</v>
      </c>
      <c r="T297" s="22">
        <f>MAX(T296-($J$32*O297*$L$33)+K297,0)</f>
        <v>5.8895999999999997</v>
      </c>
      <c r="U297" s="22">
        <f>MAX(U296-($J$33*P297*$L$33)+L297,0)</f>
        <v>0.74220177584206481</v>
      </c>
      <c r="V297" s="21">
        <f>IFERROR(R297*($I$30/M297),0)</f>
        <v>0</v>
      </c>
      <c r="W297" s="21">
        <f>IFERROR(S297*($I$31/N297),0)</f>
        <v>0</v>
      </c>
      <c r="X297" s="21">
        <f>IFERROR(T297*($I$32/O297),0)</f>
        <v>0</v>
      </c>
      <c r="Y297" s="21">
        <f>IFERROR(U297*($I$33/P297),0)</f>
        <v>0.17177480789999955</v>
      </c>
      <c r="Z297" s="221">
        <f>ROUNDUP(SUM(V297*$C$30,W297*$C$31,X297*$C$32,Y297*$C$33),0)</f>
        <v>1</v>
      </c>
      <c r="AA297" s="30">
        <f>IF(R297&lt;&gt;0,($J$30*M297*$L$33),0)</f>
        <v>0</v>
      </c>
      <c r="AB297" s="30">
        <f>IF(W297&lt;&gt;0,($J$31*N297*$L$33),0)</f>
        <v>0</v>
      </c>
      <c r="AC297" s="30">
        <f>IF(X297&lt;&gt;0,($J$32*O297*$L$33),0)</f>
        <v>0</v>
      </c>
      <c r="AD297" s="30">
        <f>IF(Y297&lt;&gt;0,($J$33*P297*$L$33),0)</f>
        <v>3.6726660747193107</v>
      </c>
      <c r="AE297" s="32">
        <f>SUM(AA297:AD297)</f>
        <v>3.6726660747193107</v>
      </c>
      <c r="AF297" s="33">
        <f>AE293</f>
        <v>0</v>
      </c>
      <c r="AG297" s="40">
        <f>MAX(AG296-$Q$33+AF297,0)</f>
        <v>43.367203594163463</v>
      </c>
      <c r="AH297" s="224">
        <f>AG297*$P$33</f>
        <v>3.6371488173918953</v>
      </c>
      <c r="AI297" s="227">
        <f>SUM(Z297,IF(Z297&lt;&gt;0,$F$31,0),IF(Z297&lt;&gt;0,$N$33,0),IF(Z297&lt;&gt;0,$T$33,0),IF(Z297=0,AH302,IF(Z297=1,AH303,IF(Z297=2,AH304,IF(Z297=3,AH305,IF(Z297=4,AH306,IF(Z297=5,AH307,IF(Z297=6,AH308,IF(Z297=7,AH309,IF(Z297=8,AH310,IF(Z297=9,AH311,IF(Z297=10,AH312,IF(Z297=11,AH313,IF(Z297=12,AH314,IF(Z297=13,AH315,IF(Z297=14,AH316,IF(Z297=15,AH317,IF(Z297=16,AH318,IF(Z297=17,AH319,IF(Z297=18,AH320,IF(Z297=19,AH321,IF(Z297=20,AH322,IF(Z297=21,AH323,IF(Z297=22,AH324,IF(Z297=23,AH325,IF(Z297=24,AH326,IF(Z297=25,AH327,IF(Z297=26,AH328,IF(Z297=27,AH329,IF(Z297=28,AH330,IF(Z297=29,AH331,IF(Z297=30,AH332))))))))))))))))))))))))))))))))</f>
        <v>22</v>
      </c>
    </row>
    <row r="298" spans="1:35" x14ac:dyDescent="0.35">
      <c r="A298" s="48">
        <v>1719</v>
      </c>
      <c r="B298" s="58">
        <f>SUMIF([2]!Table2_23[ETA],'FIS Optimal Model (3)'!A298,[2]!Table2_23[FIS PAX])</f>
        <v>0</v>
      </c>
      <c r="C298" s="44">
        <f>IF((D297-D298)&gt;-1,(D297-D298),18)</f>
        <v>0</v>
      </c>
      <c r="D298" s="52">
        <f>MAX(D297-$E$31+B297,0)</f>
        <v>0</v>
      </c>
      <c r="E298" s="26">
        <f>$C$30*C298</f>
        <v>0</v>
      </c>
      <c r="F298" s="26">
        <f>$C$31*C298</f>
        <v>0</v>
      </c>
      <c r="G298" s="26">
        <f>$C$32*C298</f>
        <v>0</v>
      </c>
      <c r="H298" s="26">
        <f>$C$33*C298</f>
        <v>0</v>
      </c>
      <c r="I298" s="27">
        <f>E293</f>
        <v>9.9503999999999984</v>
      </c>
      <c r="J298" s="27">
        <f>F293</f>
        <v>4.2713999999999999</v>
      </c>
      <c r="K298" s="27">
        <f>G293</f>
        <v>2.9447999999999999</v>
      </c>
      <c r="L298" s="27">
        <f>H293</f>
        <v>0.83340000000000003</v>
      </c>
      <c r="M298" s="28">
        <f>$M$295</f>
        <v>0</v>
      </c>
      <c r="N298" s="29">
        <f>$N$295</f>
        <v>14</v>
      </c>
      <c r="O298" s="28">
        <f>$O$295</f>
        <v>0</v>
      </c>
      <c r="P298" s="28">
        <f>$P$295</f>
        <v>2</v>
      </c>
      <c r="Q298" s="28">
        <f>SUM(M298:P298)</f>
        <v>16</v>
      </c>
      <c r="R298" s="22">
        <f>MAX(R297-($J$30*M298*$L$33)+I298,0)</f>
        <v>29.851199999999995</v>
      </c>
      <c r="S298" s="22">
        <f>IF(U298&lt;&gt;0,(MAX(S297-($J$31*N298*$L$33)+J298,0)),(MAX(S297-($J$31*(N298+P298)*$L$33)+J298,0)))</f>
        <v>0</v>
      </c>
      <c r="T298" s="22">
        <f>MAX(T297-($J$32*O298*$L$33)+K298,0)</f>
        <v>8.8343999999999987</v>
      </c>
      <c r="U298" s="22">
        <f>MAX(U297-($J$33*P298*$L$33)+L298,0)</f>
        <v>0</v>
      </c>
      <c r="V298" s="21">
        <f>IFERROR(R298*($I$30/M298),0)</f>
        <v>0</v>
      </c>
      <c r="W298" s="21">
        <f>IFERROR(S298*($I$31/N298),0)</f>
        <v>0</v>
      </c>
      <c r="X298" s="21">
        <f>IFERROR(T298*($I$32/O298),0)</f>
        <v>0</v>
      </c>
      <c r="Y298" s="21">
        <f>IFERROR(U298*($I$33/P298),0)</f>
        <v>0</v>
      </c>
      <c r="Z298" s="221">
        <f>ROUNDUP(SUM(V298*$C$30,W298*$C$31,X298*$C$32,Y298*$C$33),0)</f>
        <v>0</v>
      </c>
      <c r="AA298" s="30">
        <f>IF(R298&lt;&gt;0,($J$30*M298*$L$33),0)</f>
        <v>0</v>
      </c>
      <c r="AB298" s="30">
        <f>IF(W298&lt;&gt;0,($J$31*N298*$L$33),0)</f>
        <v>0</v>
      </c>
      <c r="AC298" s="30">
        <f>IF(X298&lt;&gt;0,($J$32*O298*$L$33),0)</f>
        <v>0</v>
      </c>
      <c r="AD298" s="30">
        <f>IF(Y298&lt;&gt;0,($J$33*P298*$L$33),0)</f>
        <v>0</v>
      </c>
      <c r="AE298" s="32">
        <f>SUM(AA298:AD298)</f>
        <v>0</v>
      </c>
      <c r="AF298" s="33">
        <f>AE294</f>
        <v>0</v>
      </c>
      <c r="AG298" s="40">
        <f>MAX(AG297-$Q$33+AF298,0)</f>
        <v>31.443797164711683</v>
      </c>
      <c r="AH298" s="224">
        <f>AG298*$P$33</f>
        <v>2.6371488173918953</v>
      </c>
      <c r="AI298" s="227">
        <f>SUM(Z298,IF(Z298&lt;&gt;0,$F$31,0),IF(Z298&lt;&gt;0,$N$33,0),IF(Z298&lt;&gt;0,$T$33,0),IF(Z298=0,AH303,IF(Z298=1,AH304,IF(Z298=2,AH305,IF(Z298=3,AH306,IF(Z298=4,AH307,IF(Z298=5,AH308,IF(Z298=6,AH309,IF(Z298=7,AH310,IF(Z298=8,AH311,IF(Z298=9,AH312,IF(Z298=10,AH313,IF(Z298=11,AH314,IF(Z298=12,AH315,IF(Z298=13,AH316,IF(Z298=14,AH317,IF(Z298=15,AH318,IF(Z298=16,AH319,IF(Z298=17,AH320,IF(Z298=18,AH321,IF(Z298=19,AH322,IF(Z298=20,AH323,IF(Z298=21,AH324,IF(Z298=22,AH325,IF(Z298=23,AH326,IF(Z298=24,AH327,IF(Z298=25,AH328,IF(Z298=26,AH329,IF(Z298=27,AH330,IF(Z298=28,AH331,IF(Z298=29,AH332,IF(Z298=30,AH333))))))))))))))))))))))))))))))))</f>
        <v>0</v>
      </c>
    </row>
    <row r="299" spans="1:35" x14ac:dyDescent="0.35">
      <c r="A299" s="48">
        <v>1720</v>
      </c>
      <c r="B299" s="58">
        <f>SUMIF([2]!Table2_23[ETA],'FIS Optimal Model (3)'!A299,[2]!Table2_23[FIS PAX])</f>
        <v>0</v>
      </c>
      <c r="C299" s="44">
        <f>IF((D298-D299)&gt;-1,(D298-D299),18)</f>
        <v>0</v>
      </c>
      <c r="D299" s="52">
        <f>MAX(D298-$E$31+B298,0)</f>
        <v>0</v>
      </c>
      <c r="E299" s="26">
        <f>$C$30*C299</f>
        <v>0</v>
      </c>
      <c r="F299" s="26">
        <f>$C$31*C299</f>
        <v>0</v>
      </c>
      <c r="G299" s="26">
        <f>$C$32*C299</f>
        <v>0</v>
      </c>
      <c r="H299" s="26">
        <f>$C$33*C299</f>
        <v>0</v>
      </c>
      <c r="I299" s="27">
        <f>E294</f>
        <v>9.9503999999999984</v>
      </c>
      <c r="J299" s="27">
        <f>F294</f>
        <v>4.2713999999999999</v>
      </c>
      <c r="K299" s="27">
        <f>G294</f>
        <v>2.9447999999999999</v>
      </c>
      <c r="L299" s="27">
        <f>H294</f>
        <v>0.83340000000000003</v>
      </c>
      <c r="M299" s="28">
        <f>$M$295</f>
        <v>0</v>
      </c>
      <c r="N299" s="29">
        <f>$N$295</f>
        <v>14</v>
      </c>
      <c r="O299" s="28">
        <f>$O$295</f>
        <v>0</v>
      </c>
      <c r="P299" s="28">
        <f>$P$295</f>
        <v>2</v>
      </c>
      <c r="Q299" s="28">
        <f>SUM(M299:P299)</f>
        <v>16</v>
      </c>
      <c r="R299" s="22">
        <f>MAX(R298-($J$30*M299*$L$33)+I299,0)</f>
        <v>39.801599999999993</v>
      </c>
      <c r="S299" s="22">
        <f>IF(U299&lt;&gt;0,(MAX(S298-($J$31*N299*$L$33)+J299,0)),(MAX(S298-($J$31*(N299+P299)*$L$33)+J299,0)))</f>
        <v>0</v>
      </c>
      <c r="T299" s="22">
        <f>MAX(T298-($J$32*O299*$L$33)+K299,0)</f>
        <v>11.779199999999999</v>
      </c>
      <c r="U299" s="22">
        <f>MAX(U298-($J$33*P299*$L$33)+L299,0)</f>
        <v>0</v>
      </c>
      <c r="V299" s="21">
        <f>IFERROR(R299*($I$30/M299),0)</f>
        <v>0</v>
      </c>
      <c r="W299" s="21">
        <f>IFERROR(S299*($I$31/N299),0)</f>
        <v>0</v>
      </c>
      <c r="X299" s="21">
        <f>IFERROR(T299*($I$32/O299),0)</f>
        <v>0</v>
      </c>
      <c r="Y299" s="21">
        <f>IFERROR(U299*($I$33/P299),0)</f>
        <v>0</v>
      </c>
      <c r="Z299" s="221">
        <f>ROUNDUP(SUM(V299*$C$30,W299*$C$31,X299*$C$32,Y299*$C$33),0)</f>
        <v>0</v>
      </c>
      <c r="AA299" s="30">
        <f>IF(R299&lt;&gt;0,($J$30*M299*$L$33),0)</f>
        <v>0</v>
      </c>
      <c r="AB299" s="30">
        <f>IF(W299&lt;&gt;0,($J$31*N299*$L$33),0)</f>
        <v>0</v>
      </c>
      <c r="AC299" s="30">
        <f>IF(X299&lt;&gt;0,($J$32*O299*$L$33),0)</f>
        <v>0</v>
      </c>
      <c r="AD299" s="30">
        <f>IF(Y299&lt;&gt;0,($J$33*P299*$L$33),0)</f>
        <v>0</v>
      </c>
      <c r="AE299" s="32">
        <f>SUM(AA299:AD299)</f>
        <v>0</v>
      </c>
      <c r="AF299" s="33">
        <f>AE295</f>
        <v>3.6726660747193107</v>
      </c>
      <c r="AG299" s="40">
        <f>MAX(AG298-$Q$33+AF299,0)</f>
        <v>23.193056809979211</v>
      </c>
      <c r="AH299" s="224">
        <f>AG299*$P$33</f>
        <v>1.9451703627824413</v>
      </c>
      <c r="AI299" s="227">
        <f>SUM(Z299,IF(Z299&lt;&gt;0,$F$31,0),IF(Z299&lt;&gt;0,$N$33,0),IF(Z299&lt;&gt;0,$T$33,0),IF(Z299=0,AH304,IF(Z299=1,AH305,IF(Z299=2,AH306,IF(Z299=3,AH307,IF(Z299=4,AH308,IF(Z299=5,AH309,IF(Z299=6,AH310,IF(Z299=7,AH311,IF(Z299=8,AH312,IF(Z299=9,AH313,IF(Z299=10,AH314,IF(Z299=11,AH315,IF(Z299=12,AH316,IF(Z299=13,AH317,IF(Z299=14,AH318,IF(Z299=15,AH319,IF(Z299=16,AH320,IF(Z299=17,AH321,IF(Z299=18,AH322,IF(Z299=19,AH323,IF(Z299=20,AH324,IF(Z299=21,AH325,IF(Z299=22,AH326,IF(Z299=23,AH327,IF(Z299=24,AH328,IF(Z299=25,AH329,IF(Z299=26,AH330,IF(Z299=27,AH331,IF(Z299=28,AH332,IF(Z299=29,AH333,IF(Z299=30,AH334))))))))))))))))))))))))))))))))</f>
        <v>0</v>
      </c>
    </row>
    <row r="300" spans="1:35" x14ac:dyDescent="0.35">
      <c r="A300" s="48">
        <v>1721</v>
      </c>
      <c r="B300" s="58">
        <f>SUMIF([2]!Table2_23[ETA],'FIS Optimal Model (3)'!A300,[2]!Table2_23[FIS PAX])</f>
        <v>0</v>
      </c>
      <c r="C300" s="44">
        <f>IF((D299-D300)&gt;-1,(D299-D300),18)</f>
        <v>0</v>
      </c>
      <c r="D300" s="52">
        <f>MAX(D299-$E$31+B299,0)</f>
        <v>0</v>
      </c>
      <c r="E300" s="26">
        <f>$C$30*C300</f>
        <v>0</v>
      </c>
      <c r="F300" s="26">
        <f>$C$31*C300</f>
        <v>0</v>
      </c>
      <c r="G300" s="26">
        <f>$C$32*C300</f>
        <v>0</v>
      </c>
      <c r="H300" s="26">
        <f>$C$33*C300</f>
        <v>0</v>
      </c>
      <c r="I300" s="27">
        <f>E295</f>
        <v>9.9503999999999984</v>
      </c>
      <c r="J300" s="27">
        <f>F295</f>
        <v>4.2713999999999999</v>
      </c>
      <c r="K300" s="27">
        <f>G295</f>
        <v>2.9447999999999999</v>
      </c>
      <c r="L300" s="27">
        <f>H295</f>
        <v>0.83340000000000003</v>
      </c>
      <c r="M300" s="28">
        <f>$M$295</f>
        <v>0</v>
      </c>
      <c r="N300" s="29">
        <f>$N$295</f>
        <v>14</v>
      </c>
      <c r="O300" s="28">
        <f>$O$295</f>
        <v>0</v>
      </c>
      <c r="P300" s="28">
        <f>$P$295</f>
        <v>2</v>
      </c>
      <c r="Q300" s="28">
        <f>SUM(M300:P300)</f>
        <v>16</v>
      </c>
      <c r="R300" s="22">
        <f>MAX(R299-($J$30*M300*$L$33)+I300,0)</f>
        <v>49.751999999999995</v>
      </c>
      <c r="S300" s="22">
        <f>IF(U300&lt;&gt;0,(MAX(S299-($J$31*N300*$L$33)+J300,0)),(MAX(S299-($J$31*(N300+P300)*$L$33)+J300,0)))</f>
        <v>0</v>
      </c>
      <c r="T300" s="22">
        <f>MAX(T299-($J$32*O300*$L$33)+K300,0)</f>
        <v>14.724</v>
      </c>
      <c r="U300" s="22">
        <f>MAX(U299-($J$33*P300*$L$33)+L300,0)</f>
        <v>0</v>
      </c>
      <c r="V300" s="21">
        <f>IFERROR(R300*($I$30/M300),0)</f>
        <v>0</v>
      </c>
      <c r="W300" s="21">
        <f>IFERROR(S300*($I$31/N300),0)</f>
        <v>0</v>
      </c>
      <c r="X300" s="21">
        <f>IFERROR(T300*($I$32/O300),0)</f>
        <v>0</v>
      </c>
      <c r="Y300" s="21">
        <f>IFERROR(U300*($I$33/P300),0)</f>
        <v>0</v>
      </c>
      <c r="Z300" s="221">
        <f>ROUNDUP(SUM(V300*$C$30,W300*$C$31,X300*$C$32,Y300*$C$33),0)</f>
        <v>0</v>
      </c>
      <c r="AA300" s="30">
        <f>IF(R300&lt;&gt;0,($J$30*M300*$L$33),0)</f>
        <v>0</v>
      </c>
      <c r="AB300" s="30">
        <f>IF(W300&lt;&gt;0,($J$31*N300*$L$33),0)</f>
        <v>0</v>
      </c>
      <c r="AC300" s="30">
        <f>IF(X300&lt;&gt;0,($J$32*O300*$L$33),0)</f>
        <v>0</v>
      </c>
      <c r="AD300" s="30">
        <f>IF(Y300&lt;&gt;0,($J$33*P300*$L$33),0)</f>
        <v>0</v>
      </c>
      <c r="AE300" s="32">
        <f>SUM(AA300:AD300)</f>
        <v>0</v>
      </c>
      <c r="AF300" s="33">
        <f>AE296</f>
        <v>3.6726660747193107</v>
      </c>
      <c r="AG300" s="40">
        <f>MAX(AG299-$Q$33+AF300,0)</f>
        <v>14.942316455246742</v>
      </c>
      <c r="AH300" s="224">
        <f>AG300*$P$33</f>
        <v>1.2531919081729872</v>
      </c>
      <c r="AI300" s="227">
        <f>SUM(Z300,IF(Z300&lt;&gt;0,$F$31,0),IF(Z300&lt;&gt;0,$N$33,0),IF(Z300&lt;&gt;0,$T$33,0),IF(Z300=0,AH305,IF(Z300=1,AH306,IF(Z300=2,AH307,IF(Z300=3,AH308,IF(Z300=4,AH309,IF(Z300=5,AH310,IF(Z300=6,AH311,IF(Z300=7,AH312,IF(Z300=8,AH313,IF(Z300=9,AH314,IF(Z300=10,AH315,IF(Z300=11,AH316,IF(Z300=12,AH317,IF(Z300=13,AH318,IF(Z300=14,AH319,IF(Z300=15,AH320,IF(Z300=16,AH321,IF(Z300=17,AH322,IF(Z300=18,AH323,IF(Z300=19,AH324,IF(Z300=20,AH325,IF(Z300=21,AH326,IF(Z300=22,AH327,IF(Z300=23,AH328,IF(Z300=24,AH329,IF(Z300=25,AH330,IF(Z300=26,AH331,IF(Z300=27,AH332,IF(Z300=28,AH333,IF(Z300=29,AH334,IF(Z300=30,AH335))))))))))))))))))))))))))))))))</f>
        <v>0</v>
      </c>
    </row>
    <row r="301" spans="1:35" x14ac:dyDescent="0.35">
      <c r="A301" s="48">
        <v>1722</v>
      </c>
      <c r="B301" s="58">
        <f>SUMIF([2]!Table2_23[ETA],'FIS Optimal Model (3)'!A301,[2]!Table2_23[FIS PAX])</f>
        <v>0</v>
      </c>
      <c r="C301" s="44">
        <f>IF((D300-D301)&gt;-1,(D300-D301),18)</f>
        <v>0</v>
      </c>
      <c r="D301" s="52">
        <f>MAX(D300-$E$31+B300,0)</f>
        <v>0</v>
      </c>
      <c r="E301" s="26">
        <f>$C$30*C301</f>
        <v>0</v>
      </c>
      <c r="F301" s="26">
        <f>$C$31*C301</f>
        <v>0</v>
      </c>
      <c r="G301" s="26">
        <f>$C$32*C301</f>
        <v>0</v>
      </c>
      <c r="H301" s="26">
        <f>$C$33*C301</f>
        <v>0</v>
      </c>
      <c r="I301" s="27">
        <f>E296</f>
        <v>7.7391999999999994</v>
      </c>
      <c r="J301" s="27">
        <f>F296</f>
        <v>3.3222</v>
      </c>
      <c r="K301" s="27">
        <f>G296</f>
        <v>2.2904</v>
      </c>
      <c r="L301" s="27">
        <f>H296</f>
        <v>0.6482</v>
      </c>
      <c r="M301" s="28">
        <f>$M$295</f>
        <v>0</v>
      </c>
      <c r="N301" s="29">
        <f>$N$295</f>
        <v>14</v>
      </c>
      <c r="O301" s="28">
        <f>$O$295</f>
        <v>0</v>
      </c>
      <c r="P301" s="28">
        <f>$P$295</f>
        <v>2</v>
      </c>
      <c r="Q301" s="28">
        <f>SUM(M301:P301)</f>
        <v>16</v>
      </c>
      <c r="R301" s="22">
        <f>MAX(R300-($J$30*M301*$L$33)+I301,0)</f>
        <v>57.491199999999992</v>
      </c>
      <c r="S301" s="22">
        <f>IF(U301&lt;&gt;0,(MAX(S300-($J$31*N301*$L$33)+J301,0)),(MAX(S300-($J$31*(N301+P301)*$L$33)+J301,0)))</f>
        <v>0</v>
      </c>
      <c r="T301" s="22">
        <f>MAX(T300-($J$32*O301*$L$33)+K301,0)</f>
        <v>17.014400000000002</v>
      </c>
      <c r="U301" s="22">
        <f>MAX(U300-($J$33*P301*$L$33)+L301,0)</f>
        <v>0</v>
      </c>
      <c r="V301" s="21">
        <f>IFERROR(R301*($I$30/M301),0)</f>
        <v>0</v>
      </c>
      <c r="W301" s="21">
        <f>IFERROR(S301*($I$31/N301),0)</f>
        <v>0</v>
      </c>
      <c r="X301" s="21">
        <f>IFERROR(T301*($I$32/O301),0)</f>
        <v>0</v>
      </c>
      <c r="Y301" s="21">
        <f>IFERROR(U301*($I$33/P301),0)</f>
        <v>0</v>
      </c>
      <c r="Z301" s="221">
        <f>ROUNDUP(SUM(V301*$C$30,W301*$C$31,X301*$C$32,Y301*$C$33),0)</f>
        <v>0</v>
      </c>
      <c r="AA301" s="30">
        <f>IF(R301&lt;&gt;0,($J$30*M301*$L$33),0)</f>
        <v>0</v>
      </c>
      <c r="AB301" s="30">
        <f>IF(W301&lt;&gt;0,($J$31*N301*$L$33),0)</f>
        <v>0</v>
      </c>
      <c r="AC301" s="30">
        <f>IF(X301&lt;&gt;0,($J$32*O301*$L$33),0)</f>
        <v>0</v>
      </c>
      <c r="AD301" s="30">
        <f>IF(Y301&lt;&gt;0,($J$33*P301*$L$33),0)</f>
        <v>0</v>
      </c>
      <c r="AE301" s="32">
        <f>SUM(AA301:AD301)</f>
        <v>0</v>
      </c>
      <c r="AF301" s="33">
        <f>AE297</f>
        <v>3.6726660747193107</v>
      </c>
      <c r="AG301" s="40">
        <f>MAX(AG300-$Q$33+AF301,0)</f>
        <v>6.691576100514272</v>
      </c>
      <c r="AH301" s="224">
        <f>AG301*$P$33</f>
        <v>0.56121345356353336</v>
      </c>
      <c r="AI301" s="227">
        <f>SUM(Z301,IF(Z301&lt;&gt;0,$F$31,0),IF(Z301&lt;&gt;0,$N$33,0),IF(Z301&lt;&gt;0,$T$33,0),IF(Z301=0,AH306,IF(Z301=1,AH307,IF(Z301=2,AH308,IF(Z301=3,AH309,IF(Z301=4,AH310,IF(Z301=5,AH311,IF(Z301=6,AH312,IF(Z301=7,AH313,IF(Z301=8,AH314,IF(Z301=9,AH315,IF(Z301=10,AH316,IF(Z301=11,AH317,IF(Z301=12,AH318,IF(Z301=13,AH319,IF(Z301=14,AH320,IF(Z301=15,AH321,IF(Z301=16,AH322,IF(Z301=17,AH323,IF(Z301=18,AH324,IF(Z301=19,AH325,IF(Z301=20,AH326,IF(Z301=21,AH327,IF(Z301=22,AH328,IF(Z301=23,AH329,IF(Z301=24,AH330,IF(Z301=25,AH331,IF(Z301=26,AH332,IF(Z301=27,AH333,IF(Z301=28,AH334,IF(Z301=29,AH335,IF(Z301=30,AH336))))))))))))))))))))))))))))))))</f>
        <v>0</v>
      </c>
    </row>
    <row r="302" spans="1:35" x14ac:dyDescent="0.35">
      <c r="A302" s="48">
        <v>1723</v>
      </c>
      <c r="B302" s="58">
        <f>SUMIF([2]!Table2_23[ETA],'FIS Optimal Model (3)'!A302,[2]!Table2_23[FIS PAX])</f>
        <v>0</v>
      </c>
      <c r="C302" s="44">
        <f>IF((D301-D302)&gt;-1,(D301-D302),18)</f>
        <v>0</v>
      </c>
      <c r="D302" s="52">
        <f>MAX(D301-$E$31+B301,0)</f>
        <v>0</v>
      </c>
      <c r="E302" s="26">
        <f>$C$30*C302</f>
        <v>0</v>
      </c>
      <c r="F302" s="26">
        <f>$C$31*C302</f>
        <v>0</v>
      </c>
      <c r="G302" s="26">
        <f>$C$32*C302</f>
        <v>0</v>
      </c>
      <c r="H302" s="26">
        <f>$C$33*C302</f>
        <v>0</v>
      </c>
      <c r="I302" s="27">
        <f>E297</f>
        <v>0</v>
      </c>
      <c r="J302" s="27">
        <f>F297</f>
        <v>0</v>
      </c>
      <c r="K302" s="27">
        <f>G297</f>
        <v>0</v>
      </c>
      <c r="L302" s="27">
        <f>H297</f>
        <v>0</v>
      </c>
      <c r="M302" s="28">
        <f>$M$295</f>
        <v>0</v>
      </c>
      <c r="N302" s="29">
        <f>$N$295</f>
        <v>14</v>
      </c>
      <c r="O302" s="28">
        <f>$O$295</f>
        <v>0</v>
      </c>
      <c r="P302" s="28">
        <f>$P$295</f>
        <v>2</v>
      </c>
      <c r="Q302" s="28">
        <f>SUM(M302:P302)</f>
        <v>16</v>
      </c>
      <c r="R302" s="22">
        <f>MAX(R301-($J$30*M302*$L$33)+I302,0)</f>
        <v>57.491199999999992</v>
      </c>
      <c r="S302" s="22">
        <f>IF(U302&lt;&gt;0,(MAX(S301-($J$31*N302*$L$33)+J302,0)),(MAX(S301-($J$31*(N302+P302)*$L$33)+J302,0)))</f>
        <v>0</v>
      </c>
      <c r="T302" s="22">
        <f>MAX(T301-($J$32*O302*$L$33)+K302,0)</f>
        <v>17.014400000000002</v>
      </c>
      <c r="U302" s="22">
        <f>MAX(U301-($J$33*P302*$L$33)+L302,0)</f>
        <v>0</v>
      </c>
      <c r="V302" s="21">
        <f>IFERROR(R302*($I$30/M302),0)</f>
        <v>0</v>
      </c>
      <c r="W302" s="21">
        <f>IFERROR(S302*($I$31/N302),0)</f>
        <v>0</v>
      </c>
      <c r="X302" s="21">
        <f>IFERROR(T302*($I$32/O302),0)</f>
        <v>0</v>
      </c>
      <c r="Y302" s="21">
        <f>IFERROR(U302*($I$33/P302),0)</f>
        <v>0</v>
      </c>
      <c r="Z302" s="221">
        <f>ROUNDUP(SUM(V302*$C$30,W302*$C$31,X302*$C$32,Y302*$C$33),0)</f>
        <v>0</v>
      </c>
      <c r="AA302" s="30">
        <f>IF(R302&lt;&gt;0,($J$30*M302*$L$33),0)</f>
        <v>0</v>
      </c>
      <c r="AB302" s="30">
        <f>IF(W302&lt;&gt;0,($J$31*N302*$L$33),0)</f>
        <v>0</v>
      </c>
      <c r="AC302" s="30">
        <f>IF(X302&lt;&gt;0,($J$32*O302*$L$33),0)</f>
        <v>0</v>
      </c>
      <c r="AD302" s="30">
        <f>IF(Y302&lt;&gt;0,($J$33*P302*$L$33),0)</f>
        <v>0</v>
      </c>
      <c r="AE302" s="32">
        <f>SUM(AA302:AD302)</f>
        <v>0</v>
      </c>
      <c r="AF302" s="33">
        <f>AE298</f>
        <v>0</v>
      </c>
      <c r="AG302" s="40">
        <f>MAX(AG301-$Q$33+AF302,0)</f>
        <v>0</v>
      </c>
      <c r="AH302" s="224">
        <f>AG302*$P$33</f>
        <v>0</v>
      </c>
      <c r="AI302" s="227">
        <f>SUM(Z302,IF(Z302&lt;&gt;0,$F$31,0),IF(Z302&lt;&gt;0,$N$33,0),IF(Z302&lt;&gt;0,$T$33,0),IF(Z302=0,AH307,IF(Z302=1,AH308,IF(Z302=2,AH309,IF(Z302=3,AH310,IF(Z302=4,AH311,IF(Z302=5,AH312,IF(Z302=6,AH313,IF(Z302=7,AH314,IF(Z302=8,AH315,IF(Z302=9,AH316,IF(Z302=10,AH317,IF(Z302=11,AH318,IF(Z302=12,AH319,IF(Z302=13,AH320,IF(Z302=14,AH321,IF(Z302=15,AH322,IF(Z302=16,AH323,IF(Z302=17,AH324,IF(Z302=18,AH325,IF(Z302=19,AH326,IF(Z302=20,AH327,IF(Z302=21,AH328,IF(Z302=22,AH329,IF(Z302=23,AH330,IF(Z302=24,AH331,IF(Z302=25,AH332,IF(Z302=26,AH333,IF(Z302=27,AH334,IF(Z302=28,AH335,IF(Z302=29,AH336,IF(Z302=30,AH337))))))))))))))))))))))))))))))))</f>
        <v>0</v>
      </c>
    </row>
    <row r="303" spans="1:35" x14ac:dyDescent="0.35">
      <c r="A303" s="48">
        <v>1724</v>
      </c>
      <c r="B303" s="58">
        <f>SUMIF([2]!Table2_23[ETA],'FIS Optimal Model (3)'!A303,[2]!Table2_23[FIS PAX])</f>
        <v>0</v>
      </c>
      <c r="C303" s="44">
        <f>IF((D302-D303)&gt;-1,(D302-D303),18)</f>
        <v>0</v>
      </c>
      <c r="D303" s="52">
        <f>MAX(D302-$E$31+B302,0)</f>
        <v>0</v>
      </c>
      <c r="E303" s="26">
        <f>$C$30*C303</f>
        <v>0</v>
      </c>
      <c r="F303" s="26">
        <f>$C$31*C303</f>
        <v>0</v>
      </c>
      <c r="G303" s="26">
        <f>$C$32*C303</f>
        <v>0</v>
      </c>
      <c r="H303" s="26">
        <f>$C$33*C303</f>
        <v>0</v>
      </c>
      <c r="I303" s="27">
        <f>E298</f>
        <v>0</v>
      </c>
      <c r="J303" s="27">
        <f>F298</f>
        <v>0</v>
      </c>
      <c r="K303" s="27">
        <f>G298</f>
        <v>0</v>
      </c>
      <c r="L303" s="27">
        <f>H298</f>
        <v>0</v>
      </c>
      <c r="M303" s="28">
        <f>$M$295</f>
        <v>0</v>
      </c>
      <c r="N303" s="29">
        <f>$N$295</f>
        <v>14</v>
      </c>
      <c r="O303" s="28">
        <f>$O$295</f>
        <v>0</v>
      </c>
      <c r="P303" s="28">
        <f>$P$295</f>
        <v>2</v>
      </c>
      <c r="Q303" s="28">
        <f>SUM(M303:P303)</f>
        <v>16</v>
      </c>
      <c r="R303" s="22">
        <f>MAX(R302-($J$30*M303*$L$33)+I303,0)</f>
        <v>57.491199999999992</v>
      </c>
      <c r="S303" s="22">
        <f>IF(U303&lt;&gt;0,(MAX(S302-($J$31*N303*$L$33)+J303,0)),(MAX(S302-($J$31*(N303+P303)*$L$33)+J303,0)))</f>
        <v>0</v>
      </c>
      <c r="T303" s="22">
        <f>MAX(T302-($J$32*O303*$L$33)+K303,0)</f>
        <v>17.014400000000002</v>
      </c>
      <c r="U303" s="22">
        <f>MAX(U302-($J$33*P303*$L$33)+L303,0)</f>
        <v>0</v>
      </c>
      <c r="V303" s="21">
        <f>IFERROR(R303*($I$30/M303),0)</f>
        <v>0</v>
      </c>
      <c r="W303" s="21">
        <f>IFERROR(S303*($I$31/N303),0)</f>
        <v>0</v>
      </c>
      <c r="X303" s="21">
        <f>IFERROR(T303*($I$32/O303),0)</f>
        <v>0</v>
      </c>
      <c r="Y303" s="21">
        <f>IFERROR(U303*($I$33/P303),0)</f>
        <v>0</v>
      </c>
      <c r="Z303" s="221">
        <f>ROUNDUP(SUM(V303*$C$30,W303*$C$31,X303*$C$32,Y303*$C$33),0)</f>
        <v>0</v>
      </c>
      <c r="AA303" s="30">
        <f>IF(R303&lt;&gt;0,($J$30*M303*$L$33),0)</f>
        <v>0</v>
      </c>
      <c r="AB303" s="30">
        <f>IF(W303&lt;&gt;0,($J$31*N303*$L$33),0)</f>
        <v>0</v>
      </c>
      <c r="AC303" s="30">
        <f>IF(X303&lt;&gt;0,($J$32*O303*$L$33),0)</f>
        <v>0</v>
      </c>
      <c r="AD303" s="30">
        <f>IF(Y303&lt;&gt;0,($J$33*P303*$L$33),0)</f>
        <v>0</v>
      </c>
      <c r="AE303" s="32">
        <f>SUM(AA303:AD303)</f>
        <v>0</v>
      </c>
      <c r="AF303" s="33">
        <f>AE299</f>
        <v>0</v>
      </c>
      <c r="AG303" s="40">
        <f>MAX(AG302-$Q$33+AF303,0)</f>
        <v>0</v>
      </c>
      <c r="AH303" s="224">
        <f>AG303*$P$33</f>
        <v>0</v>
      </c>
      <c r="AI303" s="227">
        <f>SUM(Z303,IF(Z303&lt;&gt;0,$F$31,0),IF(Z303&lt;&gt;0,$N$33,0),IF(Z303&lt;&gt;0,$T$33,0),IF(Z303=0,AH308,IF(Z303=1,AH309,IF(Z303=2,AH310,IF(Z303=3,AH311,IF(Z303=4,AH312,IF(Z303=5,AH313,IF(Z303=6,AH314,IF(Z303=7,AH315,IF(Z303=8,AH316,IF(Z303=9,AH317,IF(Z303=10,AH318,IF(Z303=11,AH319,IF(Z303=12,AH320,IF(Z303=13,AH321,IF(Z303=14,AH322,IF(Z303=15,AH323,IF(Z303=16,AH324,IF(Z303=17,AH325,IF(Z303=18,AH326,IF(Z303=19,AH327,IF(Z303=20,AH328,IF(Z303=21,AH329,IF(Z303=22,AH330,IF(Z303=23,AH331,IF(Z303=24,AH332,IF(Z303=25,AH333,IF(Z303=26,AH334,IF(Z303=27,AH335,IF(Z303=28,AH336,IF(Z303=29,AH337,IF(Z303=30,AH338))))))))))))))))))))))))))))))))</f>
        <v>0</v>
      </c>
    </row>
    <row r="304" spans="1:35" x14ac:dyDescent="0.35">
      <c r="A304" s="48">
        <v>1725</v>
      </c>
      <c r="B304" s="58">
        <f>SUMIF([2]!Table2_23[ETA],'FIS Optimal Model (3)'!A304,[2]!Table2_23[FIS PAX])</f>
        <v>0</v>
      </c>
      <c r="C304" s="44">
        <f>IF((D303-D304)&gt;-1,(D303-D304),18)</f>
        <v>0</v>
      </c>
      <c r="D304" s="52">
        <f>MAX(D303-$E$31+B303,0)</f>
        <v>0</v>
      </c>
      <c r="E304" s="26">
        <f>$C$30*C304</f>
        <v>0</v>
      </c>
      <c r="F304" s="26">
        <f>$C$31*C304</f>
        <v>0</v>
      </c>
      <c r="G304" s="26">
        <f>$C$32*C304</f>
        <v>0</v>
      </c>
      <c r="H304" s="26">
        <f>$C$33*C304</f>
        <v>0</v>
      </c>
      <c r="I304" s="27">
        <f>E299</f>
        <v>0</v>
      </c>
      <c r="J304" s="27">
        <f>F299</f>
        <v>0</v>
      </c>
      <c r="K304" s="27">
        <f>G299</f>
        <v>0</v>
      </c>
      <c r="L304" s="27">
        <f>H299</f>
        <v>0</v>
      </c>
      <c r="M304" s="28">
        <f>$M$295</f>
        <v>0</v>
      </c>
      <c r="N304" s="29">
        <f>$N$295</f>
        <v>14</v>
      </c>
      <c r="O304" s="28">
        <f>$O$295</f>
        <v>0</v>
      </c>
      <c r="P304" s="28">
        <f>$P$295</f>
        <v>2</v>
      </c>
      <c r="Q304" s="28">
        <f>SUM(M304:P304)</f>
        <v>16</v>
      </c>
      <c r="R304" s="22">
        <f>MAX(R303-($J$30*M304*$L$33)+I304,0)</f>
        <v>57.491199999999992</v>
      </c>
      <c r="S304" s="22">
        <f>IF(U304&lt;&gt;0,(MAX(S303-($J$31*N304*$L$33)+J304,0)),(MAX(S303-($J$31*(N304+P304)*$L$33)+J304,0)))</f>
        <v>0</v>
      </c>
      <c r="T304" s="22">
        <f>MAX(T303-($J$32*O304*$L$33)+K304,0)</f>
        <v>17.014400000000002</v>
      </c>
      <c r="U304" s="22">
        <f>MAX(U303-($J$33*P304*$L$33)+L304,0)</f>
        <v>0</v>
      </c>
      <c r="V304" s="21">
        <f>IFERROR(R304*($I$30/M304),0)</f>
        <v>0</v>
      </c>
      <c r="W304" s="21">
        <f>IFERROR(S304*($I$31/N304),0)</f>
        <v>0</v>
      </c>
      <c r="X304" s="21">
        <f>IFERROR(T304*($I$32/O304),0)</f>
        <v>0</v>
      </c>
      <c r="Y304" s="21">
        <f>IFERROR(U304*($I$33/P304),0)</f>
        <v>0</v>
      </c>
      <c r="Z304" s="221">
        <f>ROUNDUP(SUM(V304*$C$30,W304*$C$31,X304*$C$32,Y304*$C$33),0)</f>
        <v>0</v>
      </c>
      <c r="AA304" s="30">
        <f>IF(R304&lt;&gt;0,($J$30*M304*$L$33),0)</f>
        <v>0</v>
      </c>
      <c r="AB304" s="30">
        <f>IF(W304&lt;&gt;0,($J$31*N304*$L$33),0)</f>
        <v>0</v>
      </c>
      <c r="AC304" s="30">
        <f>IF(X304&lt;&gt;0,($J$32*O304*$L$33),0)</f>
        <v>0</v>
      </c>
      <c r="AD304" s="30">
        <f>IF(Y304&lt;&gt;0,($J$33*P304*$L$33),0)</f>
        <v>0</v>
      </c>
      <c r="AE304" s="32">
        <f>SUM(AA304:AD304)</f>
        <v>0</v>
      </c>
      <c r="AF304" s="33">
        <f>AE300</f>
        <v>0</v>
      </c>
      <c r="AG304" s="40">
        <f>MAX(AG303-$Q$33+AF304,0)</f>
        <v>0</v>
      </c>
      <c r="AH304" s="224">
        <f>AG304*$P$33</f>
        <v>0</v>
      </c>
      <c r="AI304" s="227">
        <f>SUM(Z304,IF(Z304&lt;&gt;0,$F$31,0),IF(Z304&lt;&gt;0,$N$33,0),IF(Z304&lt;&gt;0,$T$33,0),IF(Z304=0,AH309,IF(Z304=1,AH310,IF(Z304=2,AH311,IF(Z304=3,AH312,IF(Z304=4,AH313,IF(Z304=5,AH314,IF(Z304=6,AH315,IF(Z304=7,AH316,IF(Z304=8,AH317,IF(Z304=9,AH318,IF(Z304=10,AH319,IF(Z304=11,AH320,IF(Z304=12,AH321,IF(Z304=13,AH322,IF(Z304=14,AH323,IF(Z304=15,AH324,IF(Z304=16,AH325,IF(Z304=17,AH326,IF(Z304=18,AH327,IF(Z304=19,AH328,IF(Z304=20,AH329,IF(Z304=21,AH330,IF(Z304=22,AH331,IF(Z304=23,AH332,IF(Z304=24,AH333,IF(Z304=25,AH334,IF(Z304=26,AH335,IF(Z304=27,AH336,IF(Z304=28,AH337,IF(Z304=29,AH338,IF(Z304=30,AH339))))))))))))))))))))))))))))))))</f>
        <v>0</v>
      </c>
    </row>
    <row r="305" spans="1:35" x14ac:dyDescent="0.35">
      <c r="A305" s="48">
        <v>1726</v>
      </c>
      <c r="B305" s="58">
        <f>SUMIF([2]!Table2_23[ETA],'FIS Optimal Model (3)'!A305,[2]!Table2_23[FIS PAX])</f>
        <v>0</v>
      </c>
      <c r="C305" s="44">
        <f>IF((D304-D305)&gt;-1,(D304-D305),18)</f>
        <v>0</v>
      </c>
      <c r="D305" s="52">
        <f>MAX(D304-$E$31+B304,0)</f>
        <v>0</v>
      </c>
      <c r="E305" s="26">
        <f>$C$30*C305</f>
        <v>0</v>
      </c>
      <c r="F305" s="26">
        <f>$C$31*C305</f>
        <v>0</v>
      </c>
      <c r="G305" s="26">
        <f>$C$32*C305</f>
        <v>0</v>
      </c>
      <c r="H305" s="26">
        <f>$C$33*C305</f>
        <v>0</v>
      </c>
      <c r="I305" s="27">
        <f>E300</f>
        <v>0</v>
      </c>
      <c r="J305" s="27">
        <f>F300</f>
        <v>0</v>
      </c>
      <c r="K305" s="27">
        <f>G300</f>
        <v>0</v>
      </c>
      <c r="L305" s="27">
        <f>H300</f>
        <v>0</v>
      </c>
      <c r="M305" s="28">
        <f>$M$295</f>
        <v>0</v>
      </c>
      <c r="N305" s="29">
        <f>$N$295</f>
        <v>14</v>
      </c>
      <c r="O305" s="28">
        <f>$O$295</f>
        <v>0</v>
      </c>
      <c r="P305" s="28">
        <f>$P$295</f>
        <v>2</v>
      </c>
      <c r="Q305" s="28">
        <f>SUM(M305:P305)</f>
        <v>16</v>
      </c>
      <c r="R305" s="22">
        <f>MAX(R304-($J$30*M305*$L$33)+I305,0)</f>
        <v>57.491199999999992</v>
      </c>
      <c r="S305" s="22">
        <f>IF(U305&lt;&gt;0,(MAX(S304-($J$31*N305*$L$33)+J305,0)),(MAX(S304-($J$31*(N305+P305)*$L$33)+J305,0)))</f>
        <v>0</v>
      </c>
      <c r="T305" s="22">
        <f>MAX(T304-($J$32*O305*$L$33)+K305,0)</f>
        <v>17.014400000000002</v>
      </c>
      <c r="U305" s="22">
        <f>MAX(U304-($J$33*P305*$L$33)+L305,0)</f>
        <v>0</v>
      </c>
      <c r="V305" s="21">
        <f>IFERROR(R305*($I$30/M305),0)</f>
        <v>0</v>
      </c>
      <c r="W305" s="21">
        <f>IFERROR(S305*($I$31/N305),0)</f>
        <v>0</v>
      </c>
      <c r="X305" s="21">
        <f>IFERROR(T305*($I$32/O305),0)</f>
        <v>0</v>
      </c>
      <c r="Y305" s="21">
        <f>IFERROR(U305*($I$33/P305),0)</f>
        <v>0</v>
      </c>
      <c r="Z305" s="221">
        <f>ROUNDUP(SUM(V305*$C$30,W305*$C$31,X305*$C$32,Y305*$C$33),0)</f>
        <v>0</v>
      </c>
      <c r="AA305" s="30">
        <f>IF(R305&lt;&gt;0,($J$30*M305*$L$33),0)</f>
        <v>0</v>
      </c>
      <c r="AB305" s="30">
        <f>IF(W305&lt;&gt;0,($J$31*N305*$L$33),0)</f>
        <v>0</v>
      </c>
      <c r="AC305" s="30">
        <f>IF(X305&lt;&gt;0,($J$32*O305*$L$33),0)</f>
        <v>0</v>
      </c>
      <c r="AD305" s="30">
        <f>IF(Y305&lt;&gt;0,($J$33*P305*$L$33),0)</f>
        <v>0</v>
      </c>
      <c r="AE305" s="32">
        <f>SUM(AA305:AD305)</f>
        <v>0</v>
      </c>
      <c r="AF305" s="33">
        <f>AE301</f>
        <v>0</v>
      </c>
      <c r="AG305" s="40">
        <f>MAX(AG304-$Q$33+AF305,0)</f>
        <v>0</v>
      </c>
      <c r="AH305" s="224">
        <f>AG305*$P$33</f>
        <v>0</v>
      </c>
      <c r="AI305" s="227">
        <f>SUM(Z305,IF(Z305&lt;&gt;0,$F$31,0),IF(Z305&lt;&gt;0,$N$33,0),IF(Z305&lt;&gt;0,$T$33,0),IF(Z305=0,AH310,IF(Z305=1,AH311,IF(Z305=2,AH312,IF(Z305=3,AH313,IF(Z305=4,AH314,IF(Z305=5,AH315,IF(Z305=6,AH316,IF(Z305=7,AH317,IF(Z305=8,AH318,IF(Z305=9,AH319,IF(Z305=10,AH320,IF(Z305=11,AH321,IF(Z305=12,AH322,IF(Z305=13,AH323,IF(Z305=14,AH324,IF(Z305=15,AH325,IF(Z305=16,AH326,IF(Z305=17,AH327,IF(Z305=18,AH328,IF(Z305=19,AH329,IF(Z305=20,AH330,IF(Z305=21,AH331,IF(Z305=22,AH332,IF(Z305=23,AH333,IF(Z305=24,AH334,IF(Z305=25,AH335,IF(Z305=26,AH336,IF(Z305=27,AH337,IF(Z305=28,AH338,IF(Z305=29,AH339,IF(Z305=30,AH340))))))))))))))))))))))))))))))))</f>
        <v>0</v>
      </c>
    </row>
    <row r="306" spans="1:35" x14ac:dyDescent="0.35">
      <c r="A306" s="48">
        <v>1727</v>
      </c>
      <c r="B306" s="58">
        <f>SUMIF([2]!Table2_23[ETA],'FIS Optimal Model (3)'!A306,[2]!Table2_23[FIS PAX])</f>
        <v>0</v>
      </c>
      <c r="C306" s="44">
        <f>IF((D305-D306)&gt;-1,(D305-D306),18)</f>
        <v>0</v>
      </c>
      <c r="D306" s="52">
        <f>MAX(D305-$E$31+B305,0)</f>
        <v>0</v>
      </c>
      <c r="E306" s="26">
        <f>$C$30*C306</f>
        <v>0</v>
      </c>
      <c r="F306" s="26">
        <f>$C$31*C306</f>
        <v>0</v>
      </c>
      <c r="G306" s="26">
        <f>$C$32*C306</f>
        <v>0</v>
      </c>
      <c r="H306" s="26">
        <f>$C$33*C306</f>
        <v>0</v>
      </c>
      <c r="I306" s="27">
        <f>E301</f>
        <v>0</v>
      </c>
      <c r="J306" s="27">
        <f>F301</f>
        <v>0</v>
      </c>
      <c r="K306" s="27">
        <f>G301</f>
        <v>0</v>
      </c>
      <c r="L306" s="27">
        <f>H301</f>
        <v>0</v>
      </c>
      <c r="M306" s="28">
        <f>$M$295</f>
        <v>0</v>
      </c>
      <c r="N306" s="29">
        <f>$N$295</f>
        <v>14</v>
      </c>
      <c r="O306" s="28">
        <f>$O$295</f>
        <v>0</v>
      </c>
      <c r="P306" s="28">
        <f>$P$295</f>
        <v>2</v>
      </c>
      <c r="Q306" s="28">
        <f>SUM(M306:P306)</f>
        <v>16</v>
      </c>
      <c r="R306" s="22">
        <f>MAX(R305-($J$30*M306*$L$33)+I306,0)</f>
        <v>57.491199999999992</v>
      </c>
      <c r="S306" s="22">
        <f>IF(U306&lt;&gt;0,(MAX(S305-($J$31*N306*$L$33)+J306,0)),(MAX(S305-($J$31*(N306+P306)*$L$33)+J306,0)))</f>
        <v>0</v>
      </c>
      <c r="T306" s="22">
        <f>MAX(T305-($J$32*O306*$L$33)+K306,0)</f>
        <v>17.014400000000002</v>
      </c>
      <c r="U306" s="22">
        <f>MAX(U305-($J$33*P306*$L$33)+L306,0)</f>
        <v>0</v>
      </c>
      <c r="V306" s="21">
        <f>IFERROR(R306*($I$30/M306),0)</f>
        <v>0</v>
      </c>
      <c r="W306" s="21">
        <f>IFERROR(S306*($I$31/N306),0)</f>
        <v>0</v>
      </c>
      <c r="X306" s="21">
        <f>IFERROR(T306*($I$32/O306),0)</f>
        <v>0</v>
      </c>
      <c r="Y306" s="21">
        <f>IFERROR(U306*($I$33/P306),0)</f>
        <v>0</v>
      </c>
      <c r="Z306" s="221">
        <f>ROUNDUP(SUM(V306*$C$30,W306*$C$31,X306*$C$32,Y306*$C$33),0)</f>
        <v>0</v>
      </c>
      <c r="AA306" s="30">
        <f>IF(R306&lt;&gt;0,($J$30*M306*$L$33),0)</f>
        <v>0</v>
      </c>
      <c r="AB306" s="30">
        <f>IF(W306&lt;&gt;0,($J$31*N306*$L$33),0)</f>
        <v>0</v>
      </c>
      <c r="AC306" s="30">
        <f>IF(X306&lt;&gt;0,($J$32*O306*$L$33),0)</f>
        <v>0</v>
      </c>
      <c r="AD306" s="30">
        <f>IF(Y306&lt;&gt;0,($J$33*P306*$L$33),0)</f>
        <v>0</v>
      </c>
      <c r="AE306" s="32">
        <f>SUM(AA306:AD306)</f>
        <v>0</v>
      </c>
      <c r="AF306" s="33">
        <f>AE302</f>
        <v>0</v>
      </c>
      <c r="AG306" s="40">
        <f>MAX(AG305-$Q$33+AF306,0)</f>
        <v>0</v>
      </c>
      <c r="AH306" s="224">
        <f>AG306*$P$33</f>
        <v>0</v>
      </c>
      <c r="AI306" s="227">
        <f>SUM(Z306,IF(Z306&lt;&gt;0,$F$31,0),IF(Z306&lt;&gt;0,$N$33,0),IF(Z306&lt;&gt;0,$T$33,0),IF(Z306=0,AH311,IF(Z306=1,AH312,IF(Z306=2,AH313,IF(Z306=3,AH314,IF(Z306=4,AH315,IF(Z306=5,AH316,IF(Z306=6,AH317,IF(Z306=7,AH318,IF(Z306=8,AH319,IF(Z306=9,AH320,IF(Z306=10,AH321,IF(Z306=11,AH322,IF(Z306=12,AH323,IF(Z306=13,AH324,IF(Z306=14,AH325,IF(Z306=15,AH326,IF(Z306=16,AH327,IF(Z306=17,AH328,IF(Z306=18,AH329,IF(Z306=19,AH330,IF(Z306=20,AH331,IF(Z306=21,AH332,IF(Z306=22,AH333,IF(Z306=23,AH334,IF(Z306=24,AH335,IF(Z306=25,AH336,IF(Z306=26,AH337,IF(Z306=27,AH338,IF(Z306=28,AH339,IF(Z306=29,AH340,IF(Z306=30,AH341))))))))))))))))))))))))))))))))</f>
        <v>0</v>
      </c>
    </row>
    <row r="307" spans="1:35" x14ac:dyDescent="0.35">
      <c r="A307" s="48">
        <v>1728</v>
      </c>
      <c r="B307" s="58">
        <f>SUMIF([2]!Table2_23[ETA],'FIS Optimal Model (3)'!A307,[2]!Table2_23[FIS PAX])</f>
        <v>0</v>
      </c>
      <c r="C307" s="44">
        <f>IF((D306-D307)&gt;-1,(D306-D307),18)</f>
        <v>0</v>
      </c>
      <c r="D307" s="52">
        <f>MAX(D306-$E$31+B306,0)</f>
        <v>0</v>
      </c>
      <c r="E307" s="26">
        <f>$C$30*C307</f>
        <v>0</v>
      </c>
      <c r="F307" s="26">
        <f>$C$31*C307</f>
        <v>0</v>
      </c>
      <c r="G307" s="26">
        <f>$C$32*C307</f>
        <v>0</v>
      </c>
      <c r="H307" s="26">
        <f>$C$33*C307</f>
        <v>0</v>
      </c>
      <c r="I307" s="27">
        <f>E302</f>
        <v>0</v>
      </c>
      <c r="J307" s="27">
        <f>F302</f>
        <v>0</v>
      </c>
      <c r="K307" s="27">
        <f>G302</f>
        <v>0</v>
      </c>
      <c r="L307" s="27">
        <f>H302</f>
        <v>0</v>
      </c>
      <c r="M307" s="28">
        <f>$M$295</f>
        <v>0</v>
      </c>
      <c r="N307" s="29">
        <f>$N$295</f>
        <v>14</v>
      </c>
      <c r="O307" s="28">
        <f>$O$295</f>
        <v>0</v>
      </c>
      <c r="P307" s="28">
        <f>$P$295</f>
        <v>2</v>
      </c>
      <c r="Q307" s="28">
        <f>SUM(M307:P307)</f>
        <v>16</v>
      </c>
      <c r="R307" s="22">
        <f>MAX(R306-($J$30*M307*$L$33)+I307,0)</f>
        <v>57.491199999999992</v>
      </c>
      <c r="S307" s="22">
        <f>IF(U307&lt;&gt;0,(MAX(S306-($J$31*N307*$L$33)+J307,0)),(MAX(S306-($J$31*(N307+P307)*$L$33)+J307,0)))</f>
        <v>0</v>
      </c>
      <c r="T307" s="22">
        <f>MAX(T306-($J$32*O307*$L$33)+K307,0)</f>
        <v>17.014400000000002</v>
      </c>
      <c r="U307" s="22">
        <f>MAX(U306-($J$33*P307*$L$33)+L307,0)</f>
        <v>0</v>
      </c>
      <c r="V307" s="21">
        <f>IFERROR(R307*($I$30/M307),0)</f>
        <v>0</v>
      </c>
      <c r="W307" s="21">
        <f>IFERROR(S307*($I$31/N307),0)</f>
        <v>0</v>
      </c>
      <c r="X307" s="21">
        <f>IFERROR(T307*($I$32/O307),0)</f>
        <v>0</v>
      </c>
      <c r="Y307" s="21">
        <f>IFERROR(U307*($I$33/P307),0)</f>
        <v>0</v>
      </c>
      <c r="Z307" s="221">
        <f>ROUNDUP(SUM(V307*$C$30,W307*$C$31,X307*$C$32,Y307*$C$33),0)</f>
        <v>0</v>
      </c>
      <c r="AA307" s="30">
        <f>IF(R307&lt;&gt;0,($J$30*M307*$L$33),0)</f>
        <v>0</v>
      </c>
      <c r="AB307" s="30">
        <f>IF(W307&lt;&gt;0,($J$31*N307*$L$33),0)</f>
        <v>0</v>
      </c>
      <c r="AC307" s="30">
        <f>IF(X307&lt;&gt;0,($J$32*O307*$L$33),0)</f>
        <v>0</v>
      </c>
      <c r="AD307" s="30">
        <f>IF(Y307&lt;&gt;0,($J$33*P307*$L$33),0)</f>
        <v>0</v>
      </c>
      <c r="AE307" s="32">
        <f>SUM(AA307:AD307)</f>
        <v>0</v>
      </c>
      <c r="AF307" s="33">
        <f>AE303</f>
        <v>0</v>
      </c>
      <c r="AG307" s="40">
        <f>MAX(AG306-$Q$33+AF307,0)</f>
        <v>0</v>
      </c>
      <c r="AH307" s="224">
        <f>AG307*$P$33</f>
        <v>0</v>
      </c>
      <c r="AI307" s="227">
        <f>SUM(Z307,IF(Z307&lt;&gt;0,$F$31,0),IF(Z307&lt;&gt;0,$N$33,0),IF(Z307&lt;&gt;0,$T$33,0),IF(Z307=0,AH312,IF(Z307=1,AH313,IF(Z307=2,AH314,IF(Z307=3,AH315,IF(Z307=4,AH316,IF(Z307=5,AH317,IF(Z307=6,AH318,IF(Z307=7,AH319,IF(Z307=8,AH320,IF(Z307=9,AH321,IF(Z307=10,AH322,IF(Z307=11,AH323,IF(Z307=12,AH324,IF(Z307=13,AH325,IF(Z307=14,AH326,IF(Z307=15,AH327,IF(Z307=16,AH328,IF(Z307=17,AH329,IF(Z307=18,AH330,IF(Z307=19,AH331,IF(Z307=20,AH332,IF(Z307=21,AH333,IF(Z307=22,AH334,IF(Z307=23,AH335,IF(Z307=24,AH336,IF(Z307=25,AH337,IF(Z307=26,AH338,IF(Z307=27,AH339,IF(Z307=28,AH340,IF(Z307=29,AH341,IF(Z307=30,AH342))))))))))))))))))))))))))))))))</f>
        <v>0</v>
      </c>
    </row>
    <row r="308" spans="1:35" x14ac:dyDescent="0.35">
      <c r="A308" s="48">
        <v>1729</v>
      </c>
      <c r="B308" s="58">
        <f>SUMIF([2]!Table2_23[ETA],'FIS Optimal Model (3)'!A308,[2]!Table2_23[FIS PAX])</f>
        <v>0</v>
      </c>
      <c r="C308" s="44">
        <f>IF((D307-D308)&gt;-1,(D307-D308),18)</f>
        <v>0</v>
      </c>
      <c r="D308" s="52">
        <f>MAX(D307-$E$31+B307,0)</f>
        <v>0</v>
      </c>
      <c r="E308" s="26">
        <f>$C$30*C308</f>
        <v>0</v>
      </c>
      <c r="F308" s="26">
        <f>$C$31*C308</f>
        <v>0</v>
      </c>
      <c r="G308" s="26">
        <f>$C$32*C308</f>
        <v>0</v>
      </c>
      <c r="H308" s="26">
        <f>$C$33*C308</f>
        <v>0</v>
      </c>
      <c r="I308" s="27">
        <f>E303</f>
        <v>0</v>
      </c>
      <c r="J308" s="27">
        <f>F303</f>
        <v>0</v>
      </c>
      <c r="K308" s="27">
        <f>G303</f>
        <v>0</v>
      </c>
      <c r="L308" s="27">
        <f>H303</f>
        <v>0</v>
      </c>
      <c r="M308" s="28">
        <f>$M$295</f>
        <v>0</v>
      </c>
      <c r="N308" s="29">
        <f>$N$295</f>
        <v>14</v>
      </c>
      <c r="O308" s="28">
        <f>$O$295</f>
        <v>0</v>
      </c>
      <c r="P308" s="28">
        <f>$P$295</f>
        <v>2</v>
      </c>
      <c r="Q308" s="28">
        <f>SUM(M308:P308)</f>
        <v>16</v>
      </c>
      <c r="R308" s="22">
        <f>MAX(R307-($J$30*M308*$L$33)+I308,0)</f>
        <v>57.491199999999992</v>
      </c>
      <c r="S308" s="22">
        <f>IF(U308&lt;&gt;0,(MAX(S307-($J$31*N308*$L$33)+J308,0)),(MAX(S307-($J$31*(N308+P308)*$L$33)+J308,0)))</f>
        <v>0</v>
      </c>
      <c r="T308" s="22">
        <f>MAX(T307-($J$32*O308*$L$33)+K308,0)</f>
        <v>17.014400000000002</v>
      </c>
      <c r="U308" s="22">
        <f>MAX(U307-($J$33*P308*$L$33)+L308,0)</f>
        <v>0</v>
      </c>
      <c r="V308" s="21">
        <f>IFERROR(R308*($I$30/M308),0)</f>
        <v>0</v>
      </c>
      <c r="W308" s="21">
        <f>IFERROR(S308*($I$31/N308),0)</f>
        <v>0</v>
      </c>
      <c r="X308" s="21">
        <f>IFERROR(T308*($I$32/O308),0)</f>
        <v>0</v>
      </c>
      <c r="Y308" s="21">
        <f>IFERROR(U308*($I$33/P308),0)</f>
        <v>0</v>
      </c>
      <c r="Z308" s="221">
        <f>ROUNDUP(SUM(V308*$C$30,W308*$C$31,X308*$C$32,Y308*$C$33),0)</f>
        <v>0</v>
      </c>
      <c r="AA308" s="30">
        <f>IF(R308&lt;&gt;0,($J$30*M308*$L$33),0)</f>
        <v>0</v>
      </c>
      <c r="AB308" s="30">
        <f>IF(W308&lt;&gt;0,($J$31*N308*$L$33),0)</f>
        <v>0</v>
      </c>
      <c r="AC308" s="30">
        <f>IF(X308&lt;&gt;0,($J$32*O308*$L$33),0)</f>
        <v>0</v>
      </c>
      <c r="AD308" s="30">
        <f>IF(Y308&lt;&gt;0,($J$33*P308*$L$33),0)</f>
        <v>0</v>
      </c>
      <c r="AE308" s="32">
        <f>SUM(AA308:AD308)</f>
        <v>0</v>
      </c>
      <c r="AF308" s="33">
        <f>AE304</f>
        <v>0</v>
      </c>
      <c r="AG308" s="40">
        <f>MAX(AG307-$Q$33+AF308,0)</f>
        <v>0</v>
      </c>
      <c r="AH308" s="224">
        <f>AG308*$P$33</f>
        <v>0</v>
      </c>
      <c r="AI308" s="227">
        <f>SUM(Z308,IF(Z308&lt;&gt;0,$F$31,0),IF(Z308&lt;&gt;0,$N$33,0),IF(Z308&lt;&gt;0,$T$33,0),IF(Z308=0,AH313,IF(Z308=1,AH314,IF(Z308=2,AH315,IF(Z308=3,AH316,IF(Z308=4,AH317,IF(Z308=5,AH318,IF(Z308=6,AH319,IF(Z308=7,AH320,IF(Z308=8,AH321,IF(Z308=9,AH322,IF(Z308=10,AH323,IF(Z308=11,AH324,IF(Z308=12,AH325,IF(Z308=13,AH326,IF(Z308=14,AH327,IF(Z308=15,AH328,IF(Z308=16,AH329,IF(Z308=17,AH330,IF(Z308=18,AH331,IF(Z308=19,AH332,IF(Z308=20,AH333,IF(Z308=21,AH334,IF(Z308=22,AH335,IF(Z308=23,AH336,IF(Z308=24,AH337,IF(Z308=25,AH338,IF(Z308=26,AH339,IF(Z308=27,AH340,IF(Z308=28,AH341,IF(Z308=29,AH342,IF(Z308=30,AH343))))))))))))))))))))))))))))))))</f>
        <v>0</v>
      </c>
    </row>
    <row r="309" spans="1:35" x14ac:dyDescent="0.35">
      <c r="A309" s="48">
        <v>1730</v>
      </c>
      <c r="B309" s="58">
        <f>SUMIF([2]!Table2_23[ETA],'FIS Optimal Model (3)'!A309,[2]!Table2_23[FIS PAX])</f>
        <v>0</v>
      </c>
      <c r="C309" s="44">
        <f>IF((D308-D309)&gt;-1,(D308-D309),18)</f>
        <v>0</v>
      </c>
      <c r="D309" s="52">
        <f>MAX(D308-$E$31+B308,0)</f>
        <v>0</v>
      </c>
      <c r="E309" s="26">
        <f>$C$30*C309</f>
        <v>0</v>
      </c>
      <c r="F309" s="26">
        <f>$C$31*C309</f>
        <v>0</v>
      </c>
      <c r="G309" s="26">
        <f>$C$32*C309</f>
        <v>0</v>
      </c>
      <c r="H309" s="26">
        <f>$C$33*C309</f>
        <v>0</v>
      </c>
      <c r="I309" s="27">
        <f>E304</f>
        <v>0</v>
      </c>
      <c r="J309" s="27">
        <f>F304</f>
        <v>0</v>
      </c>
      <c r="K309" s="27">
        <f>G304</f>
        <v>0</v>
      </c>
      <c r="L309" s="27">
        <f>H304</f>
        <v>0</v>
      </c>
      <c r="M309" s="28">
        <f>$M$295</f>
        <v>0</v>
      </c>
      <c r="N309" s="29">
        <f>$N$295</f>
        <v>14</v>
      </c>
      <c r="O309" s="28">
        <f>$O$295</f>
        <v>0</v>
      </c>
      <c r="P309" s="28">
        <f>$P$295</f>
        <v>2</v>
      </c>
      <c r="Q309" s="28">
        <f>SUM(M309:P309)</f>
        <v>16</v>
      </c>
      <c r="R309" s="22">
        <f>MAX(R308-($J$30*M309*$L$33)+I309,0)</f>
        <v>57.491199999999992</v>
      </c>
      <c r="S309" s="22">
        <f>IF(U309&lt;&gt;0,(MAX(S308-($J$31*N309*$L$33)+J309,0)),(MAX(S308-($J$31*(N309+P309)*$L$33)+J309,0)))</f>
        <v>0</v>
      </c>
      <c r="T309" s="22">
        <f>MAX(T308-($J$32*O309*$L$33)+K309,0)</f>
        <v>17.014400000000002</v>
      </c>
      <c r="U309" s="22">
        <f>MAX(U308-($J$33*P309*$L$33)+L309,0)</f>
        <v>0</v>
      </c>
      <c r="V309" s="21">
        <f>IFERROR(R309*($I$30/M309),0)</f>
        <v>0</v>
      </c>
      <c r="W309" s="21">
        <f>IFERROR(S309*($I$31/N309),0)</f>
        <v>0</v>
      </c>
      <c r="X309" s="21">
        <f>IFERROR(T309*($I$32/O309),0)</f>
        <v>0</v>
      </c>
      <c r="Y309" s="21">
        <f>IFERROR(U309*($I$33/P309),0)</f>
        <v>0</v>
      </c>
      <c r="Z309" s="221">
        <f>ROUNDUP(SUM(V309*$C$30,W309*$C$31,X309*$C$32,Y309*$C$33),0)</f>
        <v>0</v>
      </c>
      <c r="AA309" s="30">
        <f>IF(R309&lt;&gt;0,($J$30*M309*$L$33),0)</f>
        <v>0</v>
      </c>
      <c r="AB309" s="30">
        <f>IF(W309&lt;&gt;0,($J$31*N309*$L$33),0)</f>
        <v>0</v>
      </c>
      <c r="AC309" s="30">
        <f>IF(X309&lt;&gt;0,($J$32*O309*$L$33),0)</f>
        <v>0</v>
      </c>
      <c r="AD309" s="30">
        <f>IF(Y309&lt;&gt;0,($J$33*P309*$L$33),0)</f>
        <v>0</v>
      </c>
      <c r="AE309" s="32">
        <f>SUM(AA309:AD309)</f>
        <v>0</v>
      </c>
      <c r="AF309" s="33">
        <f>AE305</f>
        <v>0</v>
      </c>
      <c r="AG309" s="40">
        <f>MAX(AG308-$Q$33+AF309,0)</f>
        <v>0</v>
      </c>
      <c r="AH309" s="224">
        <f>AG309*$P$33</f>
        <v>0</v>
      </c>
      <c r="AI309" s="227">
        <f>SUM(Z309,IF(Z309&lt;&gt;0,$F$31,0),IF(Z309&lt;&gt;0,$N$33,0),IF(Z309&lt;&gt;0,$T$33,0),IF(Z309=0,AH314,IF(Z309=1,AH315,IF(Z309=2,AH316,IF(Z309=3,AH317,IF(Z309=4,AH318,IF(Z309=5,AH319,IF(Z309=6,AH320,IF(Z309=7,AH321,IF(Z309=8,AH322,IF(Z309=9,AH323,IF(Z309=10,AH324,IF(Z309=11,AH325,IF(Z309=12,AH326,IF(Z309=13,AH327,IF(Z309=14,AH328,IF(Z309=15,AH329,IF(Z309=16,AH330,IF(Z309=17,AH331,IF(Z309=18,AH332,IF(Z309=19,AH333,IF(Z309=20,AH334,IF(Z309=21,AH335,IF(Z309=22,AH336,IF(Z309=23,AH337,IF(Z309=24,AH338,IF(Z309=25,AH339,IF(Z309=26,AH340,IF(Z309=27,AH341,IF(Z309=28,AH342,IF(Z309=29,AH343,IF(Z309=30,AH344))))))))))))))))))))))))))))))))</f>
        <v>0.47525726475925056</v>
      </c>
    </row>
    <row r="310" spans="1:35" x14ac:dyDescent="0.35">
      <c r="A310" s="48">
        <v>1731</v>
      </c>
      <c r="B310" s="58">
        <f>SUMIF([2]!Table2_23[ETA],'FIS Optimal Model (3)'!A310,[2]!Table2_23[FIS PAX])</f>
        <v>0</v>
      </c>
      <c r="C310" s="44">
        <f>IF((D309-D310)&gt;-1,(D309-D310),18)</f>
        <v>0</v>
      </c>
      <c r="D310" s="52">
        <f>MAX(D309-$E$31+B309,0)</f>
        <v>0</v>
      </c>
      <c r="E310" s="26">
        <f>$C$30*C310</f>
        <v>0</v>
      </c>
      <c r="F310" s="26">
        <f>$C$31*C310</f>
        <v>0</v>
      </c>
      <c r="G310" s="26">
        <f>$C$32*C310</f>
        <v>0</v>
      </c>
      <c r="H310" s="26">
        <f>$C$33*C310</f>
        <v>0</v>
      </c>
      <c r="I310" s="27">
        <f>E305</f>
        <v>0</v>
      </c>
      <c r="J310" s="27">
        <f>F305</f>
        <v>0</v>
      </c>
      <c r="K310" s="27">
        <f>G305</f>
        <v>0</v>
      </c>
      <c r="L310" s="27">
        <f>H305</f>
        <v>0</v>
      </c>
      <c r="M310" s="28">
        <f>IF(R309=0,0,$Q$24)</f>
        <v>6</v>
      </c>
      <c r="N310" s="29">
        <f>$U$24-M310-O310-P310</f>
        <v>8</v>
      </c>
      <c r="O310" s="28">
        <f>IF(T309=0,0,$S$24)</f>
        <v>2</v>
      </c>
      <c r="P310" s="28">
        <f>IF(U309=0,0,$T$24)</f>
        <v>0</v>
      </c>
      <c r="Q310" s="28">
        <f>SUM(M310:P310)</f>
        <v>16</v>
      </c>
      <c r="R310" s="22">
        <f>MAX(R309-($J$30*M310*$L$33)+I310,0)</f>
        <v>44.863061536175891</v>
      </c>
      <c r="S310" s="22">
        <f>IF(U310&lt;&gt;0,(MAX(S309-($J$31*N310*$L$33)+J310,0)),(MAX(S309-($J$31*(N310+P310)*$L$33)+J310,0)))</f>
        <v>0</v>
      </c>
      <c r="T310" s="22">
        <f>MAX(T309-($J$32*O310*$L$33)+K310,0)</f>
        <v>12.052446508098203</v>
      </c>
      <c r="U310" s="22">
        <f>MAX(U309-($J$33*P310*$L$33)+L310,0)</f>
        <v>0</v>
      </c>
      <c r="V310" s="21">
        <f>IFERROR(R310*($I$30/M310),0)</f>
        <v>3.0197326719999991</v>
      </c>
      <c r="W310" s="21">
        <f>IFERROR(S310*($I$31/N310),0)</f>
        <v>0</v>
      </c>
      <c r="X310" s="21">
        <f>IFERROR(T310*($I$32/O310),0)</f>
        <v>2.0646262704000007</v>
      </c>
      <c r="Y310" s="21">
        <f>IFERROR(U310*($I$33/P310),0)</f>
        <v>0</v>
      </c>
      <c r="Z310" s="221">
        <f>ROUNDUP(SUM(V310*$C$30,W310*$C$31,X310*$C$32,Y310*$C$33),0)</f>
        <v>3</v>
      </c>
      <c r="AA310" s="30">
        <f>IF(R310&lt;&gt;0,($J$30*M310*$L$33),0)</f>
        <v>12.628138463824097</v>
      </c>
      <c r="AB310" s="30">
        <f>IF(W310&lt;&gt;0,($J$31*N310*$L$33),0)</f>
        <v>0</v>
      </c>
      <c r="AC310" s="30">
        <f>IF(X310&lt;&gt;0,($J$32*O310*$L$33),0)</f>
        <v>4.9619534919017996</v>
      </c>
      <c r="AD310" s="30">
        <f>IF(Y310&lt;&gt;0,($J$33*P310*$L$33),0)</f>
        <v>0</v>
      </c>
      <c r="AE310" s="32">
        <f>SUM(AA310:AD310)</f>
        <v>17.590091955725896</v>
      </c>
      <c r="AF310" s="33">
        <f>AE306</f>
        <v>0</v>
      </c>
      <c r="AG310" s="40">
        <f>MAX(AG309-$Q$33+AF310,0)</f>
        <v>0</v>
      </c>
      <c r="AH310" s="224">
        <f>AG310*$P$33</f>
        <v>0</v>
      </c>
      <c r="AI310" s="227">
        <f>SUM(Z310,IF(Z310&lt;&gt;0,$F$31,0),IF(Z310&lt;&gt;0,$N$33,0),IF(Z310&lt;&gt;0,$T$33,0),IF(Z310=0,AH315,IF(Z310=1,AH316,IF(Z310=2,AH317,IF(Z310=3,AH318,IF(Z310=4,AH319,IF(Z310=5,AH320,IF(Z310=6,AH321,IF(Z310=7,AH322,IF(Z310=8,AH323,IF(Z310=9,AH324,IF(Z310=10,AH325,IF(Z310=11,AH326,IF(Z310=12,AH327,IF(Z310=13,AH328,IF(Z310=14,AH329,IF(Z310=15,AH330,IF(Z310=16,AH331,IF(Z310=17,AH332,IF(Z310=18,AH333,IF(Z310=19,AH334,IF(Z310=20,AH335,IF(Z310=21,AH336,IF(Z310=22,AH337,IF(Z310=23,AH338,IF(Z310=24,AH339,IF(Z310=25,AH340,IF(Z310=26,AH341,IF(Z310=27,AH342,IF(Z310=28,AH343,IF(Z310=29,AH344,IF(Z310=30,AH345))))))))))))))))))))))))))))))))</f>
        <v>24.484876718574519</v>
      </c>
    </row>
    <row r="311" spans="1:35" x14ac:dyDescent="0.35">
      <c r="A311" s="48">
        <v>1732</v>
      </c>
      <c r="B311" s="58">
        <f>SUMIF([2]!Table2_23[ETA],'FIS Optimal Model (3)'!A311,[2]!Table2_23[FIS PAX])</f>
        <v>0</v>
      </c>
      <c r="C311" s="44">
        <f>IF((D310-D311)&gt;-1,(D310-D311),18)</f>
        <v>0</v>
      </c>
      <c r="D311" s="52">
        <f>MAX(D310-$E$31+B310,0)</f>
        <v>0</v>
      </c>
      <c r="E311" s="26">
        <f>$C$30*C311</f>
        <v>0</v>
      </c>
      <c r="F311" s="26">
        <f>$C$31*C311</f>
        <v>0</v>
      </c>
      <c r="G311" s="26">
        <f>$C$32*C311</f>
        <v>0</v>
      </c>
      <c r="H311" s="26">
        <f>$C$33*C311</f>
        <v>0</v>
      </c>
      <c r="I311" s="27">
        <f>E306</f>
        <v>0</v>
      </c>
      <c r="J311" s="27">
        <f>F306</f>
        <v>0</v>
      </c>
      <c r="K311" s="27">
        <f>G306</f>
        <v>0</v>
      </c>
      <c r="L311" s="27">
        <f>H306</f>
        <v>0</v>
      </c>
      <c r="M311" s="28">
        <f>$M$310</f>
        <v>6</v>
      </c>
      <c r="N311" s="29">
        <f>$N$310</f>
        <v>8</v>
      </c>
      <c r="O311" s="28">
        <f>$O$310</f>
        <v>2</v>
      </c>
      <c r="P311" s="28">
        <f>$P$310</f>
        <v>0</v>
      </c>
      <c r="Q311" s="28">
        <f>SUM(M311:P311)</f>
        <v>16</v>
      </c>
      <c r="R311" s="22">
        <f>MAX(R310-($J$30*M311*$L$33)+I311,0)</f>
        <v>32.234923072351791</v>
      </c>
      <c r="S311" s="22">
        <f>IF(U311&lt;&gt;0,(MAX(S310-($J$31*N311*$L$33)+J311,0)),(MAX(S310-($J$31*(N311+P311)*$L$33)+J311,0)))</f>
        <v>0</v>
      </c>
      <c r="T311" s="22">
        <f>MAX(T310-($J$32*O311*$L$33)+K311,0)</f>
        <v>7.0904930161964037</v>
      </c>
      <c r="U311" s="22">
        <f>MAX(U310-($J$33*P311*$L$33)+L311,0)</f>
        <v>0</v>
      </c>
      <c r="V311" s="21">
        <f>IFERROR(R311*($I$30/M311),0)</f>
        <v>2.169732671999999</v>
      </c>
      <c r="W311" s="21">
        <f>IFERROR(S311*($I$31/N311),0)</f>
        <v>0</v>
      </c>
      <c r="X311" s="21">
        <f>IFERROR(T311*($I$32/O311),0)</f>
        <v>1.2146262704000006</v>
      </c>
      <c r="Y311" s="21">
        <f>IFERROR(U311*($I$33/P311),0)</f>
        <v>0</v>
      </c>
      <c r="Z311" s="221">
        <f>ROUNDUP(SUM(V311*$C$30,W311*$C$31,X311*$C$32,Y311*$C$33),0)</f>
        <v>2</v>
      </c>
      <c r="AA311" s="30">
        <f>IF(R311&lt;&gt;0,($J$30*M311*$L$33),0)</f>
        <v>12.628138463824097</v>
      </c>
      <c r="AB311" s="30">
        <f>IF(W311&lt;&gt;0,($J$31*N311*$L$33),0)</f>
        <v>0</v>
      </c>
      <c r="AC311" s="30">
        <f>IF(X311&lt;&gt;0,($J$32*O311*$L$33),0)</f>
        <v>4.9619534919017996</v>
      </c>
      <c r="AD311" s="30">
        <f>IF(Y311&lt;&gt;0,($J$33*P311*$L$33),0)</f>
        <v>0</v>
      </c>
      <c r="AE311" s="32">
        <f>SUM(AA311:AD311)</f>
        <v>17.590091955725896</v>
      </c>
      <c r="AF311" s="33">
        <f>AE307</f>
        <v>0</v>
      </c>
      <c r="AG311" s="40">
        <f>MAX(AG310-$Q$33+AF311,0)</f>
        <v>0</v>
      </c>
      <c r="AH311" s="224">
        <f>AG311*$P$33</f>
        <v>0</v>
      </c>
      <c r="AI311" s="227">
        <f>SUM(Z311,IF(Z311&lt;&gt;0,$F$31,0),IF(Z311&lt;&gt;0,$N$33,0),IF(Z311&lt;&gt;0,$T$33,0),IF(Z311=0,AH316,IF(Z311=1,AH317,IF(Z311=2,AH318,IF(Z311=3,AH319,IF(Z311=4,AH320,IF(Z311=5,AH321,IF(Z311=6,AH322,IF(Z311=7,AH323,IF(Z311=8,AH324,IF(Z311=9,AH325,IF(Z311=10,AH326,IF(Z311=11,AH327,IF(Z311=12,AH328,IF(Z311=13,AH329,IF(Z311=14,AH330,IF(Z311=15,AH331,IF(Z311=16,AH332,IF(Z311=17,AH333,IF(Z311=18,AH334,IF(Z311=19,AH335,IF(Z311=20,AH336,IF(Z311=21,AH337,IF(Z311=22,AH338,IF(Z311=23,AH339,IF(Z311=24,AH340,IF(Z311=25,AH341,IF(Z311=26,AH342,IF(Z311=27,AH343,IF(Z311=28,AH344,IF(Z311=29,AH345,IF(Z311=30,AH346))))))))))))))))))))))))))))))))</f>
        <v>23.484876718574519</v>
      </c>
    </row>
    <row r="312" spans="1:35" x14ac:dyDescent="0.35">
      <c r="A312" s="48">
        <v>1733</v>
      </c>
      <c r="B312" s="58">
        <f>SUMIF([2]!Table2_23[ETA],'FIS Optimal Model (3)'!A312,[2]!Table2_23[FIS PAX])</f>
        <v>0</v>
      </c>
      <c r="C312" s="44">
        <f>IF((D311-D312)&gt;-1,(D311-D312),18)</f>
        <v>0</v>
      </c>
      <c r="D312" s="52">
        <f>MAX(D311-$E$31+B311,0)</f>
        <v>0</v>
      </c>
      <c r="E312" s="26">
        <f>$C$30*C312</f>
        <v>0</v>
      </c>
      <c r="F312" s="26">
        <f>$C$31*C312</f>
        <v>0</v>
      </c>
      <c r="G312" s="26">
        <f>$C$32*C312</f>
        <v>0</v>
      </c>
      <c r="H312" s="26">
        <f>$C$33*C312</f>
        <v>0</v>
      </c>
      <c r="I312" s="27">
        <f>E307</f>
        <v>0</v>
      </c>
      <c r="J312" s="27">
        <f>F307</f>
        <v>0</v>
      </c>
      <c r="K312" s="27">
        <f>G307</f>
        <v>0</v>
      </c>
      <c r="L312" s="27">
        <f>H307</f>
        <v>0</v>
      </c>
      <c r="M312" s="28">
        <f>$M$310</f>
        <v>6</v>
      </c>
      <c r="N312" s="29">
        <f>$N$310</f>
        <v>8</v>
      </c>
      <c r="O312" s="28">
        <f>$O$310</f>
        <v>2</v>
      </c>
      <c r="P312" s="28">
        <f>$P$310</f>
        <v>0</v>
      </c>
      <c r="Q312" s="28">
        <f>SUM(M312:P312)</f>
        <v>16</v>
      </c>
      <c r="R312" s="22">
        <f>MAX(R311-($J$30*M312*$L$33)+I312,0)</f>
        <v>19.606784608527693</v>
      </c>
      <c r="S312" s="22">
        <f>IF(U312&lt;&gt;0,(MAX(S311-($J$31*N312*$L$33)+J312,0)),(MAX(S311-($J$31*(N312+P312)*$L$33)+J312,0)))</f>
        <v>0</v>
      </c>
      <c r="T312" s="22">
        <f>MAX(T311-($J$32*O312*$L$33)+K312,0)</f>
        <v>2.1285395242946041</v>
      </c>
      <c r="U312" s="22">
        <f>MAX(U311-($J$33*P312*$L$33)+L312,0)</f>
        <v>0</v>
      </c>
      <c r="V312" s="21">
        <f>IFERROR(R312*($I$30/M312),0)</f>
        <v>1.3197326719999989</v>
      </c>
      <c r="W312" s="21">
        <f>IFERROR(S312*($I$31/N312),0)</f>
        <v>0</v>
      </c>
      <c r="X312" s="21">
        <f>IFERROR(T312*($I$32/O312),0)</f>
        <v>0.36462627040000073</v>
      </c>
      <c r="Y312" s="21">
        <f>IFERROR(U312*($I$33/P312),0)</f>
        <v>0</v>
      </c>
      <c r="Z312" s="221">
        <f>ROUNDUP(SUM(V312*$C$30,W312*$C$31,X312*$C$32,Y312*$C$33),0)</f>
        <v>1</v>
      </c>
      <c r="AA312" s="30">
        <f>IF(R312&lt;&gt;0,($J$30*M312*$L$33),0)</f>
        <v>12.628138463824097</v>
      </c>
      <c r="AB312" s="30">
        <f>IF(W312&lt;&gt;0,($J$31*N312*$L$33),0)</f>
        <v>0</v>
      </c>
      <c r="AC312" s="30">
        <f>IF(X312&lt;&gt;0,($J$32*O312*$L$33),0)</f>
        <v>4.9619534919017996</v>
      </c>
      <c r="AD312" s="30">
        <f>IF(Y312&lt;&gt;0,($J$33*P312*$L$33),0)</f>
        <v>0</v>
      </c>
      <c r="AE312" s="32">
        <f>SUM(AA312:AD312)</f>
        <v>17.590091955725896</v>
      </c>
      <c r="AF312" s="33">
        <f>AE308</f>
        <v>0</v>
      </c>
      <c r="AG312" s="40">
        <f>MAX(AG311-$Q$33+AF312,0)</f>
        <v>0</v>
      </c>
      <c r="AH312" s="224">
        <f>AG312*$P$33</f>
        <v>0</v>
      </c>
      <c r="AI312" s="227">
        <f>SUM(Z312,IF(Z312&lt;&gt;0,$F$31,0),IF(Z312&lt;&gt;0,$N$33,0),IF(Z312&lt;&gt;0,$T$33,0),IF(Z312=0,AH317,IF(Z312=1,AH318,IF(Z312=2,AH319,IF(Z312=3,AH320,IF(Z312=4,AH321,IF(Z312=5,AH322,IF(Z312=6,AH323,IF(Z312=7,AH324,IF(Z312=8,AH325,IF(Z312=9,AH326,IF(Z312=10,AH327,IF(Z312=11,AH328,IF(Z312=12,AH329,IF(Z312=13,AH330,IF(Z312=14,AH331,IF(Z312=15,AH332,IF(Z312=16,AH333,IF(Z312=17,AH334,IF(Z312=18,AH335,IF(Z312=19,AH336,IF(Z312=20,AH337,IF(Z312=21,AH338,IF(Z312=22,AH339,IF(Z312=23,AH340,IF(Z312=24,AH341,IF(Z312=25,AH342,IF(Z312=26,AH343,IF(Z312=27,AH344,IF(Z312=28,AH345,IF(Z312=29,AH346,IF(Z312=30,AH347))))))))))))))))))))))))))))))))</f>
        <v>22.484876718574519</v>
      </c>
    </row>
    <row r="313" spans="1:35" x14ac:dyDescent="0.35">
      <c r="A313" s="48">
        <v>1734</v>
      </c>
      <c r="B313" s="58">
        <f>SUMIF([2]!Table2_23[ETA],'FIS Optimal Model (3)'!A313,[2]!Table2_23[FIS PAX])</f>
        <v>0</v>
      </c>
      <c r="C313" s="44">
        <f>IF((D312-D313)&gt;-1,(D312-D313),18)</f>
        <v>0</v>
      </c>
      <c r="D313" s="52">
        <f>MAX(D312-$E$31+B312,0)</f>
        <v>0</v>
      </c>
      <c r="E313" s="26">
        <f>$C$30*C313</f>
        <v>0</v>
      </c>
      <c r="F313" s="26">
        <f>$C$31*C313</f>
        <v>0</v>
      </c>
      <c r="G313" s="26">
        <f>$C$32*C313</f>
        <v>0</v>
      </c>
      <c r="H313" s="26">
        <f>$C$33*C313</f>
        <v>0</v>
      </c>
      <c r="I313" s="27">
        <f>E308</f>
        <v>0</v>
      </c>
      <c r="J313" s="27">
        <f>F308</f>
        <v>0</v>
      </c>
      <c r="K313" s="27">
        <f>G308</f>
        <v>0</v>
      </c>
      <c r="L313" s="27">
        <f>H308</f>
        <v>0</v>
      </c>
      <c r="M313" s="28">
        <f>$M$310</f>
        <v>6</v>
      </c>
      <c r="N313" s="29">
        <f>$N$310</f>
        <v>8</v>
      </c>
      <c r="O313" s="28">
        <f>$O$310</f>
        <v>2</v>
      </c>
      <c r="P313" s="28">
        <f>$P$310</f>
        <v>0</v>
      </c>
      <c r="Q313" s="28">
        <f>SUM(M313:P313)</f>
        <v>16</v>
      </c>
      <c r="R313" s="22">
        <f>MAX(R312-($J$30*M313*$L$33)+I313,0)</f>
        <v>6.9786461447035961</v>
      </c>
      <c r="S313" s="22">
        <f>IF(U313&lt;&gt;0,(MAX(S312-($J$31*N313*$L$33)+J313,0)),(MAX(S312-($J$31*(N313+P313)*$L$33)+J313,0)))</f>
        <v>0</v>
      </c>
      <c r="T313" s="22">
        <f>MAX(T312-($J$32*O313*$L$33)+K313,0)</f>
        <v>0</v>
      </c>
      <c r="U313" s="22">
        <f>MAX(U312-($J$33*P313*$L$33)+L313,0)</f>
        <v>0</v>
      </c>
      <c r="V313" s="21">
        <f>IFERROR(R313*($I$30/M313),0)</f>
        <v>0.46973267199999902</v>
      </c>
      <c r="W313" s="21">
        <f>IFERROR(S313*($I$31/N313),0)</f>
        <v>0</v>
      </c>
      <c r="X313" s="21">
        <f>IFERROR(T313*($I$32/O313),0)</f>
        <v>0</v>
      </c>
      <c r="Y313" s="21">
        <f>IFERROR(U313*($I$33/P313),0)</f>
        <v>0</v>
      </c>
      <c r="Z313" s="221">
        <f>ROUNDUP(SUM(V313*$C$30,W313*$C$31,X313*$C$32,Y313*$C$33),0)</f>
        <v>1</v>
      </c>
      <c r="AA313" s="30">
        <f>IF(R313&lt;&gt;0,($J$30*M313*$L$33),0)</f>
        <v>12.628138463824097</v>
      </c>
      <c r="AB313" s="30">
        <f>IF(W313&lt;&gt;0,($J$31*N313*$L$33),0)</f>
        <v>0</v>
      </c>
      <c r="AC313" s="30">
        <f>IF(X313&lt;&gt;0,($J$32*O313*$L$33),0)</f>
        <v>0</v>
      </c>
      <c r="AD313" s="30">
        <f>IF(Y313&lt;&gt;0,($J$33*P313*$L$33),0)</f>
        <v>0</v>
      </c>
      <c r="AE313" s="32">
        <f>SUM(AA313:AD313)</f>
        <v>12.628138463824097</v>
      </c>
      <c r="AF313" s="33">
        <f>AE309</f>
        <v>0</v>
      </c>
      <c r="AG313" s="40">
        <f>MAX(AG312-$Q$33+AF313,0)</f>
        <v>0</v>
      </c>
      <c r="AH313" s="224">
        <f>AG313*$P$33</f>
        <v>0</v>
      </c>
      <c r="AI313" s="227">
        <f>SUM(Z313,IF(Z313&lt;&gt;0,$F$31,0),IF(Z313&lt;&gt;0,$N$33,0),IF(Z313&lt;&gt;0,$T$33,0),IF(Z313=0,AH318,IF(Z313=1,AH319,IF(Z313=2,AH320,IF(Z313=3,AH321,IF(Z313=4,AH322,IF(Z313=5,AH323,IF(Z313=6,AH324,IF(Z313=7,AH325,IF(Z313=8,AH326,IF(Z313=9,AH327,IF(Z313=10,AH328,IF(Z313=11,AH329,IF(Z313=12,AH330,IF(Z313=13,AH331,IF(Z313=14,AH332,IF(Z313=15,AH333,IF(Z313=16,AH334,IF(Z313=17,AH335,IF(Z313=18,AH336,IF(Z313=19,AH337,IF(Z313=20,AH338,IF(Z313=21,AH339,IF(Z313=22,AH340,IF(Z313=23,AH341,IF(Z313=24,AH342,IF(Z313=25,AH343,IF(Z313=26,AH344,IF(Z313=27,AH345,IF(Z313=28,AH346,IF(Z313=29,AH347,IF(Z313=30,AH348))))))))))))))))))))))))))))))))</f>
        <v>22</v>
      </c>
    </row>
    <row r="314" spans="1:35" x14ac:dyDescent="0.35">
      <c r="A314" s="48">
        <v>1735</v>
      </c>
      <c r="B314" s="58">
        <f>SUMIF([2]!Table2_23[ETA],'FIS Optimal Model (3)'!A314,[2]!Table2_23[FIS PAX])</f>
        <v>0</v>
      </c>
      <c r="C314" s="44">
        <f>IF((D313-D314)&gt;-1,(D313-D314),18)</f>
        <v>0</v>
      </c>
      <c r="D314" s="52">
        <f>MAX(D313-$E$31+B313,0)</f>
        <v>0</v>
      </c>
      <c r="E314" s="26">
        <f>$C$30*C314</f>
        <v>0</v>
      </c>
      <c r="F314" s="26">
        <f>$C$31*C314</f>
        <v>0</v>
      </c>
      <c r="G314" s="26">
        <f>$C$32*C314</f>
        <v>0</v>
      </c>
      <c r="H314" s="26">
        <f>$C$33*C314</f>
        <v>0</v>
      </c>
      <c r="I314" s="27">
        <f>E309</f>
        <v>0</v>
      </c>
      <c r="J314" s="27">
        <f>F309</f>
        <v>0</v>
      </c>
      <c r="K314" s="27">
        <f>G309</f>
        <v>0</v>
      </c>
      <c r="L314" s="27">
        <f>H309</f>
        <v>0</v>
      </c>
      <c r="M314" s="28">
        <f>$M$310</f>
        <v>6</v>
      </c>
      <c r="N314" s="29">
        <f>$N$310</f>
        <v>8</v>
      </c>
      <c r="O314" s="28">
        <f>$O$310</f>
        <v>2</v>
      </c>
      <c r="P314" s="28">
        <f>$P$310</f>
        <v>0</v>
      </c>
      <c r="Q314" s="28">
        <f>SUM(M314:P314)</f>
        <v>16</v>
      </c>
      <c r="R314" s="22">
        <f>MAX(R313-($J$30*M314*$L$33)+I314,0)</f>
        <v>0</v>
      </c>
      <c r="S314" s="22">
        <f>IF(U314&lt;&gt;0,(MAX(S313-($J$31*N314*$L$33)+J314,0)),(MAX(S313-($J$31*(N314+P314)*$L$33)+J314,0)))</f>
        <v>0</v>
      </c>
      <c r="T314" s="22">
        <f>MAX(T313-($J$32*O314*$L$33)+K314,0)</f>
        <v>0</v>
      </c>
      <c r="U314" s="22">
        <f>MAX(U313-($J$33*P314*$L$33)+L314,0)</f>
        <v>0</v>
      </c>
      <c r="V314" s="21">
        <f>IFERROR(R314*($I$30/M314),0)</f>
        <v>0</v>
      </c>
      <c r="W314" s="21">
        <f>IFERROR(S314*($I$31/N314),0)</f>
        <v>0</v>
      </c>
      <c r="X314" s="21">
        <f>IFERROR(T314*($I$32/O314),0)</f>
        <v>0</v>
      </c>
      <c r="Y314" s="21">
        <f>IFERROR(U314*($I$33/P314),0)</f>
        <v>0</v>
      </c>
      <c r="Z314" s="221">
        <f>ROUNDUP(SUM(V314*$C$30,W314*$C$31,X314*$C$32,Y314*$C$33),0)</f>
        <v>0</v>
      </c>
      <c r="AA314" s="30">
        <f>IF(R314&lt;&gt;0,($J$30*M314*$L$33),0)</f>
        <v>0</v>
      </c>
      <c r="AB314" s="30">
        <f>IF(W314&lt;&gt;0,($J$31*N314*$L$33),0)</f>
        <v>0</v>
      </c>
      <c r="AC314" s="30">
        <f>IF(X314&lt;&gt;0,($J$32*O314*$L$33),0)</f>
        <v>0</v>
      </c>
      <c r="AD314" s="30">
        <f>IF(Y314&lt;&gt;0,($J$33*P314*$L$33),0)</f>
        <v>0</v>
      </c>
      <c r="AE314" s="32">
        <f>SUM(AA314:AD314)</f>
        <v>0</v>
      </c>
      <c r="AF314" s="33">
        <f>AE310</f>
        <v>17.590091955725896</v>
      </c>
      <c r="AG314" s="40">
        <f>MAX(AG313-$Q$33+AF314,0)</f>
        <v>5.6666855262741151</v>
      </c>
      <c r="AH314" s="224">
        <f>AG314*$P$33</f>
        <v>0.47525726475925056</v>
      </c>
      <c r="AI314" s="227">
        <f>SUM(Z314,IF(Z314&lt;&gt;0,$F$31,0),IF(Z314&lt;&gt;0,$N$33,0),IF(Z314&lt;&gt;0,$T$33,0),IF(Z314=0,AH319,IF(Z314=1,AH320,IF(Z314=2,AH321,IF(Z314=3,AH322,IF(Z314=4,AH323,IF(Z314=5,AH324,IF(Z314=6,AH325,IF(Z314=7,AH326,IF(Z314=8,AH327,IF(Z314=9,AH328,IF(Z314=10,AH329,IF(Z314=11,AH330,IF(Z314=12,AH331,IF(Z314=13,AH332,IF(Z314=14,AH333,IF(Z314=15,AH334,IF(Z314=16,AH335,IF(Z314=17,AH336,IF(Z314=18,AH337,IF(Z314=19,AH338,IF(Z314=20,AH339,IF(Z314=21,AH340,IF(Z314=22,AH341,IF(Z314=23,AH342,IF(Z314=24,AH343,IF(Z314=25,AH344,IF(Z314=26,AH345,IF(Z314=27,AH346,IF(Z314=28,AH347,IF(Z314=29,AH348,IF(Z314=30,AH349))))))))))))))))))))))))))))))))</f>
        <v>0</v>
      </c>
    </row>
    <row r="315" spans="1:35" x14ac:dyDescent="0.35">
      <c r="A315" s="48">
        <v>1736</v>
      </c>
      <c r="B315" s="58">
        <f>SUMIF([2]!Table2_23[ETA],'FIS Optimal Model (3)'!A315,[2]!Table2_23[FIS PAX])</f>
        <v>0</v>
      </c>
      <c r="C315" s="44">
        <f>IF((D314-D315)&gt;-1,(D314-D315),18)</f>
        <v>0</v>
      </c>
      <c r="D315" s="52">
        <f>MAX(D314-$E$31+B314,0)</f>
        <v>0</v>
      </c>
      <c r="E315" s="26">
        <f>$C$30*C315</f>
        <v>0</v>
      </c>
      <c r="F315" s="26">
        <f>$C$31*C315</f>
        <v>0</v>
      </c>
      <c r="G315" s="26">
        <f>$C$32*C315</f>
        <v>0</v>
      </c>
      <c r="H315" s="26">
        <f>$C$33*C315</f>
        <v>0</v>
      </c>
      <c r="I315" s="27">
        <f>E310</f>
        <v>0</v>
      </c>
      <c r="J315" s="27">
        <f>F310</f>
        <v>0</v>
      </c>
      <c r="K315" s="27">
        <f>G310</f>
        <v>0</v>
      </c>
      <c r="L315" s="27">
        <f>H310</f>
        <v>0</v>
      </c>
      <c r="M315" s="28">
        <f>$M$310</f>
        <v>6</v>
      </c>
      <c r="N315" s="29">
        <f>$N$310</f>
        <v>8</v>
      </c>
      <c r="O315" s="28">
        <f>$O$310</f>
        <v>2</v>
      </c>
      <c r="P315" s="28">
        <f>$P$310</f>
        <v>0</v>
      </c>
      <c r="Q315" s="28">
        <f>SUM(M315:P315)</f>
        <v>16</v>
      </c>
      <c r="R315" s="22">
        <f>MAX(R314-($J$30*M315*$L$33)+I315,0)</f>
        <v>0</v>
      </c>
      <c r="S315" s="22">
        <f>IF(U315&lt;&gt;0,(MAX(S314-($J$31*N315*$L$33)+J315,0)),(MAX(S314-($J$31*(N315+P315)*$L$33)+J315,0)))</f>
        <v>0</v>
      </c>
      <c r="T315" s="22">
        <f>MAX(T314-($J$32*O315*$L$33)+K315,0)</f>
        <v>0</v>
      </c>
      <c r="U315" s="22">
        <f>MAX(U314-($J$33*P315*$L$33)+L315,0)</f>
        <v>0</v>
      </c>
      <c r="V315" s="21">
        <f>IFERROR(R315*($I$30/M315),0)</f>
        <v>0</v>
      </c>
      <c r="W315" s="21">
        <f>IFERROR(S315*($I$31/N315),0)</f>
        <v>0</v>
      </c>
      <c r="X315" s="21">
        <f>IFERROR(T315*($I$32/O315),0)</f>
        <v>0</v>
      </c>
      <c r="Y315" s="21">
        <f>IFERROR(U315*($I$33/P315),0)</f>
        <v>0</v>
      </c>
      <c r="Z315" s="221">
        <f>ROUNDUP(SUM(V315*$C$30,W315*$C$31,X315*$C$32,Y315*$C$33),0)</f>
        <v>0</v>
      </c>
      <c r="AA315" s="30">
        <f>IF(R315&lt;&gt;0,($J$30*M315*$L$33),0)</f>
        <v>0</v>
      </c>
      <c r="AB315" s="30">
        <f>IF(W315&lt;&gt;0,($J$31*N315*$L$33),0)</f>
        <v>0</v>
      </c>
      <c r="AC315" s="30">
        <f>IF(X315&lt;&gt;0,($J$32*O315*$L$33),0)</f>
        <v>0</v>
      </c>
      <c r="AD315" s="30">
        <f>IF(Y315&lt;&gt;0,($J$33*P315*$L$33),0)</f>
        <v>0</v>
      </c>
      <c r="AE315" s="32">
        <f>SUM(AA315:AD315)</f>
        <v>0</v>
      </c>
      <c r="AF315" s="33">
        <f>AE311</f>
        <v>17.590091955725896</v>
      </c>
      <c r="AG315" s="40">
        <f>MAX(AG314-$Q$33+AF315,0)</f>
        <v>11.33337105254823</v>
      </c>
      <c r="AH315" s="224">
        <f>AG315*$P$33</f>
        <v>0.95051452951850113</v>
      </c>
      <c r="AI315" s="227">
        <f>SUM(Z315,IF(Z315&lt;&gt;0,$F$31,0),IF(Z315&lt;&gt;0,$N$33,0),IF(Z315&lt;&gt;0,$T$33,0),IF(Z315=0,AH320,IF(Z315=1,AH321,IF(Z315=2,AH322,IF(Z315=3,AH323,IF(Z315=4,AH324,IF(Z315=5,AH325,IF(Z315=6,AH326,IF(Z315=7,AH327,IF(Z315=8,AH328,IF(Z315=9,AH329,IF(Z315=10,AH330,IF(Z315=11,AH331,IF(Z315=12,AH332,IF(Z315=13,AH333,IF(Z315=14,AH334,IF(Z315=15,AH335,IF(Z315=16,AH336,IF(Z315=17,AH337,IF(Z315=18,AH338,IF(Z315=19,AH339,IF(Z315=20,AH340,IF(Z315=21,AH341,IF(Z315=22,AH342,IF(Z315=23,AH343,IF(Z315=24,AH344,IF(Z315=25,AH345,IF(Z315=26,AH346,IF(Z315=27,AH347,IF(Z315=28,AH348,IF(Z315=29,AH349,IF(Z315=30,AH350))))))))))))))))))))))))))))))))</f>
        <v>0</v>
      </c>
    </row>
    <row r="316" spans="1:35" x14ac:dyDescent="0.35">
      <c r="A316" s="48">
        <v>1737</v>
      </c>
      <c r="B316" s="58">
        <f>SUMIF([2]!Table2_23[ETA],'FIS Optimal Model (3)'!A316,[2]!Table2_23[FIS PAX])</f>
        <v>0</v>
      </c>
      <c r="C316" s="44">
        <f>IF((D315-D316)&gt;-1,(D315-D316),18)</f>
        <v>0</v>
      </c>
      <c r="D316" s="52">
        <f>MAX(D315-$E$31+B315,0)</f>
        <v>0</v>
      </c>
      <c r="E316" s="26">
        <f>$C$30*C316</f>
        <v>0</v>
      </c>
      <c r="F316" s="26">
        <f>$C$31*C316</f>
        <v>0</v>
      </c>
      <c r="G316" s="26">
        <f>$C$32*C316</f>
        <v>0</v>
      </c>
      <c r="H316" s="26">
        <f>$C$33*C316</f>
        <v>0</v>
      </c>
      <c r="I316" s="27">
        <f>E311</f>
        <v>0</v>
      </c>
      <c r="J316" s="27">
        <f>F311</f>
        <v>0</v>
      </c>
      <c r="K316" s="27">
        <f>G311</f>
        <v>0</v>
      </c>
      <c r="L316" s="27">
        <f>H311</f>
        <v>0</v>
      </c>
      <c r="M316" s="28">
        <f>$M$310</f>
        <v>6</v>
      </c>
      <c r="N316" s="29">
        <f>$N$310</f>
        <v>8</v>
      </c>
      <c r="O316" s="28">
        <f>$O$310</f>
        <v>2</v>
      </c>
      <c r="P316" s="28">
        <f>$P$310</f>
        <v>0</v>
      </c>
      <c r="Q316" s="28">
        <f>SUM(M316:P316)</f>
        <v>16</v>
      </c>
      <c r="R316" s="22">
        <f>MAX(R315-($J$30*M316*$L$33)+I316,0)</f>
        <v>0</v>
      </c>
      <c r="S316" s="22">
        <f>IF(U316&lt;&gt;0,(MAX(S315-($J$31*N316*$L$33)+J316,0)),(MAX(S315-($J$31*(N316+P316)*$L$33)+J316,0)))</f>
        <v>0</v>
      </c>
      <c r="T316" s="22">
        <f>MAX(T315-($J$32*O316*$L$33)+K316,0)</f>
        <v>0</v>
      </c>
      <c r="U316" s="22">
        <f>MAX(U315-($J$33*P316*$L$33)+L316,0)</f>
        <v>0</v>
      </c>
      <c r="V316" s="21">
        <f>IFERROR(R316*($I$30/M316),0)</f>
        <v>0</v>
      </c>
      <c r="W316" s="21">
        <f>IFERROR(S316*($I$31/N316),0)</f>
        <v>0</v>
      </c>
      <c r="X316" s="21">
        <f>IFERROR(T316*($I$32/O316),0)</f>
        <v>0</v>
      </c>
      <c r="Y316" s="21">
        <f>IFERROR(U316*($I$33/P316),0)</f>
        <v>0</v>
      </c>
      <c r="Z316" s="221">
        <f>ROUNDUP(SUM(V316*$C$30,W316*$C$31,X316*$C$32,Y316*$C$33),0)</f>
        <v>0</v>
      </c>
      <c r="AA316" s="30">
        <f>IF(R316&lt;&gt;0,($J$30*M316*$L$33),0)</f>
        <v>0</v>
      </c>
      <c r="AB316" s="30">
        <f>IF(W316&lt;&gt;0,($J$31*N316*$L$33),0)</f>
        <v>0</v>
      </c>
      <c r="AC316" s="30">
        <f>IF(X316&lt;&gt;0,($J$32*O316*$L$33),0)</f>
        <v>0</v>
      </c>
      <c r="AD316" s="30">
        <f>IF(Y316&lt;&gt;0,($J$33*P316*$L$33),0)</f>
        <v>0</v>
      </c>
      <c r="AE316" s="32">
        <f>SUM(AA316:AD316)</f>
        <v>0</v>
      </c>
      <c r="AF316" s="33">
        <f>AE312</f>
        <v>17.590091955725896</v>
      </c>
      <c r="AG316" s="40">
        <f>MAX(AG315-$Q$33+AF316,0)</f>
        <v>17.000056578822345</v>
      </c>
      <c r="AH316" s="224">
        <f>AG316*$P$33</f>
        <v>1.4257717942777517</v>
      </c>
      <c r="AI316" s="227">
        <f>SUM(Z316,IF(Z316&lt;&gt;0,$F$31,0),IF(Z316&lt;&gt;0,$N$33,0),IF(Z316&lt;&gt;0,$T$33,0),IF(Z316=0,AH321,IF(Z316=1,AH322,IF(Z316=2,AH323,IF(Z316=3,AH324,IF(Z316=4,AH325,IF(Z316=5,AH326,IF(Z316=6,AH327,IF(Z316=7,AH328,IF(Z316=8,AH329,IF(Z316=9,AH330,IF(Z316=10,AH331,IF(Z316=11,AH332,IF(Z316=12,AH333,IF(Z316=13,AH334,IF(Z316=14,AH335,IF(Z316=15,AH336,IF(Z316=16,AH337,IF(Z316=17,AH338,IF(Z316=18,AH339,IF(Z316=19,AH340,IF(Z316=20,AH341,IF(Z316=21,AH342,IF(Z316=22,AH343,IF(Z316=23,AH344,IF(Z316=24,AH345,IF(Z316=25,AH346,IF(Z316=26,AH347,IF(Z316=27,AH348,IF(Z316=28,AH349,IF(Z316=29,AH350,IF(Z316=30,AH351))))))))))))))))))))))))))))))))</f>
        <v>0</v>
      </c>
    </row>
    <row r="317" spans="1:35" x14ac:dyDescent="0.35">
      <c r="A317" s="48">
        <v>1738</v>
      </c>
      <c r="B317" s="58">
        <f>SUMIF([2]!Table2_23[ETA],'FIS Optimal Model (3)'!A317,[2]!Table2_23[FIS PAX])</f>
        <v>0</v>
      </c>
      <c r="C317" s="44">
        <f>IF((D316-D317)&gt;-1,(D316-D317),18)</f>
        <v>0</v>
      </c>
      <c r="D317" s="52">
        <f>MAX(D316-$E$31+B316,0)</f>
        <v>0</v>
      </c>
      <c r="E317" s="26">
        <f>$C$30*C317</f>
        <v>0</v>
      </c>
      <c r="F317" s="26">
        <f>$C$31*C317</f>
        <v>0</v>
      </c>
      <c r="G317" s="26">
        <f>$C$32*C317</f>
        <v>0</v>
      </c>
      <c r="H317" s="26">
        <f>$C$33*C317</f>
        <v>0</v>
      </c>
      <c r="I317" s="27">
        <f>E312</f>
        <v>0</v>
      </c>
      <c r="J317" s="27">
        <f>F312</f>
        <v>0</v>
      </c>
      <c r="K317" s="27">
        <f>G312</f>
        <v>0</v>
      </c>
      <c r="L317" s="27">
        <f>H312</f>
        <v>0</v>
      </c>
      <c r="M317" s="28">
        <f>$M$310</f>
        <v>6</v>
      </c>
      <c r="N317" s="29">
        <f>$N$310</f>
        <v>8</v>
      </c>
      <c r="O317" s="28">
        <f>$O$310</f>
        <v>2</v>
      </c>
      <c r="P317" s="28">
        <f>$P$310</f>
        <v>0</v>
      </c>
      <c r="Q317" s="28">
        <f>SUM(M317:P317)</f>
        <v>16</v>
      </c>
      <c r="R317" s="22">
        <f>MAX(R316-($J$30*M317*$L$33)+I317,0)</f>
        <v>0</v>
      </c>
      <c r="S317" s="22">
        <f>IF(U317&lt;&gt;0,(MAX(S316-($J$31*N317*$L$33)+J317,0)),(MAX(S316-($J$31*(N317+P317)*$L$33)+J317,0)))</f>
        <v>0</v>
      </c>
      <c r="T317" s="22">
        <f>MAX(T316-($J$32*O317*$L$33)+K317,0)</f>
        <v>0</v>
      </c>
      <c r="U317" s="22">
        <f>MAX(U316-($J$33*P317*$L$33)+L317,0)</f>
        <v>0</v>
      </c>
      <c r="V317" s="21">
        <f>IFERROR(R317*($I$30/M317),0)</f>
        <v>0</v>
      </c>
      <c r="W317" s="21">
        <f>IFERROR(S317*($I$31/N317),0)</f>
        <v>0</v>
      </c>
      <c r="X317" s="21">
        <f>IFERROR(T317*($I$32/O317),0)</f>
        <v>0</v>
      </c>
      <c r="Y317" s="21">
        <f>IFERROR(U317*($I$33/P317),0)</f>
        <v>0</v>
      </c>
      <c r="Z317" s="221">
        <f>ROUNDUP(SUM(V317*$C$30,W317*$C$31,X317*$C$32,Y317*$C$33),0)</f>
        <v>0</v>
      </c>
      <c r="AA317" s="30">
        <f>IF(R317&lt;&gt;0,($J$30*M317*$L$33),0)</f>
        <v>0</v>
      </c>
      <c r="AB317" s="30">
        <f>IF(W317&lt;&gt;0,($J$31*N317*$L$33),0)</f>
        <v>0</v>
      </c>
      <c r="AC317" s="30">
        <f>IF(X317&lt;&gt;0,($J$32*O317*$L$33),0)</f>
        <v>0</v>
      </c>
      <c r="AD317" s="30">
        <f>IF(Y317&lt;&gt;0,($J$33*P317*$L$33),0)</f>
        <v>0</v>
      </c>
      <c r="AE317" s="32">
        <f>SUM(AA317:AD317)</f>
        <v>0</v>
      </c>
      <c r="AF317" s="33">
        <f>AE313</f>
        <v>12.628138463824097</v>
      </c>
      <c r="AG317" s="40">
        <f>MAX(AG316-$Q$33+AF317,0)</f>
        <v>17.704788613194662</v>
      </c>
      <c r="AH317" s="224">
        <f>AG317*$P$33</f>
        <v>1.4848767185745173</v>
      </c>
      <c r="AI317" s="227">
        <f>SUM(Z317,IF(Z317&lt;&gt;0,$F$31,0),IF(Z317&lt;&gt;0,$N$33,0),IF(Z317&lt;&gt;0,$T$33,0),IF(Z317=0,AH322,IF(Z317=1,AH323,IF(Z317=2,AH324,IF(Z317=3,AH325,IF(Z317=4,AH326,IF(Z317=5,AH327,IF(Z317=6,AH328,IF(Z317=7,AH329,IF(Z317=8,AH330,IF(Z317=9,AH331,IF(Z317=10,AH332,IF(Z317=11,AH333,IF(Z317=12,AH334,IF(Z317=13,AH335,IF(Z317=14,AH336,IF(Z317=15,AH337,IF(Z317=16,AH338,IF(Z317=17,AH339,IF(Z317=18,AH340,IF(Z317=19,AH341,IF(Z317=20,AH342,IF(Z317=21,AH343,IF(Z317=22,AH344,IF(Z317=23,AH345,IF(Z317=24,AH346,IF(Z317=25,AH347,IF(Z317=26,AH348,IF(Z317=27,AH349,IF(Z317=28,AH350,IF(Z317=29,AH351,IF(Z317=30,AH352))))))))))))))))))))))))))))))))</f>
        <v>0</v>
      </c>
    </row>
    <row r="318" spans="1:35" x14ac:dyDescent="0.35">
      <c r="A318" s="48">
        <v>1739</v>
      </c>
      <c r="B318" s="58">
        <f>SUMIF([2]!Table2_23[ETA],'FIS Optimal Model (3)'!A318,[2]!Table2_23[FIS PAX])</f>
        <v>0</v>
      </c>
      <c r="C318" s="44">
        <f>IF((D317-D318)&gt;-1,(D317-D318),18)</f>
        <v>0</v>
      </c>
      <c r="D318" s="52">
        <f>MAX(D317-$E$31+B317,0)</f>
        <v>0</v>
      </c>
      <c r="E318" s="26">
        <f>$C$30*C318</f>
        <v>0</v>
      </c>
      <c r="F318" s="26">
        <f>$C$31*C318</f>
        <v>0</v>
      </c>
      <c r="G318" s="26">
        <f>$C$32*C318</f>
        <v>0</v>
      </c>
      <c r="H318" s="26">
        <f>$C$33*C318</f>
        <v>0</v>
      </c>
      <c r="I318" s="27">
        <f>E313</f>
        <v>0</v>
      </c>
      <c r="J318" s="27">
        <f>F313</f>
        <v>0</v>
      </c>
      <c r="K318" s="27">
        <f>G313</f>
        <v>0</v>
      </c>
      <c r="L318" s="27">
        <f>H313</f>
        <v>0</v>
      </c>
      <c r="M318" s="28">
        <f>$M$310</f>
        <v>6</v>
      </c>
      <c r="N318" s="29">
        <f>$N$310</f>
        <v>8</v>
      </c>
      <c r="O318" s="28">
        <f>$O$310</f>
        <v>2</v>
      </c>
      <c r="P318" s="28">
        <f>$P$310</f>
        <v>0</v>
      </c>
      <c r="Q318" s="28">
        <f>SUM(M318:P318)</f>
        <v>16</v>
      </c>
      <c r="R318" s="22">
        <f>MAX(R317-($J$30*M318*$L$33)+I318,0)</f>
        <v>0</v>
      </c>
      <c r="S318" s="22">
        <f>IF(U318&lt;&gt;0,(MAX(S317-($J$31*N318*$L$33)+J318,0)),(MAX(S317-($J$31*(N318+P318)*$L$33)+J318,0)))</f>
        <v>0</v>
      </c>
      <c r="T318" s="22">
        <f>MAX(T317-($J$32*O318*$L$33)+K318,0)</f>
        <v>0</v>
      </c>
      <c r="U318" s="22">
        <f>MAX(U317-($J$33*P318*$L$33)+L318,0)</f>
        <v>0</v>
      </c>
      <c r="V318" s="21">
        <f>IFERROR(R318*($I$30/M318),0)</f>
        <v>0</v>
      </c>
      <c r="W318" s="21">
        <f>IFERROR(S318*($I$31/N318),0)</f>
        <v>0</v>
      </c>
      <c r="X318" s="21">
        <f>IFERROR(T318*($I$32/O318),0)</f>
        <v>0</v>
      </c>
      <c r="Y318" s="21">
        <f>IFERROR(U318*($I$33/P318),0)</f>
        <v>0</v>
      </c>
      <c r="Z318" s="221">
        <f>ROUNDUP(SUM(V318*$C$30,W318*$C$31,X318*$C$32,Y318*$C$33),0)</f>
        <v>0</v>
      </c>
      <c r="AA318" s="30">
        <f>IF(R318&lt;&gt;0,($J$30*M318*$L$33),0)</f>
        <v>0</v>
      </c>
      <c r="AB318" s="30">
        <f>IF(W318&lt;&gt;0,($J$31*N318*$L$33),0)</f>
        <v>0</v>
      </c>
      <c r="AC318" s="30">
        <f>IF(X318&lt;&gt;0,($J$32*O318*$L$33),0)</f>
        <v>0</v>
      </c>
      <c r="AD318" s="30">
        <f>IF(Y318&lt;&gt;0,($J$33*P318*$L$33),0)</f>
        <v>0</v>
      </c>
      <c r="AE318" s="32">
        <f>SUM(AA318:AD318)</f>
        <v>0</v>
      </c>
      <c r="AF318" s="33">
        <f>AE314</f>
        <v>0</v>
      </c>
      <c r="AG318" s="40">
        <f>MAX(AG317-$Q$33+AF318,0)</f>
        <v>5.7813821837428812</v>
      </c>
      <c r="AH318" s="224">
        <f>AG318*$P$33</f>
        <v>0.48487671857451731</v>
      </c>
      <c r="AI318" s="227">
        <f>SUM(Z318,IF(Z318&lt;&gt;0,$F$31,0),IF(Z318&lt;&gt;0,$N$33,0),IF(Z318&lt;&gt;0,$T$33,0),IF(Z318=0,AH323,IF(Z318=1,AH324,IF(Z318=2,AH325,IF(Z318=3,AH326,IF(Z318=4,AH327,IF(Z318=5,AH328,IF(Z318=6,AH329,IF(Z318=7,AH330,IF(Z318=8,AH331,IF(Z318=9,AH332,IF(Z318=10,AH333,IF(Z318=11,AH334,IF(Z318=12,AH335,IF(Z318=13,AH336,IF(Z318=14,AH337,IF(Z318=15,AH338,IF(Z318=16,AH339,IF(Z318=17,AH340,IF(Z318=18,AH341,IF(Z318=19,AH342,IF(Z318=20,AH343,IF(Z318=21,AH344,IF(Z318=22,AH345,IF(Z318=23,AH346,IF(Z318=24,AH347,IF(Z318=25,AH348,IF(Z318=26,AH349,IF(Z318=27,AH350,IF(Z318=28,AH351,IF(Z318=29,AH352,IF(Z318=30,AH353))))))))))))))))))))))))))))))))</f>
        <v>0</v>
      </c>
    </row>
    <row r="319" spans="1:35" x14ac:dyDescent="0.35">
      <c r="A319" s="48">
        <v>1740</v>
      </c>
      <c r="B319" s="58">
        <f>SUMIF([2]!Table2_23[ETA],'FIS Optimal Model (3)'!A319,[2]!Table2_23[FIS PAX])</f>
        <v>0</v>
      </c>
      <c r="C319" s="44">
        <f>IF((D318-D319)&gt;-1,(D318-D319),18)</f>
        <v>0</v>
      </c>
      <c r="D319" s="52">
        <f>MAX(D318-$E$31+B318,0)</f>
        <v>0</v>
      </c>
      <c r="E319" s="26">
        <f>$C$30*C319</f>
        <v>0</v>
      </c>
      <c r="F319" s="26">
        <f>$C$31*C319</f>
        <v>0</v>
      </c>
      <c r="G319" s="26">
        <f>$C$32*C319</f>
        <v>0</v>
      </c>
      <c r="H319" s="26">
        <f>$C$33*C319</f>
        <v>0</v>
      </c>
      <c r="I319" s="27">
        <f>E314</f>
        <v>0</v>
      </c>
      <c r="J319" s="27">
        <f>F314</f>
        <v>0</v>
      </c>
      <c r="K319" s="27">
        <f>G314</f>
        <v>0</v>
      </c>
      <c r="L319" s="27">
        <f>H314</f>
        <v>0</v>
      </c>
      <c r="M319" s="28">
        <f>$M$310</f>
        <v>6</v>
      </c>
      <c r="N319" s="29">
        <f>$N$310</f>
        <v>8</v>
      </c>
      <c r="O319" s="28">
        <f>$O$310</f>
        <v>2</v>
      </c>
      <c r="P319" s="28">
        <f>$P$310</f>
        <v>0</v>
      </c>
      <c r="Q319" s="28">
        <f>SUM(M319:P319)</f>
        <v>16</v>
      </c>
      <c r="R319" s="22">
        <f>MAX(R318-($J$30*M319*$L$33)+I319,0)</f>
        <v>0</v>
      </c>
      <c r="S319" s="22">
        <f>IF(U319&lt;&gt;0,(MAX(S318-($J$31*N319*$L$33)+J319,0)),(MAX(S318-($J$31*(N319+P319)*$L$33)+J319,0)))</f>
        <v>0</v>
      </c>
      <c r="T319" s="22">
        <f>MAX(T318-($J$32*O319*$L$33)+K319,0)</f>
        <v>0</v>
      </c>
      <c r="U319" s="22">
        <f>MAX(U318-($J$33*P319*$L$33)+L319,0)</f>
        <v>0</v>
      </c>
      <c r="V319" s="21">
        <f>IFERROR(R319*($I$30/M319),0)</f>
        <v>0</v>
      </c>
      <c r="W319" s="21">
        <f>IFERROR(S319*($I$31/N319),0)</f>
        <v>0</v>
      </c>
      <c r="X319" s="21">
        <f>IFERROR(T319*($I$32/O319),0)</f>
        <v>0</v>
      </c>
      <c r="Y319" s="21">
        <f>IFERROR(U319*($I$33/P319),0)</f>
        <v>0</v>
      </c>
      <c r="Z319" s="221">
        <f>ROUNDUP(SUM(V319*$C$30,W319*$C$31,X319*$C$32,Y319*$C$33),0)</f>
        <v>0</v>
      </c>
      <c r="AA319" s="30">
        <f>IF(R319&lt;&gt;0,($J$30*M319*$L$33),0)</f>
        <v>0</v>
      </c>
      <c r="AB319" s="30">
        <f>IF(W319&lt;&gt;0,($J$31*N319*$L$33),0)</f>
        <v>0</v>
      </c>
      <c r="AC319" s="30">
        <f>IF(X319&lt;&gt;0,($J$32*O319*$L$33),0)</f>
        <v>0</v>
      </c>
      <c r="AD319" s="30">
        <f>IF(Y319&lt;&gt;0,($J$33*P319*$L$33),0)</f>
        <v>0</v>
      </c>
      <c r="AE319" s="32">
        <f>SUM(AA319:AD319)</f>
        <v>0</v>
      </c>
      <c r="AF319" s="33">
        <f>AE315</f>
        <v>0</v>
      </c>
      <c r="AG319" s="40">
        <f>MAX(AG318-$Q$33+AF319,0)</f>
        <v>0</v>
      </c>
      <c r="AH319" s="224">
        <f>AG319*$P$33</f>
        <v>0</v>
      </c>
      <c r="AI319" s="227">
        <f>SUM(Z319,IF(Z319&lt;&gt;0,$F$31,0),IF(Z319&lt;&gt;0,$N$33,0),IF(Z319&lt;&gt;0,$T$33,0),IF(Z319=0,AH324,IF(Z319=1,AH325,IF(Z319=2,AH326,IF(Z319=3,AH327,IF(Z319=4,AH328,IF(Z319=5,AH329,IF(Z319=6,AH330,IF(Z319=7,AH331,IF(Z319=8,AH332,IF(Z319=9,AH333,IF(Z319=10,AH334,IF(Z319=11,AH335,IF(Z319=12,AH336,IF(Z319=13,AH337,IF(Z319=14,AH338,IF(Z319=15,AH339,IF(Z319=16,AH340,IF(Z319=17,AH341,IF(Z319=18,AH342,IF(Z319=19,AH343,IF(Z319=20,AH344,IF(Z319=21,AH345,IF(Z319=22,AH346,IF(Z319=23,AH347,IF(Z319=24,AH348,IF(Z319=25,AH349,IF(Z319=26,AH350,IF(Z319=27,AH351,IF(Z319=28,AH352,IF(Z319=29,AH353,IF(Z319=30,AH354))))))))))))))))))))))))))))))))</f>
        <v>0</v>
      </c>
    </row>
    <row r="320" spans="1:35" x14ac:dyDescent="0.35">
      <c r="A320" s="48">
        <v>1741</v>
      </c>
      <c r="B320" s="58">
        <f>SUMIF([2]!Table2_23[ETA],'FIS Optimal Model (3)'!A320,[2]!Table2_23[FIS PAX])</f>
        <v>0</v>
      </c>
      <c r="C320" s="44">
        <f>IF((D319-D320)&gt;-1,(D319-D320),18)</f>
        <v>0</v>
      </c>
      <c r="D320" s="52">
        <f>MAX(D319-$E$31+B319,0)</f>
        <v>0</v>
      </c>
      <c r="E320" s="26">
        <f>$C$30*C320</f>
        <v>0</v>
      </c>
      <c r="F320" s="26">
        <f>$C$31*C320</f>
        <v>0</v>
      </c>
      <c r="G320" s="26">
        <f>$C$32*C320</f>
        <v>0</v>
      </c>
      <c r="H320" s="26">
        <f>$C$33*C320</f>
        <v>0</v>
      </c>
      <c r="I320" s="27">
        <f>E315</f>
        <v>0</v>
      </c>
      <c r="J320" s="27">
        <f>F315</f>
        <v>0</v>
      </c>
      <c r="K320" s="27">
        <f>G315</f>
        <v>0</v>
      </c>
      <c r="L320" s="27">
        <f>H315</f>
        <v>0</v>
      </c>
      <c r="M320" s="28">
        <f>$M$310</f>
        <v>6</v>
      </c>
      <c r="N320" s="29">
        <f>$N$310</f>
        <v>8</v>
      </c>
      <c r="O320" s="28">
        <f>$O$310</f>
        <v>2</v>
      </c>
      <c r="P320" s="28">
        <f>$P$310</f>
        <v>0</v>
      </c>
      <c r="Q320" s="28">
        <f>SUM(M320:P320)</f>
        <v>16</v>
      </c>
      <c r="R320" s="22">
        <f>MAX(R319-($J$30*M320*$L$33)+I320,0)</f>
        <v>0</v>
      </c>
      <c r="S320" s="22">
        <f>IF(U320&lt;&gt;0,(MAX(S319-($J$31*N320*$L$33)+J320,0)),(MAX(S319-($J$31*(N320+P320)*$L$33)+J320,0)))</f>
        <v>0</v>
      </c>
      <c r="T320" s="22">
        <f>MAX(T319-($J$32*O320*$L$33)+K320,0)</f>
        <v>0</v>
      </c>
      <c r="U320" s="22">
        <f>MAX(U319-($J$33*P320*$L$33)+L320,0)</f>
        <v>0</v>
      </c>
      <c r="V320" s="21">
        <f>IFERROR(R320*($I$30/M320),0)</f>
        <v>0</v>
      </c>
      <c r="W320" s="21">
        <f>IFERROR(S320*($I$31/N320),0)</f>
        <v>0</v>
      </c>
      <c r="X320" s="21">
        <f>IFERROR(T320*($I$32/O320),0)</f>
        <v>0</v>
      </c>
      <c r="Y320" s="21">
        <f>IFERROR(U320*($I$33/P320),0)</f>
        <v>0</v>
      </c>
      <c r="Z320" s="221">
        <f>ROUNDUP(SUM(V320*$C$30,W320*$C$31,X320*$C$32,Y320*$C$33),0)</f>
        <v>0</v>
      </c>
      <c r="AA320" s="30">
        <f>IF(R320&lt;&gt;0,($J$30*M320*$L$33),0)</f>
        <v>0</v>
      </c>
      <c r="AB320" s="30">
        <f>IF(W320&lt;&gt;0,($J$31*N320*$L$33),0)</f>
        <v>0</v>
      </c>
      <c r="AC320" s="30">
        <f>IF(X320&lt;&gt;0,($J$32*O320*$L$33),0)</f>
        <v>0</v>
      </c>
      <c r="AD320" s="30">
        <f>IF(Y320&lt;&gt;0,($J$33*P320*$L$33),0)</f>
        <v>0</v>
      </c>
      <c r="AE320" s="32">
        <f>SUM(AA320:AD320)</f>
        <v>0</v>
      </c>
      <c r="AF320" s="33">
        <f>AE316</f>
        <v>0</v>
      </c>
      <c r="AG320" s="40">
        <f>MAX(AG319-$Q$33+AF320,0)</f>
        <v>0</v>
      </c>
      <c r="AH320" s="224">
        <f>AG320*$P$33</f>
        <v>0</v>
      </c>
      <c r="AI320" s="227">
        <f>SUM(Z320,IF(Z320&lt;&gt;0,$F$31,0),IF(Z320&lt;&gt;0,$N$33,0),IF(Z320&lt;&gt;0,$T$33,0),IF(Z320=0,AH325,IF(Z320=1,AH326,IF(Z320=2,AH327,IF(Z320=3,AH328,IF(Z320=4,AH329,IF(Z320=5,AH330,IF(Z320=6,AH331,IF(Z320=7,AH332,IF(Z320=8,AH333,IF(Z320=9,AH334,IF(Z320=10,AH335,IF(Z320=11,AH336,IF(Z320=12,AH337,IF(Z320=13,AH338,IF(Z320=14,AH339,IF(Z320=15,AH340,IF(Z320=16,AH341,IF(Z320=17,AH342,IF(Z320=18,AH343,IF(Z320=19,AH344,IF(Z320=20,AH345,IF(Z320=21,AH346,IF(Z320=22,AH347,IF(Z320=23,AH348,IF(Z320=24,AH349,IF(Z320=25,AH350,IF(Z320=26,AH351,IF(Z320=27,AH352,IF(Z320=28,AH353,IF(Z320=29,AH354,IF(Z320=30,AH355))))))))))))))))))))))))))))))))</f>
        <v>0</v>
      </c>
    </row>
    <row r="321" spans="1:35" x14ac:dyDescent="0.35">
      <c r="A321" s="48">
        <v>1742</v>
      </c>
      <c r="B321" s="58">
        <f>SUMIF([2]!Table2_23[ETA],'FIS Optimal Model (3)'!A321,[2]!Table2_23[FIS PAX])</f>
        <v>0</v>
      </c>
      <c r="C321" s="44">
        <f>IF((D320-D321)&gt;-1,(D320-D321),18)</f>
        <v>0</v>
      </c>
      <c r="D321" s="52">
        <f>MAX(D320-$E$31+B320,0)</f>
        <v>0</v>
      </c>
      <c r="E321" s="26">
        <f>$C$30*C321</f>
        <v>0</v>
      </c>
      <c r="F321" s="26">
        <f>$C$31*C321</f>
        <v>0</v>
      </c>
      <c r="G321" s="26">
        <f>$C$32*C321</f>
        <v>0</v>
      </c>
      <c r="H321" s="26">
        <f>$C$33*C321</f>
        <v>0</v>
      </c>
      <c r="I321" s="27">
        <f>E316</f>
        <v>0</v>
      </c>
      <c r="J321" s="27">
        <f>F316</f>
        <v>0</v>
      </c>
      <c r="K321" s="27">
        <f>G316</f>
        <v>0</v>
      </c>
      <c r="L321" s="27">
        <f>H316</f>
        <v>0</v>
      </c>
      <c r="M321" s="28">
        <f>$M$310</f>
        <v>6</v>
      </c>
      <c r="N321" s="29">
        <f>$N$310</f>
        <v>8</v>
      </c>
      <c r="O321" s="28">
        <f>$O$310</f>
        <v>2</v>
      </c>
      <c r="P321" s="28">
        <f>$P$310</f>
        <v>0</v>
      </c>
      <c r="Q321" s="28">
        <f>SUM(M321:P321)</f>
        <v>16</v>
      </c>
      <c r="R321" s="22">
        <f>MAX(R320-($J$30*M321*$L$33)+I321,0)</f>
        <v>0</v>
      </c>
      <c r="S321" s="22">
        <f>IF(U321&lt;&gt;0,(MAX(S320-($J$31*N321*$L$33)+J321,0)),(MAX(S320-($J$31*(N321+P321)*$L$33)+J321,0)))</f>
        <v>0</v>
      </c>
      <c r="T321" s="22">
        <f>MAX(T320-($J$32*O321*$L$33)+K321,0)</f>
        <v>0</v>
      </c>
      <c r="U321" s="22">
        <f>MAX(U320-($J$33*P321*$L$33)+L321,0)</f>
        <v>0</v>
      </c>
      <c r="V321" s="21">
        <f>IFERROR(R321*($I$30/M321),0)</f>
        <v>0</v>
      </c>
      <c r="W321" s="21">
        <f>IFERROR(S321*($I$31/N321),0)</f>
        <v>0</v>
      </c>
      <c r="X321" s="21">
        <f>IFERROR(T321*($I$32/O321),0)</f>
        <v>0</v>
      </c>
      <c r="Y321" s="21">
        <f>IFERROR(U321*($I$33/P321),0)</f>
        <v>0</v>
      </c>
      <c r="Z321" s="221">
        <f>ROUNDUP(SUM(V321*$C$30,W321*$C$31,X321*$C$32,Y321*$C$33),0)</f>
        <v>0</v>
      </c>
      <c r="AA321" s="30">
        <f>IF(R321&lt;&gt;0,($J$30*M321*$L$33),0)</f>
        <v>0</v>
      </c>
      <c r="AB321" s="30">
        <f>IF(W321&lt;&gt;0,($J$31*N321*$L$33),0)</f>
        <v>0</v>
      </c>
      <c r="AC321" s="30">
        <f>IF(X321&lt;&gt;0,($J$32*O321*$L$33),0)</f>
        <v>0</v>
      </c>
      <c r="AD321" s="30">
        <f>IF(Y321&lt;&gt;0,($J$33*P321*$L$33),0)</f>
        <v>0</v>
      </c>
      <c r="AE321" s="32">
        <f>SUM(AA321:AD321)</f>
        <v>0</v>
      </c>
      <c r="AF321" s="33">
        <f>AE317</f>
        <v>0</v>
      </c>
      <c r="AG321" s="40">
        <f>MAX(AG320-$Q$33+AF321,0)</f>
        <v>0</v>
      </c>
      <c r="AH321" s="224">
        <f>AG321*$P$33</f>
        <v>0</v>
      </c>
      <c r="AI321" s="227">
        <f>SUM(Z321,IF(Z321&lt;&gt;0,$F$31,0),IF(Z321&lt;&gt;0,$N$33,0),IF(Z321&lt;&gt;0,$T$33,0),IF(Z321=0,AH326,IF(Z321=1,AH327,IF(Z321=2,AH328,IF(Z321=3,AH329,IF(Z321=4,AH330,IF(Z321=5,AH331,IF(Z321=6,AH332,IF(Z321=7,AH333,IF(Z321=8,AH334,IF(Z321=9,AH335,IF(Z321=10,AH336,IF(Z321=11,AH337,IF(Z321=12,AH338,IF(Z321=13,AH339,IF(Z321=14,AH340,IF(Z321=15,AH341,IF(Z321=16,AH342,IF(Z321=17,AH343,IF(Z321=18,AH344,IF(Z321=19,AH345,IF(Z321=20,AH346,IF(Z321=21,AH347,IF(Z321=22,AH348,IF(Z321=23,AH349,IF(Z321=24,AH350,IF(Z321=25,AH351,IF(Z321=26,AH352,IF(Z321=27,AH353,IF(Z321=28,AH354,IF(Z321=29,AH355,IF(Z321=30,AH356))))))))))))))))))))))))))))))))</f>
        <v>0</v>
      </c>
    </row>
    <row r="322" spans="1:35" x14ac:dyDescent="0.35">
      <c r="A322" s="48">
        <v>1743</v>
      </c>
      <c r="B322" s="58">
        <f>SUMIF([2]!Table2_23[ETA],'FIS Optimal Model (3)'!A322,[2]!Table2_23[FIS PAX])</f>
        <v>0</v>
      </c>
      <c r="C322" s="44">
        <f>IF((D321-D322)&gt;-1,(D321-D322),18)</f>
        <v>0</v>
      </c>
      <c r="D322" s="52">
        <f>MAX(D321-$E$31+B321,0)</f>
        <v>0</v>
      </c>
      <c r="E322" s="26">
        <f>$C$30*C322</f>
        <v>0</v>
      </c>
      <c r="F322" s="26">
        <f>$C$31*C322</f>
        <v>0</v>
      </c>
      <c r="G322" s="26">
        <f>$C$32*C322</f>
        <v>0</v>
      </c>
      <c r="H322" s="26">
        <f>$C$33*C322</f>
        <v>0</v>
      </c>
      <c r="I322" s="27">
        <f>E317</f>
        <v>0</v>
      </c>
      <c r="J322" s="27">
        <f>F317</f>
        <v>0</v>
      </c>
      <c r="K322" s="27">
        <f>G317</f>
        <v>0</v>
      </c>
      <c r="L322" s="27">
        <f>H317</f>
        <v>0</v>
      </c>
      <c r="M322" s="28">
        <f>$M$310</f>
        <v>6</v>
      </c>
      <c r="N322" s="29">
        <f>$N$310</f>
        <v>8</v>
      </c>
      <c r="O322" s="28">
        <f>$O$310</f>
        <v>2</v>
      </c>
      <c r="P322" s="28">
        <f>$P$310</f>
        <v>0</v>
      </c>
      <c r="Q322" s="28">
        <f>SUM(M322:P322)</f>
        <v>16</v>
      </c>
      <c r="R322" s="22">
        <f>MAX(R321-($J$30*M322*$L$33)+I322,0)</f>
        <v>0</v>
      </c>
      <c r="S322" s="22">
        <f>IF(U322&lt;&gt;0,(MAX(S321-($J$31*N322*$L$33)+J322,0)),(MAX(S321-($J$31*(N322+P322)*$L$33)+J322,0)))</f>
        <v>0</v>
      </c>
      <c r="T322" s="22">
        <f>MAX(T321-($J$32*O322*$L$33)+K322,0)</f>
        <v>0</v>
      </c>
      <c r="U322" s="22">
        <f>MAX(U321-($J$33*P322*$L$33)+L322,0)</f>
        <v>0</v>
      </c>
      <c r="V322" s="21">
        <f>IFERROR(R322*($I$30/M322),0)</f>
        <v>0</v>
      </c>
      <c r="W322" s="21">
        <f>IFERROR(S322*($I$31/N322),0)</f>
        <v>0</v>
      </c>
      <c r="X322" s="21">
        <f>IFERROR(T322*($I$32/O322),0)</f>
        <v>0</v>
      </c>
      <c r="Y322" s="21">
        <f>IFERROR(U322*($I$33/P322),0)</f>
        <v>0</v>
      </c>
      <c r="Z322" s="221">
        <f>ROUNDUP(SUM(V322*$C$30,W322*$C$31,X322*$C$32,Y322*$C$33),0)</f>
        <v>0</v>
      </c>
      <c r="AA322" s="30">
        <f>IF(R322&lt;&gt;0,($J$30*M322*$L$33),0)</f>
        <v>0</v>
      </c>
      <c r="AB322" s="30">
        <f>IF(W322&lt;&gt;0,($J$31*N322*$L$33),0)</f>
        <v>0</v>
      </c>
      <c r="AC322" s="30">
        <f>IF(X322&lt;&gt;0,($J$32*O322*$L$33),0)</f>
        <v>0</v>
      </c>
      <c r="AD322" s="30">
        <f>IF(Y322&lt;&gt;0,($J$33*P322*$L$33),0)</f>
        <v>0</v>
      </c>
      <c r="AE322" s="32">
        <f>SUM(AA322:AD322)</f>
        <v>0</v>
      </c>
      <c r="AF322" s="33">
        <f>AE318</f>
        <v>0</v>
      </c>
      <c r="AG322" s="40">
        <f>MAX(AG321-$Q$33+AF322,0)</f>
        <v>0</v>
      </c>
      <c r="AH322" s="224">
        <f>AG322*$P$33</f>
        <v>0</v>
      </c>
      <c r="AI322" s="227">
        <f>SUM(Z322,IF(Z322&lt;&gt;0,$F$31,0),IF(Z322&lt;&gt;0,$N$33,0),IF(Z322&lt;&gt;0,$T$33,0),IF(Z322=0,AH327,IF(Z322=1,AH328,IF(Z322=2,AH329,IF(Z322=3,AH330,IF(Z322=4,AH331,IF(Z322=5,AH332,IF(Z322=6,AH333,IF(Z322=7,AH334,IF(Z322=8,AH335,IF(Z322=9,AH336,IF(Z322=10,AH337,IF(Z322=11,AH338,IF(Z322=12,AH339,IF(Z322=13,AH340,IF(Z322=14,AH341,IF(Z322=15,AH342,IF(Z322=16,AH343,IF(Z322=17,AH344,IF(Z322=18,AH345,IF(Z322=19,AH346,IF(Z322=20,AH347,IF(Z322=21,AH348,IF(Z322=22,AH349,IF(Z322=23,AH350,IF(Z322=24,AH351,IF(Z322=25,AH352,IF(Z322=26,AH353,IF(Z322=27,AH354,IF(Z322=28,AH355,IF(Z322=29,AH356,IF(Z322=30,AH357))))))))))))))))))))))))))))))))</f>
        <v>0</v>
      </c>
    </row>
    <row r="323" spans="1:35" x14ac:dyDescent="0.35">
      <c r="A323" s="48">
        <v>1744</v>
      </c>
      <c r="B323" s="58">
        <f>SUMIF([2]!Table2_23[ETA],'FIS Optimal Model (3)'!A323,[2]!Table2_23[FIS PAX])</f>
        <v>0</v>
      </c>
      <c r="C323" s="44">
        <f>IF((D322-D323)&gt;-1,(D322-D323),18)</f>
        <v>0</v>
      </c>
      <c r="D323" s="52">
        <f>MAX(D322-$E$31+B322,0)</f>
        <v>0</v>
      </c>
      <c r="E323" s="26">
        <f>$C$30*C323</f>
        <v>0</v>
      </c>
      <c r="F323" s="26">
        <f>$C$31*C323</f>
        <v>0</v>
      </c>
      <c r="G323" s="26">
        <f>$C$32*C323</f>
        <v>0</v>
      </c>
      <c r="H323" s="26">
        <f>$C$33*C323</f>
        <v>0</v>
      </c>
      <c r="I323" s="27">
        <f>E318</f>
        <v>0</v>
      </c>
      <c r="J323" s="27">
        <f>F318</f>
        <v>0</v>
      </c>
      <c r="K323" s="27">
        <f>G318</f>
        <v>0</v>
      </c>
      <c r="L323" s="27">
        <f>H318</f>
        <v>0</v>
      </c>
      <c r="M323" s="28">
        <f>$M$310</f>
        <v>6</v>
      </c>
      <c r="N323" s="29">
        <f>$N$310</f>
        <v>8</v>
      </c>
      <c r="O323" s="28">
        <f>$O$310</f>
        <v>2</v>
      </c>
      <c r="P323" s="28">
        <f>$P$310</f>
        <v>0</v>
      </c>
      <c r="Q323" s="28">
        <f>SUM(M323:P323)</f>
        <v>16</v>
      </c>
      <c r="R323" s="22">
        <f>MAX(R322-($J$30*M323*$L$33)+I323,0)</f>
        <v>0</v>
      </c>
      <c r="S323" s="22">
        <f>IF(U323&lt;&gt;0,(MAX(S322-($J$31*N323*$L$33)+J323,0)),(MAX(S322-($J$31*(N323+P323)*$L$33)+J323,0)))</f>
        <v>0</v>
      </c>
      <c r="T323" s="22">
        <f>MAX(T322-($J$32*O323*$L$33)+K323,0)</f>
        <v>0</v>
      </c>
      <c r="U323" s="22">
        <f>MAX(U322-($J$33*P323*$L$33)+L323,0)</f>
        <v>0</v>
      </c>
      <c r="V323" s="21">
        <f>IFERROR(R323*($I$30/M323),0)</f>
        <v>0</v>
      </c>
      <c r="W323" s="21">
        <f>IFERROR(S323*($I$31/N323),0)</f>
        <v>0</v>
      </c>
      <c r="X323" s="21">
        <f>IFERROR(T323*($I$32/O323),0)</f>
        <v>0</v>
      </c>
      <c r="Y323" s="21">
        <f>IFERROR(U323*($I$33/P323),0)</f>
        <v>0</v>
      </c>
      <c r="Z323" s="221">
        <f>ROUNDUP(SUM(V323*$C$30,W323*$C$31,X323*$C$32,Y323*$C$33),0)</f>
        <v>0</v>
      </c>
      <c r="AA323" s="30">
        <f>IF(R323&lt;&gt;0,($J$30*M323*$L$33),0)</f>
        <v>0</v>
      </c>
      <c r="AB323" s="30">
        <f>IF(W323&lt;&gt;0,($J$31*N323*$L$33),0)</f>
        <v>0</v>
      </c>
      <c r="AC323" s="30">
        <f>IF(X323&lt;&gt;0,($J$32*O323*$L$33),0)</f>
        <v>0</v>
      </c>
      <c r="AD323" s="30">
        <f>IF(Y323&lt;&gt;0,($J$33*P323*$L$33),0)</f>
        <v>0</v>
      </c>
      <c r="AE323" s="32">
        <f>SUM(AA323:AD323)</f>
        <v>0</v>
      </c>
      <c r="AF323" s="33">
        <f>AE319</f>
        <v>0</v>
      </c>
      <c r="AG323" s="40">
        <f>MAX(AG322-$Q$33+AF323,0)</f>
        <v>0</v>
      </c>
      <c r="AH323" s="224">
        <f>AG323*$P$33</f>
        <v>0</v>
      </c>
      <c r="AI323" s="227">
        <f>SUM(Z323,IF(Z323&lt;&gt;0,$F$31,0),IF(Z323&lt;&gt;0,$N$33,0),IF(Z323&lt;&gt;0,$T$33,0),IF(Z323=0,AH328,IF(Z323=1,AH329,IF(Z323=2,AH330,IF(Z323=3,AH331,IF(Z323=4,AH332,IF(Z323=5,AH333,IF(Z323=6,AH334,IF(Z323=7,AH335,IF(Z323=8,AH336,IF(Z323=9,AH337,IF(Z323=10,AH338,IF(Z323=11,AH339,IF(Z323=12,AH340,IF(Z323=13,AH341,IF(Z323=14,AH342,IF(Z323=15,AH343,IF(Z323=16,AH344,IF(Z323=17,AH345,IF(Z323=18,AH346,IF(Z323=19,AH347,IF(Z323=20,AH348,IF(Z323=21,AH349,IF(Z323=22,AH350,IF(Z323=23,AH351,IF(Z323=24,AH352,IF(Z323=25,AH353,IF(Z323=26,AH354,IF(Z323=27,AH355,IF(Z323=28,AH356,IF(Z323=29,AH357,IF(Z323=30,AH358))))))))))))))))))))))))))))))))</f>
        <v>0</v>
      </c>
    </row>
    <row r="324" spans="1:35" x14ac:dyDescent="0.35">
      <c r="A324" s="48">
        <v>1745</v>
      </c>
      <c r="B324" s="58">
        <f>SUMIF([2]!Table2_23[ETA],'FIS Optimal Model (3)'!A324,[2]!Table2_23[FIS PAX])</f>
        <v>0</v>
      </c>
      <c r="C324" s="44">
        <f>IF((D323-D324)&gt;-1,(D323-D324),18)</f>
        <v>0</v>
      </c>
      <c r="D324" s="52">
        <f>MAX(D323-$E$31+B323,0)</f>
        <v>0</v>
      </c>
      <c r="E324" s="26">
        <f>$C$30*C324</f>
        <v>0</v>
      </c>
      <c r="F324" s="26">
        <f>$C$31*C324</f>
        <v>0</v>
      </c>
      <c r="G324" s="26">
        <f>$C$32*C324</f>
        <v>0</v>
      </c>
      <c r="H324" s="26">
        <f>$C$33*C324</f>
        <v>0</v>
      </c>
      <c r="I324" s="27">
        <f>E319</f>
        <v>0</v>
      </c>
      <c r="J324" s="27">
        <f>F319</f>
        <v>0</v>
      </c>
      <c r="K324" s="27">
        <f>G319</f>
        <v>0</v>
      </c>
      <c r="L324" s="27">
        <f>H319</f>
        <v>0</v>
      </c>
      <c r="M324" s="28">
        <f>$M$310</f>
        <v>6</v>
      </c>
      <c r="N324" s="29">
        <f>$N$310</f>
        <v>8</v>
      </c>
      <c r="O324" s="28">
        <f>$O$310</f>
        <v>2</v>
      </c>
      <c r="P324" s="28">
        <f>$P$310</f>
        <v>0</v>
      </c>
      <c r="Q324" s="28">
        <f>SUM(M324:P324)</f>
        <v>16</v>
      </c>
      <c r="R324" s="22">
        <f>MAX(R323-($J$30*M324*$L$33)+I324,0)</f>
        <v>0</v>
      </c>
      <c r="S324" s="22">
        <f>IF(U324&lt;&gt;0,(MAX(S323-($J$31*N324*$L$33)+J324,0)),(MAX(S323-($J$31*(N324+P324)*$L$33)+J324,0)))</f>
        <v>0</v>
      </c>
      <c r="T324" s="22">
        <f>MAX(T323-($J$32*O324*$L$33)+K324,0)</f>
        <v>0</v>
      </c>
      <c r="U324" s="22">
        <f>MAX(U323-($J$33*P324*$L$33)+L324,0)</f>
        <v>0</v>
      </c>
      <c r="V324" s="21">
        <f>IFERROR(R324*($I$30/M324),0)</f>
        <v>0</v>
      </c>
      <c r="W324" s="21">
        <f>IFERROR(S324*($I$31/N324),0)</f>
        <v>0</v>
      </c>
      <c r="X324" s="21">
        <f>IFERROR(T324*($I$32/O324),0)</f>
        <v>0</v>
      </c>
      <c r="Y324" s="21">
        <f>IFERROR(U324*($I$33/P324),0)</f>
        <v>0</v>
      </c>
      <c r="Z324" s="221">
        <f>ROUNDUP(SUM(V324*$C$30,W324*$C$31,X324*$C$32,Y324*$C$33),0)</f>
        <v>0</v>
      </c>
      <c r="AA324" s="30">
        <f>IF(R324&lt;&gt;0,($J$30*M324*$L$33),0)</f>
        <v>0</v>
      </c>
      <c r="AB324" s="30">
        <f>IF(W324&lt;&gt;0,($J$31*N324*$L$33),0)</f>
        <v>0</v>
      </c>
      <c r="AC324" s="30">
        <f>IF(X324&lt;&gt;0,($J$32*O324*$L$33),0)</f>
        <v>0</v>
      </c>
      <c r="AD324" s="30">
        <f>IF(Y324&lt;&gt;0,($J$33*P324*$L$33),0)</f>
        <v>0</v>
      </c>
      <c r="AE324" s="32">
        <f>SUM(AA324:AD324)</f>
        <v>0</v>
      </c>
      <c r="AF324" s="33">
        <f>AE320</f>
        <v>0</v>
      </c>
      <c r="AG324" s="40">
        <f>MAX(AG323-$Q$33+AF324,0)</f>
        <v>0</v>
      </c>
      <c r="AH324" s="224">
        <f>AG324*$P$33</f>
        <v>0</v>
      </c>
      <c r="AI324" s="227">
        <f>SUM(Z324,IF(Z324&lt;&gt;0,$F$31,0),IF(Z324&lt;&gt;0,$N$33,0),IF(Z324&lt;&gt;0,$T$33,0),IF(Z324=0,AH329,IF(Z324=1,AH330,IF(Z324=2,AH331,IF(Z324=3,AH332,IF(Z324=4,AH333,IF(Z324=5,AH334,IF(Z324=6,AH335,IF(Z324=7,AH336,IF(Z324=8,AH337,IF(Z324=9,AH338,IF(Z324=10,AH339,IF(Z324=11,AH340,IF(Z324=12,AH341,IF(Z324=13,AH342,IF(Z324=14,AH343,IF(Z324=15,AH344,IF(Z324=16,AH345,IF(Z324=17,AH346,IF(Z324=18,AH347,IF(Z324=19,AH348,IF(Z324=20,AH349,IF(Z324=21,AH350,IF(Z324=22,AH351,IF(Z324=23,AH352,IF(Z324=24,AH353,IF(Z324=25,AH354,IF(Z324=26,AH355,IF(Z324=27,AH356,IF(Z324=28,AH357,IF(Z324=29,AH358,IF(Z324=30,AH359))))))))))))))))))))))))))))))))</f>
        <v>0</v>
      </c>
    </row>
    <row r="325" spans="1:35" x14ac:dyDescent="0.35">
      <c r="A325" s="48">
        <v>1746</v>
      </c>
      <c r="B325" s="58">
        <f>SUMIF([2]!Table2_23[ETA],'FIS Optimal Model (3)'!A325,[2]!Table2_23[FIS PAX])</f>
        <v>0</v>
      </c>
      <c r="C325" s="44">
        <f>IF((D324-D325)&gt;-1,(D324-D325),18)</f>
        <v>0</v>
      </c>
      <c r="D325" s="52">
        <f>MAX(D324-$E$31+B324,0)</f>
        <v>0</v>
      </c>
      <c r="E325" s="26">
        <f>$C$30*C325</f>
        <v>0</v>
      </c>
      <c r="F325" s="26">
        <f>$C$31*C325</f>
        <v>0</v>
      </c>
      <c r="G325" s="26">
        <f>$C$32*C325</f>
        <v>0</v>
      </c>
      <c r="H325" s="26">
        <f>$C$33*C325</f>
        <v>0</v>
      </c>
      <c r="I325" s="27">
        <f>E320</f>
        <v>0</v>
      </c>
      <c r="J325" s="27">
        <f>F320</f>
        <v>0</v>
      </c>
      <c r="K325" s="27">
        <f>G320</f>
        <v>0</v>
      </c>
      <c r="L325" s="27">
        <f>H320</f>
        <v>0</v>
      </c>
      <c r="M325" s="28">
        <f>IF(R324=0,0,$Q$25)</f>
        <v>0</v>
      </c>
      <c r="N325" s="29">
        <f>$U$25-M325-O325-P325</f>
        <v>16</v>
      </c>
      <c r="O325" s="28">
        <f>IF(T324=0,0,$S$25)</f>
        <v>0</v>
      </c>
      <c r="P325" s="28">
        <f>IF(U324=0,0,$T$25)</f>
        <v>0</v>
      </c>
      <c r="Q325" s="28">
        <f>SUM(M325:P325)</f>
        <v>16</v>
      </c>
      <c r="R325" s="22">
        <f>MAX(R324-($J$30*M325*$L$33)+I325,0)</f>
        <v>0</v>
      </c>
      <c r="S325" s="22">
        <f>IF(U325&lt;&gt;0,(MAX(S324-($J$31*N325*$L$33)+J325,0)),(MAX(S324-($J$31*(N325+P325)*$L$33)+J325,0)))</f>
        <v>0</v>
      </c>
      <c r="T325" s="22">
        <f>MAX(T324-($J$32*O325*$L$33)+K325,0)</f>
        <v>0</v>
      </c>
      <c r="U325" s="22">
        <f>MAX(U324-($J$33*P325*$L$33)+L325,0)</f>
        <v>0</v>
      </c>
      <c r="V325" s="21">
        <f>IFERROR(R325*($I$30/M325),0)</f>
        <v>0</v>
      </c>
      <c r="W325" s="21">
        <f>IFERROR(S325*($I$31/N325),0)</f>
        <v>0</v>
      </c>
      <c r="X325" s="21">
        <f>IFERROR(T325*($I$32/O325),0)</f>
        <v>0</v>
      </c>
      <c r="Y325" s="21">
        <f>IFERROR(U325*($I$33/P325),0)</f>
        <v>0</v>
      </c>
      <c r="Z325" s="221">
        <f>ROUNDUP(SUM(V325*$C$30,W325*$C$31,X325*$C$32,Y325*$C$33),0)</f>
        <v>0</v>
      </c>
      <c r="AA325" s="30">
        <f>IF(R325&lt;&gt;0,($J$30*M325*$L$33),0)</f>
        <v>0</v>
      </c>
      <c r="AB325" s="30">
        <f>IF(W325&lt;&gt;0,($J$31*N325*$L$33),0)</f>
        <v>0</v>
      </c>
      <c r="AC325" s="30">
        <f>IF(X325&lt;&gt;0,($J$32*O325*$L$33),0)</f>
        <v>0</v>
      </c>
      <c r="AD325" s="30">
        <f>IF(Y325&lt;&gt;0,($J$33*P325*$L$33),0)</f>
        <v>0</v>
      </c>
      <c r="AE325" s="32">
        <f>SUM(AA325:AD325)</f>
        <v>0</v>
      </c>
      <c r="AF325" s="33">
        <f>AE321</f>
        <v>0</v>
      </c>
      <c r="AG325" s="40">
        <f>MAX(AG324-$Q$33+AF325,0)</f>
        <v>0</v>
      </c>
      <c r="AH325" s="224">
        <f>AG325*$P$33</f>
        <v>0</v>
      </c>
      <c r="AI325" s="227">
        <f>SUM(Z325,IF(Z325&lt;&gt;0,$F$31,0),IF(Z325&lt;&gt;0,$N$33,0),IF(Z325&lt;&gt;0,$T$33,0),IF(Z325=0,AH330,IF(Z325=1,AH331,IF(Z325=2,AH332,IF(Z325=3,AH333,IF(Z325=4,AH334,IF(Z325=5,AH335,IF(Z325=6,AH336,IF(Z325=7,AH337,IF(Z325=8,AH338,IF(Z325=9,AH339,IF(Z325=10,AH340,IF(Z325=11,AH341,IF(Z325=12,AH342,IF(Z325=13,AH343,IF(Z325=14,AH344,IF(Z325=15,AH345,IF(Z325=16,AH346,IF(Z325=17,AH347,IF(Z325=18,AH348,IF(Z325=19,AH349,IF(Z325=20,AH350,IF(Z325=21,AH351,IF(Z325=22,AH352,IF(Z325=23,AH353,IF(Z325=24,AH354,IF(Z325=25,AH355,IF(Z325=26,AH356,IF(Z325=27,AH357,IF(Z325=28,AH358,IF(Z325=29,AH359,IF(Z325=30,AH360))))))))))))))))))))))))))))))))</f>
        <v>0</v>
      </c>
    </row>
    <row r="326" spans="1:35" x14ac:dyDescent="0.35">
      <c r="A326" s="48">
        <v>1747</v>
      </c>
      <c r="B326" s="58">
        <f>SUMIF([2]!Table2_23[ETA],'FIS Optimal Model (3)'!A326,[2]!Table2_23[FIS PAX])</f>
        <v>0</v>
      </c>
      <c r="C326" s="44">
        <f>IF((D325-D326)&gt;-1,(D325-D326),18)</f>
        <v>0</v>
      </c>
      <c r="D326" s="52">
        <f>MAX(D325-$E$31+B325,0)</f>
        <v>0</v>
      </c>
      <c r="E326" s="26">
        <f>$C$30*C326</f>
        <v>0</v>
      </c>
      <c r="F326" s="26">
        <f>$C$31*C326</f>
        <v>0</v>
      </c>
      <c r="G326" s="26">
        <f>$C$32*C326</f>
        <v>0</v>
      </c>
      <c r="H326" s="26">
        <f>$C$33*C326</f>
        <v>0</v>
      </c>
      <c r="I326" s="27">
        <f>E321</f>
        <v>0</v>
      </c>
      <c r="J326" s="27">
        <f>F321</f>
        <v>0</v>
      </c>
      <c r="K326" s="27">
        <f>G321</f>
        <v>0</v>
      </c>
      <c r="L326" s="27">
        <f>H321</f>
        <v>0</v>
      </c>
      <c r="M326" s="28">
        <f>M325</f>
        <v>0</v>
      </c>
      <c r="N326" s="29">
        <f>$N$325</f>
        <v>16</v>
      </c>
      <c r="O326" s="28">
        <f>$O$325</f>
        <v>0</v>
      </c>
      <c r="P326" s="28">
        <f>$P$325</f>
        <v>0</v>
      </c>
      <c r="Q326" s="28">
        <f>SUM(M326:P326)</f>
        <v>16</v>
      </c>
      <c r="R326" s="22">
        <f>MAX(R325-($J$30*M326*$L$33)+I326,0)</f>
        <v>0</v>
      </c>
      <c r="S326" s="22">
        <f>IF(U326&lt;&gt;0,(MAX(S325-($J$31*N326*$L$33)+J326,0)),(MAX(S325-($J$31*(N326+P326)*$L$33)+J326,0)))</f>
        <v>0</v>
      </c>
      <c r="T326" s="22">
        <f>MAX(T325-($J$32*O326*$L$33)+K326,0)</f>
        <v>0</v>
      </c>
      <c r="U326" s="22">
        <f>MAX(U325-($J$33*P326*$L$33)+L326,0)</f>
        <v>0</v>
      </c>
      <c r="V326" s="21">
        <f>IFERROR(R326*($I$30/M326),0)</f>
        <v>0</v>
      </c>
      <c r="W326" s="21">
        <f>IFERROR(S326*($I$31/N326),0)</f>
        <v>0</v>
      </c>
      <c r="X326" s="21">
        <f>IFERROR(T326*($I$32/O326),0)</f>
        <v>0</v>
      </c>
      <c r="Y326" s="21">
        <f>IFERROR(U326*($I$33/P326),0)</f>
        <v>0</v>
      </c>
      <c r="Z326" s="221">
        <f>ROUNDUP(SUM(V326*$C$30,W326*$C$31,X326*$C$32,Y326*$C$33),0)</f>
        <v>0</v>
      </c>
      <c r="AA326" s="30">
        <f>IF(R326&lt;&gt;0,($J$30*M326*$L$33),0)</f>
        <v>0</v>
      </c>
      <c r="AB326" s="30">
        <f>IF(W326&lt;&gt;0,($J$31*N326*$L$33),0)</f>
        <v>0</v>
      </c>
      <c r="AC326" s="30">
        <f>IF(X326&lt;&gt;0,($J$32*O326*$L$33),0)</f>
        <v>0</v>
      </c>
      <c r="AD326" s="30">
        <f>IF(Y326&lt;&gt;0,($J$33*P326*$L$33),0)</f>
        <v>0</v>
      </c>
      <c r="AE326" s="32">
        <f>SUM(AA326:AD326)</f>
        <v>0</v>
      </c>
      <c r="AF326" s="33">
        <f>AE322</f>
        <v>0</v>
      </c>
      <c r="AG326" s="40">
        <f>MAX(AG325-$Q$33+AF326,0)</f>
        <v>0</v>
      </c>
      <c r="AH326" s="224">
        <f>AG326*$P$33</f>
        <v>0</v>
      </c>
      <c r="AI326" s="227">
        <f>SUM(Z326,IF(Z326&lt;&gt;0,$F$31,0),IF(Z326&lt;&gt;0,$N$33,0),IF(Z326&lt;&gt;0,$T$33,0),IF(Z326=0,AH331,IF(Z326=1,AH332,IF(Z326=2,AH333,IF(Z326=3,AH334,IF(Z326=4,AH335,IF(Z326=5,AH336,IF(Z326=6,AH337,IF(Z326=7,AH338,IF(Z326=8,AH339,IF(Z326=9,AH340,IF(Z326=10,AH341,IF(Z326=11,AH342,IF(Z326=12,AH343,IF(Z326=13,AH344,IF(Z326=14,AH345,IF(Z326=15,AH346,IF(Z326=16,AH347,IF(Z326=17,AH348,IF(Z326=18,AH349,IF(Z326=19,AH350,IF(Z326=20,AH351,IF(Z326=21,AH352,IF(Z326=22,AH353,IF(Z326=23,AH354,IF(Z326=24,AH355,IF(Z326=25,AH356,IF(Z326=26,AH357,IF(Z326=27,AH358,IF(Z326=28,AH359,IF(Z326=29,AH360,IF(Z326=30,AH361))))))))))))))))))))))))))))))))</f>
        <v>0</v>
      </c>
    </row>
    <row r="327" spans="1:35" x14ac:dyDescent="0.35">
      <c r="A327" s="48">
        <v>1748</v>
      </c>
      <c r="B327" s="58">
        <f>SUMIF([2]!Table2_23[ETA],'FIS Optimal Model (3)'!A327,[2]!Table2_23[FIS PAX])</f>
        <v>0</v>
      </c>
      <c r="C327" s="44">
        <f>IF((D326-D327)&gt;-1,(D326-D327),18)</f>
        <v>0</v>
      </c>
      <c r="D327" s="52">
        <f>MAX(D326-$E$31+B326,0)</f>
        <v>0</v>
      </c>
      <c r="E327" s="26">
        <f>$C$30*C327</f>
        <v>0</v>
      </c>
      <c r="F327" s="26">
        <f>$C$31*C327</f>
        <v>0</v>
      </c>
      <c r="G327" s="26">
        <f>$C$32*C327</f>
        <v>0</v>
      </c>
      <c r="H327" s="26">
        <f>$C$33*C327</f>
        <v>0</v>
      </c>
      <c r="I327" s="27">
        <f>E322</f>
        <v>0</v>
      </c>
      <c r="J327" s="27">
        <f>F322</f>
        <v>0</v>
      </c>
      <c r="K327" s="27">
        <f>G322</f>
        <v>0</v>
      </c>
      <c r="L327" s="27">
        <f>H322</f>
        <v>0</v>
      </c>
      <c r="M327" s="28">
        <f>M326</f>
        <v>0</v>
      </c>
      <c r="N327" s="29">
        <f>$N$325</f>
        <v>16</v>
      </c>
      <c r="O327" s="28">
        <f>$O$325</f>
        <v>0</v>
      </c>
      <c r="P327" s="28">
        <f>$P$325</f>
        <v>0</v>
      </c>
      <c r="Q327" s="28">
        <f>SUM(M327:P327)</f>
        <v>16</v>
      </c>
      <c r="R327" s="22">
        <f>MAX(R326-($J$30*M327*$L$33)+I327,0)</f>
        <v>0</v>
      </c>
      <c r="S327" s="22">
        <f>IF(U327&lt;&gt;0,(MAX(S326-($J$31*N327*$L$33)+J327,0)),(MAX(S326-($J$31*(N327+P327)*$L$33)+J327,0)))</f>
        <v>0</v>
      </c>
      <c r="T327" s="22">
        <f>MAX(T326-($J$32*O327*$L$33)+K327,0)</f>
        <v>0</v>
      </c>
      <c r="U327" s="22">
        <f>MAX(U326-($J$33*P327*$L$33)+L327,0)</f>
        <v>0</v>
      </c>
      <c r="V327" s="21">
        <f>IFERROR(R327*($I$30/M327),0)</f>
        <v>0</v>
      </c>
      <c r="W327" s="21">
        <f>IFERROR(S327*($I$31/N327),0)</f>
        <v>0</v>
      </c>
      <c r="X327" s="21">
        <f>IFERROR(T327*($I$32/O327),0)</f>
        <v>0</v>
      </c>
      <c r="Y327" s="21">
        <f>IFERROR(U327*($I$33/P327),0)</f>
        <v>0</v>
      </c>
      <c r="Z327" s="221">
        <f>ROUNDUP(SUM(V327*$C$30,W327*$C$31,X327*$C$32,Y327*$C$33),0)</f>
        <v>0</v>
      </c>
      <c r="AA327" s="30">
        <f>IF(R327&lt;&gt;0,($J$30*M327*$L$33),0)</f>
        <v>0</v>
      </c>
      <c r="AB327" s="30">
        <f>IF(W327&lt;&gt;0,($J$31*N327*$L$33),0)</f>
        <v>0</v>
      </c>
      <c r="AC327" s="30">
        <f>IF(X327&lt;&gt;0,($J$32*O327*$L$33),0)</f>
        <v>0</v>
      </c>
      <c r="AD327" s="30">
        <f>IF(Y327&lt;&gt;0,($J$33*P327*$L$33),0)</f>
        <v>0</v>
      </c>
      <c r="AE327" s="32">
        <f>SUM(AA327:AD327)</f>
        <v>0</v>
      </c>
      <c r="AF327" s="33">
        <f>AE323</f>
        <v>0</v>
      </c>
      <c r="AG327" s="40">
        <f>MAX(AG326-$Q$33+AF327,0)</f>
        <v>0</v>
      </c>
      <c r="AH327" s="224">
        <f>AG327*$P$33</f>
        <v>0</v>
      </c>
      <c r="AI327" s="227">
        <f>SUM(Z327,IF(Z327&lt;&gt;0,$F$31,0),IF(Z327&lt;&gt;0,$N$33,0),IF(Z327&lt;&gt;0,$T$33,0),IF(Z327=0,AH332,IF(Z327=1,AH333,IF(Z327=2,AH334,IF(Z327=3,AH335,IF(Z327=4,AH336,IF(Z327=5,AH337,IF(Z327=6,AH338,IF(Z327=7,AH339,IF(Z327=8,AH340,IF(Z327=9,AH341,IF(Z327=10,AH342,IF(Z327=11,AH343,IF(Z327=12,AH344,IF(Z327=13,AH345,IF(Z327=14,AH346,IF(Z327=15,AH347,IF(Z327=16,AH348,IF(Z327=17,AH349,IF(Z327=18,AH350,IF(Z327=19,AH351,IF(Z327=20,AH352,IF(Z327=21,AH353,IF(Z327=22,AH354,IF(Z327=23,AH355,IF(Z327=24,AH356,IF(Z327=25,AH357,IF(Z327=26,AH358,IF(Z327=27,AH359,IF(Z327=28,AH360,IF(Z327=29,AH361,IF(Z327=30,AH362))))))))))))))))))))))))))))))))</f>
        <v>0</v>
      </c>
    </row>
    <row r="328" spans="1:35" x14ac:dyDescent="0.35">
      <c r="A328" s="48">
        <v>1749</v>
      </c>
      <c r="B328" s="58">
        <f>SUMIF([2]!Table2_23[ETA],'FIS Optimal Model (3)'!A328,[2]!Table2_23[FIS PAX])</f>
        <v>0</v>
      </c>
      <c r="C328" s="44">
        <f>IF((D327-D328)&gt;-1,(D327-D328),18)</f>
        <v>0</v>
      </c>
      <c r="D328" s="52">
        <f>MAX(D327-$E$31+B327,0)</f>
        <v>0</v>
      </c>
      <c r="E328" s="26">
        <f>$C$30*C328</f>
        <v>0</v>
      </c>
      <c r="F328" s="26">
        <f>$C$31*C328</f>
        <v>0</v>
      </c>
      <c r="G328" s="26">
        <f>$C$32*C328</f>
        <v>0</v>
      </c>
      <c r="H328" s="26">
        <f>$C$33*C328</f>
        <v>0</v>
      </c>
      <c r="I328" s="27">
        <f>E323</f>
        <v>0</v>
      </c>
      <c r="J328" s="27">
        <f>F323</f>
        <v>0</v>
      </c>
      <c r="K328" s="27">
        <f>G323</f>
        <v>0</v>
      </c>
      <c r="L328" s="27">
        <f>H323</f>
        <v>0</v>
      </c>
      <c r="M328" s="28">
        <f>M327</f>
        <v>0</v>
      </c>
      <c r="N328" s="29">
        <f>$N$325</f>
        <v>16</v>
      </c>
      <c r="O328" s="28">
        <f>$O$325</f>
        <v>0</v>
      </c>
      <c r="P328" s="28">
        <f>$P$325</f>
        <v>0</v>
      </c>
      <c r="Q328" s="28">
        <f>SUM(M328:P328)</f>
        <v>16</v>
      </c>
      <c r="R328" s="22">
        <f>MAX(R327-($J$30*M328*$L$33)+I328,0)</f>
        <v>0</v>
      </c>
      <c r="S328" s="22">
        <f>IF(U328&lt;&gt;0,(MAX(S327-($J$31*N328*$L$33)+J328,0)),(MAX(S327-($J$31*(N328+P328)*$L$33)+J328,0)))</f>
        <v>0</v>
      </c>
      <c r="T328" s="22">
        <f>MAX(T327-($J$32*O328*$L$33)+K328,0)</f>
        <v>0</v>
      </c>
      <c r="U328" s="22">
        <f>MAX(U327-($J$33*P328*$L$33)+L328,0)</f>
        <v>0</v>
      </c>
      <c r="V328" s="21">
        <f>IFERROR(R328*($I$30/M328),0)</f>
        <v>0</v>
      </c>
      <c r="W328" s="21">
        <f>IFERROR(S328*($I$31/N328),0)</f>
        <v>0</v>
      </c>
      <c r="X328" s="21">
        <f>IFERROR(T328*($I$32/O328),0)</f>
        <v>0</v>
      </c>
      <c r="Y328" s="21">
        <f>IFERROR(U328*($I$33/P328),0)</f>
        <v>0</v>
      </c>
      <c r="Z328" s="221">
        <f>ROUNDUP(SUM(V328*$C$30,W328*$C$31,X328*$C$32,Y328*$C$33),0)</f>
        <v>0</v>
      </c>
      <c r="AA328" s="30">
        <f>IF(R328&lt;&gt;0,($J$30*M328*$L$33),0)</f>
        <v>0</v>
      </c>
      <c r="AB328" s="30">
        <f>IF(W328&lt;&gt;0,($J$31*N328*$L$33),0)</f>
        <v>0</v>
      </c>
      <c r="AC328" s="30">
        <f>IF(X328&lt;&gt;0,($J$32*O328*$L$33),0)</f>
        <v>0</v>
      </c>
      <c r="AD328" s="30">
        <f>IF(Y328&lt;&gt;0,($J$33*P328*$L$33),0)</f>
        <v>0</v>
      </c>
      <c r="AE328" s="32">
        <f>SUM(AA328:AD328)</f>
        <v>0</v>
      </c>
      <c r="AF328" s="33">
        <f>AE324</f>
        <v>0</v>
      </c>
      <c r="AG328" s="40">
        <f>MAX(AG327-$Q$33+AF328,0)</f>
        <v>0</v>
      </c>
      <c r="AH328" s="224">
        <f>AG328*$P$33</f>
        <v>0</v>
      </c>
      <c r="AI328" s="227">
        <f>SUM(Z328,IF(Z328&lt;&gt;0,$F$31,0),IF(Z328&lt;&gt;0,$N$33,0),IF(Z328&lt;&gt;0,$T$33,0),IF(Z328=0,AH333,IF(Z328=1,AH334,IF(Z328=2,AH335,IF(Z328=3,AH336,IF(Z328=4,AH337,IF(Z328=5,AH338,IF(Z328=6,AH339,IF(Z328=7,AH340,IF(Z328=8,AH341,IF(Z328=9,AH342,IF(Z328=10,AH343,IF(Z328=11,AH344,IF(Z328=12,AH345,IF(Z328=13,AH346,IF(Z328=14,AH347,IF(Z328=15,AH348,IF(Z328=16,AH349,IF(Z328=17,AH350,IF(Z328=18,AH351,IF(Z328=19,AH352,IF(Z328=20,AH353,IF(Z328=21,AH354,IF(Z328=22,AH355,IF(Z328=23,AH356,IF(Z328=24,AH357,IF(Z328=25,AH358,IF(Z328=26,AH359,IF(Z328=27,AH360,IF(Z328=28,AH361,IF(Z328=29,AH362,IF(Z328=30,AH363))))))))))))))))))))))))))))))))</f>
        <v>0</v>
      </c>
    </row>
    <row r="329" spans="1:35" x14ac:dyDescent="0.35">
      <c r="A329" s="48">
        <v>1750</v>
      </c>
      <c r="B329" s="58">
        <f>SUMIF([2]!Table2_23[ETA],'FIS Optimal Model (3)'!A329,[2]!Table2_23[FIS PAX])</f>
        <v>0</v>
      </c>
      <c r="C329" s="44">
        <f>IF((D328-D329)&gt;-1,(D328-D329),18)</f>
        <v>0</v>
      </c>
      <c r="D329" s="52">
        <f>MAX(D328-$E$31+B328,0)</f>
        <v>0</v>
      </c>
      <c r="E329" s="26">
        <f>$C$30*C329</f>
        <v>0</v>
      </c>
      <c r="F329" s="26">
        <f>$C$31*C329</f>
        <v>0</v>
      </c>
      <c r="G329" s="26">
        <f>$C$32*C329</f>
        <v>0</v>
      </c>
      <c r="H329" s="26">
        <f>$C$33*C329</f>
        <v>0</v>
      </c>
      <c r="I329" s="27">
        <f>E324</f>
        <v>0</v>
      </c>
      <c r="J329" s="27">
        <f>F324</f>
        <v>0</v>
      </c>
      <c r="K329" s="27">
        <f>G324</f>
        <v>0</v>
      </c>
      <c r="L329" s="27">
        <f>H324</f>
        <v>0</v>
      </c>
      <c r="M329" s="28">
        <f>M328</f>
        <v>0</v>
      </c>
      <c r="N329" s="29">
        <f>$N$325</f>
        <v>16</v>
      </c>
      <c r="O329" s="28">
        <f>$O$325</f>
        <v>0</v>
      </c>
      <c r="P329" s="28">
        <f>$P$325</f>
        <v>0</v>
      </c>
      <c r="Q329" s="28">
        <f>SUM(M329:P329)</f>
        <v>16</v>
      </c>
      <c r="R329" s="22">
        <f>MAX(R328-($J$30*M329*$L$33)+I329,0)</f>
        <v>0</v>
      </c>
      <c r="S329" s="22">
        <f>IF(U329&lt;&gt;0,(MAX(S328-($J$31*N329*$L$33)+J329,0)),(MAX(S328-($J$31*(N329+P329)*$L$33)+J329,0)))</f>
        <v>0</v>
      </c>
      <c r="T329" s="22">
        <f>MAX(T328-($J$32*O329*$L$33)+K329,0)</f>
        <v>0</v>
      </c>
      <c r="U329" s="22">
        <f>MAX(U328-($J$33*P329*$L$33)+L329,0)</f>
        <v>0</v>
      </c>
      <c r="V329" s="21">
        <f>IFERROR(R329*($I$30/M329),0)</f>
        <v>0</v>
      </c>
      <c r="W329" s="21">
        <f>IFERROR(S329*($I$31/N329),0)</f>
        <v>0</v>
      </c>
      <c r="X329" s="21">
        <f>IFERROR(T329*($I$32/O329),0)</f>
        <v>0</v>
      </c>
      <c r="Y329" s="21">
        <f>IFERROR(U329*($I$33/P329),0)</f>
        <v>0</v>
      </c>
      <c r="Z329" s="221">
        <f>ROUNDUP(SUM(V329*$C$30,W329*$C$31,X329*$C$32,Y329*$C$33),0)</f>
        <v>0</v>
      </c>
      <c r="AA329" s="30">
        <f>IF(R329&lt;&gt;0,($J$30*M329*$L$33),0)</f>
        <v>0</v>
      </c>
      <c r="AB329" s="30">
        <f>IF(W329&lt;&gt;0,($J$31*N329*$L$33),0)</f>
        <v>0</v>
      </c>
      <c r="AC329" s="30">
        <f>IF(X329&lt;&gt;0,($J$32*O329*$L$33),0)</f>
        <v>0</v>
      </c>
      <c r="AD329" s="30">
        <f>IF(Y329&lt;&gt;0,($J$33*P329*$L$33),0)</f>
        <v>0</v>
      </c>
      <c r="AE329" s="32">
        <f>SUM(AA329:AD329)</f>
        <v>0</v>
      </c>
      <c r="AF329" s="33">
        <f>AE325</f>
        <v>0</v>
      </c>
      <c r="AG329" s="40">
        <f>MAX(AG328-$Q$33+AF329,0)</f>
        <v>0</v>
      </c>
      <c r="AH329" s="224">
        <f>AG329*$P$33</f>
        <v>0</v>
      </c>
      <c r="AI329" s="227">
        <f>SUM(Z329,IF(Z329&lt;&gt;0,$F$31,0),IF(Z329&lt;&gt;0,$N$33,0),IF(Z329&lt;&gt;0,$T$33,0),IF(Z329=0,AH334,IF(Z329=1,AH335,IF(Z329=2,AH336,IF(Z329=3,AH337,IF(Z329=4,AH338,IF(Z329=5,AH339,IF(Z329=6,AH340,IF(Z329=7,AH341,IF(Z329=8,AH342,IF(Z329=9,AH343,IF(Z329=10,AH344,IF(Z329=11,AH345,IF(Z329=12,AH346,IF(Z329=13,AH347,IF(Z329=14,AH348,IF(Z329=15,AH349,IF(Z329=16,AH350,IF(Z329=17,AH351,IF(Z329=18,AH352,IF(Z329=19,AH353,IF(Z329=20,AH354,IF(Z329=21,AH355,IF(Z329=22,AH356,IF(Z329=23,AH357,IF(Z329=24,AH358,IF(Z329=25,AH359,IF(Z329=26,AH360,IF(Z329=27,AH361,IF(Z329=28,AH362,IF(Z329=29,AH363,IF(Z329=30,AH364))))))))))))))))))))))))))))))))</f>
        <v>0</v>
      </c>
    </row>
    <row r="330" spans="1:35" x14ac:dyDescent="0.35">
      <c r="A330" s="48">
        <v>1751</v>
      </c>
      <c r="B330" s="58">
        <f>SUMIF([2]!Table2_23[ETA],'FIS Optimal Model (3)'!A330,[2]!Table2_23[FIS PAX])</f>
        <v>0</v>
      </c>
      <c r="C330" s="44">
        <f>IF((D329-D330)&gt;-1,(D329-D330),18)</f>
        <v>0</v>
      </c>
      <c r="D330" s="52">
        <f>MAX(D329-$E$31+B329,0)</f>
        <v>0</v>
      </c>
      <c r="E330" s="26">
        <f>$C$30*C330</f>
        <v>0</v>
      </c>
      <c r="F330" s="26">
        <f>$C$31*C330</f>
        <v>0</v>
      </c>
      <c r="G330" s="26">
        <f>$C$32*C330</f>
        <v>0</v>
      </c>
      <c r="H330" s="26">
        <f>$C$33*C330</f>
        <v>0</v>
      </c>
      <c r="I330" s="27">
        <f>E325</f>
        <v>0</v>
      </c>
      <c r="J330" s="27">
        <f>F325</f>
        <v>0</v>
      </c>
      <c r="K330" s="27">
        <f>G325</f>
        <v>0</v>
      </c>
      <c r="L330" s="27">
        <f>H325</f>
        <v>0</v>
      </c>
      <c r="M330" s="28">
        <f>M329</f>
        <v>0</v>
      </c>
      <c r="N330" s="29">
        <f>$N$325</f>
        <v>16</v>
      </c>
      <c r="O330" s="28">
        <f>$O$325</f>
        <v>0</v>
      </c>
      <c r="P330" s="28">
        <f>$P$325</f>
        <v>0</v>
      </c>
      <c r="Q330" s="28">
        <f>SUM(M330:P330)</f>
        <v>16</v>
      </c>
      <c r="R330" s="22">
        <f>MAX(R329-($J$30*M330*$L$33)+I330,0)</f>
        <v>0</v>
      </c>
      <c r="S330" s="22">
        <f>IF(U330&lt;&gt;0,(MAX(S329-($J$31*N330*$L$33)+J330,0)),(MAX(S329-($J$31*(N330+P330)*$L$33)+J330,0)))</f>
        <v>0</v>
      </c>
      <c r="T330" s="22">
        <f>MAX(T329-($J$32*O330*$L$33)+K330,0)</f>
        <v>0</v>
      </c>
      <c r="U330" s="22">
        <f>MAX(U329-($J$33*P330*$L$33)+L330,0)</f>
        <v>0</v>
      </c>
      <c r="V330" s="21">
        <f>IFERROR(R330*($I$30/M330),0)</f>
        <v>0</v>
      </c>
      <c r="W330" s="21">
        <f>IFERROR(S330*($I$31/N330),0)</f>
        <v>0</v>
      </c>
      <c r="X330" s="21">
        <f>IFERROR(T330*($I$32/O330),0)</f>
        <v>0</v>
      </c>
      <c r="Y330" s="21">
        <f>IFERROR(U330*($I$33/P330),0)</f>
        <v>0</v>
      </c>
      <c r="Z330" s="221">
        <f>ROUNDUP(SUM(V330*$C$30,W330*$C$31,X330*$C$32,Y330*$C$33),0)</f>
        <v>0</v>
      </c>
      <c r="AA330" s="30">
        <f>IF(R330&lt;&gt;0,($J$30*M330*$L$33),0)</f>
        <v>0</v>
      </c>
      <c r="AB330" s="30">
        <f>IF(W330&lt;&gt;0,($J$31*N330*$L$33),0)</f>
        <v>0</v>
      </c>
      <c r="AC330" s="30">
        <f>IF(X330&lt;&gt;0,($J$32*O330*$L$33),0)</f>
        <v>0</v>
      </c>
      <c r="AD330" s="30">
        <f>IF(Y330&lt;&gt;0,($J$33*P330*$L$33),0)</f>
        <v>0</v>
      </c>
      <c r="AE330" s="32">
        <f>SUM(AA330:AD330)</f>
        <v>0</v>
      </c>
      <c r="AF330" s="33">
        <f>AE326</f>
        <v>0</v>
      </c>
      <c r="AG330" s="40">
        <f>MAX(AG329-$Q$33+AF330,0)</f>
        <v>0</v>
      </c>
      <c r="AH330" s="224">
        <f>AG330*$P$33</f>
        <v>0</v>
      </c>
      <c r="AI330" s="227">
        <f>SUM(Z330,IF(Z330&lt;&gt;0,$F$31,0),IF(Z330&lt;&gt;0,$N$33,0),IF(Z330&lt;&gt;0,$T$33,0),IF(Z330=0,AH335,IF(Z330=1,AH336,IF(Z330=2,AH337,IF(Z330=3,AH338,IF(Z330=4,AH339,IF(Z330=5,AH340,IF(Z330=6,AH341,IF(Z330=7,AH342,IF(Z330=8,AH343,IF(Z330=9,AH344,IF(Z330=10,AH345,IF(Z330=11,AH346,IF(Z330=12,AH347,IF(Z330=13,AH348,IF(Z330=14,AH349,IF(Z330=15,AH350,IF(Z330=16,AH351,IF(Z330=17,AH352,IF(Z330=18,AH353,IF(Z330=19,AH354,IF(Z330=20,AH355,IF(Z330=21,AH356,IF(Z330=22,AH357,IF(Z330=23,AH358,IF(Z330=24,AH359,IF(Z330=25,AH360,IF(Z330=26,AH361,IF(Z330=27,AH362,IF(Z330=28,AH363,IF(Z330=29,AH364,IF(Z330=30,AH365))))))))))))))))))))))))))))))))</f>
        <v>0</v>
      </c>
    </row>
    <row r="331" spans="1:35" x14ac:dyDescent="0.35">
      <c r="A331" s="48">
        <v>1752</v>
      </c>
      <c r="B331" s="58">
        <f>SUMIF([2]!Table2_23[ETA],'FIS Optimal Model (3)'!A331,[2]!Table2_23[FIS PAX])</f>
        <v>0</v>
      </c>
      <c r="C331" s="44">
        <f>IF((D330-D331)&gt;-1,(D330-D331),18)</f>
        <v>0</v>
      </c>
      <c r="D331" s="52">
        <f>MAX(D330-$E$31+B330,0)</f>
        <v>0</v>
      </c>
      <c r="E331" s="26">
        <f>$C$30*C331</f>
        <v>0</v>
      </c>
      <c r="F331" s="26">
        <f>$C$31*C331</f>
        <v>0</v>
      </c>
      <c r="G331" s="26">
        <f>$C$32*C331</f>
        <v>0</v>
      </c>
      <c r="H331" s="26">
        <f>$C$33*C331</f>
        <v>0</v>
      </c>
      <c r="I331" s="27">
        <f>E326</f>
        <v>0</v>
      </c>
      <c r="J331" s="27">
        <f>F326</f>
        <v>0</v>
      </c>
      <c r="K331" s="27">
        <f>G326</f>
        <v>0</v>
      </c>
      <c r="L331" s="27">
        <f>H326</f>
        <v>0</v>
      </c>
      <c r="M331" s="28">
        <f>M330</f>
        <v>0</v>
      </c>
      <c r="N331" s="29">
        <f>$N$325</f>
        <v>16</v>
      </c>
      <c r="O331" s="28">
        <f>$O$325</f>
        <v>0</v>
      </c>
      <c r="P331" s="28">
        <f>$P$325</f>
        <v>0</v>
      </c>
      <c r="Q331" s="28">
        <f>SUM(M331:P331)</f>
        <v>16</v>
      </c>
      <c r="R331" s="22">
        <f>MAX(R330-($J$30*M331*$L$33)+I331,0)</f>
        <v>0</v>
      </c>
      <c r="S331" s="22">
        <f>IF(U331&lt;&gt;0,(MAX(S330-($J$31*N331*$L$33)+J331,0)),(MAX(S330-($J$31*(N331+P331)*$L$33)+J331,0)))</f>
        <v>0</v>
      </c>
      <c r="T331" s="22">
        <f>MAX(T330-($J$32*O331*$L$33)+K331,0)</f>
        <v>0</v>
      </c>
      <c r="U331" s="22">
        <f>MAX(U330-($J$33*P331*$L$33)+L331,0)</f>
        <v>0</v>
      </c>
      <c r="V331" s="21">
        <f>IFERROR(R331*($I$30/M331),0)</f>
        <v>0</v>
      </c>
      <c r="W331" s="21">
        <f>IFERROR(S331*($I$31/N331),0)</f>
        <v>0</v>
      </c>
      <c r="X331" s="21">
        <f>IFERROR(T331*($I$32/O331),0)</f>
        <v>0</v>
      </c>
      <c r="Y331" s="21">
        <f>IFERROR(U331*($I$33/P331),0)</f>
        <v>0</v>
      </c>
      <c r="Z331" s="221">
        <f>ROUNDUP(SUM(V331*$C$30,W331*$C$31,X331*$C$32,Y331*$C$33),0)</f>
        <v>0</v>
      </c>
      <c r="AA331" s="30">
        <f>IF(R331&lt;&gt;0,($J$30*M331*$L$33),0)</f>
        <v>0</v>
      </c>
      <c r="AB331" s="30">
        <f>IF(W331&lt;&gt;0,($J$31*N331*$L$33),0)</f>
        <v>0</v>
      </c>
      <c r="AC331" s="30">
        <f>IF(X331&lt;&gt;0,($J$32*O331*$L$33),0)</f>
        <v>0</v>
      </c>
      <c r="AD331" s="30">
        <f>IF(Y331&lt;&gt;0,($J$33*P331*$L$33),0)</f>
        <v>0</v>
      </c>
      <c r="AE331" s="32">
        <f>SUM(AA331:AD331)</f>
        <v>0</v>
      </c>
      <c r="AF331" s="33">
        <f>AE327</f>
        <v>0</v>
      </c>
      <c r="AG331" s="40">
        <f>MAX(AG330-$Q$33+AF331,0)</f>
        <v>0</v>
      </c>
      <c r="AH331" s="224">
        <f>AG331*$P$33</f>
        <v>0</v>
      </c>
      <c r="AI331" s="227">
        <f>SUM(Z331,IF(Z331&lt;&gt;0,$F$31,0),IF(Z331&lt;&gt;0,$N$33,0),IF(Z331&lt;&gt;0,$T$33,0),IF(Z331=0,AH336,IF(Z331=1,AH337,IF(Z331=2,AH338,IF(Z331=3,AH339,IF(Z331=4,AH340,IF(Z331=5,AH341,IF(Z331=6,AH342,IF(Z331=7,AH343,IF(Z331=8,AH344,IF(Z331=9,AH345,IF(Z331=10,AH346,IF(Z331=11,AH347,IF(Z331=12,AH348,IF(Z331=13,AH349,IF(Z331=14,AH350,IF(Z331=15,AH351,IF(Z331=16,AH352,IF(Z331=17,AH353,IF(Z331=18,AH354,IF(Z331=19,AH355,IF(Z331=20,AH356,IF(Z331=21,AH357,IF(Z331=22,AH358,IF(Z331=23,AH359,IF(Z331=24,AH360,IF(Z331=25,AH361,IF(Z331=26,AH362,IF(Z331=27,AH363,IF(Z331=28,AH364,IF(Z331=29,AH365,IF(Z331=30,AH366))))))))))))))))))))))))))))))))</f>
        <v>0</v>
      </c>
    </row>
    <row r="332" spans="1:35" x14ac:dyDescent="0.35">
      <c r="A332" s="48">
        <v>1753</v>
      </c>
      <c r="B332" s="58">
        <f>SUMIF([2]!Table2_23[ETA],'FIS Optimal Model (3)'!A332,[2]!Table2_23[FIS PAX])</f>
        <v>0</v>
      </c>
      <c r="C332" s="44">
        <f>IF((D331-D332)&gt;-1,(D331-D332),18)</f>
        <v>0</v>
      </c>
      <c r="D332" s="52">
        <f>MAX(D331-$E$31+B331,0)</f>
        <v>0</v>
      </c>
      <c r="E332" s="26">
        <f>$C$30*C332</f>
        <v>0</v>
      </c>
      <c r="F332" s="26">
        <f>$C$31*C332</f>
        <v>0</v>
      </c>
      <c r="G332" s="26">
        <f>$C$32*C332</f>
        <v>0</v>
      </c>
      <c r="H332" s="26">
        <f>$C$33*C332</f>
        <v>0</v>
      </c>
      <c r="I332" s="27">
        <f>E327</f>
        <v>0</v>
      </c>
      <c r="J332" s="27">
        <f>F327</f>
        <v>0</v>
      </c>
      <c r="K332" s="27">
        <f>G327</f>
        <v>0</v>
      </c>
      <c r="L332" s="27">
        <f>H327</f>
        <v>0</v>
      </c>
      <c r="M332" s="28">
        <f>M331</f>
        <v>0</v>
      </c>
      <c r="N332" s="29">
        <f>$N$325</f>
        <v>16</v>
      </c>
      <c r="O332" s="28">
        <f>$O$325</f>
        <v>0</v>
      </c>
      <c r="P332" s="28">
        <f>$P$325</f>
        <v>0</v>
      </c>
      <c r="Q332" s="28">
        <f>SUM(M332:P332)</f>
        <v>16</v>
      </c>
      <c r="R332" s="22">
        <f>MAX(R331-($J$30*M332*$L$33)+I332,0)</f>
        <v>0</v>
      </c>
      <c r="S332" s="22">
        <f>IF(U332&lt;&gt;0,(MAX(S331-($J$31*N332*$L$33)+J332,0)),(MAX(S331-($J$31*(N332+P332)*$L$33)+J332,0)))</f>
        <v>0</v>
      </c>
      <c r="T332" s="22">
        <f>MAX(T331-($J$32*O332*$L$33)+K332,0)</f>
        <v>0</v>
      </c>
      <c r="U332" s="22">
        <f>MAX(U331-($J$33*P332*$L$33)+L332,0)</f>
        <v>0</v>
      </c>
      <c r="V332" s="21">
        <f>IFERROR(R332*($I$30/M332),0)</f>
        <v>0</v>
      </c>
      <c r="W332" s="21">
        <f>IFERROR(S332*($I$31/N332),0)</f>
        <v>0</v>
      </c>
      <c r="X332" s="21">
        <f>IFERROR(T332*($I$32/O332),0)</f>
        <v>0</v>
      </c>
      <c r="Y332" s="21">
        <f>IFERROR(U332*($I$33/P332),0)</f>
        <v>0</v>
      </c>
      <c r="Z332" s="221">
        <f>ROUNDUP(SUM(V332*$C$30,W332*$C$31,X332*$C$32,Y332*$C$33),0)</f>
        <v>0</v>
      </c>
      <c r="AA332" s="30">
        <f>IF(R332&lt;&gt;0,($J$30*M332*$L$33),0)</f>
        <v>0</v>
      </c>
      <c r="AB332" s="30">
        <f>IF(W332&lt;&gt;0,($J$31*N332*$L$33),0)</f>
        <v>0</v>
      </c>
      <c r="AC332" s="30">
        <f>IF(X332&lt;&gt;0,($J$32*O332*$L$33),0)</f>
        <v>0</v>
      </c>
      <c r="AD332" s="30">
        <f>IF(Y332&lt;&gt;0,($J$33*P332*$L$33),0)</f>
        <v>0</v>
      </c>
      <c r="AE332" s="32">
        <f>SUM(AA332:AD332)</f>
        <v>0</v>
      </c>
      <c r="AF332" s="33">
        <f>AE328</f>
        <v>0</v>
      </c>
      <c r="AG332" s="40">
        <f>MAX(AG331-$Q$33+AF332,0)</f>
        <v>0</v>
      </c>
      <c r="AH332" s="224">
        <f>AG332*$P$33</f>
        <v>0</v>
      </c>
      <c r="AI332" s="227">
        <f>SUM(Z332,IF(Z332&lt;&gt;0,$F$31,0),IF(Z332&lt;&gt;0,$N$33,0),IF(Z332&lt;&gt;0,$T$33,0),IF(Z332=0,AH337,IF(Z332=1,AH338,IF(Z332=2,AH339,IF(Z332=3,AH340,IF(Z332=4,AH341,IF(Z332=5,AH342,IF(Z332=6,AH343,IF(Z332=7,AH344,IF(Z332=8,AH345,IF(Z332=9,AH346,IF(Z332=10,AH347,IF(Z332=11,AH348,IF(Z332=12,AH349,IF(Z332=13,AH350,IF(Z332=14,AH351,IF(Z332=15,AH352,IF(Z332=16,AH353,IF(Z332=17,AH354,IF(Z332=18,AH355,IF(Z332=19,AH356,IF(Z332=20,AH357,IF(Z332=21,AH358,IF(Z332=22,AH359,IF(Z332=23,AH360,IF(Z332=24,AH361,IF(Z332=25,AH362,IF(Z332=26,AH363,IF(Z332=27,AH364,IF(Z332=28,AH365,IF(Z332=29,AH366,IF(Z332=30,AH367))))))))))))))))))))))))))))))))</f>
        <v>0</v>
      </c>
    </row>
    <row r="333" spans="1:35" x14ac:dyDescent="0.35">
      <c r="A333" s="48">
        <v>1754</v>
      </c>
      <c r="B333" s="58">
        <f>SUMIF([2]!Table2_23[ETA],'FIS Optimal Model (3)'!A333,[2]!Table2_23[FIS PAX])</f>
        <v>0</v>
      </c>
      <c r="C333" s="44">
        <f>IF((D332-D333)&gt;-1,(D332-D333),18)</f>
        <v>0</v>
      </c>
      <c r="D333" s="52">
        <f>MAX(D332-$E$31+B332,0)</f>
        <v>0</v>
      </c>
      <c r="E333" s="26">
        <f>$C$30*C333</f>
        <v>0</v>
      </c>
      <c r="F333" s="26">
        <f>$C$31*C333</f>
        <v>0</v>
      </c>
      <c r="G333" s="26">
        <f>$C$32*C333</f>
        <v>0</v>
      </c>
      <c r="H333" s="26">
        <f>$C$33*C333</f>
        <v>0</v>
      </c>
      <c r="I333" s="27">
        <f>E328</f>
        <v>0</v>
      </c>
      <c r="J333" s="27">
        <f>F328</f>
        <v>0</v>
      </c>
      <c r="K333" s="27">
        <f>G328</f>
        <v>0</v>
      </c>
      <c r="L333" s="27">
        <f>H328</f>
        <v>0</v>
      </c>
      <c r="M333" s="28">
        <f>M332</f>
        <v>0</v>
      </c>
      <c r="N333" s="29">
        <f>$N$325</f>
        <v>16</v>
      </c>
      <c r="O333" s="28">
        <f>$O$325</f>
        <v>0</v>
      </c>
      <c r="P333" s="28">
        <f>$P$325</f>
        <v>0</v>
      </c>
      <c r="Q333" s="28">
        <f>SUM(M333:P333)</f>
        <v>16</v>
      </c>
      <c r="R333" s="22">
        <f>MAX(R332-($J$30*M333*$L$33)+I333,0)</f>
        <v>0</v>
      </c>
      <c r="S333" s="22">
        <f>IF(U333&lt;&gt;0,(MAX(S332-($J$31*N333*$L$33)+J333,0)),(MAX(S332-($J$31*(N333+P333)*$L$33)+J333,0)))</f>
        <v>0</v>
      </c>
      <c r="T333" s="22">
        <f>MAX(T332-($J$32*O333*$L$33)+K333,0)</f>
        <v>0</v>
      </c>
      <c r="U333" s="22">
        <f>MAX(U332-($J$33*P333*$L$33)+L333,0)</f>
        <v>0</v>
      </c>
      <c r="V333" s="21">
        <f>IFERROR(R333*($I$30/M333),0)</f>
        <v>0</v>
      </c>
      <c r="W333" s="21">
        <f>IFERROR(S333*($I$31/N333),0)</f>
        <v>0</v>
      </c>
      <c r="X333" s="21">
        <f>IFERROR(T333*($I$32/O333),0)</f>
        <v>0</v>
      </c>
      <c r="Y333" s="21">
        <f>IFERROR(U333*($I$33/P333),0)</f>
        <v>0</v>
      </c>
      <c r="Z333" s="221">
        <f>ROUNDUP(SUM(V333*$C$30,W333*$C$31,X333*$C$32,Y333*$C$33),0)</f>
        <v>0</v>
      </c>
      <c r="AA333" s="30">
        <f>IF(R333&lt;&gt;0,($J$30*M333*$L$33),0)</f>
        <v>0</v>
      </c>
      <c r="AB333" s="30">
        <f>IF(W333&lt;&gt;0,($J$31*N333*$L$33),0)</f>
        <v>0</v>
      </c>
      <c r="AC333" s="30">
        <f>IF(X333&lt;&gt;0,($J$32*O333*$L$33),0)</f>
        <v>0</v>
      </c>
      <c r="AD333" s="30">
        <f>IF(Y333&lt;&gt;0,($J$33*P333*$L$33),0)</f>
        <v>0</v>
      </c>
      <c r="AE333" s="32">
        <f>SUM(AA333:AD333)</f>
        <v>0</v>
      </c>
      <c r="AF333" s="33">
        <f>AE329</f>
        <v>0</v>
      </c>
      <c r="AG333" s="40">
        <f>MAX(AG332-$Q$33+AF333,0)</f>
        <v>0</v>
      </c>
      <c r="AH333" s="224">
        <f>AG333*$P$33</f>
        <v>0</v>
      </c>
      <c r="AI333" s="227">
        <f>SUM(Z333,IF(Z333&lt;&gt;0,$F$31,0),IF(Z333&lt;&gt;0,$N$33,0),IF(Z333&lt;&gt;0,$T$33,0),IF(Z333=0,AH338,IF(Z333=1,AH339,IF(Z333=2,AH340,IF(Z333=3,AH341,IF(Z333=4,AH342,IF(Z333=5,AH343,IF(Z333=6,AH344,IF(Z333=7,AH345,IF(Z333=8,AH346,IF(Z333=9,AH347,IF(Z333=10,AH348,IF(Z333=11,AH349,IF(Z333=12,AH350,IF(Z333=13,AH351,IF(Z333=14,AH352,IF(Z333=15,AH353,IF(Z333=16,AH354,IF(Z333=17,AH355,IF(Z333=18,AH356,IF(Z333=19,AH357,IF(Z333=20,AH358,IF(Z333=21,AH359,IF(Z333=22,AH360,IF(Z333=23,AH361,IF(Z333=24,AH362,IF(Z333=25,AH363,IF(Z333=26,AH364,IF(Z333=27,AH365,IF(Z333=28,AH366,IF(Z333=29,AH367,IF(Z333=30,AH368))))))))))))))))))))))))))))))))</f>
        <v>0</v>
      </c>
    </row>
    <row r="334" spans="1:35" x14ac:dyDescent="0.35">
      <c r="A334" s="48">
        <v>1755</v>
      </c>
      <c r="B334" s="58">
        <f>SUMIF([2]!Table2_23[ETA],'FIS Optimal Model (3)'!A334,[2]!Table2_23[FIS PAX])</f>
        <v>0</v>
      </c>
      <c r="C334" s="44">
        <f>IF((D333-D334)&gt;-1,(D333-D334),18)</f>
        <v>0</v>
      </c>
      <c r="D334" s="52">
        <f>MAX(D333-$E$31+B333,0)</f>
        <v>0</v>
      </c>
      <c r="E334" s="26">
        <f>$C$30*C334</f>
        <v>0</v>
      </c>
      <c r="F334" s="26">
        <f>$C$31*C334</f>
        <v>0</v>
      </c>
      <c r="G334" s="26">
        <f>$C$32*C334</f>
        <v>0</v>
      </c>
      <c r="H334" s="26">
        <f>$C$33*C334</f>
        <v>0</v>
      </c>
      <c r="I334" s="27">
        <f>E329</f>
        <v>0</v>
      </c>
      <c r="J334" s="27">
        <f>F329</f>
        <v>0</v>
      </c>
      <c r="K334" s="27">
        <f>G329</f>
        <v>0</v>
      </c>
      <c r="L334" s="27">
        <f>H329</f>
        <v>0</v>
      </c>
      <c r="M334" s="28">
        <f>M333</f>
        <v>0</v>
      </c>
      <c r="N334" s="29">
        <f>$N$325</f>
        <v>16</v>
      </c>
      <c r="O334" s="28">
        <f>$O$325</f>
        <v>0</v>
      </c>
      <c r="P334" s="28">
        <f>$P$325</f>
        <v>0</v>
      </c>
      <c r="Q334" s="28">
        <f>SUM(M334:P334)</f>
        <v>16</v>
      </c>
      <c r="R334" s="22">
        <f>MAX(R333-($J$30*M334*$L$33)+I334,0)</f>
        <v>0</v>
      </c>
      <c r="S334" s="22">
        <f>IF(U334&lt;&gt;0,(MAX(S333-($J$31*N334*$L$33)+J334,0)),(MAX(S333-($J$31*(N334+P334)*$L$33)+J334,0)))</f>
        <v>0</v>
      </c>
      <c r="T334" s="22">
        <f>MAX(T333-($J$32*O334*$L$33)+K334,0)</f>
        <v>0</v>
      </c>
      <c r="U334" s="22">
        <f>MAX(U333-($J$33*P334*$L$33)+L334,0)</f>
        <v>0</v>
      </c>
      <c r="V334" s="21">
        <f>IFERROR(R334*($I$30/M334),0)</f>
        <v>0</v>
      </c>
      <c r="W334" s="21">
        <f>IFERROR(S334*($I$31/N334),0)</f>
        <v>0</v>
      </c>
      <c r="X334" s="21">
        <f>IFERROR(T334*($I$32/O334),0)</f>
        <v>0</v>
      </c>
      <c r="Y334" s="21">
        <f>IFERROR(U334*($I$33/P334),0)</f>
        <v>0</v>
      </c>
      <c r="Z334" s="221">
        <f>ROUNDUP(SUM(V334*$C$30,W334*$C$31,X334*$C$32,Y334*$C$33),0)</f>
        <v>0</v>
      </c>
      <c r="AA334" s="30">
        <f>IF(R334&lt;&gt;0,($J$30*M334*$L$33),0)</f>
        <v>0</v>
      </c>
      <c r="AB334" s="30">
        <f>IF(W334&lt;&gt;0,($J$31*N334*$L$33),0)</f>
        <v>0</v>
      </c>
      <c r="AC334" s="30">
        <f>IF(X334&lt;&gt;0,($J$32*O334*$L$33),0)</f>
        <v>0</v>
      </c>
      <c r="AD334" s="30">
        <f>IF(Y334&lt;&gt;0,($J$33*P334*$L$33),0)</f>
        <v>0</v>
      </c>
      <c r="AE334" s="32">
        <f>SUM(AA334:AD334)</f>
        <v>0</v>
      </c>
      <c r="AF334" s="33">
        <f>AE330</f>
        <v>0</v>
      </c>
      <c r="AG334" s="40">
        <f>MAX(AG333-$Q$33+AF334,0)</f>
        <v>0</v>
      </c>
      <c r="AH334" s="224">
        <f>AG334*$P$33</f>
        <v>0</v>
      </c>
      <c r="AI334" s="227">
        <f>SUM(Z334,IF(Z334&lt;&gt;0,$F$31,0),IF(Z334&lt;&gt;0,$N$33,0),IF(Z334&lt;&gt;0,$T$33,0),IF(Z334=0,AH339,IF(Z334=1,AH340,IF(Z334=2,AH341,IF(Z334=3,AH342,IF(Z334=4,AH343,IF(Z334=5,AH344,IF(Z334=6,AH345,IF(Z334=7,AH346,IF(Z334=8,AH347,IF(Z334=9,AH348,IF(Z334=10,AH349,IF(Z334=11,AH350,IF(Z334=12,AH351,IF(Z334=13,AH352,IF(Z334=14,AH353,IF(Z334=15,AH354,IF(Z334=16,AH355,IF(Z334=17,AH356,IF(Z334=18,AH357,IF(Z334=19,AH358,IF(Z334=20,AH359,IF(Z334=21,AH360,IF(Z334=22,AH361,IF(Z334=23,AH362,IF(Z334=24,AH363,IF(Z334=25,AH364,IF(Z334=26,AH365,IF(Z334=27,AH366,IF(Z334=28,AH367,IF(Z334=29,AH368,IF(Z334=30,AH369))))))))))))))))))))))))))))))))</f>
        <v>0</v>
      </c>
    </row>
    <row r="335" spans="1:35" x14ac:dyDescent="0.35">
      <c r="A335" s="48">
        <v>1756</v>
      </c>
      <c r="B335" s="58">
        <f>SUMIF([2]!Table2_23[ETA],'FIS Optimal Model (3)'!A335,[2]!Table2_23[FIS PAX])</f>
        <v>0</v>
      </c>
      <c r="C335" s="44">
        <f>IF((D334-D335)&gt;-1,(D334-D335),18)</f>
        <v>0</v>
      </c>
      <c r="D335" s="52">
        <f>MAX(D334-$E$31+B334,0)</f>
        <v>0</v>
      </c>
      <c r="E335" s="26">
        <f>$C$30*C335</f>
        <v>0</v>
      </c>
      <c r="F335" s="26">
        <f>$C$31*C335</f>
        <v>0</v>
      </c>
      <c r="G335" s="26">
        <f>$C$32*C335</f>
        <v>0</v>
      </c>
      <c r="H335" s="26">
        <f>$C$33*C335</f>
        <v>0</v>
      </c>
      <c r="I335" s="27">
        <f>E330</f>
        <v>0</v>
      </c>
      <c r="J335" s="27">
        <f>F330</f>
        <v>0</v>
      </c>
      <c r="K335" s="27">
        <f>G330</f>
        <v>0</v>
      </c>
      <c r="L335" s="27">
        <f>H330</f>
        <v>0</v>
      </c>
      <c r="M335" s="28">
        <f>M334</f>
        <v>0</v>
      </c>
      <c r="N335" s="29">
        <f>$N$325</f>
        <v>16</v>
      </c>
      <c r="O335" s="28">
        <f>$O$325</f>
        <v>0</v>
      </c>
      <c r="P335" s="28">
        <f>$P$325</f>
        <v>0</v>
      </c>
      <c r="Q335" s="28">
        <f>SUM(M335:P335)</f>
        <v>16</v>
      </c>
      <c r="R335" s="22">
        <f>MAX(R334-($J$30*M335*$L$33)+I335,0)</f>
        <v>0</v>
      </c>
      <c r="S335" s="22">
        <f>IF(U335&lt;&gt;0,(MAX(S334-($J$31*N335*$L$33)+J335,0)),(MAX(S334-($J$31*(N335+P335)*$L$33)+J335,0)))</f>
        <v>0</v>
      </c>
      <c r="T335" s="22">
        <f>MAX(T334-($J$32*O335*$L$33)+K335,0)</f>
        <v>0</v>
      </c>
      <c r="U335" s="22">
        <f>MAX(U334-($J$33*P335*$L$33)+L335,0)</f>
        <v>0</v>
      </c>
      <c r="V335" s="21">
        <f>IFERROR(R335*($I$30/M335),0)</f>
        <v>0</v>
      </c>
      <c r="W335" s="21">
        <f>IFERROR(S335*($I$31/N335),0)</f>
        <v>0</v>
      </c>
      <c r="X335" s="21">
        <f>IFERROR(T335*($I$32/O335),0)</f>
        <v>0</v>
      </c>
      <c r="Y335" s="21">
        <f>IFERROR(U335*($I$33/P335),0)</f>
        <v>0</v>
      </c>
      <c r="Z335" s="221">
        <f>ROUNDUP(SUM(V335*$C$30,W335*$C$31,X335*$C$32,Y335*$C$33),0)</f>
        <v>0</v>
      </c>
      <c r="AA335" s="30">
        <f>IF(R335&lt;&gt;0,($J$30*M335*$L$33),0)</f>
        <v>0</v>
      </c>
      <c r="AB335" s="30">
        <f>IF(W335&lt;&gt;0,($J$31*N335*$L$33),0)</f>
        <v>0</v>
      </c>
      <c r="AC335" s="30">
        <f>IF(X335&lt;&gt;0,($J$32*O335*$L$33),0)</f>
        <v>0</v>
      </c>
      <c r="AD335" s="30">
        <f>IF(Y335&lt;&gt;0,($J$33*P335*$L$33),0)</f>
        <v>0</v>
      </c>
      <c r="AE335" s="32">
        <f>SUM(AA335:AD335)</f>
        <v>0</v>
      </c>
      <c r="AF335" s="33">
        <f>AE331</f>
        <v>0</v>
      </c>
      <c r="AG335" s="40">
        <f>MAX(AG334-$Q$33+AF335,0)</f>
        <v>0</v>
      </c>
      <c r="AH335" s="224">
        <f>AG335*$P$33</f>
        <v>0</v>
      </c>
      <c r="AI335" s="227">
        <f>SUM(Z335,IF(Z335&lt;&gt;0,$F$31,0),IF(Z335&lt;&gt;0,$N$33,0),IF(Z335&lt;&gt;0,$T$33,0),IF(Z335=0,AH340,IF(Z335=1,AH341,IF(Z335=2,AH342,IF(Z335=3,AH343,IF(Z335=4,AH344,IF(Z335=5,AH345,IF(Z335=6,AH346,IF(Z335=7,AH347,IF(Z335=8,AH348,IF(Z335=9,AH349,IF(Z335=10,AH350,IF(Z335=11,AH351,IF(Z335=12,AH352,IF(Z335=13,AH353,IF(Z335=14,AH354,IF(Z335=15,AH355,IF(Z335=16,AH356,IF(Z335=17,AH357,IF(Z335=18,AH358,IF(Z335=19,AH359,IF(Z335=20,AH360,IF(Z335=21,AH361,IF(Z335=22,AH362,IF(Z335=23,AH363,IF(Z335=24,AH364,IF(Z335=25,AH365,IF(Z335=26,AH366,IF(Z335=27,AH367,IF(Z335=28,AH368,IF(Z335=29,AH369,IF(Z335=30,AH370))))))))))))))))))))))))))))))))</f>
        <v>0</v>
      </c>
    </row>
    <row r="336" spans="1:35" x14ac:dyDescent="0.35">
      <c r="A336" s="48">
        <v>1757</v>
      </c>
      <c r="B336" s="58">
        <f>SUMIF([2]!Table2_23[ETA],'FIS Optimal Model (3)'!A336,[2]!Table2_23[FIS PAX])</f>
        <v>0</v>
      </c>
      <c r="C336" s="44">
        <f>IF((D335-D336)&gt;-1,(D335-D336),18)</f>
        <v>0</v>
      </c>
      <c r="D336" s="52">
        <f>MAX(D335-$E$31+B335,0)</f>
        <v>0</v>
      </c>
      <c r="E336" s="26">
        <f>$C$30*C336</f>
        <v>0</v>
      </c>
      <c r="F336" s="26">
        <f>$C$31*C336</f>
        <v>0</v>
      </c>
      <c r="G336" s="26">
        <f>$C$32*C336</f>
        <v>0</v>
      </c>
      <c r="H336" s="26">
        <f>$C$33*C336</f>
        <v>0</v>
      </c>
      <c r="I336" s="27">
        <f>E331</f>
        <v>0</v>
      </c>
      <c r="J336" s="27">
        <f>F331</f>
        <v>0</v>
      </c>
      <c r="K336" s="27">
        <f>G331</f>
        <v>0</v>
      </c>
      <c r="L336" s="27">
        <f>H331</f>
        <v>0</v>
      </c>
      <c r="M336" s="28">
        <f>M335</f>
        <v>0</v>
      </c>
      <c r="N336" s="29">
        <f>$N$325</f>
        <v>16</v>
      </c>
      <c r="O336" s="28">
        <f>$O$325</f>
        <v>0</v>
      </c>
      <c r="P336" s="28">
        <f>$P$325</f>
        <v>0</v>
      </c>
      <c r="Q336" s="28">
        <f>SUM(M336:P336)</f>
        <v>16</v>
      </c>
      <c r="R336" s="22">
        <f>MAX(R335-($J$30*M336*$L$33)+I336,0)</f>
        <v>0</v>
      </c>
      <c r="S336" s="22">
        <f>IF(U336&lt;&gt;0,(MAX(S335-($J$31*N336*$L$33)+J336,0)),(MAX(S335-($J$31*(N336+P336)*$L$33)+J336,0)))</f>
        <v>0</v>
      </c>
      <c r="T336" s="22">
        <f>MAX(T335-($J$32*O336*$L$33)+K336,0)</f>
        <v>0</v>
      </c>
      <c r="U336" s="22">
        <f>MAX(U335-($J$33*P336*$L$33)+L336,0)</f>
        <v>0</v>
      </c>
      <c r="V336" s="21">
        <f>IFERROR(R336*($I$30/M336),0)</f>
        <v>0</v>
      </c>
      <c r="W336" s="21">
        <f>IFERROR(S336*($I$31/N336),0)</f>
        <v>0</v>
      </c>
      <c r="X336" s="21">
        <f>IFERROR(T336*($I$32/O336),0)</f>
        <v>0</v>
      </c>
      <c r="Y336" s="21">
        <f>IFERROR(U336*($I$33/P336),0)</f>
        <v>0</v>
      </c>
      <c r="Z336" s="221">
        <f>ROUNDUP(SUM(V336*$C$30,W336*$C$31,X336*$C$32,Y336*$C$33),0)</f>
        <v>0</v>
      </c>
      <c r="AA336" s="30">
        <f>IF(R336&lt;&gt;0,($J$30*M336*$L$33),0)</f>
        <v>0</v>
      </c>
      <c r="AB336" s="30">
        <f>IF(W336&lt;&gt;0,($J$31*N336*$L$33),0)</f>
        <v>0</v>
      </c>
      <c r="AC336" s="30">
        <f>IF(X336&lt;&gt;0,($J$32*O336*$L$33),0)</f>
        <v>0</v>
      </c>
      <c r="AD336" s="30">
        <f>IF(Y336&lt;&gt;0,($J$33*P336*$L$33),0)</f>
        <v>0</v>
      </c>
      <c r="AE336" s="32">
        <f>SUM(AA336:AD336)</f>
        <v>0</v>
      </c>
      <c r="AF336" s="33">
        <f>AE332</f>
        <v>0</v>
      </c>
      <c r="AG336" s="40">
        <f>MAX(AG335-$Q$33+AF336,0)</f>
        <v>0</v>
      </c>
      <c r="AH336" s="224">
        <f>AG336*$P$33</f>
        <v>0</v>
      </c>
      <c r="AI336" s="227">
        <f>SUM(Z336,IF(Z336&lt;&gt;0,$F$31,0),IF(Z336&lt;&gt;0,$N$33,0),IF(Z336&lt;&gt;0,$T$33,0),IF(Z336=0,AH341,IF(Z336=1,AH342,IF(Z336=2,AH343,IF(Z336=3,AH344,IF(Z336=4,AH345,IF(Z336=5,AH346,IF(Z336=6,AH347,IF(Z336=7,AH348,IF(Z336=8,AH349,IF(Z336=9,AH350,IF(Z336=10,AH351,IF(Z336=11,AH352,IF(Z336=12,AH353,IF(Z336=13,AH354,IF(Z336=14,AH355,IF(Z336=15,AH356,IF(Z336=16,AH357,IF(Z336=17,AH358,IF(Z336=18,AH359,IF(Z336=19,AH360,IF(Z336=20,AH361,IF(Z336=21,AH362,IF(Z336=22,AH363,IF(Z336=23,AH364,IF(Z336=24,AH365,IF(Z336=25,AH366,IF(Z336=26,AH367,IF(Z336=27,AH368,IF(Z336=28,AH369,IF(Z336=29,AH370,IF(Z336=30,AH371))))))))))))))))))))))))))))))))</f>
        <v>0</v>
      </c>
    </row>
    <row r="337" spans="1:35" x14ac:dyDescent="0.35">
      <c r="A337" s="48">
        <v>1758</v>
      </c>
      <c r="B337" s="58">
        <f>SUMIF([2]!Table2_23[ETA],'FIS Optimal Model (3)'!A337,[2]!Table2_23[FIS PAX])</f>
        <v>0</v>
      </c>
      <c r="C337" s="44">
        <f>IF((D336-D337)&gt;-1,(D336-D337),18)</f>
        <v>0</v>
      </c>
      <c r="D337" s="52">
        <f>MAX(D336-$E$31+B336,0)</f>
        <v>0</v>
      </c>
      <c r="E337" s="26">
        <f>$C$30*C337</f>
        <v>0</v>
      </c>
      <c r="F337" s="26">
        <f>$C$31*C337</f>
        <v>0</v>
      </c>
      <c r="G337" s="26">
        <f>$C$32*C337</f>
        <v>0</v>
      </c>
      <c r="H337" s="26">
        <f>$C$33*C337</f>
        <v>0</v>
      </c>
      <c r="I337" s="27">
        <f>E332</f>
        <v>0</v>
      </c>
      <c r="J337" s="27">
        <f>F332</f>
        <v>0</v>
      </c>
      <c r="K337" s="27">
        <f>G332</f>
        <v>0</v>
      </c>
      <c r="L337" s="27">
        <f>H332</f>
        <v>0</v>
      </c>
      <c r="M337" s="28">
        <f>M336</f>
        <v>0</v>
      </c>
      <c r="N337" s="29">
        <f>$N$325</f>
        <v>16</v>
      </c>
      <c r="O337" s="28">
        <f>$O$325</f>
        <v>0</v>
      </c>
      <c r="P337" s="28">
        <f>$P$325</f>
        <v>0</v>
      </c>
      <c r="Q337" s="28">
        <f>SUM(M337:P337)</f>
        <v>16</v>
      </c>
      <c r="R337" s="22">
        <f>MAX(R336-($J$30*M337*$L$33)+I337,0)</f>
        <v>0</v>
      </c>
      <c r="S337" s="22">
        <f>IF(U337&lt;&gt;0,(MAX(S336-($J$31*N337*$L$33)+J337,0)),(MAX(S336-($J$31*(N337+P337)*$L$33)+J337,0)))</f>
        <v>0</v>
      </c>
      <c r="T337" s="22">
        <f>MAX(T336-($J$32*O337*$L$33)+K337,0)</f>
        <v>0</v>
      </c>
      <c r="U337" s="22">
        <f>MAX(U336-($J$33*P337*$L$33)+L337,0)</f>
        <v>0</v>
      </c>
      <c r="V337" s="21">
        <f>IFERROR(R337*($I$30/M337),0)</f>
        <v>0</v>
      </c>
      <c r="W337" s="21">
        <f>IFERROR(S337*($I$31/N337),0)</f>
        <v>0</v>
      </c>
      <c r="X337" s="21">
        <f>IFERROR(T337*($I$32/O337),0)</f>
        <v>0</v>
      </c>
      <c r="Y337" s="21">
        <f>IFERROR(U337*($I$33/P337),0)</f>
        <v>0</v>
      </c>
      <c r="Z337" s="221">
        <f>ROUNDUP(SUM(V337*$C$30,W337*$C$31,X337*$C$32,Y337*$C$33),0)</f>
        <v>0</v>
      </c>
      <c r="AA337" s="30">
        <f>IF(R337&lt;&gt;0,($J$30*M337*$L$33),0)</f>
        <v>0</v>
      </c>
      <c r="AB337" s="30">
        <f>IF(W337&lt;&gt;0,($J$31*N337*$L$33),0)</f>
        <v>0</v>
      </c>
      <c r="AC337" s="30">
        <f>IF(X337&lt;&gt;0,($J$32*O337*$L$33),0)</f>
        <v>0</v>
      </c>
      <c r="AD337" s="30">
        <f>IF(Y337&lt;&gt;0,($J$33*P337*$L$33),0)</f>
        <v>0</v>
      </c>
      <c r="AE337" s="32">
        <f>SUM(AA337:AD337)</f>
        <v>0</v>
      </c>
      <c r="AF337" s="33">
        <f>AE333</f>
        <v>0</v>
      </c>
      <c r="AG337" s="40">
        <f>MAX(AG336-$Q$33+AF337,0)</f>
        <v>0</v>
      </c>
      <c r="AH337" s="224">
        <f>AG337*$P$33</f>
        <v>0</v>
      </c>
      <c r="AI337" s="227">
        <f>SUM(Z337,IF(Z337&lt;&gt;0,$F$31,0),IF(Z337&lt;&gt;0,$N$33,0),IF(Z337&lt;&gt;0,$T$33,0),IF(Z337=0,AH342,IF(Z337=1,AH343,IF(Z337=2,AH344,IF(Z337=3,AH345,IF(Z337=4,AH346,IF(Z337=5,AH347,IF(Z337=6,AH348,IF(Z337=7,AH349,IF(Z337=8,AH350,IF(Z337=9,AH351,IF(Z337=10,AH352,IF(Z337=11,AH353,IF(Z337=12,AH354,IF(Z337=13,AH355,IF(Z337=14,AH356,IF(Z337=15,AH357,IF(Z337=16,AH358,IF(Z337=17,AH359,IF(Z337=18,AH360,IF(Z337=19,AH361,IF(Z337=20,AH362,IF(Z337=21,AH363,IF(Z337=22,AH364,IF(Z337=23,AH365,IF(Z337=24,AH366,IF(Z337=25,AH367,IF(Z337=26,AH368,IF(Z337=27,AH369,IF(Z337=28,AH370,IF(Z337=29,AH371,IF(Z337=30,AH372))))))))))))))))))))))))))))))))</f>
        <v>0</v>
      </c>
    </row>
    <row r="338" spans="1:35" x14ac:dyDescent="0.35">
      <c r="A338" s="48">
        <v>1759</v>
      </c>
      <c r="B338" s="58">
        <f>SUMIF([2]!Table2_23[ETA],'FIS Optimal Model (3)'!A338,[2]!Table2_23[FIS PAX])</f>
        <v>0</v>
      </c>
      <c r="C338" s="44">
        <f>IF((D337-D338)&gt;-1,(D337-D338),18)</f>
        <v>0</v>
      </c>
      <c r="D338" s="52">
        <f>MAX(D337-$E$31+B337,0)</f>
        <v>0</v>
      </c>
      <c r="E338" s="26">
        <f>$C$30*C338</f>
        <v>0</v>
      </c>
      <c r="F338" s="26">
        <f>$C$31*C338</f>
        <v>0</v>
      </c>
      <c r="G338" s="26">
        <f>$C$32*C338</f>
        <v>0</v>
      </c>
      <c r="H338" s="26">
        <f>$C$33*C338</f>
        <v>0</v>
      </c>
      <c r="I338" s="27">
        <f>E333</f>
        <v>0</v>
      </c>
      <c r="J338" s="27">
        <f>F333</f>
        <v>0</v>
      </c>
      <c r="K338" s="27">
        <f>G333</f>
        <v>0</v>
      </c>
      <c r="L338" s="27">
        <f>H333</f>
        <v>0</v>
      </c>
      <c r="M338" s="28">
        <f>M337</f>
        <v>0</v>
      </c>
      <c r="N338" s="29">
        <f>$N$325</f>
        <v>16</v>
      </c>
      <c r="O338" s="28">
        <f>$O$325</f>
        <v>0</v>
      </c>
      <c r="P338" s="28">
        <f>$P$325</f>
        <v>0</v>
      </c>
      <c r="Q338" s="28">
        <f>SUM(M338:P338)</f>
        <v>16</v>
      </c>
      <c r="R338" s="22">
        <f>MAX(R337-($J$30*M338*$L$33)+I338,0)</f>
        <v>0</v>
      </c>
      <c r="S338" s="22">
        <f>IF(U338&lt;&gt;0,(MAX(S337-($J$31*N338*$L$33)+J338,0)),(MAX(S337-($J$31*(N338+P338)*$L$33)+J338,0)))</f>
        <v>0</v>
      </c>
      <c r="T338" s="22">
        <f>MAX(T337-($J$32*O338*$L$33)+K338,0)</f>
        <v>0</v>
      </c>
      <c r="U338" s="22">
        <f>MAX(U337-($J$33*P338*$L$33)+L338,0)</f>
        <v>0</v>
      </c>
      <c r="V338" s="21">
        <f>IFERROR(R338*($I$30/M338),0)</f>
        <v>0</v>
      </c>
      <c r="W338" s="21">
        <f>IFERROR(S338*($I$31/N338),0)</f>
        <v>0</v>
      </c>
      <c r="X338" s="21">
        <f>IFERROR(T338*($I$32/O338),0)</f>
        <v>0</v>
      </c>
      <c r="Y338" s="21">
        <f>IFERROR(U338*($I$33/P338),0)</f>
        <v>0</v>
      </c>
      <c r="Z338" s="221">
        <f>ROUNDUP(SUM(V338*$C$30,W338*$C$31,X338*$C$32,Y338*$C$33),0)</f>
        <v>0</v>
      </c>
      <c r="AA338" s="30">
        <f>IF(R338&lt;&gt;0,($J$30*M338*$L$33),0)</f>
        <v>0</v>
      </c>
      <c r="AB338" s="30">
        <f>IF(W338&lt;&gt;0,($J$31*N338*$L$33),0)</f>
        <v>0</v>
      </c>
      <c r="AC338" s="30">
        <f>IF(X338&lt;&gt;0,($J$32*O338*$L$33),0)</f>
        <v>0</v>
      </c>
      <c r="AD338" s="30">
        <f>IF(Y338&lt;&gt;0,($J$33*P338*$L$33),0)</f>
        <v>0</v>
      </c>
      <c r="AE338" s="32">
        <f>SUM(AA338:AD338)</f>
        <v>0</v>
      </c>
      <c r="AF338" s="33">
        <f>AE334</f>
        <v>0</v>
      </c>
      <c r="AG338" s="40">
        <f>MAX(AG337-$Q$33+AF338,0)</f>
        <v>0</v>
      </c>
      <c r="AH338" s="224">
        <f>AG338*$P$33</f>
        <v>0</v>
      </c>
      <c r="AI338" s="227">
        <f>SUM(Z338,IF(Z338&lt;&gt;0,$F$31,0),IF(Z338&lt;&gt;0,$N$33,0),IF(Z338&lt;&gt;0,$T$33,0),IF(Z338=0,AH343,IF(Z338=1,AH344,IF(Z338=2,AH345,IF(Z338=3,AH346,IF(Z338=4,AH347,IF(Z338=5,AH348,IF(Z338=6,AH349,IF(Z338=7,AH350,IF(Z338=8,AH351,IF(Z338=9,AH352,IF(Z338=10,AH353,IF(Z338=11,AH354,IF(Z338=12,AH355,IF(Z338=13,AH356,IF(Z338=14,AH357,IF(Z338=15,AH358,IF(Z338=16,AH359,IF(Z338=17,AH360,IF(Z338=18,AH361,IF(Z338=19,AH362,IF(Z338=20,AH363,IF(Z338=21,AH364,IF(Z338=22,AH365,IF(Z338=23,AH366,IF(Z338=24,AH367,IF(Z338=25,AH368,IF(Z338=26,AH369,IF(Z338=27,AH370,IF(Z338=28,AH371,IF(Z338=29,AH372,IF(Z338=30,AH373))))))))))))))))))))))))))))))))</f>
        <v>0</v>
      </c>
    </row>
    <row r="339" spans="1:35" ht="15" thickBot="1" x14ac:dyDescent="0.4">
      <c r="A339" s="48">
        <v>1800</v>
      </c>
      <c r="B339" s="59">
        <f>SUMIF([2]!Table2_23[ETA],'FIS Optimal Model (3)'!A339,[2]!Table2_23[FIS PAX])</f>
        <v>0</v>
      </c>
      <c r="C339" s="60">
        <f>IF((D338-D339)&gt;-1,(D338-D339),18)</f>
        <v>0</v>
      </c>
      <c r="D339" s="61">
        <f>MAX(D338-$E$31+B338,0)</f>
        <v>0</v>
      </c>
      <c r="E339" s="62">
        <f>$C$30*C339</f>
        <v>0</v>
      </c>
      <c r="F339" s="62">
        <f>$C$31*C339</f>
        <v>0</v>
      </c>
      <c r="G339" s="62">
        <f>$C$32*C339</f>
        <v>0</v>
      </c>
      <c r="H339" s="62">
        <f>$C$33*C339</f>
        <v>0</v>
      </c>
      <c r="I339" s="63">
        <f>E334</f>
        <v>0</v>
      </c>
      <c r="J339" s="63">
        <f>F334</f>
        <v>0</v>
      </c>
      <c r="K339" s="63">
        <f>G334</f>
        <v>0</v>
      </c>
      <c r="L339" s="63">
        <f>H334</f>
        <v>0</v>
      </c>
      <c r="M339" s="60">
        <f>M338</f>
        <v>0</v>
      </c>
      <c r="N339" s="64">
        <f>$N$325</f>
        <v>16</v>
      </c>
      <c r="O339" s="60">
        <f>$O$325</f>
        <v>0</v>
      </c>
      <c r="P339" s="60">
        <f>$P$325</f>
        <v>0</v>
      </c>
      <c r="Q339" s="60">
        <f>SUM(M339:P339)</f>
        <v>16</v>
      </c>
      <c r="R339" s="65">
        <f>MAX(R338-($J$30*M339*$L$33)+I339,0)</f>
        <v>0</v>
      </c>
      <c r="S339" s="65">
        <f>IF(U339&lt;&gt;0,(MAX(S338-($J$31*N339*$L$33)+J339,0)),(MAX(S338-($J$31*(N339+P339)*$L$33)+J339,0)))</f>
        <v>0</v>
      </c>
      <c r="T339" s="65">
        <f>MAX(T338-($J$32*O339*$L$33)+K339,0)</f>
        <v>0</v>
      </c>
      <c r="U339" s="65">
        <f>MAX(U338-($J$33*P339*$L$33)+L339,0)</f>
        <v>0</v>
      </c>
      <c r="V339" s="66">
        <f>IFERROR(R339*($I$30/M339),0)</f>
        <v>0</v>
      </c>
      <c r="W339" s="66">
        <f>IFERROR(S339*($I$31/N339),0)</f>
        <v>0</v>
      </c>
      <c r="X339" s="66">
        <f>IFERROR(T339*($I$32/O339),0)</f>
        <v>0</v>
      </c>
      <c r="Y339" s="66">
        <f>IFERROR(U339*($I$33/P339),0)</f>
        <v>0</v>
      </c>
      <c r="Z339" s="228">
        <f>ROUNDUP(SUM(V339*$C$30,W339*$C$31,X339*$C$32,Y339*$C$33),0)</f>
        <v>0</v>
      </c>
      <c r="AA339" s="67">
        <f>IF(R339&lt;&gt;0,($J$30*M339*$L$33),0)</f>
        <v>0</v>
      </c>
      <c r="AB339" s="67">
        <f>IF(W339&lt;&gt;0,($J$31*N339*$L$33),0)</f>
        <v>0</v>
      </c>
      <c r="AC339" s="67">
        <f>IF(X339&lt;&gt;0,($J$32*O339*$L$33),0)</f>
        <v>0</v>
      </c>
      <c r="AD339" s="67">
        <f>IF(Y339&lt;&gt;0,($J$33*P339*$L$33),0)</f>
        <v>0</v>
      </c>
      <c r="AE339" s="68">
        <f>SUM(AA339:AD339)</f>
        <v>0</v>
      </c>
      <c r="AF339" s="69">
        <f>AE335</f>
        <v>0</v>
      </c>
      <c r="AG339" s="70">
        <f>MAX(AG338-$Q$33+AF339,0)</f>
        <v>0</v>
      </c>
      <c r="AH339" s="225">
        <f>AG339*$P$33</f>
        <v>0</v>
      </c>
      <c r="AI339" s="227">
        <f>SUM(Z339,IF(Z339&lt;&gt;0,$F$31,0),IF(Z339&lt;&gt;0,$N$33,0),IF(Z339&lt;&gt;0,$T$33,0),IF(Z339=0,AH344,IF(Z339=1,AH345,IF(Z339=2,AH346,IF(Z339=3,AH347,IF(Z339=4,AH348,IF(Z339=5,AH349,IF(Z339=6,AH350,IF(Z339=7,AH351,IF(Z339=8,AH352,IF(Z339=9,AH353,IF(Z339=10,AH354,IF(Z339=11,AH355,IF(Z339=12,AH356,IF(Z339=13,AH357,IF(Z339=14,AH358,IF(Z339=15,AH359,IF(Z339=16,AH360,IF(Z339=17,AH361,IF(Z339=18,AH362,IF(Z339=19,AH363,IF(Z339=20,AH364,IF(Z339=21,AH365,IF(Z339=22,AH366,IF(Z339=23,AH367,IF(Z339=24,AH368,IF(Z339=25,AH369,IF(Z339=26,AH370,IF(Z339=27,AH371,IF(Z339=28,AH372,IF(Z339=29,AH373,IF(Z339=30,AH374))))))))))))))))))))))))))))))))</f>
        <v>0</v>
      </c>
    </row>
  </sheetData>
  <mergeCells count="40">
    <mergeCell ref="B1:T2"/>
    <mergeCell ref="B3:N3"/>
    <mergeCell ref="P3:V3"/>
    <mergeCell ref="B4:B5"/>
    <mergeCell ref="D4:H4"/>
    <mergeCell ref="I4:J4"/>
    <mergeCell ref="Q4:V4"/>
    <mergeCell ref="W5:Z7"/>
    <mergeCell ref="L6:L7"/>
    <mergeCell ref="M6:M7"/>
    <mergeCell ref="L8:L10"/>
    <mergeCell ref="M8:M10"/>
    <mergeCell ref="L11:L12"/>
    <mergeCell ref="M11:M12"/>
    <mergeCell ref="L13:L14"/>
    <mergeCell ref="M13:M14"/>
    <mergeCell ref="L15:L18"/>
    <mergeCell ref="M15:M18"/>
    <mergeCell ref="B27:T27"/>
    <mergeCell ref="H28:J28"/>
    <mergeCell ref="S28:T28"/>
    <mergeCell ref="I37:L37"/>
    <mergeCell ref="M37:Q37"/>
    <mergeCell ref="R37:U37"/>
    <mergeCell ref="B29:C29"/>
    <mergeCell ref="E29:E30"/>
    <mergeCell ref="F29:F30"/>
    <mergeCell ref="L29:L32"/>
    <mergeCell ref="N29:N32"/>
    <mergeCell ref="P29:P32"/>
    <mergeCell ref="V37:Y37"/>
    <mergeCell ref="AA37:AE37"/>
    <mergeCell ref="X13:Z13"/>
    <mergeCell ref="Q29:Q32"/>
    <mergeCell ref="E31:E33"/>
    <mergeCell ref="F31:F33"/>
    <mergeCell ref="B35:AI35"/>
    <mergeCell ref="B36:AI36"/>
    <mergeCell ref="C37:D37"/>
    <mergeCell ref="E37:H37"/>
  </mergeCells>
  <conditionalFormatting sqref="V39:Z339">
    <cfRule type="top10" dxfId="15" priority="2" rank="10"/>
    <cfRule type="top10" dxfId="14" priority="3" rank="3"/>
  </conditionalFormatting>
  <conditionalFormatting sqref="AH39:AH339">
    <cfRule type="top10" dxfId="13" priority="1" rank="5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6E9F-197F-4069-992E-5E3D28610FAF}">
  <dimension ref="A1:AE339"/>
  <sheetViews>
    <sheetView zoomScale="70" zoomScaleNormal="70" workbookViewId="0">
      <pane xSplit="1" topLeftCell="E1" activePane="topRight" state="frozen"/>
      <selection activeCell="A19" sqref="A19"/>
      <selection pane="topRight" activeCell="L24" sqref="L24"/>
    </sheetView>
  </sheetViews>
  <sheetFormatPr defaultColWidth="8.81640625" defaultRowHeight="14.5" x14ac:dyDescent="0.35"/>
  <cols>
    <col min="1" max="1" width="4.90625" bestFit="1" customWidth="1"/>
    <col min="2" max="2" width="14.6328125" bestFit="1" customWidth="1"/>
    <col min="3" max="3" width="21.1796875" bestFit="1" customWidth="1"/>
    <col min="4" max="4" width="12.1796875" bestFit="1" customWidth="1"/>
    <col min="5" max="5" width="13.54296875" customWidth="1"/>
    <col min="6" max="6" width="12.1796875" customWidth="1"/>
    <col min="7" max="7" width="11" bestFit="1" customWidth="1"/>
    <col min="8" max="8" width="13.1796875" bestFit="1" customWidth="1"/>
    <col min="9" max="9" width="21.1796875" bestFit="1" customWidth="1"/>
    <col min="10" max="10" width="22.54296875" bestFit="1" customWidth="1"/>
    <col min="11" max="11" width="11" bestFit="1" customWidth="1"/>
    <col min="12" max="12" width="17.08984375" customWidth="1"/>
    <col min="13" max="13" width="11.81640625" bestFit="1" customWidth="1"/>
    <col min="14" max="14" width="10.453125" bestFit="1" customWidth="1"/>
    <col min="15" max="15" width="10.6328125" customWidth="1"/>
    <col min="16" max="17" width="13.7265625" bestFit="1" customWidth="1"/>
    <col min="18" max="18" width="11.81640625" bestFit="1" customWidth="1"/>
    <col min="19" max="19" width="13.36328125" bestFit="1" customWidth="1"/>
    <col min="20" max="20" width="11.81640625" bestFit="1" customWidth="1"/>
    <col min="21" max="21" width="7.26953125" bestFit="1" customWidth="1"/>
    <col min="22" max="24" width="11.81640625" bestFit="1" customWidth="1"/>
    <col min="25" max="25" width="4.6328125" bestFit="1" customWidth="1"/>
    <col min="26" max="26" width="17.6328125" bestFit="1" customWidth="1"/>
    <col min="27" max="29" width="11.81640625" bestFit="1" customWidth="1"/>
    <col min="30" max="30" width="4.6328125" bestFit="1" customWidth="1"/>
    <col min="31" max="31" width="11.81640625" bestFit="1" customWidth="1"/>
    <col min="32" max="32" width="22.7265625" bestFit="1" customWidth="1"/>
  </cols>
  <sheetData>
    <row r="1" spans="1:29" x14ac:dyDescent="0.35">
      <c r="B1" s="162" t="s">
        <v>191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17"/>
      <c r="V1" s="117"/>
      <c r="W1" s="117"/>
      <c r="X1" s="117"/>
      <c r="Y1" s="117"/>
      <c r="Z1" s="117"/>
      <c r="AA1" s="117"/>
    </row>
    <row r="2" spans="1:29" ht="15" thickBot="1" x14ac:dyDescent="0.4">
      <c r="A2" s="117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17"/>
      <c r="V2" s="117"/>
      <c r="W2" s="117"/>
      <c r="X2" s="117"/>
      <c r="Y2" s="117"/>
      <c r="Z2" s="117"/>
      <c r="AA2" s="117"/>
    </row>
    <row r="3" spans="1:29" ht="18.5" x14ac:dyDescent="0.45">
      <c r="A3" s="117"/>
      <c r="B3" s="159" t="s">
        <v>140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1"/>
      <c r="O3" s="118"/>
      <c r="P3" s="191" t="s">
        <v>184</v>
      </c>
      <c r="Q3" s="192"/>
      <c r="R3" s="192"/>
      <c r="S3" s="192"/>
      <c r="T3" s="192"/>
      <c r="U3" s="192"/>
      <c r="V3" s="193"/>
      <c r="W3" s="117"/>
      <c r="X3" s="117"/>
      <c r="Y3" s="117"/>
      <c r="Z3" s="117"/>
      <c r="AA3" s="117"/>
      <c r="AB3" s="117"/>
      <c r="AC3" s="117"/>
    </row>
    <row r="4" spans="1:29" x14ac:dyDescent="0.35">
      <c r="A4" s="73"/>
      <c r="B4" s="194" t="s">
        <v>180</v>
      </c>
      <c r="C4" s="125" t="s">
        <v>177</v>
      </c>
      <c r="D4" s="195" t="s">
        <v>179</v>
      </c>
      <c r="E4" s="195"/>
      <c r="F4" s="195"/>
      <c r="G4" s="195"/>
      <c r="H4" s="195"/>
      <c r="I4" s="195" t="s">
        <v>209</v>
      </c>
      <c r="J4" s="195"/>
      <c r="K4" s="120"/>
      <c r="L4" s="120"/>
      <c r="M4" s="120"/>
      <c r="N4" s="121"/>
      <c r="O4" s="120"/>
      <c r="P4" s="138"/>
      <c r="Q4" s="196" t="s">
        <v>178</v>
      </c>
      <c r="R4" s="196"/>
      <c r="S4" s="196"/>
      <c r="T4" s="196"/>
      <c r="U4" s="196"/>
      <c r="V4" s="197"/>
      <c r="W4" s="117"/>
      <c r="X4" s="117"/>
      <c r="Y4" s="117"/>
      <c r="Z4" s="117"/>
      <c r="AA4" s="117"/>
      <c r="AB4" s="117"/>
      <c r="AC4" s="117"/>
    </row>
    <row r="5" spans="1:29" x14ac:dyDescent="0.35">
      <c r="A5" s="73"/>
      <c r="B5" s="194"/>
      <c r="C5" s="79" t="s">
        <v>143</v>
      </c>
      <c r="D5" s="127" t="s">
        <v>127</v>
      </c>
      <c r="E5" s="126" t="s">
        <v>128</v>
      </c>
      <c r="F5" s="126" t="s">
        <v>129</v>
      </c>
      <c r="G5" s="126" t="s">
        <v>4</v>
      </c>
      <c r="H5" s="126" t="s">
        <v>94</v>
      </c>
      <c r="I5" s="126" t="s">
        <v>206</v>
      </c>
      <c r="J5" s="126" t="s">
        <v>204</v>
      </c>
      <c r="K5" s="72"/>
      <c r="L5" s="96"/>
      <c r="M5" s="96"/>
      <c r="N5" s="128"/>
      <c r="O5" s="96"/>
      <c r="P5" s="71"/>
      <c r="Q5" s="75" t="s">
        <v>127</v>
      </c>
      <c r="R5" s="72" t="s">
        <v>128</v>
      </c>
      <c r="S5" s="72" t="s">
        <v>129</v>
      </c>
      <c r="T5" s="72" t="s">
        <v>4</v>
      </c>
      <c r="U5" s="72" t="s">
        <v>94</v>
      </c>
      <c r="V5" s="76" t="s">
        <v>130</v>
      </c>
      <c r="W5" s="198" t="s">
        <v>181</v>
      </c>
      <c r="X5" s="199"/>
      <c r="Y5" s="199"/>
      <c r="Z5" s="199"/>
      <c r="AA5" s="117"/>
      <c r="AB5" s="117"/>
      <c r="AC5" s="117"/>
    </row>
    <row r="6" spans="1:29" x14ac:dyDescent="0.35">
      <c r="A6" s="73"/>
      <c r="B6" s="77" t="s">
        <v>0</v>
      </c>
      <c r="C6" s="47">
        <f>SUMIFS([2]!Table2_23[IAB PAX],[2]!Table2_23[ETA],"&gt;1300",[2]!Table2_23[ETA],"&lt;1316")</f>
        <v>0</v>
      </c>
      <c r="D6" s="119">
        <f>M40</f>
        <v>0</v>
      </c>
      <c r="E6" s="119">
        <f t="shared" ref="E6:G6" si="0">N40</f>
        <v>18</v>
      </c>
      <c r="F6" s="119">
        <f t="shared" si="0"/>
        <v>0</v>
      </c>
      <c r="G6" s="119">
        <f t="shared" si="0"/>
        <v>0</v>
      </c>
      <c r="H6" s="46">
        <f t="shared" ref="H6:H25" si="1">U6</f>
        <v>18</v>
      </c>
      <c r="I6" s="51">
        <f>IF(SUM(Z39:Z54)&gt;0,AVERAGEIF(Z39:Z54,"&lt;&gt;0"),0)</f>
        <v>0</v>
      </c>
      <c r="J6" s="51">
        <f>IF(I6&gt;0,SUM($F$31,I6),0)</f>
        <v>0</v>
      </c>
      <c r="K6" s="72"/>
      <c r="L6" s="188" t="s">
        <v>138</v>
      </c>
      <c r="M6" s="219">
        <f>ROUNDUP(MAX(V39:Y339),0)</f>
        <v>22</v>
      </c>
      <c r="N6" s="130"/>
      <c r="O6" s="74"/>
      <c r="P6" s="133" t="s">
        <v>0</v>
      </c>
      <c r="Q6" s="74">
        <v>11</v>
      </c>
      <c r="R6" s="74">
        <v>4</v>
      </c>
      <c r="S6" s="73">
        <v>2</v>
      </c>
      <c r="T6" s="73">
        <v>1</v>
      </c>
      <c r="U6" s="123">
        <f>SUM(Q6:T6)</f>
        <v>18</v>
      </c>
      <c r="V6" s="141">
        <v>18</v>
      </c>
      <c r="W6" s="198"/>
      <c r="X6" s="199"/>
      <c r="Y6" s="199"/>
      <c r="Z6" s="199"/>
      <c r="AA6" s="117"/>
      <c r="AB6" s="117"/>
      <c r="AC6" s="117"/>
    </row>
    <row r="7" spans="1:29" ht="14.5" customHeight="1" x14ac:dyDescent="0.35">
      <c r="A7" s="73"/>
      <c r="B7" s="81" t="s">
        <v>96</v>
      </c>
      <c r="C7" s="47">
        <f>SUMIFS([2]!Table2_23[IAB PAX],[2]!Table2_23[ETA],"&gt;1315",[2]!Table2_23[ETA],"&lt;1331")</f>
        <v>0</v>
      </c>
      <c r="D7" s="119">
        <f>M40</f>
        <v>0</v>
      </c>
      <c r="E7" s="119">
        <f t="shared" ref="E7:G7" si="2">N40</f>
        <v>18</v>
      </c>
      <c r="F7" s="119">
        <f t="shared" si="2"/>
        <v>0</v>
      </c>
      <c r="G7" s="119">
        <f t="shared" si="2"/>
        <v>0</v>
      </c>
      <c r="H7" s="46">
        <f t="shared" si="1"/>
        <v>18</v>
      </c>
      <c r="I7" s="51">
        <f>IF(SUM($Z$55:$Z$69)&gt;0,AVERAGEIF($Z$55:$Z$69,"&lt;&gt;0"),0)</f>
        <v>0</v>
      </c>
      <c r="J7" s="51">
        <f t="shared" ref="J7:J25" si="3">IF(I7&gt;0,SUM($F$31,I7),0)</f>
        <v>0</v>
      </c>
      <c r="K7" s="73"/>
      <c r="L7" s="188"/>
      <c r="M7" s="219"/>
      <c r="N7" s="130"/>
      <c r="O7" s="74"/>
      <c r="P7" s="134" t="s">
        <v>96</v>
      </c>
      <c r="Q7" s="74">
        <v>11</v>
      </c>
      <c r="R7" s="74">
        <v>4</v>
      </c>
      <c r="S7" s="73">
        <v>2</v>
      </c>
      <c r="T7" s="73">
        <v>1</v>
      </c>
      <c r="U7" s="123">
        <f t="shared" ref="U7:U25" si="4">SUM(Q7:T7)</f>
        <v>18</v>
      </c>
      <c r="V7" s="141">
        <v>18</v>
      </c>
      <c r="W7" s="198"/>
      <c r="X7" s="199"/>
      <c r="Y7" s="199"/>
      <c r="Z7" s="199"/>
      <c r="AA7" s="117"/>
      <c r="AB7" s="117"/>
      <c r="AC7" s="117"/>
    </row>
    <row r="8" spans="1:29" ht="14.5" customHeight="1" x14ac:dyDescent="0.35">
      <c r="A8" s="117"/>
      <c r="B8" s="77" t="s">
        <v>97</v>
      </c>
      <c r="C8" s="47">
        <f>SUMIFS([2]!Table2_23[IAB PAX],[2]!Table2_23[ETA],"&gt;1330",[2]!Table2_23[ETA],"&lt;1346")</f>
        <v>104</v>
      </c>
      <c r="D8" s="119">
        <f>M70</f>
        <v>0</v>
      </c>
      <c r="E8" s="119">
        <f t="shared" ref="E8:G8" si="5">N70</f>
        <v>18</v>
      </c>
      <c r="F8" s="119">
        <f t="shared" si="5"/>
        <v>0</v>
      </c>
      <c r="G8" s="119">
        <f t="shared" si="5"/>
        <v>0</v>
      </c>
      <c r="H8" s="46">
        <f t="shared" si="1"/>
        <v>18</v>
      </c>
      <c r="I8" s="51">
        <f>IF(SUM($Z$70:$Z$84)&gt;0,AVERAGEIF($Z$70:$Z$84,"&lt;&gt;0"),0)</f>
        <v>0</v>
      </c>
      <c r="J8" s="51">
        <f t="shared" si="3"/>
        <v>0</v>
      </c>
      <c r="K8" s="73"/>
      <c r="L8" s="188" t="s">
        <v>182</v>
      </c>
      <c r="M8" s="219">
        <f>ROUNDUP(SUM(F31,M6),0)</f>
        <v>38</v>
      </c>
      <c r="N8" s="140"/>
      <c r="O8" s="122"/>
      <c r="P8" s="133" t="s">
        <v>97</v>
      </c>
      <c r="Q8" s="74">
        <v>11</v>
      </c>
      <c r="R8" s="74">
        <v>4</v>
      </c>
      <c r="S8" s="73">
        <v>2</v>
      </c>
      <c r="T8" s="73">
        <v>1</v>
      </c>
      <c r="U8" s="123">
        <f t="shared" si="4"/>
        <v>18</v>
      </c>
      <c r="V8" s="141">
        <v>18</v>
      </c>
      <c r="W8" s="117"/>
      <c r="X8" s="117"/>
      <c r="Y8" s="117"/>
      <c r="Z8" s="117"/>
      <c r="AA8" s="117"/>
      <c r="AB8" s="117"/>
      <c r="AC8" s="117"/>
    </row>
    <row r="9" spans="1:29" x14ac:dyDescent="0.35">
      <c r="A9" s="117"/>
      <c r="B9" s="81" t="s">
        <v>98</v>
      </c>
      <c r="C9" s="47">
        <f>SUMIFS([2]!Table2_23[IAB PAX],[2]!Table2_23[ETA],"&gt;1345",[2]!Table2_23[ETA],"&lt;1401")</f>
        <v>0</v>
      </c>
      <c r="D9" s="119">
        <f>M85</f>
        <v>0</v>
      </c>
      <c r="E9" s="119">
        <f t="shared" ref="E9:G9" si="6">N85</f>
        <v>18</v>
      </c>
      <c r="F9" s="119">
        <f t="shared" si="6"/>
        <v>0</v>
      </c>
      <c r="G9" s="119">
        <f t="shared" si="6"/>
        <v>0</v>
      </c>
      <c r="H9" s="46">
        <f t="shared" si="1"/>
        <v>18</v>
      </c>
      <c r="I9" s="51">
        <f>IF(SUM($Z$85:$Z$99)&gt;0,AVERAGEIF($Z$85:$Z$99,"&lt;&gt;0"),0)</f>
        <v>0</v>
      </c>
      <c r="J9" s="51">
        <f t="shared" si="3"/>
        <v>0</v>
      </c>
      <c r="K9" s="73"/>
      <c r="L9" s="188"/>
      <c r="M9" s="219"/>
      <c r="N9" s="140"/>
      <c r="O9" s="122"/>
      <c r="P9" s="134" t="s">
        <v>98</v>
      </c>
      <c r="Q9" s="74">
        <v>11</v>
      </c>
      <c r="R9" s="74">
        <v>4</v>
      </c>
      <c r="S9" s="73">
        <v>2</v>
      </c>
      <c r="T9" s="73">
        <v>1</v>
      </c>
      <c r="U9" s="123">
        <f t="shared" si="4"/>
        <v>18</v>
      </c>
      <c r="V9" s="141">
        <v>18</v>
      </c>
      <c r="W9" s="117"/>
      <c r="X9" s="117"/>
      <c r="Y9" s="117"/>
      <c r="Z9" s="117"/>
      <c r="AA9" s="117"/>
      <c r="AB9" s="117"/>
      <c r="AC9" s="117"/>
    </row>
    <row r="10" spans="1:29" x14ac:dyDescent="0.35">
      <c r="A10" s="117"/>
      <c r="B10" s="77" t="s">
        <v>99</v>
      </c>
      <c r="C10" s="47">
        <f>SUMIFS([2]!Table2_23[IAB PAX],[2]!Table2_23[ETA],"&gt;1400",[2]!Table2_23[ETA],"&lt;1416")</f>
        <v>0</v>
      </c>
      <c r="D10" s="119">
        <f>M100</f>
        <v>11</v>
      </c>
      <c r="E10" s="119">
        <f t="shared" ref="E10:G10" si="7">N100</f>
        <v>4</v>
      </c>
      <c r="F10" s="119">
        <f t="shared" si="7"/>
        <v>2</v>
      </c>
      <c r="G10" s="119">
        <f t="shared" si="7"/>
        <v>1</v>
      </c>
      <c r="H10" s="46">
        <f t="shared" si="1"/>
        <v>18</v>
      </c>
      <c r="I10" s="51">
        <f>IF(SUM($Z$100:$Z$114)&gt;0,AVERAGEIF($Z$100:$Z$114,"&lt;&gt;0"),0)</f>
        <v>1.4</v>
      </c>
      <c r="J10" s="51">
        <f t="shared" si="3"/>
        <v>16.7</v>
      </c>
      <c r="K10" s="73"/>
      <c r="L10" s="188"/>
      <c r="M10" s="219"/>
      <c r="N10" s="140"/>
      <c r="O10" s="82"/>
      <c r="P10" s="133" t="s">
        <v>99</v>
      </c>
      <c r="Q10" s="74">
        <v>11</v>
      </c>
      <c r="R10" s="74">
        <v>4</v>
      </c>
      <c r="S10" s="73">
        <v>2</v>
      </c>
      <c r="T10" s="73">
        <v>1</v>
      </c>
      <c r="U10" s="123">
        <f t="shared" si="4"/>
        <v>18</v>
      </c>
      <c r="V10" s="141">
        <v>18</v>
      </c>
      <c r="W10" s="117"/>
      <c r="X10" s="117"/>
      <c r="Y10" s="117"/>
      <c r="Z10" s="117"/>
      <c r="AA10" s="117"/>
      <c r="AB10" s="117"/>
      <c r="AC10" s="117"/>
    </row>
    <row r="11" spans="1:29" x14ac:dyDescent="0.35">
      <c r="A11" s="117"/>
      <c r="B11" s="81" t="s">
        <v>100</v>
      </c>
      <c r="C11" s="47">
        <f>SUMIFS([2]!Table2_23[IAB PAX],[2]!Table2_23[ETA],"&gt;1415",[2]!Table2_23[ETA],"&lt;1431")</f>
        <v>90</v>
      </c>
      <c r="D11" s="119">
        <f>M115</f>
        <v>0</v>
      </c>
      <c r="E11" s="119">
        <f t="shared" ref="E11:G11" si="8">N115</f>
        <v>18</v>
      </c>
      <c r="F11" s="119">
        <f t="shared" si="8"/>
        <v>0</v>
      </c>
      <c r="G11" s="119">
        <f t="shared" si="8"/>
        <v>0</v>
      </c>
      <c r="H11" s="46">
        <f t="shared" si="1"/>
        <v>18</v>
      </c>
      <c r="I11" s="51">
        <f>IF(SUM($Z$115:$Z$129)&gt;0,AVERAGEIF($Z$115:$Z$129,"&lt;&gt;0"),0)</f>
        <v>0</v>
      </c>
      <c r="J11" s="51">
        <f t="shared" si="3"/>
        <v>0</v>
      </c>
      <c r="K11" s="73"/>
      <c r="L11" s="188" t="s">
        <v>207</v>
      </c>
      <c r="M11" s="219">
        <f>ROUNDUP(AVERAGEIF(Z39:Z339,"&lt;&gt;0"),0)</f>
        <v>3</v>
      </c>
      <c r="N11" s="130"/>
      <c r="O11" s="73"/>
      <c r="P11" s="134" t="s">
        <v>100</v>
      </c>
      <c r="Q11" s="74">
        <v>11</v>
      </c>
      <c r="R11" s="74">
        <v>4</v>
      </c>
      <c r="S11" s="73">
        <v>2</v>
      </c>
      <c r="T11" s="73">
        <v>1</v>
      </c>
      <c r="U11" s="123">
        <f t="shared" si="4"/>
        <v>18</v>
      </c>
      <c r="V11" s="141">
        <v>18</v>
      </c>
      <c r="W11" s="117"/>
      <c r="X11" s="117"/>
      <c r="Y11" s="117"/>
      <c r="Z11" s="117"/>
      <c r="AA11" s="117"/>
      <c r="AB11" s="117"/>
      <c r="AC11" s="117"/>
    </row>
    <row r="12" spans="1:29" x14ac:dyDescent="0.35">
      <c r="A12" s="117"/>
      <c r="B12" s="83" t="s">
        <v>101</v>
      </c>
      <c r="C12" s="47">
        <f>SUMIFS([2]!Table2_23[IAB PAX],[2]!Table2_23[ETA],"&gt;1430",[2]!Table2_23[ETA],"&lt;1446")</f>
        <v>152</v>
      </c>
      <c r="D12" s="119">
        <v>3</v>
      </c>
      <c r="E12" s="119">
        <v>6</v>
      </c>
      <c r="F12" s="119">
        <v>1</v>
      </c>
      <c r="G12" s="119">
        <v>1</v>
      </c>
      <c r="H12" s="46">
        <f t="shared" si="1"/>
        <v>18</v>
      </c>
      <c r="I12" s="51">
        <f>IF(SUM($Z$130:$Z$144)&gt;0,AVERAGEIF($Z$130:$Z$144,"&lt;&gt;0"),0)</f>
        <v>0</v>
      </c>
      <c r="J12" s="51">
        <f t="shared" si="3"/>
        <v>0</v>
      </c>
      <c r="K12" s="73"/>
      <c r="L12" s="188"/>
      <c r="M12" s="219"/>
      <c r="N12" s="130"/>
      <c r="O12" s="75"/>
      <c r="P12" s="135" t="s">
        <v>101</v>
      </c>
      <c r="Q12" s="74">
        <v>11</v>
      </c>
      <c r="R12" s="74">
        <v>4</v>
      </c>
      <c r="S12" s="73">
        <v>2</v>
      </c>
      <c r="T12" s="73">
        <v>1</v>
      </c>
      <c r="U12" s="123">
        <f t="shared" si="4"/>
        <v>18</v>
      </c>
      <c r="V12" s="141">
        <v>18</v>
      </c>
      <c r="W12" s="117"/>
      <c r="X12" s="117"/>
      <c r="Y12" s="117"/>
      <c r="Z12" s="117"/>
      <c r="AA12" s="117"/>
      <c r="AB12" s="117"/>
      <c r="AC12" s="117"/>
    </row>
    <row r="13" spans="1:29" x14ac:dyDescent="0.35">
      <c r="A13" s="117"/>
      <c r="B13" s="77" t="s">
        <v>102</v>
      </c>
      <c r="C13" s="47">
        <f>SUMIFS([2]!Table2_23[IAB PAX],[2]!Table2_23[ETA],"&gt;1445",[2]!Table2_23[ETA],"&lt;1501")</f>
        <v>117</v>
      </c>
      <c r="D13" s="119">
        <f>M145</f>
        <v>0</v>
      </c>
      <c r="E13" s="119">
        <f t="shared" ref="E13:G13" si="9">N145</f>
        <v>18</v>
      </c>
      <c r="F13" s="119">
        <f t="shared" si="9"/>
        <v>0</v>
      </c>
      <c r="G13" s="119">
        <f t="shared" si="9"/>
        <v>0</v>
      </c>
      <c r="H13" s="46">
        <f t="shared" si="1"/>
        <v>18</v>
      </c>
      <c r="I13" s="51">
        <f>IF(SUM($Z$145:$Z$159)&gt;0,AVERAGEIF($Z$145:$Z$159,"&lt;&gt;0"),0)</f>
        <v>0</v>
      </c>
      <c r="J13" s="51">
        <f t="shared" si="3"/>
        <v>0</v>
      </c>
      <c r="K13" s="73"/>
      <c r="L13" s="188" t="s">
        <v>208</v>
      </c>
      <c r="M13" s="189">
        <f>AVERAGEIF(J6:J25,"&lt;&gt;0")</f>
        <v>17.18141580641581</v>
      </c>
      <c r="N13" s="130"/>
      <c r="O13" s="73"/>
      <c r="P13" s="133" t="s">
        <v>102</v>
      </c>
      <c r="Q13" s="74">
        <v>11</v>
      </c>
      <c r="R13" s="74">
        <v>4</v>
      </c>
      <c r="S13" s="73">
        <v>2</v>
      </c>
      <c r="T13" s="73">
        <v>1</v>
      </c>
      <c r="U13" s="123">
        <f t="shared" si="4"/>
        <v>18</v>
      </c>
      <c r="V13" s="141">
        <v>18</v>
      </c>
      <c r="W13" s="117"/>
      <c r="X13" s="117"/>
      <c r="Y13" s="117"/>
      <c r="Z13" s="117"/>
      <c r="AA13" s="117"/>
      <c r="AB13" s="117"/>
      <c r="AC13" s="117"/>
    </row>
    <row r="14" spans="1:29" x14ac:dyDescent="0.35">
      <c r="A14" s="117"/>
      <c r="B14" s="81" t="s">
        <v>103</v>
      </c>
      <c r="C14" s="47">
        <f>SUMIFS([2]!Table2_23[IAB PAX],[2]!Table2_23[ETA],"&gt;1500",[2]!Table2_23[ETA],"&lt;1516")</f>
        <v>70</v>
      </c>
      <c r="D14" s="119">
        <f>M160</f>
        <v>11</v>
      </c>
      <c r="E14" s="119">
        <f t="shared" ref="E14:G14" si="10">N160</f>
        <v>4</v>
      </c>
      <c r="F14" s="119">
        <f t="shared" si="10"/>
        <v>2</v>
      </c>
      <c r="G14" s="119">
        <f t="shared" si="10"/>
        <v>1</v>
      </c>
      <c r="H14" s="46">
        <f t="shared" si="1"/>
        <v>18</v>
      </c>
      <c r="I14" s="51">
        <f>IF(SUM($Z$160:$Z$174)&gt;0,AVERAGEIF($Z$160:$Z$174,"&lt;&gt;0"),0)</f>
        <v>4.5333333333333332</v>
      </c>
      <c r="J14" s="51">
        <f t="shared" si="3"/>
        <v>19.833333333333336</v>
      </c>
      <c r="K14" s="73"/>
      <c r="L14" s="188"/>
      <c r="M14" s="189"/>
      <c r="N14" s="130"/>
      <c r="O14" s="73"/>
      <c r="P14" s="134" t="s">
        <v>103</v>
      </c>
      <c r="Q14" s="74">
        <v>11</v>
      </c>
      <c r="R14" s="74">
        <v>4</v>
      </c>
      <c r="S14" s="73">
        <v>2</v>
      </c>
      <c r="T14" s="73">
        <v>1</v>
      </c>
      <c r="U14" s="123">
        <f t="shared" si="4"/>
        <v>18</v>
      </c>
      <c r="V14" s="141">
        <v>18</v>
      </c>
      <c r="W14" s="117"/>
      <c r="X14" s="117"/>
      <c r="Y14" s="117"/>
      <c r="Z14" s="117"/>
      <c r="AA14" s="117"/>
      <c r="AB14" s="117"/>
      <c r="AC14" s="117"/>
    </row>
    <row r="15" spans="1:29" x14ac:dyDescent="0.35">
      <c r="A15" s="117"/>
      <c r="B15" s="77" t="s">
        <v>104</v>
      </c>
      <c r="C15" s="47">
        <f>SUMIFS([2]!Table2_23[IAB PAX],[2]!Table2_23[ETA],"&gt;1515",[2]!Table2_23[ETA],"&lt;1531")</f>
        <v>0</v>
      </c>
      <c r="D15" s="119">
        <f>M175</f>
        <v>0</v>
      </c>
      <c r="E15" s="119">
        <f t="shared" ref="E15:G15" si="11">N175</f>
        <v>17</v>
      </c>
      <c r="F15" s="119">
        <f t="shared" si="11"/>
        <v>0</v>
      </c>
      <c r="G15" s="119">
        <f t="shared" si="11"/>
        <v>1</v>
      </c>
      <c r="H15" s="46">
        <f t="shared" si="1"/>
        <v>18</v>
      </c>
      <c r="I15" s="51">
        <f>IF(SUM($Z$175:$Z$189)&gt;0,AVERAGEIF($Z$175:$Z$189,"&lt;&gt;0"),0)</f>
        <v>1.3571428571428572</v>
      </c>
      <c r="J15" s="51">
        <f t="shared" si="3"/>
        <v>16.657142857142858</v>
      </c>
      <c r="K15" s="73"/>
      <c r="L15" s="188" t="s">
        <v>210</v>
      </c>
      <c r="M15" s="189">
        <f>(COUNTIFS(Z39:Z339,"&gt;0",Z39:Z339,"&lt;=3"))/(COUNTIF(Z39:Z339,"&gt;0"))*100</f>
        <v>77.600000000000009</v>
      </c>
      <c r="N15" s="129"/>
      <c r="O15" s="82"/>
      <c r="P15" s="133" t="s">
        <v>104</v>
      </c>
      <c r="Q15" s="74">
        <v>11</v>
      </c>
      <c r="R15" s="74">
        <v>4</v>
      </c>
      <c r="S15" s="73">
        <v>2</v>
      </c>
      <c r="T15" s="73">
        <v>1</v>
      </c>
      <c r="U15" s="123">
        <f t="shared" si="4"/>
        <v>18</v>
      </c>
      <c r="V15" s="141">
        <v>18</v>
      </c>
      <c r="W15" s="117"/>
      <c r="X15" s="117"/>
      <c r="Y15" s="117"/>
      <c r="Z15" s="117"/>
      <c r="AA15" s="117"/>
      <c r="AB15" s="117"/>
      <c r="AC15" s="117"/>
    </row>
    <row r="16" spans="1:29" x14ac:dyDescent="0.35">
      <c r="A16" s="117"/>
      <c r="B16" s="81" t="s">
        <v>105</v>
      </c>
      <c r="C16" s="47">
        <f>SUMIFS([2]!Table2_23[IAB PAX],[2]!Table2_23[ETA],"&gt;1530",[2]!Table2_23[ETA],"&lt;1546")</f>
        <v>95</v>
      </c>
      <c r="D16" s="119">
        <f>M190</f>
        <v>11</v>
      </c>
      <c r="E16" s="119">
        <f t="shared" ref="E16:G16" si="12">N190</f>
        <v>5</v>
      </c>
      <c r="F16" s="119">
        <f t="shared" si="12"/>
        <v>2</v>
      </c>
      <c r="G16" s="119">
        <f t="shared" si="12"/>
        <v>0</v>
      </c>
      <c r="H16" s="46">
        <f t="shared" si="1"/>
        <v>18</v>
      </c>
      <c r="I16" s="51">
        <f>IF(SUM($Z$190:$Z$204)&gt;0,AVERAGEIF($Z$190:$Z$204,"&lt;&gt;0"),0)</f>
        <v>2.1</v>
      </c>
      <c r="J16" s="51">
        <f t="shared" si="3"/>
        <v>17.400000000000002</v>
      </c>
      <c r="K16" s="73"/>
      <c r="L16" s="188"/>
      <c r="M16" s="189"/>
      <c r="N16" s="89"/>
      <c r="O16" s="73"/>
      <c r="P16" s="134" t="s">
        <v>105</v>
      </c>
      <c r="Q16" s="74">
        <v>11</v>
      </c>
      <c r="R16" s="74">
        <v>4</v>
      </c>
      <c r="S16" s="73">
        <v>2</v>
      </c>
      <c r="T16" s="73">
        <v>1</v>
      </c>
      <c r="U16" s="123">
        <f t="shared" si="4"/>
        <v>18</v>
      </c>
      <c r="V16" s="141">
        <v>18</v>
      </c>
      <c r="W16" s="117"/>
      <c r="X16" s="117"/>
      <c r="Y16" s="117"/>
      <c r="Z16" s="117"/>
      <c r="AA16" s="117"/>
      <c r="AB16" s="117"/>
      <c r="AC16" s="117"/>
    </row>
    <row r="17" spans="1:29" x14ac:dyDescent="0.35">
      <c r="A17" s="117"/>
      <c r="B17" s="81" t="s">
        <v>106</v>
      </c>
      <c r="C17" s="47">
        <f>SUMIFS([2]!Table2_23[IAB PAX],[2]!Table2_23[ETA],"&gt;1545",[2]!Table2_23[ETA],"&lt;1601")</f>
        <v>488</v>
      </c>
      <c r="D17" s="119">
        <f>M205</f>
        <v>0</v>
      </c>
      <c r="E17" s="119">
        <f t="shared" ref="E17:G17" si="13">N205</f>
        <v>17</v>
      </c>
      <c r="F17" s="119">
        <f t="shared" si="13"/>
        <v>0</v>
      </c>
      <c r="G17" s="119">
        <f t="shared" si="13"/>
        <v>1</v>
      </c>
      <c r="H17" s="46">
        <f t="shared" si="1"/>
        <v>18</v>
      </c>
      <c r="I17" s="51">
        <f>IF(SUM($Z$205:$Z$219)&gt;0,AVERAGEIF($Z$205:$Z$219,"&lt;&gt;0"),0)</f>
        <v>1</v>
      </c>
      <c r="J17" s="51">
        <f t="shared" si="3"/>
        <v>16.3</v>
      </c>
      <c r="K17" s="73"/>
      <c r="L17" s="188"/>
      <c r="M17" s="189"/>
      <c r="N17" s="89"/>
      <c r="O17" s="73"/>
      <c r="P17" s="134" t="s">
        <v>106</v>
      </c>
      <c r="Q17" s="74">
        <v>11</v>
      </c>
      <c r="R17" s="74">
        <v>4</v>
      </c>
      <c r="S17" s="73">
        <v>2</v>
      </c>
      <c r="T17" s="73">
        <v>1</v>
      </c>
      <c r="U17" s="123">
        <f t="shared" si="4"/>
        <v>18</v>
      </c>
      <c r="V17" s="141">
        <v>18</v>
      </c>
      <c r="W17" s="117"/>
      <c r="X17" s="117"/>
      <c r="Y17" s="117"/>
      <c r="Z17" s="117"/>
      <c r="AA17" s="117"/>
      <c r="AB17" s="117"/>
      <c r="AC17" s="117"/>
    </row>
    <row r="18" spans="1:29" x14ac:dyDescent="0.35">
      <c r="A18" s="117"/>
      <c r="B18" s="81" t="s">
        <v>107</v>
      </c>
      <c r="C18" s="47">
        <f>SUMIFS([2]!Table2_23[IAB PAX],[2]!Table2_23[ETA],"&gt;1600",[2]!Table2_23[ETA],"&lt;1616")</f>
        <v>0</v>
      </c>
      <c r="D18" s="119">
        <f>M220</f>
        <v>11</v>
      </c>
      <c r="E18" s="119">
        <f t="shared" ref="E18:G18" si="14">N220</f>
        <v>5</v>
      </c>
      <c r="F18" s="119">
        <f t="shared" si="14"/>
        <v>2</v>
      </c>
      <c r="G18" s="119">
        <f t="shared" si="14"/>
        <v>0</v>
      </c>
      <c r="H18" s="46">
        <f t="shared" si="1"/>
        <v>18</v>
      </c>
      <c r="I18" s="51">
        <f>IF(SUM($Z$220:$Z$234)&gt;0,AVERAGEIF($Z$220:$Z$234,"&lt;&gt;0"),0)</f>
        <v>2.6666666666666665</v>
      </c>
      <c r="J18" s="51">
        <f t="shared" si="3"/>
        <v>17.966666666666669</v>
      </c>
      <c r="K18" s="73"/>
      <c r="L18" s="188"/>
      <c r="M18" s="189"/>
      <c r="N18" s="89"/>
      <c r="O18" s="73"/>
      <c r="P18" s="134" t="s">
        <v>107</v>
      </c>
      <c r="Q18" s="74">
        <v>11</v>
      </c>
      <c r="R18" s="74">
        <v>4</v>
      </c>
      <c r="S18" s="73">
        <v>2</v>
      </c>
      <c r="T18" s="73">
        <v>1</v>
      </c>
      <c r="U18" s="123">
        <f t="shared" si="4"/>
        <v>18</v>
      </c>
      <c r="V18" s="141">
        <v>18</v>
      </c>
      <c r="W18" s="117"/>
      <c r="X18" s="117"/>
      <c r="Y18" s="117"/>
      <c r="Z18" s="117"/>
      <c r="AA18" s="117"/>
      <c r="AB18" s="117"/>
      <c r="AC18" s="117"/>
    </row>
    <row r="19" spans="1:29" x14ac:dyDescent="0.35">
      <c r="A19" s="117"/>
      <c r="B19" s="81" t="s">
        <v>108</v>
      </c>
      <c r="C19" s="47">
        <f>SUMIFS([2]!Table2_23[IAB PAX],[2]!Table2_23[ETA],"&gt;1615",[2]!Table2_23[ETA],"&lt;1631")</f>
        <v>134</v>
      </c>
      <c r="D19" s="119">
        <f>M235</f>
        <v>0</v>
      </c>
      <c r="E19" s="119">
        <f t="shared" ref="E19:G19" si="15">N235</f>
        <v>17</v>
      </c>
      <c r="F19" s="119">
        <f t="shared" si="15"/>
        <v>0</v>
      </c>
      <c r="G19" s="119">
        <f t="shared" si="15"/>
        <v>1</v>
      </c>
      <c r="H19" s="46">
        <f t="shared" si="1"/>
        <v>18</v>
      </c>
      <c r="I19" s="51">
        <f>IF(SUM($Z$235:$Z$249)&gt;0,AVERAGEIF($Z$235:$Z$249,"&lt;&gt;0"),0)</f>
        <v>1.4</v>
      </c>
      <c r="J19" s="51">
        <f t="shared" si="3"/>
        <v>16.7</v>
      </c>
      <c r="K19" s="73"/>
      <c r="L19" s="74"/>
      <c r="M19" s="73"/>
      <c r="N19" s="89"/>
      <c r="O19" s="73"/>
      <c r="P19" s="134" t="s">
        <v>108</v>
      </c>
      <c r="Q19" s="74">
        <v>11</v>
      </c>
      <c r="R19" s="74">
        <v>4</v>
      </c>
      <c r="S19" s="73">
        <v>2</v>
      </c>
      <c r="T19" s="73">
        <v>1</v>
      </c>
      <c r="U19" s="123">
        <f t="shared" si="4"/>
        <v>18</v>
      </c>
      <c r="V19" s="141">
        <v>18</v>
      </c>
      <c r="W19" s="117"/>
      <c r="X19" s="117"/>
      <c r="Y19" s="117"/>
      <c r="Z19" s="117"/>
      <c r="AA19" s="117"/>
      <c r="AB19" s="117"/>
      <c r="AC19" s="117"/>
    </row>
    <row r="20" spans="1:29" x14ac:dyDescent="0.35">
      <c r="A20" s="117"/>
      <c r="B20" s="81" t="s">
        <v>109</v>
      </c>
      <c r="C20" s="47">
        <f>SUMIFS([2]!Table2_23[IAB PAX],[2]!Table2_23[ETA],"&gt;1630",[2]!Table2_23[ETA],"&lt;1646")</f>
        <v>0</v>
      </c>
      <c r="D20" s="119">
        <f>M250</f>
        <v>11</v>
      </c>
      <c r="E20" s="119">
        <f t="shared" ref="E20:G20" si="16">N250</f>
        <v>4</v>
      </c>
      <c r="F20" s="119">
        <f t="shared" si="16"/>
        <v>2</v>
      </c>
      <c r="G20" s="119">
        <f t="shared" si="16"/>
        <v>1</v>
      </c>
      <c r="H20" s="46">
        <f t="shared" si="1"/>
        <v>18</v>
      </c>
      <c r="I20" s="51">
        <f>IF(SUM($Z$250:$Z$264)&gt;0,AVERAGEIF($Z$250:$Z$264,"&lt;&gt;0"),0)</f>
        <v>4.333333333333333</v>
      </c>
      <c r="J20" s="51">
        <f t="shared" si="3"/>
        <v>19.633333333333333</v>
      </c>
      <c r="K20" s="73"/>
      <c r="L20" s="73"/>
      <c r="M20" s="73"/>
      <c r="N20" s="89"/>
      <c r="O20" s="73"/>
      <c r="P20" s="134" t="s">
        <v>109</v>
      </c>
      <c r="Q20" s="74">
        <v>11</v>
      </c>
      <c r="R20" s="74">
        <v>4</v>
      </c>
      <c r="S20" s="73">
        <v>2</v>
      </c>
      <c r="T20" s="73">
        <v>1</v>
      </c>
      <c r="U20" s="123">
        <f t="shared" si="4"/>
        <v>18</v>
      </c>
      <c r="V20" s="141">
        <v>18</v>
      </c>
      <c r="W20" s="117"/>
      <c r="X20" s="117"/>
      <c r="Y20" s="117"/>
      <c r="Z20" s="117"/>
      <c r="AA20" s="117"/>
      <c r="AB20" s="117"/>
      <c r="AC20" s="117"/>
    </row>
    <row r="21" spans="1:29" x14ac:dyDescent="0.35">
      <c r="A21" s="117"/>
      <c r="B21" s="81" t="s">
        <v>110</v>
      </c>
      <c r="C21" s="47">
        <f>SUMIFS([2]!Table2_23[IAB PAX],[2]!Table2_23[ETA],"&gt;1645",[2]!Table2_23[ETA],"&lt;1701")</f>
        <v>400</v>
      </c>
      <c r="D21" s="119">
        <f>M265</f>
        <v>0</v>
      </c>
      <c r="E21" s="119">
        <f t="shared" ref="E21:G21" si="17">N265</f>
        <v>16</v>
      </c>
      <c r="F21" s="119">
        <f t="shared" si="17"/>
        <v>2</v>
      </c>
      <c r="G21" s="119">
        <f t="shared" si="17"/>
        <v>0</v>
      </c>
      <c r="H21" s="46">
        <f t="shared" si="1"/>
        <v>18</v>
      </c>
      <c r="I21" s="51">
        <f>IF(SUM($Z$265:$Z$279)&gt;0,AVERAGEIF($Z$265:$Z$279,"&lt;&gt;0"),0)</f>
        <v>1</v>
      </c>
      <c r="J21" s="51">
        <f t="shared" si="3"/>
        <v>16.3</v>
      </c>
      <c r="K21" s="73"/>
      <c r="L21" s="73"/>
      <c r="M21" s="73"/>
      <c r="N21" s="89"/>
      <c r="O21" s="73"/>
      <c r="P21" s="134" t="s">
        <v>110</v>
      </c>
      <c r="Q21" s="74">
        <v>11</v>
      </c>
      <c r="R21" s="74">
        <v>4</v>
      </c>
      <c r="S21" s="73">
        <v>2</v>
      </c>
      <c r="T21" s="73">
        <v>1</v>
      </c>
      <c r="U21" s="123">
        <f t="shared" si="4"/>
        <v>18</v>
      </c>
      <c r="V21" s="141">
        <v>18</v>
      </c>
      <c r="W21" s="117"/>
      <c r="X21" s="117"/>
      <c r="Y21" s="117"/>
      <c r="Z21" s="117"/>
      <c r="AA21" s="117"/>
      <c r="AB21" s="117"/>
      <c r="AC21" s="117"/>
    </row>
    <row r="22" spans="1:29" x14ac:dyDescent="0.35">
      <c r="A22" s="117"/>
      <c r="B22" s="81" t="s">
        <v>111</v>
      </c>
      <c r="C22" s="47">
        <f>SUMIFS([2]!Table2_23[IAB PAX],[2]!Table2_23[ETA],"&gt;1700",[2]!Table2_23[ETA],"&lt;1716")</f>
        <v>199</v>
      </c>
      <c r="D22" s="119">
        <f>M280</f>
        <v>11</v>
      </c>
      <c r="E22" s="119">
        <f t="shared" ref="E22:G22" si="18">N280</f>
        <v>6</v>
      </c>
      <c r="F22" s="119">
        <f t="shared" si="18"/>
        <v>0</v>
      </c>
      <c r="G22" s="119">
        <f t="shared" si="18"/>
        <v>1</v>
      </c>
      <c r="H22" s="46">
        <f t="shared" si="1"/>
        <v>18</v>
      </c>
      <c r="I22" s="51">
        <f>IF(SUM($Z$280:$Z$294)&gt;0,AVERAGEIF($Z$280:$Z$294,"&lt;&gt;0"),0)</f>
        <v>1.1818181818181819</v>
      </c>
      <c r="J22" s="51">
        <f t="shared" si="3"/>
        <v>16.481818181818184</v>
      </c>
      <c r="K22" s="73"/>
      <c r="L22" s="73"/>
      <c r="M22" s="73"/>
      <c r="N22" s="89"/>
      <c r="O22" s="73"/>
      <c r="P22" s="134" t="s">
        <v>111</v>
      </c>
      <c r="Q22" s="74">
        <v>11</v>
      </c>
      <c r="R22" s="74">
        <v>4</v>
      </c>
      <c r="S22" s="73">
        <v>2</v>
      </c>
      <c r="T22" s="73">
        <v>1</v>
      </c>
      <c r="U22" s="123">
        <f t="shared" si="4"/>
        <v>18</v>
      </c>
      <c r="V22" s="141">
        <v>18</v>
      </c>
      <c r="W22" s="117"/>
      <c r="X22" s="117"/>
      <c r="Y22" s="117"/>
      <c r="Z22" s="117"/>
      <c r="AA22" s="117"/>
      <c r="AB22" s="117"/>
      <c r="AC22" s="117"/>
    </row>
    <row r="23" spans="1:29" x14ac:dyDescent="0.35">
      <c r="A23" s="117"/>
      <c r="B23" s="81" t="s">
        <v>112</v>
      </c>
      <c r="C23" s="47">
        <f>SUMIFS([2]!Table2_23[IAB PAX],[2]!Table2_23[ETA],"&gt;1715",[2]!Table2_23[ETA],"&lt;1731")</f>
        <v>0</v>
      </c>
      <c r="D23" s="119">
        <f>M295</f>
        <v>0</v>
      </c>
      <c r="E23" s="119">
        <f t="shared" ref="E23:G23" si="19">N295</f>
        <v>16</v>
      </c>
      <c r="F23" s="119">
        <f t="shared" si="19"/>
        <v>2</v>
      </c>
      <c r="G23" s="119">
        <f t="shared" si="19"/>
        <v>0</v>
      </c>
      <c r="H23" s="46">
        <f t="shared" si="1"/>
        <v>18</v>
      </c>
      <c r="I23" s="51">
        <f>IF(SUM($Z$295:$Z$309)&gt;0,AVERAGEIF($Z$295:$Z$309,"&lt;&gt;0"),0)</f>
        <v>1.1111111111111112</v>
      </c>
      <c r="J23" s="51">
        <f t="shared" si="3"/>
        <v>16.411111111111111</v>
      </c>
      <c r="K23" s="73"/>
      <c r="L23" s="73"/>
      <c r="M23" s="73"/>
      <c r="N23" s="89"/>
      <c r="O23" s="73"/>
      <c r="P23" s="134" t="s">
        <v>112</v>
      </c>
      <c r="Q23" s="74">
        <v>11</v>
      </c>
      <c r="R23" s="74">
        <v>4</v>
      </c>
      <c r="S23" s="73">
        <v>2</v>
      </c>
      <c r="T23" s="73">
        <v>1</v>
      </c>
      <c r="U23" s="123">
        <f t="shared" si="4"/>
        <v>18</v>
      </c>
      <c r="V23" s="141">
        <v>18</v>
      </c>
      <c r="W23" s="117"/>
      <c r="X23" s="117"/>
      <c r="Y23" s="117"/>
      <c r="Z23" s="117"/>
      <c r="AA23" s="117"/>
      <c r="AB23" s="117"/>
      <c r="AC23" s="117"/>
    </row>
    <row r="24" spans="1:29" x14ac:dyDescent="0.35">
      <c r="A24" s="117"/>
      <c r="B24" s="77" t="s">
        <v>113</v>
      </c>
      <c r="C24" s="47">
        <f>SUMIFS([2]!Table2_23[IAB PAX],[2]!Table2_23[ETA],"&gt;1730",[2]!Table2_23[ETA],"&lt;1746")</f>
        <v>0</v>
      </c>
      <c r="D24" s="119">
        <f>M310</f>
        <v>11</v>
      </c>
      <c r="E24" s="119">
        <f t="shared" ref="E24:G24" si="20">N310</f>
        <v>6</v>
      </c>
      <c r="F24" s="119">
        <f t="shared" si="20"/>
        <v>0</v>
      </c>
      <c r="G24" s="119">
        <f t="shared" si="20"/>
        <v>1</v>
      </c>
      <c r="H24" s="46">
        <f t="shared" si="1"/>
        <v>18</v>
      </c>
      <c r="I24" s="51">
        <f>IF(SUM($Z$310:$Z$324)&gt;0,AVERAGEIF($Z$310:$Z$324,"&lt;&gt;0"),0)</f>
        <v>1.375</v>
      </c>
      <c r="J24" s="51">
        <f t="shared" si="3"/>
        <v>16.675000000000001</v>
      </c>
      <c r="K24" s="74"/>
      <c r="L24" s="74"/>
      <c r="M24" s="74"/>
      <c r="N24" s="130"/>
      <c r="O24" s="74"/>
      <c r="P24" s="133" t="s">
        <v>113</v>
      </c>
      <c r="Q24" s="74">
        <v>11</v>
      </c>
      <c r="R24" s="74">
        <v>4</v>
      </c>
      <c r="S24" s="73">
        <v>2</v>
      </c>
      <c r="T24" s="73">
        <v>1</v>
      </c>
      <c r="U24" s="123">
        <f t="shared" si="4"/>
        <v>18</v>
      </c>
      <c r="V24" s="141">
        <v>18</v>
      </c>
      <c r="W24" s="117"/>
      <c r="X24" s="117"/>
      <c r="Y24" s="117"/>
      <c r="Z24" s="117"/>
      <c r="AA24" s="117"/>
      <c r="AB24" s="117"/>
      <c r="AC24" s="117"/>
    </row>
    <row r="25" spans="1:29" ht="15" thickBot="1" x14ac:dyDescent="0.4">
      <c r="A25" s="117"/>
      <c r="B25" s="84" t="s">
        <v>114</v>
      </c>
      <c r="C25" s="53">
        <f>SUMIFS([2]!Table2_23[IAB PAX],[2]!Table2_23[ETA],"&gt;1745",[2]!Table2_23[ETA],"&lt;1801")</f>
        <v>0</v>
      </c>
      <c r="D25" s="131">
        <f>M325</f>
        <v>0</v>
      </c>
      <c r="E25" s="131">
        <f t="shared" ref="E25:G25" si="21">N325</f>
        <v>16</v>
      </c>
      <c r="F25" s="131">
        <f t="shared" si="21"/>
        <v>2</v>
      </c>
      <c r="G25" s="131">
        <f t="shared" si="21"/>
        <v>0</v>
      </c>
      <c r="H25" s="54">
        <f t="shared" si="1"/>
        <v>18</v>
      </c>
      <c r="I25" s="51">
        <f>IF(SUM($Z$325:$Z$339)&gt;0,AVERAGEIF($Z$325:$Z$339,"&lt;&gt;0"),0)</f>
        <v>1</v>
      </c>
      <c r="J25" s="51">
        <f t="shared" si="3"/>
        <v>16.3</v>
      </c>
      <c r="K25" s="86"/>
      <c r="L25" s="86"/>
      <c r="M25" s="86"/>
      <c r="N25" s="132"/>
      <c r="O25" s="74"/>
      <c r="P25" s="136" t="s">
        <v>114</v>
      </c>
      <c r="Q25" s="86">
        <v>11</v>
      </c>
      <c r="R25" s="86">
        <v>4</v>
      </c>
      <c r="S25" s="92">
        <v>2</v>
      </c>
      <c r="T25" s="92">
        <v>1</v>
      </c>
      <c r="U25" s="137">
        <f t="shared" si="4"/>
        <v>18</v>
      </c>
      <c r="V25" s="141">
        <v>18</v>
      </c>
      <c r="W25" s="117"/>
      <c r="X25" s="117"/>
      <c r="Y25" s="117"/>
      <c r="Z25" s="117"/>
      <c r="AA25" s="117"/>
      <c r="AB25" s="117"/>
      <c r="AC25" s="117"/>
    </row>
    <row r="26" spans="1:29" ht="15" thickBot="1" x14ac:dyDescent="0.4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</row>
    <row r="27" spans="1:29" ht="21" x14ac:dyDescent="0.5">
      <c r="A27" s="117"/>
      <c r="B27" s="167" t="s">
        <v>141</v>
      </c>
      <c r="C27" s="176"/>
      <c r="D27" s="176"/>
      <c r="E27" s="176"/>
      <c r="F27" s="176"/>
      <c r="G27" s="176"/>
      <c r="H27" s="176"/>
      <c r="I27" s="176"/>
      <c r="J27" s="176"/>
      <c r="K27" s="176"/>
      <c r="L27" s="177"/>
      <c r="M27" s="220"/>
      <c r="N27" s="220"/>
      <c r="O27" s="220"/>
      <c r="P27" s="220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</row>
    <row r="28" spans="1:29" x14ac:dyDescent="0.35">
      <c r="A28" s="117"/>
      <c r="B28" s="88"/>
      <c r="C28" s="73"/>
      <c r="D28" s="73"/>
      <c r="E28" s="73"/>
      <c r="F28" s="73"/>
      <c r="G28" s="148"/>
      <c r="H28" s="178" t="s">
        <v>144</v>
      </c>
      <c r="I28" s="178"/>
      <c r="J28" s="178"/>
      <c r="K28" s="73"/>
      <c r="L28" s="89"/>
      <c r="M28" s="73"/>
      <c r="N28" s="73"/>
      <c r="O28" s="73"/>
      <c r="P28" s="7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</row>
    <row r="29" spans="1:29" ht="29" customHeight="1" x14ac:dyDescent="0.35">
      <c r="A29" s="117"/>
      <c r="B29" s="202" t="s">
        <v>186</v>
      </c>
      <c r="C29" s="179"/>
      <c r="D29" s="73"/>
      <c r="E29" s="179" t="s">
        <v>133</v>
      </c>
      <c r="F29" s="179" t="s">
        <v>187</v>
      </c>
      <c r="G29" s="90"/>
      <c r="H29" s="25"/>
      <c r="I29" s="97" t="s">
        <v>146</v>
      </c>
      <c r="J29" s="97" t="s">
        <v>145</v>
      </c>
      <c r="K29" s="73"/>
      <c r="L29" s="233" t="s">
        <v>137</v>
      </c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</row>
    <row r="30" spans="1:29" x14ac:dyDescent="0.35">
      <c r="A30" s="117"/>
      <c r="B30" s="98" t="s">
        <v>2</v>
      </c>
      <c r="C30" s="143">
        <v>0.45939999999999998</v>
      </c>
      <c r="D30" s="73"/>
      <c r="E30" s="179"/>
      <c r="F30" s="179"/>
      <c r="G30" s="90"/>
      <c r="H30" s="80" t="s">
        <v>2</v>
      </c>
      <c r="I30" s="95">
        <v>0.40386</v>
      </c>
      <c r="J30" s="80">
        <f>1/I30</f>
        <v>2.4761055811419799</v>
      </c>
      <c r="K30" s="73"/>
      <c r="L30" s="234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</row>
    <row r="31" spans="1:29" x14ac:dyDescent="0.35">
      <c r="A31" s="117"/>
      <c r="B31" s="98" t="s">
        <v>3</v>
      </c>
      <c r="C31" s="143">
        <v>0.29649999999999999</v>
      </c>
      <c r="D31" s="73"/>
      <c r="E31" s="163">
        <v>18</v>
      </c>
      <c r="F31" s="200">
        <v>15.3</v>
      </c>
      <c r="G31" s="91"/>
      <c r="H31" s="80" t="s">
        <v>3</v>
      </c>
      <c r="I31" s="95">
        <v>1.7152540000000001</v>
      </c>
      <c r="J31" s="80">
        <f>1/I31</f>
        <v>0.58300403322190186</v>
      </c>
      <c r="K31" s="73"/>
      <c r="L31" s="234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</row>
    <row r="32" spans="1:29" x14ac:dyDescent="0.35">
      <c r="A32" s="117"/>
      <c r="B32" s="98" t="s">
        <v>5</v>
      </c>
      <c r="C32" s="143">
        <v>0.17319999999999999</v>
      </c>
      <c r="D32" s="73"/>
      <c r="E32" s="163"/>
      <c r="F32" s="200"/>
      <c r="G32" s="91"/>
      <c r="H32" s="80" t="s">
        <v>5</v>
      </c>
      <c r="I32" s="95">
        <v>0.34260699999999999</v>
      </c>
      <c r="J32" s="80">
        <f>1/I32</f>
        <v>2.9187961717069411</v>
      </c>
      <c r="K32" s="73"/>
      <c r="L32" s="235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</row>
    <row r="33" spans="1:31" ht="15" thickBot="1" x14ac:dyDescent="0.4">
      <c r="A33" s="117"/>
      <c r="B33" s="99" t="s">
        <v>4</v>
      </c>
      <c r="C33" s="144">
        <v>7.0900000000000005E-2</v>
      </c>
      <c r="D33" s="92"/>
      <c r="E33" s="164"/>
      <c r="F33" s="201"/>
      <c r="G33" s="93"/>
      <c r="H33" s="87" t="s">
        <v>4</v>
      </c>
      <c r="I33" s="101">
        <v>0.46287899999999998</v>
      </c>
      <c r="J33" s="87">
        <f>1/I33</f>
        <v>2.1603918086584182</v>
      </c>
      <c r="K33" s="92"/>
      <c r="L33" s="236">
        <v>0.85</v>
      </c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</row>
    <row r="34" spans="1:31" ht="15" thickBot="1" x14ac:dyDescent="0.4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</row>
    <row r="35" spans="1:31" ht="21" x14ac:dyDescent="0.5">
      <c r="A35" s="117"/>
      <c r="B35" s="167" t="s">
        <v>142</v>
      </c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</row>
    <row r="36" spans="1:31" x14ac:dyDescent="0.35">
      <c r="A36" s="117"/>
      <c r="B36" s="170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</row>
    <row r="37" spans="1:31" ht="14.5" customHeight="1" x14ac:dyDescent="0.35">
      <c r="A37" s="117"/>
      <c r="B37" s="56" t="s">
        <v>147</v>
      </c>
      <c r="C37" s="173" t="s">
        <v>135</v>
      </c>
      <c r="D37" s="174"/>
      <c r="E37" s="173" t="s">
        <v>136</v>
      </c>
      <c r="F37" s="175"/>
      <c r="G37" s="175"/>
      <c r="H37" s="174"/>
      <c r="I37" s="173" t="s">
        <v>185</v>
      </c>
      <c r="J37" s="175"/>
      <c r="K37" s="175"/>
      <c r="L37" s="174"/>
      <c r="M37" s="173" t="s">
        <v>92</v>
      </c>
      <c r="N37" s="175"/>
      <c r="O37" s="175"/>
      <c r="P37" s="175"/>
      <c r="Q37" s="174"/>
      <c r="R37" s="173" t="s">
        <v>188</v>
      </c>
      <c r="S37" s="175"/>
      <c r="T37" s="175"/>
      <c r="U37" s="174"/>
      <c r="V37" s="173" t="s">
        <v>189</v>
      </c>
      <c r="W37" s="175"/>
      <c r="X37" s="175"/>
      <c r="Y37" s="174"/>
      <c r="Z37" s="49" t="s">
        <v>202</v>
      </c>
      <c r="AA37" s="158" t="s">
        <v>116</v>
      </c>
      <c r="AB37" s="158"/>
      <c r="AC37" s="158"/>
      <c r="AD37" s="158"/>
      <c r="AE37" s="158"/>
    </row>
    <row r="38" spans="1:31" ht="43.5" x14ac:dyDescent="0.35">
      <c r="A38" s="1" t="s">
        <v>89</v>
      </c>
      <c r="B38" s="56" t="s">
        <v>90</v>
      </c>
      <c r="C38" s="50" t="s">
        <v>139</v>
      </c>
      <c r="D38" s="43" t="s">
        <v>134</v>
      </c>
      <c r="E38" s="24" t="s">
        <v>2</v>
      </c>
      <c r="F38" s="25" t="s">
        <v>6</v>
      </c>
      <c r="G38" s="25" t="s">
        <v>5</v>
      </c>
      <c r="H38" s="24" t="s">
        <v>4</v>
      </c>
      <c r="I38" s="24" t="s">
        <v>2</v>
      </c>
      <c r="J38" s="25" t="s">
        <v>6</v>
      </c>
      <c r="K38" s="25" t="s">
        <v>5</v>
      </c>
      <c r="L38" s="24" t="s">
        <v>4</v>
      </c>
      <c r="M38" s="24" t="s">
        <v>2</v>
      </c>
      <c r="N38" s="25" t="s">
        <v>6</v>
      </c>
      <c r="O38" s="25" t="s">
        <v>5</v>
      </c>
      <c r="P38" s="24" t="s">
        <v>4</v>
      </c>
      <c r="Q38" s="24" t="s">
        <v>94</v>
      </c>
      <c r="R38" s="24" t="s">
        <v>2</v>
      </c>
      <c r="S38" s="25" t="s">
        <v>6</v>
      </c>
      <c r="T38" s="25" t="s">
        <v>5</v>
      </c>
      <c r="U38" s="24" t="s">
        <v>4</v>
      </c>
      <c r="V38" s="24" t="s">
        <v>2</v>
      </c>
      <c r="W38" s="25" t="s">
        <v>6</v>
      </c>
      <c r="X38" s="25" t="s">
        <v>5</v>
      </c>
      <c r="Y38" s="24" t="s">
        <v>4</v>
      </c>
      <c r="Z38" s="24" t="s">
        <v>203</v>
      </c>
      <c r="AA38" s="24" t="s">
        <v>2</v>
      </c>
      <c r="AB38" s="25" t="s">
        <v>6</v>
      </c>
      <c r="AC38" s="25" t="s">
        <v>5</v>
      </c>
      <c r="AD38" s="24" t="s">
        <v>4</v>
      </c>
      <c r="AE38" s="31" t="s">
        <v>94</v>
      </c>
    </row>
    <row r="39" spans="1:31" x14ac:dyDescent="0.35">
      <c r="A39" s="48">
        <v>1300</v>
      </c>
      <c r="B39" s="58">
        <f>SUMIF([2]!Table2_23[ETA],'[1]IAB Optimal Model (3)'!A39,[2]!Table2_23[IAB PAX])</f>
        <v>0</v>
      </c>
      <c r="C39" s="44">
        <f>MIN($E$31,D39)</f>
        <v>0</v>
      </c>
      <c r="D39" s="52">
        <f>IF(B39=0,0,18)</f>
        <v>0</v>
      </c>
      <c r="E39" s="26">
        <f>$C$30*C39</f>
        <v>0</v>
      </c>
      <c r="F39" s="26">
        <f>$C$31*C39</f>
        <v>0</v>
      </c>
      <c r="G39" s="26">
        <f>$C$32*C39</f>
        <v>0</v>
      </c>
      <c r="H39" s="26">
        <f>$C$33*C39</f>
        <v>0</v>
      </c>
      <c r="I39" s="27">
        <v>0</v>
      </c>
      <c r="J39" s="27">
        <v>0</v>
      </c>
      <c r="K39" s="27">
        <v>0</v>
      </c>
      <c r="L39" s="27">
        <v>0</v>
      </c>
      <c r="M39" s="28">
        <f>Q6</f>
        <v>11</v>
      </c>
      <c r="N39" s="28">
        <f>R6</f>
        <v>4</v>
      </c>
      <c r="O39" s="28">
        <f>S6</f>
        <v>2</v>
      </c>
      <c r="P39" s="28">
        <f>T6</f>
        <v>1</v>
      </c>
      <c r="Q39" s="28">
        <f>SUM(M39:P39)</f>
        <v>18</v>
      </c>
      <c r="R39" s="22">
        <f>E39</f>
        <v>0</v>
      </c>
      <c r="S39" s="22">
        <f>F39</f>
        <v>0</v>
      </c>
      <c r="T39" s="22">
        <f>G39</f>
        <v>0</v>
      </c>
      <c r="U39" s="22">
        <f>H39</f>
        <v>0</v>
      </c>
      <c r="V39" s="21">
        <f>R39*$I$30</f>
        <v>0</v>
      </c>
      <c r="W39" s="21">
        <f>S39*$I$31</f>
        <v>0</v>
      </c>
      <c r="X39" s="21">
        <f>T39*$I$32</f>
        <v>0</v>
      </c>
      <c r="Y39" s="21">
        <f>U39*$I$33</f>
        <v>0</v>
      </c>
      <c r="Z39" s="221">
        <f>ROUNDUP(SUM(V39*$C$30,W39*$C$31,X39*$C$32,Y39*$C$33),0)</f>
        <v>0</v>
      </c>
      <c r="AA39" s="30">
        <f t="shared" ref="AA39:AA102" si="22">IF(R39&lt;&gt;0,($J$30*M39*$L$33),0)</f>
        <v>0</v>
      </c>
      <c r="AB39" s="30">
        <f t="shared" ref="AB39:AB102" si="23">IF(W39&lt;&gt;0,($J$31*N39*$L$33),0)</f>
        <v>0</v>
      </c>
      <c r="AC39" s="30">
        <f t="shared" ref="AC39:AC102" si="24">IF(X39&lt;&gt;0,($J$32*O39*$L$33),0)</f>
        <v>0</v>
      </c>
      <c r="AD39" s="30">
        <f t="shared" ref="AD39:AD102" si="25">IF(Y39&lt;&gt;0,($J$33*P39*$L$33),0)</f>
        <v>0</v>
      </c>
      <c r="AE39" s="32">
        <f>SUM(AA39:AD39)</f>
        <v>0</v>
      </c>
    </row>
    <row r="40" spans="1:31" x14ac:dyDescent="0.35">
      <c r="A40" s="48">
        <v>1301</v>
      </c>
      <c r="B40" s="58">
        <f>SUMIF([2]!Table2_23[ETA],'IAB Model'!A40,[2]!Table2_23[FIS PAX])</f>
        <v>0</v>
      </c>
      <c r="C40" s="44">
        <f>IF((D39-D40)&gt;-1,(D39-D40),18)</f>
        <v>0</v>
      </c>
      <c r="D40" s="52">
        <v>0</v>
      </c>
      <c r="E40" s="26">
        <f t="shared" ref="E40:E103" si="26">$C$30*C40</f>
        <v>0</v>
      </c>
      <c r="F40" s="26">
        <f t="shared" ref="F40:F103" si="27">$C$31*C40</f>
        <v>0</v>
      </c>
      <c r="G40" s="26">
        <f t="shared" ref="G40:G103" si="28">$C$32*C40</f>
        <v>0</v>
      </c>
      <c r="H40" s="26">
        <f>$C$33*C40</f>
        <v>0</v>
      </c>
      <c r="I40" s="27">
        <v>0</v>
      </c>
      <c r="J40" s="27">
        <v>0</v>
      </c>
      <c r="K40" s="27">
        <v>0</v>
      </c>
      <c r="L40" s="27">
        <v>0</v>
      </c>
      <c r="M40" s="28">
        <f>IF(R39=0,0,$Q$6)</f>
        <v>0</v>
      </c>
      <c r="N40" s="29">
        <f>$U$6-M40-O40-P40</f>
        <v>18</v>
      </c>
      <c r="O40" s="28">
        <f>IF(T39=0,0,$S$6)</f>
        <v>0</v>
      </c>
      <c r="P40" s="28">
        <f>IF(U39=0,0,$T$6)</f>
        <v>0</v>
      </c>
      <c r="Q40" s="28">
        <f t="shared" ref="Q40:Q103" si="29">SUM(M40:P40)</f>
        <v>18</v>
      </c>
      <c r="R40" s="22">
        <f t="shared" ref="R40:R103" si="30">MAX(R39-($J$30*M40*$L$33)+I40,0)</f>
        <v>0</v>
      </c>
      <c r="S40" s="22">
        <f t="shared" ref="S40:S103" si="31">IF(U40&lt;&gt;0,(MAX(S39-($J$31*N40*$L$33)+J40,0)),(MAX(S39-($J$31*(N40+P40)*$L$33)+J40,0)))</f>
        <v>0</v>
      </c>
      <c r="T40" s="22">
        <f t="shared" ref="T40:T103" si="32">MAX(T39-($J$32*O40*$L$33)+K40,0)</f>
        <v>0</v>
      </c>
      <c r="U40" s="22">
        <f t="shared" ref="U40:U103" si="33">MAX(U39-($J$33*P40*$L$33)+L40,0)</f>
        <v>0</v>
      </c>
      <c r="V40" s="21">
        <f>IFERROR(R40*($I$30/M40),0)</f>
        <v>0</v>
      </c>
      <c r="W40" s="21">
        <f>S40*($I$31/N40)</f>
        <v>0</v>
      </c>
      <c r="X40" s="21">
        <f>IFERROR(T40*($I$32/O40),0)</f>
        <v>0</v>
      </c>
      <c r="Y40" s="21">
        <f>IFERROR(U40*($I$33/P40),0)</f>
        <v>0</v>
      </c>
      <c r="Z40" s="221">
        <f t="shared" ref="Z40:Z103" si="34">ROUNDUP(SUM(V40*$C$30,W40*$C$31,X40*$C$32,Y40*$C$33),0)</f>
        <v>0</v>
      </c>
      <c r="AA40" s="30">
        <f t="shared" si="22"/>
        <v>0</v>
      </c>
      <c r="AB40" s="30">
        <f t="shared" si="23"/>
        <v>0</v>
      </c>
      <c r="AC40" s="30">
        <f t="shared" si="24"/>
        <v>0</v>
      </c>
      <c r="AD40" s="30">
        <f t="shared" si="25"/>
        <v>0</v>
      </c>
      <c r="AE40" s="32">
        <f t="shared" ref="AE40:AE103" si="35">SUM(AA40:AD40)</f>
        <v>0</v>
      </c>
    </row>
    <row r="41" spans="1:31" x14ac:dyDescent="0.35">
      <c r="A41" s="48">
        <v>1302</v>
      </c>
      <c r="B41" s="58">
        <f>SUMIF([2]!Table2_23[ETA],'IAB Model'!A41,[2]!Table2_23[FIS PAX])</f>
        <v>0</v>
      </c>
      <c r="C41" s="44">
        <f t="shared" ref="C41:C104" si="36">IF((D40-D41)&gt;-1,(D40-D41),18)</f>
        <v>0</v>
      </c>
      <c r="D41" s="52">
        <f>MAX(D40-$E$31+B40,0)</f>
        <v>0</v>
      </c>
      <c r="E41" s="26">
        <f t="shared" si="26"/>
        <v>0</v>
      </c>
      <c r="F41" s="26">
        <f t="shared" si="27"/>
        <v>0</v>
      </c>
      <c r="G41" s="26">
        <f t="shared" si="28"/>
        <v>0</v>
      </c>
      <c r="H41" s="26">
        <f t="shared" ref="H41:H104" si="37">$C$33*C41</f>
        <v>0</v>
      </c>
      <c r="I41" s="27">
        <v>0</v>
      </c>
      <c r="J41" s="27">
        <v>0</v>
      </c>
      <c r="K41" s="27">
        <v>0</v>
      </c>
      <c r="L41" s="27">
        <v>0</v>
      </c>
      <c r="M41" s="28">
        <f>$M$40</f>
        <v>0</v>
      </c>
      <c r="N41" s="29">
        <f>$N$40</f>
        <v>18</v>
      </c>
      <c r="O41" s="28">
        <f>$O$40</f>
        <v>0</v>
      </c>
      <c r="P41" s="28">
        <f>$P$40</f>
        <v>0</v>
      </c>
      <c r="Q41" s="28">
        <f t="shared" si="29"/>
        <v>18</v>
      </c>
      <c r="R41" s="22">
        <f t="shared" si="30"/>
        <v>0</v>
      </c>
      <c r="S41" s="22">
        <f t="shared" si="31"/>
        <v>0</v>
      </c>
      <c r="T41" s="22">
        <f t="shared" si="32"/>
        <v>0</v>
      </c>
      <c r="U41" s="22">
        <f t="shared" si="33"/>
        <v>0</v>
      </c>
      <c r="V41" s="21">
        <f t="shared" ref="V41:V104" si="38">IFERROR(R41*($I$30/M41),0)</f>
        <v>0</v>
      </c>
      <c r="W41" s="21">
        <f t="shared" ref="W41:W104" si="39">S41*($I$31/N41)</f>
        <v>0</v>
      </c>
      <c r="X41" s="21">
        <f t="shared" ref="X41:X104" si="40">IFERROR(T41*($I$32/O41),0)</f>
        <v>0</v>
      </c>
      <c r="Y41" s="21">
        <f t="shared" ref="Y41:Y104" si="41">IFERROR(U41*($I$33/P41),0)</f>
        <v>0</v>
      </c>
      <c r="Z41" s="221">
        <f t="shared" si="34"/>
        <v>0</v>
      </c>
      <c r="AA41" s="30">
        <f t="shared" si="22"/>
        <v>0</v>
      </c>
      <c r="AB41" s="30">
        <f t="shared" si="23"/>
        <v>0</v>
      </c>
      <c r="AC41" s="30">
        <f t="shared" si="24"/>
        <v>0</v>
      </c>
      <c r="AD41" s="30">
        <f t="shared" si="25"/>
        <v>0</v>
      </c>
      <c r="AE41" s="32">
        <f t="shared" si="35"/>
        <v>0</v>
      </c>
    </row>
    <row r="42" spans="1:31" x14ac:dyDescent="0.35">
      <c r="A42" s="48">
        <v>1303</v>
      </c>
      <c r="B42" s="58">
        <f>SUMIF([2]!Table2_23[ETA],'IAB Model'!A42,[2]!Table2_23[FIS PAX])</f>
        <v>0</v>
      </c>
      <c r="C42" s="44">
        <f t="shared" si="36"/>
        <v>0</v>
      </c>
      <c r="D42" s="52">
        <f t="shared" ref="D42:D105" si="42">MAX(D41-$E$31+B41,0)</f>
        <v>0</v>
      </c>
      <c r="E42" s="26">
        <f t="shared" si="26"/>
        <v>0</v>
      </c>
      <c r="F42" s="26">
        <f t="shared" si="27"/>
        <v>0</v>
      </c>
      <c r="G42" s="26">
        <f t="shared" si="28"/>
        <v>0</v>
      </c>
      <c r="H42" s="26">
        <f t="shared" si="37"/>
        <v>0</v>
      </c>
      <c r="I42" s="27">
        <v>0</v>
      </c>
      <c r="J42" s="27">
        <v>0</v>
      </c>
      <c r="K42" s="27">
        <v>0</v>
      </c>
      <c r="L42" s="27">
        <v>0</v>
      </c>
      <c r="M42" s="28">
        <f t="shared" ref="M42:M54" si="43">$M$40</f>
        <v>0</v>
      </c>
      <c r="N42" s="29">
        <f t="shared" ref="N42:N54" si="44">$N$40</f>
        <v>18</v>
      </c>
      <c r="O42" s="28">
        <f t="shared" ref="O42:O54" si="45">$O$40</f>
        <v>0</v>
      </c>
      <c r="P42" s="28">
        <f t="shared" ref="P42:P54" si="46">$P$40</f>
        <v>0</v>
      </c>
      <c r="Q42" s="28">
        <f t="shared" si="29"/>
        <v>18</v>
      </c>
      <c r="R42" s="22">
        <f t="shared" si="30"/>
        <v>0</v>
      </c>
      <c r="S42" s="22">
        <f t="shared" si="31"/>
        <v>0</v>
      </c>
      <c r="T42" s="22">
        <f t="shared" si="32"/>
        <v>0</v>
      </c>
      <c r="U42" s="22">
        <f t="shared" si="33"/>
        <v>0</v>
      </c>
      <c r="V42" s="21">
        <f t="shared" si="38"/>
        <v>0</v>
      </c>
      <c r="W42" s="21">
        <f t="shared" si="39"/>
        <v>0</v>
      </c>
      <c r="X42" s="21">
        <f t="shared" si="40"/>
        <v>0</v>
      </c>
      <c r="Y42" s="21">
        <f t="shared" si="41"/>
        <v>0</v>
      </c>
      <c r="Z42" s="221">
        <f t="shared" si="34"/>
        <v>0</v>
      </c>
      <c r="AA42" s="30">
        <f t="shared" si="22"/>
        <v>0</v>
      </c>
      <c r="AB42" s="30">
        <f t="shared" si="23"/>
        <v>0</v>
      </c>
      <c r="AC42" s="30">
        <f t="shared" si="24"/>
        <v>0</v>
      </c>
      <c r="AD42" s="30">
        <f t="shared" si="25"/>
        <v>0</v>
      </c>
      <c r="AE42" s="32">
        <f t="shared" si="35"/>
        <v>0</v>
      </c>
    </row>
    <row r="43" spans="1:31" x14ac:dyDescent="0.35">
      <c r="A43" s="48">
        <v>1304</v>
      </c>
      <c r="B43" s="58">
        <f>SUMIF([2]!Table2_23[ETA],'IAB Model'!A43,[2]!Table2_23[FIS PAX])</f>
        <v>0</v>
      </c>
      <c r="C43" s="44">
        <f>IF((D42-D43)&gt;-1,(D42-D43),18)</f>
        <v>0</v>
      </c>
      <c r="D43" s="52">
        <f t="shared" si="42"/>
        <v>0</v>
      </c>
      <c r="E43" s="26">
        <f t="shared" si="26"/>
        <v>0</v>
      </c>
      <c r="F43" s="26">
        <f t="shared" si="27"/>
        <v>0</v>
      </c>
      <c r="G43" s="26">
        <f t="shared" si="28"/>
        <v>0</v>
      </c>
      <c r="H43" s="26">
        <f t="shared" si="37"/>
        <v>0</v>
      </c>
      <c r="I43" s="27">
        <v>0</v>
      </c>
      <c r="J43" s="27">
        <v>0</v>
      </c>
      <c r="K43" s="27">
        <v>0</v>
      </c>
      <c r="L43" s="27">
        <v>0</v>
      </c>
      <c r="M43" s="28">
        <f t="shared" si="43"/>
        <v>0</v>
      </c>
      <c r="N43" s="29">
        <f t="shared" si="44"/>
        <v>18</v>
      </c>
      <c r="O43" s="28">
        <f t="shared" si="45"/>
        <v>0</v>
      </c>
      <c r="P43" s="28">
        <f t="shared" si="46"/>
        <v>0</v>
      </c>
      <c r="Q43" s="28">
        <f t="shared" si="29"/>
        <v>18</v>
      </c>
      <c r="R43" s="22">
        <f t="shared" si="30"/>
        <v>0</v>
      </c>
      <c r="S43" s="22">
        <f t="shared" si="31"/>
        <v>0</v>
      </c>
      <c r="T43" s="22">
        <f t="shared" si="32"/>
        <v>0</v>
      </c>
      <c r="U43" s="22">
        <f t="shared" si="33"/>
        <v>0</v>
      </c>
      <c r="V43" s="21">
        <f t="shared" si="38"/>
        <v>0</v>
      </c>
      <c r="W43" s="21">
        <f t="shared" si="39"/>
        <v>0</v>
      </c>
      <c r="X43" s="21">
        <f t="shared" si="40"/>
        <v>0</v>
      </c>
      <c r="Y43" s="21">
        <f t="shared" si="41"/>
        <v>0</v>
      </c>
      <c r="Z43" s="221">
        <f t="shared" si="34"/>
        <v>0</v>
      </c>
      <c r="AA43" s="30">
        <f t="shared" si="22"/>
        <v>0</v>
      </c>
      <c r="AB43" s="30">
        <f t="shared" si="23"/>
        <v>0</v>
      </c>
      <c r="AC43" s="30">
        <f t="shared" si="24"/>
        <v>0</v>
      </c>
      <c r="AD43" s="30">
        <f t="shared" si="25"/>
        <v>0</v>
      </c>
      <c r="AE43" s="32">
        <f t="shared" si="35"/>
        <v>0</v>
      </c>
    </row>
    <row r="44" spans="1:31" x14ac:dyDescent="0.35">
      <c r="A44" s="48">
        <v>1305</v>
      </c>
      <c r="B44" s="58">
        <f>SUMIF([2]!Table2_23[ETA],'IAB Model'!A44,[2]!Table2_23[FIS PAX])</f>
        <v>0</v>
      </c>
      <c r="C44" s="44">
        <f t="shared" si="36"/>
        <v>0</v>
      </c>
      <c r="D44" s="52">
        <f t="shared" si="42"/>
        <v>0</v>
      </c>
      <c r="E44" s="26">
        <f t="shared" si="26"/>
        <v>0</v>
      </c>
      <c r="F44" s="26">
        <f t="shared" si="27"/>
        <v>0</v>
      </c>
      <c r="G44" s="26">
        <f t="shared" si="28"/>
        <v>0</v>
      </c>
      <c r="H44" s="26">
        <f t="shared" si="37"/>
        <v>0</v>
      </c>
      <c r="I44" s="27">
        <v>0</v>
      </c>
      <c r="J44" s="27">
        <v>0</v>
      </c>
      <c r="K44" s="27">
        <v>0</v>
      </c>
      <c r="L44" s="27">
        <v>0</v>
      </c>
      <c r="M44" s="28">
        <f t="shared" si="43"/>
        <v>0</v>
      </c>
      <c r="N44" s="29">
        <f t="shared" si="44"/>
        <v>18</v>
      </c>
      <c r="O44" s="28">
        <f t="shared" si="45"/>
        <v>0</v>
      </c>
      <c r="P44" s="28">
        <f t="shared" si="46"/>
        <v>0</v>
      </c>
      <c r="Q44" s="28">
        <f t="shared" si="29"/>
        <v>18</v>
      </c>
      <c r="R44" s="22">
        <f t="shared" si="30"/>
        <v>0</v>
      </c>
      <c r="S44" s="22">
        <f t="shared" si="31"/>
        <v>0</v>
      </c>
      <c r="T44" s="22">
        <f t="shared" si="32"/>
        <v>0</v>
      </c>
      <c r="U44" s="22">
        <f t="shared" si="33"/>
        <v>0</v>
      </c>
      <c r="V44" s="21">
        <f t="shared" si="38"/>
        <v>0</v>
      </c>
      <c r="W44" s="21">
        <f t="shared" si="39"/>
        <v>0</v>
      </c>
      <c r="X44" s="21">
        <f t="shared" si="40"/>
        <v>0</v>
      </c>
      <c r="Y44" s="21">
        <f t="shared" si="41"/>
        <v>0</v>
      </c>
      <c r="Z44" s="221">
        <f t="shared" si="34"/>
        <v>0</v>
      </c>
      <c r="AA44" s="30">
        <f t="shared" si="22"/>
        <v>0</v>
      </c>
      <c r="AB44" s="30">
        <f t="shared" si="23"/>
        <v>0</v>
      </c>
      <c r="AC44" s="30">
        <f t="shared" si="24"/>
        <v>0</v>
      </c>
      <c r="AD44" s="30">
        <f t="shared" si="25"/>
        <v>0</v>
      </c>
      <c r="AE44" s="32">
        <f t="shared" si="35"/>
        <v>0</v>
      </c>
    </row>
    <row r="45" spans="1:31" x14ac:dyDescent="0.35">
      <c r="A45" s="48">
        <v>1306</v>
      </c>
      <c r="B45" s="58">
        <f>SUMIF([2]!Table2_23[ETA],'IAB Model'!A45,[2]!Table2_23[FIS PAX])</f>
        <v>0</v>
      </c>
      <c r="C45" s="44">
        <f t="shared" si="36"/>
        <v>0</v>
      </c>
      <c r="D45" s="52">
        <f>MAX(D44-$E$31+B44,0)</f>
        <v>0</v>
      </c>
      <c r="E45" s="26">
        <f t="shared" si="26"/>
        <v>0</v>
      </c>
      <c r="F45" s="26">
        <f>$C$31*C45</f>
        <v>0</v>
      </c>
      <c r="G45" s="26">
        <f t="shared" si="28"/>
        <v>0</v>
      </c>
      <c r="H45" s="26">
        <f t="shared" si="37"/>
        <v>0</v>
      </c>
      <c r="I45" s="27">
        <v>0</v>
      </c>
      <c r="J45" s="27">
        <v>0</v>
      </c>
      <c r="K45" s="27">
        <v>0</v>
      </c>
      <c r="L45" s="27">
        <v>0</v>
      </c>
      <c r="M45" s="28">
        <f t="shared" si="43"/>
        <v>0</v>
      </c>
      <c r="N45" s="29">
        <f t="shared" si="44"/>
        <v>18</v>
      </c>
      <c r="O45" s="28">
        <f t="shared" si="45"/>
        <v>0</v>
      </c>
      <c r="P45" s="28">
        <f t="shared" si="46"/>
        <v>0</v>
      </c>
      <c r="Q45" s="28">
        <f t="shared" si="29"/>
        <v>18</v>
      </c>
      <c r="R45" s="22">
        <f t="shared" si="30"/>
        <v>0</v>
      </c>
      <c r="S45" s="22">
        <f t="shared" si="31"/>
        <v>0</v>
      </c>
      <c r="T45" s="22">
        <f t="shared" si="32"/>
        <v>0</v>
      </c>
      <c r="U45" s="22">
        <f t="shared" si="33"/>
        <v>0</v>
      </c>
      <c r="V45" s="21">
        <f t="shared" si="38"/>
        <v>0</v>
      </c>
      <c r="W45" s="21">
        <f t="shared" si="39"/>
        <v>0</v>
      </c>
      <c r="X45" s="21">
        <f t="shared" si="40"/>
        <v>0</v>
      </c>
      <c r="Y45" s="21">
        <f t="shared" si="41"/>
        <v>0</v>
      </c>
      <c r="Z45" s="221">
        <f t="shared" si="34"/>
        <v>0</v>
      </c>
      <c r="AA45" s="30">
        <f t="shared" si="22"/>
        <v>0</v>
      </c>
      <c r="AB45" s="30">
        <f t="shared" si="23"/>
        <v>0</v>
      </c>
      <c r="AC45" s="30">
        <f t="shared" si="24"/>
        <v>0</v>
      </c>
      <c r="AD45" s="30">
        <f t="shared" si="25"/>
        <v>0</v>
      </c>
      <c r="AE45" s="32">
        <f t="shared" si="35"/>
        <v>0</v>
      </c>
    </row>
    <row r="46" spans="1:31" x14ac:dyDescent="0.35">
      <c r="A46" s="48">
        <v>1307</v>
      </c>
      <c r="B46" s="58">
        <f>SUMIF([2]!Table2_23[ETA],'IAB Model'!A46,[2]!Table2_23[FIS PAX])</f>
        <v>0</v>
      </c>
      <c r="C46" s="44">
        <f t="shared" si="36"/>
        <v>0</v>
      </c>
      <c r="D46" s="52">
        <f t="shared" si="42"/>
        <v>0</v>
      </c>
      <c r="E46" s="26">
        <f t="shared" si="26"/>
        <v>0</v>
      </c>
      <c r="F46" s="26">
        <f t="shared" si="27"/>
        <v>0</v>
      </c>
      <c r="G46" s="26">
        <f t="shared" si="28"/>
        <v>0</v>
      </c>
      <c r="H46" s="26">
        <f t="shared" si="37"/>
        <v>0</v>
      </c>
      <c r="I46" s="27">
        <v>0</v>
      </c>
      <c r="J46" s="27">
        <v>0</v>
      </c>
      <c r="K46" s="27">
        <v>0</v>
      </c>
      <c r="L46" s="27">
        <v>0</v>
      </c>
      <c r="M46" s="28">
        <f t="shared" si="43"/>
        <v>0</v>
      </c>
      <c r="N46" s="29">
        <f t="shared" si="44"/>
        <v>18</v>
      </c>
      <c r="O46" s="28">
        <f t="shared" si="45"/>
        <v>0</v>
      </c>
      <c r="P46" s="28">
        <f t="shared" si="46"/>
        <v>0</v>
      </c>
      <c r="Q46" s="28">
        <f t="shared" si="29"/>
        <v>18</v>
      </c>
      <c r="R46" s="22">
        <f t="shared" si="30"/>
        <v>0</v>
      </c>
      <c r="S46" s="22">
        <f t="shared" si="31"/>
        <v>0</v>
      </c>
      <c r="T46" s="22">
        <f t="shared" si="32"/>
        <v>0</v>
      </c>
      <c r="U46" s="22">
        <f t="shared" si="33"/>
        <v>0</v>
      </c>
      <c r="V46" s="21">
        <f t="shared" si="38"/>
        <v>0</v>
      </c>
      <c r="W46" s="21">
        <f t="shared" si="39"/>
        <v>0</v>
      </c>
      <c r="X46" s="21">
        <f t="shared" si="40"/>
        <v>0</v>
      </c>
      <c r="Y46" s="21">
        <f t="shared" si="41"/>
        <v>0</v>
      </c>
      <c r="Z46" s="221">
        <f t="shared" si="34"/>
        <v>0</v>
      </c>
      <c r="AA46" s="30">
        <f t="shared" si="22"/>
        <v>0</v>
      </c>
      <c r="AB46" s="30">
        <f t="shared" si="23"/>
        <v>0</v>
      </c>
      <c r="AC46" s="30">
        <f t="shared" si="24"/>
        <v>0</v>
      </c>
      <c r="AD46" s="30">
        <f t="shared" si="25"/>
        <v>0</v>
      </c>
      <c r="AE46" s="32">
        <f t="shared" si="35"/>
        <v>0</v>
      </c>
    </row>
    <row r="47" spans="1:31" x14ac:dyDescent="0.35">
      <c r="A47" s="48">
        <v>1308</v>
      </c>
      <c r="B47" s="58">
        <f>SUMIF([2]!Table2_23[ETA],'IAB Model'!A47,[2]!Table2_23[FIS PAX])</f>
        <v>0</v>
      </c>
      <c r="C47" s="44">
        <f t="shared" si="36"/>
        <v>0</v>
      </c>
      <c r="D47" s="52">
        <f t="shared" si="42"/>
        <v>0</v>
      </c>
      <c r="E47" s="26">
        <f t="shared" si="26"/>
        <v>0</v>
      </c>
      <c r="F47" s="26">
        <f t="shared" si="27"/>
        <v>0</v>
      </c>
      <c r="G47" s="26">
        <f t="shared" si="28"/>
        <v>0</v>
      </c>
      <c r="H47" s="26">
        <f t="shared" si="37"/>
        <v>0</v>
      </c>
      <c r="I47" s="27">
        <v>0</v>
      </c>
      <c r="J47" s="27">
        <v>0</v>
      </c>
      <c r="K47" s="27">
        <v>0</v>
      </c>
      <c r="L47" s="27">
        <v>0</v>
      </c>
      <c r="M47" s="28">
        <f t="shared" si="43"/>
        <v>0</v>
      </c>
      <c r="N47" s="29">
        <f t="shared" si="44"/>
        <v>18</v>
      </c>
      <c r="O47" s="28">
        <f t="shared" si="45"/>
        <v>0</v>
      </c>
      <c r="P47" s="28">
        <f t="shared" si="46"/>
        <v>0</v>
      </c>
      <c r="Q47" s="28">
        <f t="shared" si="29"/>
        <v>18</v>
      </c>
      <c r="R47" s="22">
        <f t="shared" si="30"/>
        <v>0</v>
      </c>
      <c r="S47" s="22">
        <f t="shared" si="31"/>
        <v>0</v>
      </c>
      <c r="T47" s="22">
        <f t="shared" si="32"/>
        <v>0</v>
      </c>
      <c r="U47" s="22">
        <f t="shared" si="33"/>
        <v>0</v>
      </c>
      <c r="V47" s="21">
        <f t="shared" si="38"/>
        <v>0</v>
      </c>
      <c r="W47" s="21">
        <f t="shared" si="39"/>
        <v>0</v>
      </c>
      <c r="X47" s="21">
        <f t="shared" si="40"/>
        <v>0</v>
      </c>
      <c r="Y47" s="21">
        <f t="shared" si="41"/>
        <v>0</v>
      </c>
      <c r="Z47" s="221">
        <f t="shared" si="34"/>
        <v>0</v>
      </c>
      <c r="AA47" s="30">
        <f t="shared" si="22"/>
        <v>0</v>
      </c>
      <c r="AB47" s="30">
        <f t="shared" si="23"/>
        <v>0</v>
      </c>
      <c r="AC47" s="30">
        <f t="shared" si="24"/>
        <v>0</v>
      </c>
      <c r="AD47" s="30">
        <f t="shared" si="25"/>
        <v>0</v>
      </c>
      <c r="AE47" s="32">
        <f t="shared" si="35"/>
        <v>0</v>
      </c>
    </row>
    <row r="48" spans="1:31" x14ac:dyDescent="0.35">
      <c r="A48" s="48">
        <v>1309</v>
      </c>
      <c r="B48" s="58">
        <f>SUMIF([2]!Table2_23[ETA],'IAB Model'!A48,[2]!Table2_23[FIS PAX])</f>
        <v>0</v>
      </c>
      <c r="C48" s="44">
        <f t="shared" si="36"/>
        <v>0</v>
      </c>
      <c r="D48" s="52">
        <f t="shared" si="42"/>
        <v>0</v>
      </c>
      <c r="E48" s="26">
        <f t="shared" si="26"/>
        <v>0</v>
      </c>
      <c r="F48" s="26">
        <f t="shared" si="27"/>
        <v>0</v>
      </c>
      <c r="G48" s="26">
        <f t="shared" si="28"/>
        <v>0</v>
      </c>
      <c r="H48" s="26">
        <f t="shared" si="37"/>
        <v>0</v>
      </c>
      <c r="I48" s="27">
        <v>0</v>
      </c>
      <c r="J48" s="27">
        <v>0</v>
      </c>
      <c r="K48" s="27">
        <v>0</v>
      </c>
      <c r="L48" s="27">
        <v>0</v>
      </c>
      <c r="M48" s="28">
        <f t="shared" si="43"/>
        <v>0</v>
      </c>
      <c r="N48" s="29">
        <f t="shared" si="44"/>
        <v>18</v>
      </c>
      <c r="O48" s="28">
        <f t="shared" si="45"/>
        <v>0</v>
      </c>
      <c r="P48" s="28">
        <f t="shared" si="46"/>
        <v>0</v>
      </c>
      <c r="Q48" s="28">
        <f t="shared" si="29"/>
        <v>18</v>
      </c>
      <c r="R48" s="22">
        <f t="shared" si="30"/>
        <v>0</v>
      </c>
      <c r="S48" s="22">
        <f t="shared" si="31"/>
        <v>0</v>
      </c>
      <c r="T48" s="22">
        <f t="shared" si="32"/>
        <v>0</v>
      </c>
      <c r="U48" s="22">
        <f t="shared" si="33"/>
        <v>0</v>
      </c>
      <c r="V48" s="21">
        <f t="shared" si="38"/>
        <v>0</v>
      </c>
      <c r="W48" s="21">
        <f t="shared" si="39"/>
        <v>0</v>
      </c>
      <c r="X48" s="21">
        <f t="shared" si="40"/>
        <v>0</v>
      </c>
      <c r="Y48" s="21">
        <f t="shared" si="41"/>
        <v>0</v>
      </c>
      <c r="Z48" s="221">
        <f t="shared" si="34"/>
        <v>0</v>
      </c>
      <c r="AA48" s="30">
        <f t="shared" si="22"/>
        <v>0</v>
      </c>
      <c r="AB48" s="30">
        <f t="shared" si="23"/>
        <v>0</v>
      </c>
      <c r="AC48" s="30">
        <f t="shared" si="24"/>
        <v>0</v>
      </c>
      <c r="AD48" s="30">
        <f t="shared" si="25"/>
        <v>0</v>
      </c>
      <c r="AE48" s="32">
        <f t="shared" si="35"/>
        <v>0</v>
      </c>
    </row>
    <row r="49" spans="1:31" x14ac:dyDescent="0.35">
      <c r="A49" s="48">
        <v>1310</v>
      </c>
      <c r="B49" s="58">
        <f>SUMIF([2]!Table2_23[ETA],'IAB Model'!A49,[2]!Table2_23[FIS PAX])</f>
        <v>0</v>
      </c>
      <c r="C49" s="44">
        <f t="shared" si="36"/>
        <v>0</v>
      </c>
      <c r="D49" s="52">
        <f t="shared" si="42"/>
        <v>0</v>
      </c>
      <c r="E49" s="26">
        <f t="shared" si="26"/>
        <v>0</v>
      </c>
      <c r="F49" s="26">
        <f t="shared" si="27"/>
        <v>0</v>
      </c>
      <c r="G49" s="26">
        <f t="shared" si="28"/>
        <v>0</v>
      </c>
      <c r="H49" s="26">
        <f t="shared" si="37"/>
        <v>0</v>
      </c>
      <c r="I49" s="27">
        <v>0</v>
      </c>
      <c r="J49" s="27">
        <v>0</v>
      </c>
      <c r="K49" s="27">
        <v>0</v>
      </c>
      <c r="L49" s="27">
        <v>0</v>
      </c>
      <c r="M49" s="28">
        <f t="shared" si="43"/>
        <v>0</v>
      </c>
      <c r="N49" s="29">
        <f t="shared" si="44"/>
        <v>18</v>
      </c>
      <c r="O49" s="28">
        <f t="shared" si="45"/>
        <v>0</v>
      </c>
      <c r="P49" s="28">
        <f t="shared" si="46"/>
        <v>0</v>
      </c>
      <c r="Q49" s="28">
        <f t="shared" si="29"/>
        <v>18</v>
      </c>
      <c r="R49" s="22">
        <f t="shared" si="30"/>
        <v>0</v>
      </c>
      <c r="S49" s="22">
        <f t="shared" si="31"/>
        <v>0</v>
      </c>
      <c r="T49" s="22">
        <f t="shared" si="32"/>
        <v>0</v>
      </c>
      <c r="U49" s="22">
        <f t="shared" si="33"/>
        <v>0</v>
      </c>
      <c r="V49" s="21">
        <f t="shared" si="38"/>
        <v>0</v>
      </c>
      <c r="W49" s="21">
        <f t="shared" si="39"/>
        <v>0</v>
      </c>
      <c r="X49" s="21">
        <f t="shared" si="40"/>
        <v>0</v>
      </c>
      <c r="Y49" s="21">
        <f t="shared" si="41"/>
        <v>0</v>
      </c>
      <c r="Z49" s="221">
        <f t="shared" si="34"/>
        <v>0</v>
      </c>
      <c r="AA49" s="30">
        <f t="shared" si="22"/>
        <v>0</v>
      </c>
      <c r="AB49" s="30">
        <f t="shared" si="23"/>
        <v>0</v>
      </c>
      <c r="AC49" s="30">
        <f t="shared" si="24"/>
        <v>0</v>
      </c>
      <c r="AD49" s="30">
        <f t="shared" si="25"/>
        <v>0</v>
      </c>
      <c r="AE49" s="32">
        <f t="shared" si="35"/>
        <v>0</v>
      </c>
    </row>
    <row r="50" spans="1:31" x14ac:dyDescent="0.35">
      <c r="A50" s="48">
        <v>1311</v>
      </c>
      <c r="B50" s="58">
        <f>SUMIF([2]!Table2_23[ETA],'IAB Model'!A50,[2]!Table2_23[FIS PAX])</f>
        <v>0</v>
      </c>
      <c r="C50" s="44">
        <f t="shared" si="36"/>
        <v>0</v>
      </c>
      <c r="D50" s="52">
        <f t="shared" si="42"/>
        <v>0</v>
      </c>
      <c r="E50" s="26">
        <f t="shared" si="26"/>
        <v>0</v>
      </c>
      <c r="F50" s="26">
        <f t="shared" si="27"/>
        <v>0</v>
      </c>
      <c r="G50" s="26">
        <f t="shared" si="28"/>
        <v>0</v>
      </c>
      <c r="H50" s="26">
        <f t="shared" si="37"/>
        <v>0</v>
      </c>
      <c r="I50" s="27">
        <v>0</v>
      </c>
      <c r="J50" s="27">
        <v>0</v>
      </c>
      <c r="K50" s="27">
        <v>0</v>
      </c>
      <c r="L50" s="27">
        <v>0</v>
      </c>
      <c r="M50" s="28">
        <f t="shared" si="43"/>
        <v>0</v>
      </c>
      <c r="N50" s="29">
        <f t="shared" si="44"/>
        <v>18</v>
      </c>
      <c r="O50" s="28">
        <f t="shared" si="45"/>
        <v>0</v>
      </c>
      <c r="P50" s="28">
        <f t="shared" si="46"/>
        <v>0</v>
      </c>
      <c r="Q50" s="28">
        <f t="shared" si="29"/>
        <v>18</v>
      </c>
      <c r="R50" s="22">
        <f t="shared" si="30"/>
        <v>0</v>
      </c>
      <c r="S50" s="22">
        <f t="shared" si="31"/>
        <v>0</v>
      </c>
      <c r="T50" s="22">
        <f t="shared" si="32"/>
        <v>0</v>
      </c>
      <c r="U50" s="22">
        <f t="shared" si="33"/>
        <v>0</v>
      </c>
      <c r="V50" s="21">
        <f t="shared" si="38"/>
        <v>0</v>
      </c>
      <c r="W50" s="21">
        <f t="shared" si="39"/>
        <v>0</v>
      </c>
      <c r="X50" s="21">
        <f t="shared" si="40"/>
        <v>0</v>
      </c>
      <c r="Y50" s="21">
        <f t="shared" si="41"/>
        <v>0</v>
      </c>
      <c r="Z50" s="221">
        <f t="shared" si="34"/>
        <v>0</v>
      </c>
      <c r="AA50" s="30">
        <f t="shared" si="22"/>
        <v>0</v>
      </c>
      <c r="AB50" s="30">
        <f t="shared" si="23"/>
        <v>0</v>
      </c>
      <c r="AC50" s="30">
        <f t="shared" si="24"/>
        <v>0</v>
      </c>
      <c r="AD50" s="30">
        <f t="shared" si="25"/>
        <v>0</v>
      </c>
      <c r="AE50" s="32">
        <f t="shared" si="35"/>
        <v>0</v>
      </c>
    </row>
    <row r="51" spans="1:31" x14ac:dyDescent="0.35">
      <c r="A51" s="48">
        <v>1312</v>
      </c>
      <c r="B51" s="58">
        <f>SUMIF([2]!Table2_23[ETA],'IAB Model'!A51,[2]!Table2_23[FIS PAX])</f>
        <v>0</v>
      </c>
      <c r="C51" s="44">
        <f t="shared" si="36"/>
        <v>0</v>
      </c>
      <c r="D51" s="52">
        <f t="shared" si="42"/>
        <v>0</v>
      </c>
      <c r="E51" s="26">
        <f t="shared" si="26"/>
        <v>0</v>
      </c>
      <c r="F51" s="26">
        <f t="shared" si="27"/>
        <v>0</v>
      </c>
      <c r="G51" s="26">
        <f t="shared" si="28"/>
        <v>0</v>
      </c>
      <c r="H51" s="26">
        <f t="shared" si="37"/>
        <v>0</v>
      </c>
      <c r="I51" s="27">
        <v>0</v>
      </c>
      <c r="J51" s="27">
        <v>0</v>
      </c>
      <c r="K51" s="27">
        <v>0</v>
      </c>
      <c r="L51" s="27">
        <v>0</v>
      </c>
      <c r="M51" s="28">
        <f t="shared" si="43"/>
        <v>0</v>
      </c>
      <c r="N51" s="29">
        <f t="shared" si="44"/>
        <v>18</v>
      </c>
      <c r="O51" s="28">
        <f t="shared" si="45"/>
        <v>0</v>
      </c>
      <c r="P51" s="28">
        <f t="shared" si="46"/>
        <v>0</v>
      </c>
      <c r="Q51" s="28">
        <f t="shared" si="29"/>
        <v>18</v>
      </c>
      <c r="R51" s="22">
        <f t="shared" si="30"/>
        <v>0</v>
      </c>
      <c r="S51" s="22">
        <f t="shared" si="31"/>
        <v>0</v>
      </c>
      <c r="T51" s="22">
        <f t="shared" si="32"/>
        <v>0</v>
      </c>
      <c r="U51" s="22">
        <f t="shared" si="33"/>
        <v>0</v>
      </c>
      <c r="V51" s="21">
        <f t="shared" si="38"/>
        <v>0</v>
      </c>
      <c r="W51" s="21">
        <f t="shared" si="39"/>
        <v>0</v>
      </c>
      <c r="X51" s="21">
        <f t="shared" si="40"/>
        <v>0</v>
      </c>
      <c r="Y51" s="21">
        <f t="shared" si="41"/>
        <v>0</v>
      </c>
      <c r="Z51" s="221">
        <f t="shared" si="34"/>
        <v>0</v>
      </c>
      <c r="AA51" s="30">
        <f t="shared" si="22"/>
        <v>0</v>
      </c>
      <c r="AB51" s="30">
        <f t="shared" si="23"/>
        <v>0</v>
      </c>
      <c r="AC51" s="30">
        <f t="shared" si="24"/>
        <v>0</v>
      </c>
      <c r="AD51" s="30">
        <f t="shared" si="25"/>
        <v>0</v>
      </c>
      <c r="AE51" s="32">
        <f t="shared" si="35"/>
        <v>0</v>
      </c>
    </row>
    <row r="52" spans="1:31" x14ac:dyDescent="0.35">
      <c r="A52" s="48">
        <v>1313</v>
      </c>
      <c r="B52" s="58">
        <f>SUMIF([2]!Table2_23[ETA],'IAB Model'!A52,[2]!Table2_23[FIS PAX])</f>
        <v>0</v>
      </c>
      <c r="C52" s="44">
        <f t="shared" si="36"/>
        <v>0</v>
      </c>
      <c r="D52" s="52">
        <f t="shared" si="42"/>
        <v>0</v>
      </c>
      <c r="E52" s="26">
        <f t="shared" si="26"/>
        <v>0</v>
      </c>
      <c r="F52" s="26">
        <f t="shared" si="27"/>
        <v>0</v>
      </c>
      <c r="G52" s="26">
        <f t="shared" si="28"/>
        <v>0</v>
      </c>
      <c r="H52" s="26">
        <f t="shared" si="37"/>
        <v>0</v>
      </c>
      <c r="I52" s="27">
        <v>0</v>
      </c>
      <c r="J52" s="27">
        <v>0</v>
      </c>
      <c r="K52" s="27">
        <v>0</v>
      </c>
      <c r="L52" s="27">
        <v>0</v>
      </c>
      <c r="M52" s="28">
        <f t="shared" si="43"/>
        <v>0</v>
      </c>
      <c r="N52" s="29">
        <f t="shared" si="44"/>
        <v>18</v>
      </c>
      <c r="O52" s="28">
        <f t="shared" si="45"/>
        <v>0</v>
      </c>
      <c r="P52" s="28">
        <f t="shared" si="46"/>
        <v>0</v>
      </c>
      <c r="Q52" s="28">
        <f t="shared" si="29"/>
        <v>18</v>
      </c>
      <c r="R52" s="22">
        <f t="shared" si="30"/>
        <v>0</v>
      </c>
      <c r="S52" s="22">
        <f t="shared" si="31"/>
        <v>0</v>
      </c>
      <c r="T52" s="22">
        <f t="shared" si="32"/>
        <v>0</v>
      </c>
      <c r="U52" s="22">
        <f t="shared" si="33"/>
        <v>0</v>
      </c>
      <c r="V52" s="21">
        <f t="shared" si="38"/>
        <v>0</v>
      </c>
      <c r="W52" s="21">
        <f t="shared" si="39"/>
        <v>0</v>
      </c>
      <c r="X52" s="21">
        <f t="shared" si="40"/>
        <v>0</v>
      </c>
      <c r="Y52" s="21">
        <f t="shared" si="41"/>
        <v>0</v>
      </c>
      <c r="Z52" s="221">
        <f t="shared" si="34"/>
        <v>0</v>
      </c>
      <c r="AA52" s="30">
        <f t="shared" si="22"/>
        <v>0</v>
      </c>
      <c r="AB52" s="30">
        <f t="shared" si="23"/>
        <v>0</v>
      </c>
      <c r="AC52" s="30">
        <f t="shared" si="24"/>
        <v>0</v>
      </c>
      <c r="AD52" s="30">
        <f t="shared" si="25"/>
        <v>0</v>
      </c>
      <c r="AE52" s="32">
        <f t="shared" si="35"/>
        <v>0</v>
      </c>
    </row>
    <row r="53" spans="1:31" x14ac:dyDescent="0.35">
      <c r="A53" s="48">
        <v>1314</v>
      </c>
      <c r="B53" s="58">
        <f>SUMIF([2]!Table2_23[ETA],'IAB Model'!A53,[2]!Table2_23[FIS PAX])</f>
        <v>0</v>
      </c>
      <c r="C53" s="44">
        <f t="shared" si="36"/>
        <v>0</v>
      </c>
      <c r="D53" s="52">
        <f t="shared" si="42"/>
        <v>0</v>
      </c>
      <c r="E53" s="26">
        <f t="shared" si="26"/>
        <v>0</v>
      </c>
      <c r="F53" s="26">
        <f t="shared" si="27"/>
        <v>0</v>
      </c>
      <c r="G53" s="26">
        <f t="shared" si="28"/>
        <v>0</v>
      </c>
      <c r="H53" s="26">
        <f t="shared" si="37"/>
        <v>0</v>
      </c>
      <c r="I53" s="27">
        <v>0</v>
      </c>
      <c r="J53" s="27">
        <v>0</v>
      </c>
      <c r="K53" s="27">
        <v>0</v>
      </c>
      <c r="L53" s="27">
        <v>0</v>
      </c>
      <c r="M53" s="28">
        <f t="shared" si="43"/>
        <v>0</v>
      </c>
      <c r="N53" s="29">
        <f t="shared" si="44"/>
        <v>18</v>
      </c>
      <c r="O53" s="28">
        <f t="shared" si="45"/>
        <v>0</v>
      </c>
      <c r="P53" s="28">
        <f t="shared" si="46"/>
        <v>0</v>
      </c>
      <c r="Q53" s="28">
        <f t="shared" si="29"/>
        <v>18</v>
      </c>
      <c r="R53" s="22">
        <f t="shared" si="30"/>
        <v>0</v>
      </c>
      <c r="S53" s="22">
        <f t="shared" si="31"/>
        <v>0</v>
      </c>
      <c r="T53" s="22">
        <f t="shared" si="32"/>
        <v>0</v>
      </c>
      <c r="U53" s="22">
        <f t="shared" si="33"/>
        <v>0</v>
      </c>
      <c r="V53" s="21">
        <f t="shared" si="38"/>
        <v>0</v>
      </c>
      <c r="W53" s="21">
        <f t="shared" si="39"/>
        <v>0</v>
      </c>
      <c r="X53" s="21">
        <f t="shared" si="40"/>
        <v>0</v>
      </c>
      <c r="Y53" s="21">
        <f t="shared" si="41"/>
        <v>0</v>
      </c>
      <c r="Z53" s="221">
        <f t="shared" si="34"/>
        <v>0</v>
      </c>
      <c r="AA53" s="30">
        <f t="shared" si="22"/>
        <v>0</v>
      </c>
      <c r="AB53" s="30">
        <f t="shared" si="23"/>
        <v>0</v>
      </c>
      <c r="AC53" s="30">
        <f t="shared" si="24"/>
        <v>0</v>
      </c>
      <c r="AD53" s="30">
        <f t="shared" si="25"/>
        <v>0</v>
      </c>
      <c r="AE53" s="32">
        <f t="shared" si="35"/>
        <v>0</v>
      </c>
    </row>
    <row r="54" spans="1:31" x14ac:dyDescent="0.35">
      <c r="A54" s="48">
        <v>1315</v>
      </c>
      <c r="B54" s="58">
        <f>SUMIF([2]!Table2_23[ETA],'IAB Model'!A54,[2]!Table2_23[FIS PAX])</f>
        <v>0</v>
      </c>
      <c r="C54" s="44">
        <f t="shared" si="36"/>
        <v>0</v>
      </c>
      <c r="D54" s="52">
        <f t="shared" si="42"/>
        <v>0</v>
      </c>
      <c r="E54" s="26">
        <f t="shared" si="26"/>
        <v>0</v>
      </c>
      <c r="F54" s="26">
        <f t="shared" si="27"/>
        <v>0</v>
      </c>
      <c r="G54" s="26">
        <f t="shared" si="28"/>
        <v>0</v>
      </c>
      <c r="H54" s="26">
        <f t="shared" si="37"/>
        <v>0</v>
      </c>
      <c r="I54" s="27">
        <f>E39</f>
        <v>0</v>
      </c>
      <c r="J54" s="27">
        <f t="shared" ref="J54:L69" si="47">F39</f>
        <v>0</v>
      </c>
      <c r="K54" s="27">
        <f t="shared" si="47"/>
        <v>0</v>
      </c>
      <c r="L54" s="27">
        <f t="shared" si="47"/>
        <v>0</v>
      </c>
      <c r="M54" s="28">
        <f t="shared" si="43"/>
        <v>0</v>
      </c>
      <c r="N54" s="29">
        <f t="shared" si="44"/>
        <v>18</v>
      </c>
      <c r="O54" s="28">
        <f t="shared" si="45"/>
        <v>0</v>
      </c>
      <c r="P54" s="28">
        <f t="shared" si="46"/>
        <v>0</v>
      </c>
      <c r="Q54" s="28">
        <f t="shared" si="29"/>
        <v>18</v>
      </c>
      <c r="R54" s="22">
        <f t="shared" si="30"/>
        <v>0</v>
      </c>
      <c r="S54" s="22">
        <f t="shared" si="31"/>
        <v>0</v>
      </c>
      <c r="T54" s="22">
        <f t="shared" si="32"/>
        <v>0</v>
      </c>
      <c r="U54" s="22">
        <f t="shared" si="33"/>
        <v>0</v>
      </c>
      <c r="V54" s="21">
        <f t="shared" si="38"/>
        <v>0</v>
      </c>
      <c r="W54" s="21">
        <f t="shared" si="39"/>
        <v>0</v>
      </c>
      <c r="X54" s="21">
        <f t="shared" si="40"/>
        <v>0</v>
      </c>
      <c r="Y54" s="21">
        <f t="shared" si="41"/>
        <v>0</v>
      </c>
      <c r="Z54" s="221">
        <f t="shared" si="34"/>
        <v>0</v>
      </c>
      <c r="AA54" s="30">
        <f t="shared" si="22"/>
        <v>0</v>
      </c>
      <c r="AB54" s="30">
        <f t="shared" si="23"/>
        <v>0</v>
      </c>
      <c r="AC54" s="30">
        <f t="shared" si="24"/>
        <v>0</v>
      </c>
      <c r="AD54" s="30">
        <f t="shared" si="25"/>
        <v>0</v>
      </c>
      <c r="AE54" s="32">
        <f t="shared" si="35"/>
        <v>0</v>
      </c>
    </row>
    <row r="55" spans="1:31" x14ac:dyDescent="0.35">
      <c r="A55" s="48">
        <v>1316</v>
      </c>
      <c r="B55" s="58">
        <f>SUMIF([2]!Table2_23[ETA],'IAB Model'!A55,[2]!Table2_23[FIS PAX])</f>
        <v>0</v>
      </c>
      <c r="C55" s="44">
        <f t="shared" si="36"/>
        <v>0</v>
      </c>
      <c r="D55" s="52">
        <f t="shared" si="42"/>
        <v>0</v>
      </c>
      <c r="E55" s="26">
        <f t="shared" si="26"/>
        <v>0</v>
      </c>
      <c r="F55" s="26">
        <f t="shared" si="27"/>
        <v>0</v>
      </c>
      <c r="G55" s="26">
        <f t="shared" si="28"/>
        <v>0</v>
      </c>
      <c r="H55" s="26">
        <f t="shared" si="37"/>
        <v>0</v>
      </c>
      <c r="I55" s="27">
        <f t="shared" ref="I55:L70" si="48">E40</f>
        <v>0</v>
      </c>
      <c r="J55" s="27">
        <f t="shared" si="47"/>
        <v>0</v>
      </c>
      <c r="K55" s="27">
        <f t="shared" si="47"/>
        <v>0</v>
      </c>
      <c r="L55" s="27">
        <f t="shared" si="47"/>
        <v>0</v>
      </c>
      <c r="M55" s="28">
        <f>IF(R54=0,0,$Q$7)</f>
        <v>0</v>
      </c>
      <c r="N55" s="29">
        <f>$U$7-M55-O55-P55</f>
        <v>18</v>
      </c>
      <c r="O55" s="28">
        <f>IF(T54=0,0,$S$7)</f>
        <v>0</v>
      </c>
      <c r="P55" s="28">
        <f>IF(U54=0,0,$T$7)</f>
        <v>0</v>
      </c>
      <c r="Q55" s="28">
        <f t="shared" si="29"/>
        <v>18</v>
      </c>
      <c r="R55" s="22">
        <f t="shared" si="30"/>
        <v>0</v>
      </c>
      <c r="S55" s="22">
        <f t="shared" si="31"/>
        <v>0</v>
      </c>
      <c r="T55" s="22">
        <f t="shared" si="32"/>
        <v>0</v>
      </c>
      <c r="U55" s="22">
        <f t="shared" si="33"/>
        <v>0</v>
      </c>
      <c r="V55" s="21">
        <f t="shared" si="38"/>
        <v>0</v>
      </c>
      <c r="W55" s="21">
        <f t="shared" si="39"/>
        <v>0</v>
      </c>
      <c r="X55" s="21">
        <f t="shared" si="40"/>
        <v>0</v>
      </c>
      <c r="Y55" s="21">
        <f t="shared" si="41"/>
        <v>0</v>
      </c>
      <c r="Z55" s="221">
        <f t="shared" si="34"/>
        <v>0</v>
      </c>
      <c r="AA55" s="30">
        <f t="shared" si="22"/>
        <v>0</v>
      </c>
      <c r="AB55" s="30">
        <f t="shared" si="23"/>
        <v>0</v>
      </c>
      <c r="AC55" s="30">
        <f t="shared" si="24"/>
        <v>0</v>
      </c>
      <c r="AD55" s="30">
        <f t="shared" si="25"/>
        <v>0</v>
      </c>
      <c r="AE55" s="32">
        <f t="shared" si="35"/>
        <v>0</v>
      </c>
    </row>
    <row r="56" spans="1:31" x14ac:dyDescent="0.35">
      <c r="A56" s="48">
        <v>1317</v>
      </c>
      <c r="B56" s="58">
        <f>SUMIF([2]!Table2_23[ETA],'IAB Model'!A56,[2]!Table2_23[FIS PAX])</f>
        <v>0</v>
      </c>
      <c r="C56" s="44">
        <f t="shared" si="36"/>
        <v>0</v>
      </c>
      <c r="D56" s="52">
        <f t="shared" si="42"/>
        <v>0</v>
      </c>
      <c r="E56" s="26">
        <f t="shared" si="26"/>
        <v>0</v>
      </c>
      <c r="F56" s="26">
        <f t="shared" si="27"/>
        <v>0</v>
      </c>
      <c r="G56" s="26">
        <f t="shared" si="28"/>
        <v>0</v>
      </c>
      <c r="H56" s="26">
        <f t="shared" si="37"/>
        <v>0</v>
      </c>
      <c r="I56" s="27">
        <f t="shared" si="48"/>
        <v>0</v>
      </c>
      <c r="J56" s="27">
        <f t="shared" si="47"/>
        <v>0</v>
      </c>
      <c r="K56" s="27">
        <f t="shared" si="47"/>
        <v>0</v>
      </c>
      <c r="L56" s="27">
        <f t="shared" si="47"/>
        <v>0</v>
      </c>
      <c r="M56" s="28">
        <f>$M$55</f>
        <v>0</v>
      </c>
      <c r="N56" s="29">
        <f>$N$55</f>
        <v>18</v>
      </c>
      <c r="O56" s="28">
        <f>$O$55</f>
        <v>0</v>
      </c>
      <c r="P56" s="28">
        <f>$P$55</f>
        <v>0</v>
      </c>
      <c r="Q56" s="28">
        <f t="shared" si="29"/>
        <v>18</v>
      </c>
      <c r="R56" s="22">
        <f t="shared" si="30"/>
        <v>0</v>
      </c>
      <c r="S56" s="22">
        <f t="shared" si="31"/>
        <v>0</v>
      </c>
      <c r="T56" s="22">
        <f t="shared" si="32"/>
        <v>0</v>
      </c>
      <c r="U56" s="22">
        <f t="shared" si="33"/>
        <v>0</v>
      </c>
      <c r="V56" s="21">
        <f t="shared" si="38"/>
        <v>0</v>
      </c>
      <c r="W56" s="21">
        <f t="shared" si="39"/>
        <v>0</v>
      </c>
      <c r="X56" s="21">
        <f t="shared" si="40"/>
        <v>0</v>
      </c>
      <c r="Y56" s="21">
        <f t="shared" si="41"/>
        <v>0</v>
      </c>
      <c r="Z56" s="221">
        <f t="shared" si="34"/>
        <v>0</v>
      </c>
      <c r="AA56" s="30">
        <f t="shared" si="22"/>
        <v>0</v>
      </c>
      <c r="AB56" s="30">
        <f t="shared" si="23"/>
        <v>0</v>
      </c>
      <c r="AC56" s="30">
        <f t="shared" si="24"/>
        <v>0</v>
      </c>
      <c r="AD56" s="30">
        <f t="shared" si="25"/>
        <v>0</v>
      </c>
      <c r="AE56" s="32">
        <f t="shared" si="35"/>
        <v>0</v>
      </c>
    </row>
    <row r="57" spans="1:31" x14ac:dyDescent="0.35">
      <c r="A57" s="48">
        <v>1318</v>
      </c>
      <c r="B57" s="58">
        <f>SUMIF([2]!Table2_23[ETA],'IAB Model'!A57,[2]!Table2_23[FIS PAX])</f>
        <v>0</v>
      </c>
      <c r="C57" s="44">
        <f t="shared" si="36"/>
        <v>0</v>
      </c>
      <c r="D57" s="52">
        <f t="shared" si="42"/>
        <v>0</v>
      </c>
      <c r="E57" s="26">
        <f t="shared" si="26"/>
        <v>0</v>
      </c>
      <c r="F57" s="26">
        <f t="shared" si="27"/>
        <v>0</v>
      </c>
      <c r="G57" s="26">
        <f t="shared" si="28"/>
        <v>0</v>
      </c>
      <c r="H57" s="26">
        <f t="shared" si="37"/>
        <v>0</v>
      </c>
      <c r="I57" s="27">
        <f t="shared" si="48"/>
        <v>0</v>
      </c>
      <c r="J57" s="27">
        <f t="shared" si="47"/>
        <v>0</v>
      </c>
      <c r="K57" s="27">
        <f t="shared" si="47"/>
        <v>0</v>
      </c>
      <c r="L57" s="27">
        <f t="shared" si="47"/>
        <v>0</v>
      </c>
      <c r="M57" s="28">
        <f t="shared" ref="M57:M69" si="49">$M$55</f>
        <v>0</v>
      </c>
      <c r="N57" s="29">
        <f t="shared" ref="N57:N69" si="50">$N$55</f>
        <v>18</v>
      </c>
      <c r="O57" s="28">
        <f t="shared" ref="O57:O69" si="51">$O$55</f>
        <v>0</v>
      </c>
      <c r="P57" s="28">
        <f t="shared" ref="P57:P69" si="52">$P$55</f>
        <v>0</v>
      </c>
      <c r="Q57" s="28">
        <f t="shared" si="29"/>
        <v>18</v>
      </c>
      <c r="R57" s="22">
        <f t="shared" si="30"/>
        <v>0</v>
      </c>
      <c r="S57" s="22">
        <f t="shared" si="31"/>
        <v>0</v>
      </c>
      <c r="T57" s="22">
        <f t="shared" si="32"/>
        <v>0</v>
      </c>
      <c r="U57" s="22">
        <f t="shared" si="33"/>
        <v>0</v>
      </c>
      <c r="V57" s="21">
        <f t="shared" si="38"/>
        <v>0</v>
      </c>
      <c r="W57" s="21">
        <f t="shared" si="39"/>
        <v>0</v>
      </c>
      <c r="X57" s="21">
        <f t="shared" si="40"/>
        <v>0</v>
      </c>
      <c r="Y57" s="21">
        <f t="shared" si="41"/>
        <v>0</v>
      </c>
      <c r="Z57" s="221">
        <f t="shared" si="34"/>
        <v>0</v>
      </c>
      <c r="AA57" s="30">
        <f t="shared" si="22"/>
        <v>0</v>
      </c>
      <c r="AB57" s="30">
        <f t="shared" si="23"/>
        <v>0</v>
      </c>
      <c r="AC57" s="30">
        <f t="shared" si="24"/>
        <v>0</v>
      </c>
      <c r="AD57" s="30">
        <f t="shared" si="25"/>
        <v>0</v>
      </c>
      <c r="AE57" s="32">
        <f t="shared" si="35"/>
        <v>0</v>
      </c>
    </row>
    <row r="58" spans="1:31" x14ac:dyDescent="0.35">
      <c r="A58" s="48">
        <v>1319</v>
      </c>
      <c r="B58" s="58">
        <f>SUMIF([2]!Table2_23[ETA],'IAB Model'!A58,[2]!Table2_23[FIS PAX])</f>
        <v>0</v>
      </c>
      <c r="C58" s="44">
        <f t="shared" si="36"/>
        <v>0</v>
      </c>
      <c r="D58" s="52">
        <f t="shared" si="42"/>
        <v>0</v>
      </c>
      <c r="E58" s="26">
        <f t="shared" si="26"/>
        <v>0</v>
      </c>
      <c r="F58" s="26">
        <f t="shared" si="27"/>
        <v>0</v>
      </c>
      <c r="G58" s="26">
        <f t="shared" si="28"/>
        <v>0</v>
      </c>
      <c r="H58" s="26">
        <f t="shared" si="37"/>
        <v>0</v>
      </c>
      <c r="I58" s="27">
        <f t="shared" si="48"/>
        <v>0</v>
      </c>
      <c r="J58" s="27">
        <f t="shared" si="47"/>
        <v>0</v>
      </c>
      <c r="K58" s="27">
        <f t="shared" si="47"/>
        <v>0</v>
      </c>
      <c r="L58" s="27">
        <f t="shared" si="47"/>
        <v>0</v>
      </c>
      <c r="M58" s="28">
        <f t="shared" si="49"/>
        <v>0</v>
      </c>
      <c r="N58" s="29">
        <f t="shared" si="50"/>
        <v>18</v>
      </c>
      <c r="O58" s="28">
        <f t="shared" si="51"/>
        <v>0</v>
      </c>
      <c r="P58" s="28">
        <f t="shared" si="52"/>
        <v>0</v>
      </c>
      <c r="Q58" s="28">
        <f t="shared" si="29"/>
        <v>18</v>
      </c>
      <c r="R58" s="22">
        <f t="shared" si="30"/>
        <v>0</v>
      </c>
      <c r="S58" s="22">
        <f t="shared" si="31"/>
        <v>0</v>
      </c>
      <c r="T58" s="22">
        <f t="shared" si="32"/>
        <v>0</v>
      </c>
      <c r="U58" s="22">
        <f t="shared" si="33"/>
        <v>0</v>
      </c>
      <c r="V58" s="21">
        <f t="shared" si="38"/>
        <v>0</v>
      </c>
      <c r="W58" s="21">
        <f t="shared" si="39"/>
        <v>0</v>
      </c>
      <c r="X58" s="21">
        <f t="shared" si="40"/>
        <v>0</v>
      </c>
      <c r="Y58" s="21">
        <f t="shared" si="41"/>
        <v>0</v>
      </c>
      <c r="Z58" s="221">
        <f t="shared" si="34"/>
        <v>0</v>
      </c>
      <c r="AA58" s="30">
        <f t="shared" si="22"/>
        <v>0</v>
      </c>
      <c r="AB58" s="30">
        <f t="shared" si="23"/>
        <v>0</v>
      </c>
      <c r="AC58" s="30">
        <f t="shared" si="24"/>
        <v>0</v>
      </c>
      <c r="AD58" s="30">
        <f t="shared" si="25"/>
        <v>0</v>
      </c>
      <c r="AE58" s="32">
        <f t="shared" si="35"/>
        <v>0</v>
      </c>
    </row>
    <row r="59" spans="1:31" x14ac:dyDescent="0.35">
      <c r="A59" s="48">
        <v>1320</v>
      </c>
      <c r="B59" s="58">
        <f>SUMIF([2]!Table2_23[ETA],'IAB Model'!A59,[2]!Table2_23[FIS PAX])</f>
        <v>0</v>
      </c>
      <c r="C59" s="44">
        <f t="shared" si="36"/>
        <v>0</v>
      </c>
      <c r="D59" s="52">
        <f t="shared" si="42"/>
        <v>0</v>
      </c>
      <c r="E59" s="26">
        <f t="shared" si="26"/>
        <v>0</v>
      </c>
      <c r="F59" s="26">
        <f t="shared" si="27"/>
        <v>0</v>
      </c>
      <c r="G59" s="26">
        <f t="shared" si="28"/>
        <v>0</v>
      </c>
      <c r="H59" s="26">
        <f t="shared" si="37"/>
        <v>0</v>
      </c>
      <c r="I59" s="27">
        <f t="shared" si="48"/>
        <v>0</v>
      </c>
      <c r="J59" s="27">
        <f t="shared" si="47"/>
        <v>0</v>
      </c>
      <c r="K59" s="27">
        <f t="shared" si="47"/>
        <v>0</v>
      </c>
      <c r="L59" s="27">
        <f t="shared" si="47"/>
        <v>0</v>
      </c>
      <c r="M59" s="28">
        <f t="shared" si="49"/>
        <v>0</v>
      </c>
      <c r="N59" s="29">
        <f t="shared" si="50"/>
        <v>18</v>
      </c>
      <c r="O59" s="28">
        <f t="shared" si="51"/>
        <v>0</v>
      </c>
      <c r="P59" s="28">
        <f t="shared" si="52"/>
        <v>0</v>
      </c>
      <c r="Q59" s="28">
        <f t="shared" si="29"/>
        <v>18</v>
      </c>
      <c r="R59" s="22">
        <f t="shared" si="30"/>
        <v>0</v>
      </c>
      <c r="S59" s="22">
        <f t="shared" si="31"/>
        <v>0</v>
      </c>
      <c r="T59" s="22">
        <f t="shared" si="32"/>
        <v>0</v>
      </c>
      <c r="U59" s="22">
        <f t="shared" si="33"/>
        <v>0</v>
      </c>
      <c r="V59" s="21">
        <f t="shared" si="38"/>
        <v>0</v>
      </c>
      <c r="W59" s="21">
        <f t="shared" si="39"/>
        <v>0</v>
      </c>
      <c r="X59" s="21">
        <f t="shared" si="40"/>
        <v>0</v>
      </c>
      <c r="Y59" s="21">
        <f t="shared" si="41"/>
        <v>0</v>
      </c>
      <c r="Z59" s="221">
        <f t="shared" si="34"/>
        <v>0</v>
      </c>
      <c r="AA59" s="30">
        <f t="shared" si="22"/>
        <v>0</v>
      </c>
      <c r="AB59" s="30">
        <f t="shared" si="23"/>
        <v>0</v>
      </c>
      <c r="AC59" s="30">
        <f t="shared" si="24"/>
        <v>0</v>
      </c>
      <c r="AD59" s="30">
        <f t="shared" si="25"/>
        <v>0</v>
      </c>
      <c r="AE59" s="32">
        <f t="shared" si="35"/>
        <v>0</v>
      </c>
    </row>
    <row r="60" spans="1:31" x14ac:dyDescent="0.35">
      <c r="A60" s="48">
        <v>1321</v>
      </c>
      <c r="B60" s="58">
        <f>SUMIF([2]!Table2_23[ETA],'IAB Model'!A60,[2]!Table2_23[FIS PAX])</f>
        <v>0</v>
      </c>
      <c r="C60" s="44">
        <f t="shared" si="36"/>
        <v>0</v>
      </c>
      <c r="D60" s="52">
        <f t="shared" si="42"/>
        <v>0</v>
      </c>
      <c r="E60" s="26">
        <f t="shared" si="26"/>
        <v>0</v>
      </c>
      <c r="F60" s="26">
        <f t="shared" si="27"/>
        <v>0</v>
      </c>
      <c r="G60" s="26">
        <f t="shared" si="28"/>
        <v>0</v>
      </c>
      <c r="H60" s="26">
        <f t="shared" si="37"/>
        <v>0</v>
      </c>
      <c r="I60" s="27">
        <f t="shared" si="48"/>
        <v>0</v>
      </c>
      <c r="J60" s="27">
        <f t="shared" si="47"/>
        <v>0</v>
      </c>
      <c r="K60" s="27">
        <f t="shared" si="47"/>
        <v>0</v>
      </c>
      <c r="L60" s="27">
        <f t="shared" si="47"/>
        <v>0</v>
      </c>
      <c r="M60" s="28">
        <f t="shared" si="49"/>
        <v>0</v>
      </c>
      <c r="N60" s="29">
        <f t="shared" si="50"/>
        <v>18</v>
      </c>
      <c r="O60" s="28">
        <f t="shared" si="51"/>
        <v>0</v>
      </c>
      <c r="P60" s="28">
        <f t="shared" si="52"/>
        <v>0</v>
      </c>
      <c r="Q60" s="28">
        <f t="shared" si="29"/>
        <v>18</v>
      </c>
      <c r="R60" s="22">
        <f t="shared" si="30"/>
        <v>0</v>
      </c>
      <c r="S60" s="22">
        <f t="shared" si="31"/>
        <v>0</v>
      </c>
      <c r="T60" s="22">
        <f t="shared" si="32"/>
        <v>0</v>
      </c>
      <c r="U60" s="22">
        <f t="shared" si="33"/>
        <v>0</v>
      </c>
      <c r="V60" s="21">
        <f t="shared" si="38"/>
        <v>0</v>
      </c>
      <c r="W60" s="21">
        <f t="shared" si="39"/>
        <v>0</v>
      </c>
      <c r="X60" s="21">
        <f t="shared" si="40"/>
        <v>0</v>
      </c>
      <c r="Y60" s="21">
        <f t="shared" si="41"/>
        <v>0</v>
      </c>
      <c r="Z60" s="221">
        <f t="shared" si="34"/>
        <v>0</v>
      </c>
      <c r="AA60" s="30">
        <f t="shared" si="22"/>
        <v>0</v>
      </c>
      <c r="AB60" s="30">
        <f t="shared" si="23"/>
        <v>0</v>
      </c>
      <c r="AC60" s="30">
        <f t="shared" si="24"/>
        <v>0</v>
      </c>
      <c r="AD60" s="30">
        <f t="shared" si="25"/>
        <v>0</v>
      </c>
      <c r="AE60" s="32">
        <f t="shared" si="35"/>
        <v>0</v>
      </c>
    </row>
    <row r="61" spans="1:31" x14ac:dyDescent="0.35">
      <c r="A61" s="48">
        <v>1322</v>
      </c>
      <c r="B61" s="58">
        <f>SUMIF([2]!Table2_23[ETA],'IAB Model'!A61,[2]!Table2_23[FIS PAX])</f>
        <v>0</v>
      </c>
      <c r="C61" s="44">
        <f t="shared" si="36"/>
        <v>0</v>
      </c>
      <c r="D61" s="52">
        <f t="shared" si="42"/>
        <v>0</v>
      </c>
      <c r="E61" s="26">
        <f t="shared" si="26"/>
        <v>0</v>
      </c>
      <c r="F61" s="26">
        <f t="shared" si="27"/>
        <v>0</v>
      </c>
      <c r="G61" s="26">
        <f t="shared" si="28"/>
        <v>0</v>
      </c>
      <c r="H61" s="26">
        <f t="shared" si="37"/>
        <v>0</v>
      </c>
      <c r="I61" s="27">
        <f t="shared" si="48"/>
        <v>0</v>
      </c>
      <c r="J61" s="27">
        <f t="shared" si="47"/>
        <v>0</v>
      </c>
      <c r="K61" s="27">
        <f t="shared" si="47"/>
        <v>0</v>
      </c>
      <c r="L61" s="27">
        <f t="shared" si="47"/>
        <v>0</v>
      </c>
      <c r="M61" s="28">
        <f t="shared" si="49"/>
        <v>0</v>
      </c>
      <c r="N61" s="29">
        <f t="shared" si="50"/>
        <v>18</v>
      </c>
      <c r="O61" s="28">
        <f t="shared" si="51"/>
        <v>0</v>
      </c>
      <c r="P61" s="28">
        <f t="shared" si="52"/>
        <v>0</v>
      </c>
      <c r="Q61" s="28">
        <f t="shared" si="29"/>
        <v>18</v>
      </c>
      <c r="R61" s="22">
        <f t="shared" si="30"/>
        <v>0</v>
      </c>
      <c r="S61" s="22">
        <f t="shared" si="31"/>
        <v>0</v>
      </c>
      <c r="T61" s="22">
        <f t="shared" si="32"/>
        <v>0</v>
      </c>
      <c r="U61" s="22">
        <f t="shared" si="33"/>
        <v>0</v>
      </c>
      <c r="V61" s="21">
        <f t="shared" si="38"/>
        <v>0</v>
      </c>
      <c r="W61" s="21">
        <f t="shared" si="39"/>
        <v>0</v>
      </c>
      <c r="X61" s="21">
        <f t="shared" si="40"/>
        <v>0</v>
      </c>
      <c r="Y61" s="21">
        <f t="shared" si="41"/>
        <v>0</v>
      </c>
      <c r="Z61" s="221">
        <f t="shared" si="34"/>
        <v>0</v>
      </c>
      <c r="AA61" s="30">
        <f t="shared" si="22"/>
        <v>0</v>
      </c>
      <c r="AB61" s="30">
        <f t="shared" si="23"/>
        <v>0</v>
      </c>
      <c r="AC61" s="30">
        <f t="shared" si="24"/>
        <v>0</v>
      </c>
      <c r="AD61" s="30">
        <f t="shared" si="25"/>
        <v>0</v>
      </c>
      <c r="AE61" s="32">
        <f t="shared" si="35"/>
        <v>0</v>
      </c>
    </row>
    <row r="62" spans="1:31" x14ac:dyDescent="0.35">
      <c r="A62" s="48">
        <v>1323</v>
      </c>
      <c r="B62" s="58">
        <f>SUMIF([2]!Table2_23[ETA],'IAB Model'!A62,[2]!Table2_23[FIS PAX])</f>
        <v>0</v>
      </c>
      <c r="C62" s="44">
        <f t="shared" si="36"/>
        <v>0</v>
      </c>
      <c r="D62" s="52">
        <f t="shared" si="42"/>
        <v>0</v>
      </c>
      <c r="E62" s="26">
        <f t="shared" si="26"/>
        <v>0</v>
      </c>
      <c r="F62" s="26">
        <f t="shared" si="27"/>
        <v>0</v>
      </c>
      <c r="G62" s="26">
        <f t="shared" si="28"/>
        <v>0</v>
      </c>
      <c r="H62" s="26">
        <f t="shared" si="37"/>
        <v>0</v>
      </c>
      <c r="I62" s="27">
        <f t="shared" si="48"/>
        <v>0</v>
      </c>
      <c r="J62" s="27">
        <f t="shared" si="47"/>
        <v>0</v>
      </c>
      <c r="K62" s="27">
        <f t="shared" si="47"/>
        <v>0</v>
      </c>
      <c r="L62" s="27">
        <f t="shared" si="47"/>
        <v>0</v>
      </c>
      <c r="M62" s="28">
        <f t="shared" si="49"/>
        <v>0</v>
      </c>
      <c r="N62" s="29">
        <f t="shared" si="50"/>
        <v>18</v>
      </c>
      <c r="O62" s="28">
        <f t="shared" si="51"/>
        <v>0</v>
      </c>
      <c r="P62" s="28">
        <f t="shared" si="52"/>
        <v>0</v>
      </c>
      <c r="Q62" s="28">
        <f t="shared" si="29"/>
        <v>18</v>
      </c>
      <c r="R62" s="22">
        <f t="shared" si="30"/>
        <v>0</v>
      </c>
      <c r="S62" s="22">
        <f t="shared" si="31"/>
        <v>0</v>
      </c>
      <c r="T62" s="22">
        <f t="shared" si="32"/>
        <v>0</v>
      </c>
      <c r="U62" s="22">
        <f t="shared" si="33"/>
        <v>0</v>
      </c>
      <c r="V62" s="21">
        <f t="shared" si="38"/>
        <v>0</v>
      </c>
      <c r="W62" s="21">
        <f t="shared" si="39"/>
        <v>0</v>
      </c>
      <c r="X62" s="21">
        <f t="shared" si="40"/>
        <v>0</v>
      </c>
      <c r="Y62" s="21">
        <f t="shared" si="41"/>
        <v>0</v>
      </c>
      <c r="Z62" s="221">
        <f t="shared" si="34"/>
        <v>0</v>
      </c>
      <c r="AA62" s="30">
        <f t="shared" si="22"/>
        <v>0</v>
      </c>
      <c r="AB62" s="30">
        <f t="shared" si="23"/>
        <v>0</v>
      </c>
      <c r="AC62" s="30">
        <f t="shared" si="24"/>
        <v>0</v>
      </c>
      <c r="AD62" s="30">
        <f t="shared" si="25"/>
        <v>0</v>
      </c>
      <c r="AE62" s="32">
        <f t="shared" si="35"/>
        <v>0</v>
      </c>
    </row>
    <row r="63" spans="1:31" x14ac:dyDescent="0.35">
      <c r="A63" s="48">
        <v>1324</v>
      </c>
      <c r="B63" s="58">
        <f>SUMIF([2]!Table2_23[ETA],'IAB Model'!A63,[2]!Table2_23[FIS PAX])</f>
        <v>0</v>
      </c>
      <c r="C63" s="44">
        <f t="shared" si="36"/>
        <v>0</v>
      </c>
      <c r="D63" s="52">
        <f t="shared" si="42"/>
        <v>0</v>
      </c>
      <c r="E63" s="26">
        <f t="shared" si="26"/>
        <v>0</v>
      </c>
      <c r="F63" s="26">
        <f t="shared" si="27"/>
        <v>0</v>
      </c>
      <c r="G63" s="26">
        <f t="shared" si="28"/>
        <v>0</v>
      </c>
      <c r="H63" s="26">
        <f t="shared" si="37"/>
        <v>0</v>
      </c>
      <c r="I63" s="27">
        <f t="shared" si="48"/>
        <v>0</v>
      </c>
      <c r="J63" s="27">
        <f t="shared" si="47"/>
        <v>0</v>
      </c>
      <c r="K63" s="27">
        <f t="shared" si="47"/>
        <v>0</v>
      </c>
      <c r="L63" s="27">
        <f t="shared" si="47"/>
        <v>0</v>
      </c>
      <c r="M63" s="28">
        <f t="shared" si="49"/>
        <v>0</v>
      </c>
      <c r="N63" s="29">
        <f t="shared" si="50"/>
        <v>18</v>
      </c>
      <c r="O63" s="28">
        <f t="shared" si="51"/>
        <v>0</v>
      </c>
      <c r="P63" s="28">
        <f t="shared" si="52"/>
        <v>0</v>
      </c>
      <c r="Q63" s="28">
        <f t="shared" si="29"/>
        <v>18</v>
      </c>
      <c r="R63" s="22">
        <f t="shared" si="30"/>
        <v>0</v>
      </c>
      <c r="S63" s="22">
        <f t="shared" si="31"/>
        <v>0</v>
      </c>
      <c r="T63" s="22">
        <f t="shared" si="32"/>
        <v>0</v>
      </c>
      <c r="U63" s="22">
        <f t="shared" si="33"/>
        <v>0</v>
      </c>
      <c r="V63" s="21">
        <f t="shared" si="38"/>
        <v>0</v>
      </c>
      <c r="W63" s="21">
        <f t="shared" si="39"/>
        <v>0</v>
      </c>
      <c r="X63" s="21">
        <f t="shared" si="40"/>
        <v>0</v>
      </c>
      <c r="Y63" s="21">
        <f t="shared" si="41"/>
        <v>0</v>
      </c>
      <c r="Z63" s="221">
        <f t="shared" si="34"/>
        <v>0</v>
      </c>
      <c r="AA63" s="30">
        <f t="shared" si="22"/>
        <v>0</v>
      </c>
      <c r="AB63" s="30">
        <f t="shared" si="23"/>
        <v>0</v>
      </c>
      <c r="AC63" s="30">
        <f t="shared" si="24"/>
        <v>0</v>
      </c>
      <c r="AD63" s="30">
        <f t="shared" si="25"/>
        <v>0</v>
      </c>
      <c r="AE63" s="32">
        <f t="shared" si="35"/>
        <v>0</v>
      </c>
    </row>
    <row r="64" spans="1:31" x14ac:dyDescent="0.35">
      <c r="A64" s="48">
        <v>1325</v>
      </c>
      <c r="B64" s="58">
        <f>SUMIF([2]!Table2_23[ETA],'IAB Model'!A64,[2]!Table2_23[FIS PAX])</f>
        <v>0</v>
      </c>
      <c r="C64" s="44">
        <f t="shared" si="36"/>
        <v>0</v>
      </c>
      <c r="D64" s="52">
        <f t="shared" si="42"/>
        <v>0</v>
      </c>
      <c r="E64" s="26">
        <f t="shared" si="26"/>
        <v>0</v>
      </c>
      <c r="F64" s="26">
        <f t="shared" si="27"/>
        <v>0</v>
      </c>
      <c r="G64" s="26">
        <f t="shared" si="28"/>
        <v>0</v>
      </c>
      <c r="H64" s="26">
        <f t="shared" si="37"/>
        <v>0</v>
      </c>
      <c r="I64" s="27">
        <f t="shared" si="48"/>
        <v>0</v>
      </c>
      <c r="J64" s="27">
        <f t="shared" si="47"/>
        <v>0</v>
      </c>
      <c r="K64" s="27">
        <f t="shared" si="47"/>
        <v>0</v>
      </c>
      <c r="L64" s="27">
        <f t="shared" si="47"/>
        <v>0</v>
      </c>
      <c r="M64" s="28">
        <f t="shared" si="49"/>
        <v>0</v>
      </c>
      <c r="N64" s="29">
        <f t="shared" si="50"/>
        <v>18</v>
      </c>
      <c r="O64" s="28">
        <f t="shared" si="51"/>
        <v>0</v>
      </c>
      <c r="P64" s="28">
        <f t="shared" si="52"/>
        <v>0</v>
      </c>
      <c r="Q64" s="28">
        <f t="shared" si="29"/>
        <v>18</v>
      </c>
      <c r="R64" s="22">
        <f t="shared" si="30"/>
        <v>0</v>
      </c>
      <c r="S64" s="22">
        <f t="shared" si="31"/>
        <v>0</v>
      </c>
      <c r="T64" s="22">
        <f t="shared" si="32"/>
        <v>0</v>
      </c>
      <c r="U64" s="22">
        <f t="shared" si="33"/>
        <v>0</v>
      </c>
      <c r="V64" s="21">
        <f t="shared" si="38"/>
        <v>0</v>
      </c>
      <c r="W64" s="21">
        <f t="shared" si="39"/>
        <v>0</v>
      </c>
      <c r="X64" s="21">
        <f t="shared" si="40"/>
        <v>0</v>
      </c>
      <c r="Y64" s="21">
        <f t="shared" si="41"/>
        <v>0</v>
      </c>
      <c r="Z64" s="221">
        <f t="shared" si="34"/>
        <v>0</v>
      </c>
      <c r="AA64" s="30">
        <f t="shared" si="22"/>
        <v>0</v>
      </c>
      <c r="AB64" s="30">
        <f t="shared" si="23"/>
        <v>0</v>
      </c>
      <c r="AC64" s="30">
        <f t="shared" si="24"/>
        <v>0</v>
      </c>
      <c r="AD64" s="30">
        <f t="shared" si="25"/>
        <v>0</v>
      </c>
      <c r="AE64" s="32">
        <f t="shared" si="35"/>
        <v>0</v>
      </c>
    </row>
    <row r="65" spans="1:31" x14ac:dyDescent="0.35">
      <c r="A65" s="48">
        <v>1326</v>
      </c>
      <c r="B65" s="58">
        <f>SUMIF([2]!Table2_23[ETA],'IAB Model'!A65,[2]!Table2_23[FIS PAX])</f>
        <v>0</v>
      </c>
      <c r="C65" s="44">
        <f t="shared" si="36"/>
        <v>0</v>
      </c>
      <c r="D65" s="52">
        <f t="shared" si="42"/>
        <v>0</v>
      </c>
      <c r="E65" s="26">
        <f t="shared" si="26"/>
        <v>0</v>
      </c>
      <c r="F65" s="26">
        <f t="shared" si="27"/>
        <v>0</v>
      </c>
      <c r="G65" s="26">
        <f t="shared" si="28"/>
        <v>0</v>
      </c>
      <c r="H65" s="26">
        <f t="shared" si="37"/>
        <v>0</v>
      </c>
      <c r="I65" s="27">
        <f t="shared" si="48"/>
        <v>0</v>
      </c>
      <c r="J65" s="27">
        <f t="shared" si="47"/>
        <v>0</v>
      </c>
      <c r="K65" s="27">
        <f t="shared" si="47"/>
        <v>0</v>
      </c>
      <c r="L65" s="27">
        <f t="shared" si="47"/>
        <v>0</v>
      </c>
      <c r="M65" s="28">
        <f t="shared" si="49"/>
        <v>0</v>
      </c>
      <c r="N65" s="29">
        <f t="shared" si="50"/>
        <v>18</v>
      </c>
      <c r="O65" s="28">
        <f t="shared" si="51"/>
        <v>0</v>
      </c>
      <c r="P65" s="28">
        <f t="shared" si="52"/>
        <v>0</v>
      </c>
      <c r="Q65" s="28">
        <f t="shared" si="29"/>
        <v>18</v>
      </c>
      <c r="R65" s="22">
        <f t="shared" si="30"/>
        <v>0</v>
      </c>
      <c r="S65" s="22">
        <f t="shared" si="31"/>
        <v>0</v>
      </c>
      <c r="T65" s="22">
        <f t="shared" si="32"/>
        <v>0</v>
      </c>
      <c r="U65" s="22">
        <f t="shared" si="33"/>
        <v>0</v>
      </c>
      <c r="V65" s="21">
        <f t="shared" si="38"/>
        <v>0</v>
      </c>
      <c r="W65" s="21">
        <f t="shared" si="39"/>
        <v>0</v>
      </c>
      <c r="X65" s="21">
        <f t="shared" si="40"/>
        <v>0</v>
      </c>
      <c r="Y65" s="21">
        <f t="shared" si="41"/>
        <v>0</v>
      </c>
      <c r="Z65" s="221">
        <f t="shared" si="34"/>
        <v>0</v>
      </c>
      <c r="AA65" s="30">
        <f t="shared" si="22"/>
        <v>0</v>
      </c>
      <c r="AB65" s="30">
        <f t="shared" si="23"/>
        <v>0</v>
      </c>
      <c r="AC65" s="30">
        <f t="shared" si="24"/>
        <v>0</v>
      </c>
      <c r="AD65" s="30">
        <f t="shared" si="25"/>
        <v>0</v>
      </c>
      <c r="AE65" s="32">
        <f t="shared" si="35"/>
        <v>0</v>
      </c>
    </row>
    <row r="66" spans="1:31" x14ac:dyDescent="0.35">
      <c r="A66" s="48">
        <v>1327</v>
      </c>
      <c r="B66" s="58">
        <f>SUMIF([2]!Table2_23[ETA],'IAB Model'!A66,[2]!Table2_23[FIS PAX])</f>
        <v>0</v>
      </c>
      <c r="C66" s="44">
        <f t="shared" si="36"/>
        <v>0</v>
      </c>
      <c r="D66" s="52">
        <f t="shared" si="42"/>
        <v>0</v>
      </c>
      <c r="E66" s="26">
        <f t="shared" si="26"/>
        <v>0</v>
      </c>
      <c r="F66" s="26">
        <f t="shared" si="27"/>
        <v>0</v>
      </c>
      <c r="G66" s="26">
        <f t="shared" si="28"/>
        <v>0</v>
      </c>
      <c r="H66" s="26">
        <f t="shared" si="37"/>
        <v>0</v>
      </c>
      <c r="I66" s="27">
        <f t="shared" si="48"/>
        <v>0</v>
      </c>
      <c r="J66" s="27">
        <f t="shared" si="47"/>
        <v>0</v>
      </c>
      <c r="K66" s="27">
        <f t="shared" si="47"/>
        <v>0</v>
      </c>
      <c r="L66" s="27">
        <f t="shared" si="47"/>
        <v>0</v>
      </c>
      <c r="M66" s="28">
        <f t="shared" si="49"/>
        <v>0</v>
      </c>
      <c r="N66" s="29">
        <f t="shared" si="50"/>
        <v>18</v>
      </c>
      <c r="O66" s="28">
        <f t="shared" si="51"/>
        <v>0</v>
      </c>
      <c r="P66" s="28">
        <f t="shared" si="52"/>
        <v>0</v>
      </c>
      <c r="Q66" s="28">
        <f t="shared" si="29"/>
        <v>18</v>
      </c>
      <c r="R66" s="22">
        <f t="shared" si="30"/>
        <v>0</v>
      </c>
      <c r="S66" s="22">
        <f t="shared" si="31"/>
        <v>0</v>
      </c>
      <c r="T66" s="22">
        <f t="shared" si="32"/>
        <v>0</v>
      </c>
      <c r="U66" s="22">
        <f t="shared" si="33"/>
        <v>0</v>
      </c>
      <c r="V66" s="21">
        <f t="shared" si="38"/>
        <v>0</v>
      </c>
      <c r="W66" s="21">
        <f t="shared" si="39"/>
        <v>0</v>
      </c>
      <c r="X66" s="21">
        <f t="shared" si="40"/>
        <v>0</v>
      </c>
      <c r="Y66" s="21">
        <f t="shared" si="41"/>
        <v>0</v>
      </c>
      <c r="Z66" s="221">
        <f t="shared" si="34"/>
        <v>0</v>
      </c>
      <c r="AA66" s="30">
        <f t="shared" si="22"/>
        <v>0</v>
      </c>
      <c r="AB66" s="30">
        <f t="shared" si="23"/>
        <v>0</v>
      </c>
      <c r="AC66" s="30">
        <f t="shared" si="24"/>
        <v>0</v>
      </c>
      <c r="AD66" s="30">
        <f t="shared" si="25"/>
        <v>0</v>
      </c>
      <c r="AE66" s="32">
        <f t="shared" si="35"/>
        <v>0</v>
      </c>
    </row>
    <row r="67" spans="1:31" x14ac:dyDescent="0.35">
      <c r="A67" s="48">
        <v>1328</v>
      </c>
      <c r="B67" s="58">
        <f>SUMIF([2]!Table2_23[ETA],'IAB Model'!A67,[2]!Table2_23[FIS PAX])</f>
        <v>0</v>
      </c>
      <c r="C67" s="44">
        <f t="shared" si="36"/>
        <v>0</v>
      </c>
      <c r="D67" s="52">
        <f t="shared" si="42"/>
        <v>0</v>
      </c>
      <c r="E67" s="26">
        <f t="shared" si="26"/>
        <v>0</v>
      </c>
      <c r="F67" s="26">
        <f t="shared" si="27"/>
        <v>0</v>
      </c>
      <c r="G67" s="26">
        <f t="shared" si="28"/>
        <v>0</v>
      </c>
      <c r="H67" s="26">
        <f t="shared" si="37"/>
        <v>0</v>
      </c>
      <c r="I67" s="27">
        <f t="shared" si="48"/>
        <v>0</v>
      </c>
      <c r="J67" s="27">
        <f t="shared" si="47"/>
        <v>0</v>
      </c>
      <c r="K67" s="27">
        <f t="shared" si="47"/>
        <v>0</v>
      </c>
      <c r="L67" s="27">
        <f t="shared" si="47"/>
        <v>0</v>
      </c>
      <c r="M67" s="28">
        <f t="shared" si="49"/>
        <v>0</v>
      </c>
      <c r="N67" s="29">
        <f t="shared" si="50"/>
        <v>18</v>
      </c>
      <c r="O67" s="28">
        <f t="shared" si="51"/>
        <v>0</v>
      </c>
      <c r="P67" s="28">
        <f t="shared" si="52"/>
        <v>0</v>
      </c>
      <c r="Q67" s="28">
        <f t="shared" si="29"/>
        <v>18</v>
      </c>
      <c r="R67" s="22">
        <f t="shared" si="30"/>
        <v>0</v>
      </c>
      <c r="S67" s="22">
        <f t="shared" si="31"/>
        <v>0</v>
      </c>
      <c r="T67" s="22">
        <f t="shared" si="32"/>
        <v>0</v>
      </c>
      <c r="U67" s="22">
        <f t="shared" si="33"/>
        <v>0</v>
      </c>
      <c r="V67" s="21">
        <f t="shared" si="38"/>
        <v>0</v>
      </c>
      <c r="W67" s="21">
        <f t="shared" si="39"/>
        <v>0</v>
      </c>
      <c r="X67" s="21">
        <f t="shared" si="40"/>
        <v>0</v>
      </c>
      <c r="Y67" s="21">
        <f t="shared" si="41"/>
        <v>0</v>
      </c>
      <c r="Z67" s="221">
        <f t="shared" si="34"/>
        <v>0</v>
      </c>
      <c r="AA67" s="30">
        <f t="shared" si="22"/>
        <v>0</v>
      </c>
      <c r="AB67" s="30">
        <f t="shared" si="23"/>
        <v>0</v>
      </c>
      <c r="AC67" s="30">
        <f t="shared" si="24"/>
        <v>0</v>
      </c>
      <c r="AD67" s="30">
        <f t="shared" si="25"/>
        <v>0</v>
      </c>
      <c r="AE67" s="32">
        <f t="shared" si="35"/>
        <v>0</v>
      </c>
    </row>
    <row r="68" spans="1:31" x14ac:dyDescent="0.35">
      <c r="A68" s="48">
        <v>1329</v>
      </c>
      <c r="B68" s="58">
        <f>SUMIF([2]!Table2_23[ETA],'IAB Model'!A68,[2]!Table2_23[FIS PAX])</f>
        <v>0</v>
      </c>
      <c r="C68" s="44">
        <f t="shared" si="36"/>
        <v>0</v>
      </c>
      <c r="D68" s="52">
        <f t="shared" si="42"/>
        <v>0</v>
      </c>
      <c r="E68" s="26">
        <f t="shared" si="26"/>
        <v>0</v>
      </c>
      <c r="F68" s="26">
        <f t="shared" si="27"/>
        <v>0</v>
      </c>
      <c r="G68" s="26">
        <f t="shared" si="28"/>
        <v>0</v>
      </c>
      <c r="H68" s="26">
        <f t="shared" si="37"/>
        <v>0</v>
      </c>
      <c r="I68" s="27">
        <f t="shared" si="48"/>
        <v>0</v>
      </c>
      <c r="J68" s="27">
        <f t="shared" si="47"/>
        <v>0</v>
      </c>
      <c r="K68" s="27">
        <f t="shared" si="47"/>
        <v>0</v>
      </c>
      <c r="L68" s="27">
        <f t="shared" si="47"/>
        <v>0</v>
      </c>
      <c r="M68" s="28">
        <f t="shared" si="49"/>
        <v>0</v>
      </c>
      <c r="N68" s="29">
        <f t="shared" si="50"/>
        <v>18</v>
      </c>
      <c r="O68" s="28">
        <f t="shared" si="51"/>
        <v>0</v>
      </c>
      <c r="P68" s="28">
        <f t="shared" si="52"/>
        <v>0</v>
      </c>
      <c r="Q68" s="28">
        <f t="shared" si="29"/>
        <v>18</v>
      </c>
      <c r="R68" s="22">
        <f t="shared" si="30"/>
        <v>0</v>
      </c>
      <c r="S68" s="22">
        <f t="shared" si="31"/>
        <v>0</v>
      </c>
      <c r="T68" s="22">
        <f t="shared" si="32"/>
        <v>0</v>
      </c>
      <c r="U68" s="22">
        <f t="shared" si="33"/>
        <v>0</v>
      </c>
      <c r="V68" s="21">
        <f t="shared" si="38"/>
        <v>0</v>
      </c>
      <c r="W68" s="21">
        <f t="shared" si="39"/>
        <v>0</v>
      </c>
      <c r="X68" s="21">
        <f t="shared" si="40"/>
        <v>0</v>
      </c>
      <c r="Y68" s="21">
        <f t="shared" si="41"/>
        <v>0</v>
      </c>
      <c r="Z68" s="221">
        <f t="shared" si="34"/>
        <v>0</v>
      </c>
      <c r="AA68" s="30">
        <f t="shared" si="22"/>
        <v>0</v>
      </c>
      <c r="AB68" s="30">
        <f t="shared" si="23"/>
        <v>0</v>
      </c>
      <c r="AC68" s="30">
        <f t="shared" si="24"/>
        <v>0</v>
      </c>
      <c r="AD68" s="30">
        <f t="shared" si="25"/>
        <v>0</v>
      </c>
      <c r="AE68" s="32">
        <f t="shared" si="35"/>
        <v>0</v>
      </c>
    </row>
    <row r="69" spans="1:31" x14ac:dyDescent="0.35">
      <c r="A69" s="48">
        <v>1330</v>
      </c>
      <c r="B69" s="58">
        <f>SUMIF([2]!Table2_23[ETA],'IAB Model'!A69,[2]!Table2_23[FIS PAX])</f>
        <v>0</v>
      </c>
      <c r="C69" s="44">
        <f t="shared" si="36"/>
        <v>0</v>
      </c>
      <c r="D69" s="52">
        <f t="shared" si="42"/>
        <v>0</v>
      </c>
      <c r="E69" s="26">
        <f t="shared" si="26"/>
        <v>0</v>
      </c>
      <c r="F69" s="26">
        <f t="shared" si="27"/>
        <v>0</v>
      </c>
      <c r="G69" s="26">
        <f t="shared" si="28"/>
        <v>0</v>
      </c>
      <c r="H69" s="26">
        <f t="shared" si="37"/>
        <v>0</v>
      </c>
      <c r="I69" s="27">
        <f t="shared" si="48"/>
        <v>0</v>
      </c>
      <c r="J69" s="27">
        <f t="shared" si="47"/>
        <v>0</v>
      </c>
      <c r="K69" s="27">
        <f t="shared" si="47"/>
        <v>0</v>
      </c>
      <c r="L69" s="27">
        <f t="shared" si="47"/>
        <v>0</v>
      </c>
      <c r="M69" s="28">
        <f t="shared" si="49"/>
        <v>0</v>
      </c>
      <c r="N69" s="29">
        <f t="shared" si="50"/>
        <v>18</v>
      </c>
      <c r="O69" s="28">
        <f t="shared" si="51"/>
        <v>0</v>
      </c>
      <c r="P69" s="28">
        <f t="shared" si="52"/>
        <v>0</v>
      </c>
      <c r="Q69" s="28">
        <f t="shared" si="29"/>
        <v>18</v>
      </c>
      <c r="R69" s="22">
        <f t="shared" si="30"/>
        <v>0</v>
      </c>
      <c r="S69" s="22">
        <f t="shared" si="31"/>
        <v>0</v>
      </c>
      <c r="T69" s="22">
        <f t="shared" si="32"/>
        <v>0</v>
      </c>
      <c r="U69" s="22">
        <f t="shared" si="33"/>
        <v>0</v>
      </c>
      <c r="V69" s="21">
        <f t="shared" si="38"/>
        <v>0</v>
      </c>
      <c r="W69" s="21">
        <f t="shared" si="39"/>
        <v>0</v>
      </c>
      <c r="X69" s="21">
        <f t="shared" si="40"/>
        <v>0</v>
      </c>
      <c r="Y69" s="21">
        <f t="shared" si="41"/>
        <v>0</v>
      </c>
      <c r="Z69" s="221">
        <f t="shared" si="34"/>
        <v>0</v>
      </c>
      <c r="AA69" s="30">
        <f t="shared" si="22"/>
        <v>0</v>
      </c>
      <c r="AB69" s="30">
        <f t="shared" si="23"/>
        <v>0</v>
      </c>
      <c r="AC69" s="30">
        <f t="shared" si="24"/>
        <v>0</v>
      </c>
      <c r="AD69" s="30">
        <f t="shared" si="25"/>
        <v>0</v>
      </c>
      <c r="AE69" s="32">
        <f t="shared" si="35"/>
        <v>0</v>
      </c>
    </row>
    <row r="70" spans="1:31" x14ac:dyDescent="0.35">
      <c r="A70" s="48">
        <v>1331</v>
      </c>
      <c r="B70" s="58">
        <f>SUMIF([2]!Table2_23[ETA],'IAB Model'!A70,[2]!Table2_23[FIS PAX])</f>
        <v>0</v>
      </c>
      <c r="C70" s="44">
        <f t="shared" si="36"/>
        <v>0</v>
      </c>
      <c r="D70" s="52">
        <f t="shared" si="42"/>
        <v>0</v>
      </c>
      <c r="E70" s="26">
        <f t="shared" si="26"/>
        <v>0</v>
      </c>
      <c r="F70" s="26">
        <f t="shared" si="27"/>
        <v>0</v>
      </c>
      <c r="G70" s="26">
        <f t="shared" si="28"/>
        <v>0</v>
      </c>
      <c r="H70" s="26">
        <f t="shared" si="37"/>
        <v>0</v>
      </c>
      <c r="I70" s="27">
        <f t="shared" si="48"/>
        <v>0</v>
      </c>
      <c r="J70" s="27">
        <f t="shared" si="48"/>
        <v>0</v>
      </c>
      <c r="K70" s="27">
        <f t="shared" si="48"/>
        <v>0</v>
      </c>
      <c r="L70" s="27">
        <f t="shared" si="48"/>
        <v>0</v>
      </c>
      <c r="M70" s="28">
        <f>IF(R69=0,0,$Q$8)</f>
        <v>0</v>
      </c>
      <c r="N70" s="29">
        <f>$U$8-M70-O70-P70</f>
        <v>18</v>
      </c>
      <c r="O70" s="28">
        <f>IF(T69=0,0,$S$8)</f>
        <v>0</v>
      </c>
      <c r="P70" s="28">
        <f>IF(U69=0,0,$T$8)</f>
        <v>0</v>
      </c>
      <c r="Q70" s="28">
        <f t="shared" si="29"/>
        <v>18</v>
      </c>
      <c r="R70" s="22">
        <f t="shared" si="30"/>
        <v>0</v>
      </c>
      <c r="S70" s="22">
        <f t="shared" si="31"/>
        <v>0</v>
      </c>
      <c r="T70" s="22">
        <f t="shared" si="32"/>
        <v>0</v>
      </c>
      <c r="U70" s="22">
        <f t="shared" si="33"/>
        <v>0</v>
      </c>
      <c r="V70" s="21">
        <f t="shared" si="38"/>
        <v>0</v>
      </c>
      <c r="W70" s="21">
        <f t="shared" si="39"/>
        <v>0</v>
      </c>
      <c r="X70" s="21">
        <f t="shared" si="40"/>
        <v>0</v>
      </c>
      <c r="Y70" s="21">
        <f t="shared" si="41"/>
        <v>0</v>
      </c>
      <c r="Z70" s="221">
        <f t="shared" si="34"/>
        <v>0</v>
      </c>
      <c r="AA70" s="30">
        <f t="shared" si="22"/>
        <v>0</v>
      </c>
      <c r="AB70" s="30">
        <f t="shared" si="23"/>
        <v>0</v>
      </c>
      <c r="AC70" s="30">
        <f t="shared" si="24"/>
        <v>0</v>
      </c>
      <c r="AD70" s="30">
        <f t="shared" si="25"/>
        <v>0</v>
      </c>
      <c r="AE70" s="32">
        <f t="shared" si="35"/>
        <v>0</v>
      </c>
    </row>
    <row r="71" spans="1:31" x14ac:dyDescent="0.35">
      <c r="A71" s="48">
        <v>1332</v>
      </c>
      <c r="B71" s="58">
        <f>SUMIF([2]!Table2_23[ETA],'IAB Model'!A71,[2]!Table2_23[FIS PAX])</f>
        <v>0</v>
      </c>
      <c r="C71" s="44">
        <f t="shared" si="36"/>
        <v>0</v>
      </c>
      <c r="D71" s="52">
        <f t="shared" si="42"/>
        <v>0</v>
      </c>
      <c r="E71" s="26">
        <f t="shared" si="26"/>
        <v>0</v>
      </c>
      <c r="F71" s="26">
        <f t="shared" si="27"/>
        <v>0</v>
      </c>
      <c r="G71" s="26">
        <f t="shared" si="28"/>
        <v>0</v>
      </c>
      <c r="H71" s="26">
        <f t="shared" si="37"/>
        <v>0</v>
      </c>
      <c r="I71" s="27">
        <f t="shared" ref="I71:L86" si="53">E56</f>
        <v>0</v>
      </c>
      <c r="J71" s="27">
        <f t="shared" si="53"/>
        <v>0</v>
      </c>
      <c r="K71" s="27">
        <f t="shared" si="53"/>
        <v>0</v>
      </c>
      <c r="L71" s="27">
        <f t="shared" si="53"/>
        <v>0</v>
      </c>
      <c r="M71" s="28">
        <f>M70</f>
        <v>0</v>
      </c>
      <c r="N71" s="29">
        <f>N70</f>
        <v>18</v>
      </c>
      <c r="O71" s="28">
        <f>O70</f>
        <v>0</v>
      </c>
      <c r="P71" s="28">
        <f>P70</f>
        <v>0</v>
      </c>
      <c r="Q71" s="28">
        <f t="shared" si="29"/>
        <v>18</v>
      </c>
      <c r="R71" s="22">
        <f t="shared" si="30"/>
        <v>0</v>
      </c>
      <c r="S71" s="22">
        <f t="shared" si="31"/>
        <v>0</v>
      </c>
      <c r="T71" s="22">
        <f t="shared" si="32"/>
        <v>0</v>
      </c>
      <c r="U71" s="22">
        <f t="shared" si="33"/>
        <v>0</v>
      </c>
      <c r="V71" s="21">
        <f t="shared" si="38"/>
        <v>0</v>
      </c>
      <c r="W71" s="21">
        <f t="shared" si="39"/>
        <v>0</v>
      </c>
      <c r="X71" s="21">
        <f t="shared" si="40"/>
        <v>0</v>
      </c>
      <c r="Y71" s="21">
        <f t="shared" si="41"/>
        <v>0</v>
      </c>
      <c r="Z71" s="221">
        <f t="shared" si="34"/>
        <v>0</v>
      </c>
      <c r="AA71" s="30">
        <f t="shared" si="22"/>
        <v>0</v>
      </c>
      <c r="AB71" s="30">
        <f t="shared" si="23"/>
        <v>0</v>
      </c>
      <c r="AC71" s="30">
        <f t="shared" si="24"/>
        <v>0</v>
      </c>
      <c r="AD71" s="30">
        <f t="shared" si="25"/>
        <v>0</v>
      </c>
      <c r="AE71" s="32">
        <f t="shared" si="35"/>
        <v>0</v>
      </c>
    </row>
    <row r="72" spans="1:31" x14ac:dyDescent="0.35">
      <c r="A72" s="48">
        <v>1333</v>
      </c>
      <c r="B72" s="58">
        <f>SUMIF([2]!Table2_23[ETA],'IAB Model'!A72,[2]!Table2_23[FIS PAX])</f>
        <v>0</v>
      </c>
      <c r="C72" s="44">
        <f t="shared" si="36"/>
        <v>0</v>
      </c>
      <c r="D72" s="52">
        <f t="shared" si="42"/>
        <v>0</v>
      </c>
      <c r="E72" s="26">
        <f t="shared" si="26"/>
        <v>0</v>
      </c>
      <c r="F72" s="26">
        <f t="shared" si="27"/>
        <v>0</v>
      </c>
      <c r="G72" s="26">
        <f t="shared" si="28"/>
        <v>0</v>
      </c>
      <c r="H72" s="26">
        <f t="shared" si="37"/>
        <v>0</v>
      </c>
      <c r="I72" s="27">
        <f t="shared" si="53"/>
        <v>0</v>
      </c>
      <c r="J72" s="27">
        <f t="shared" si="53"/>
        <v>0</v>
      </c>
      <c r="K72" s="27">
        <f t="shared" si="53"/>
        <v>0</v>
      </c>
      <c r="L72" s="27">
        <f t="shared" si="53"/>
        <v>0</v>
      </c>
      <c r="M72" s="28">
        <f t="shared" ref="M72:P84" si="54">M71</f>
        <v>0</v>
      </c>
      <c r="N72" s="29">
        <f t="shared" si="54"/>
        <v>18</v>
      </c>
      <c r="O72" s="28">
        <f t="shared" si="54"/>
        <v>0</v>
      </c>
      <c r="P72" s="28">
        <f t="shared" si="54"/>
        <v>0</v>
      </c>
      <c r="Q72" s="28">
        <f t="shared" si="29"/>
        <v>18</v>
      </c>
      <c r="R72" s="22">
        <f t="shared" si="30"/>
        <v>0</v>
      </c>
      <c r="S72" s="22">
        <f t="shared" si="31"/>
        <v>0</v>
      </c>
      <c r="T72" s="22">
        <f t="shared" si="32"/>
        <v>0</v>
      </c>
      <c r="U72" s="22">
        <f t="shared" si="33"/>
        <v>0</v>
      </c>
      <c r="V72" s="21">
        <f t="shared" si="38"/>
        <v>0</v>
      </c>
      <c r="W72" s="21">
        <f t="shared" si="39"/>
        <v>0</v>
      </c>
      <c r="X72" s="21">
        <f t="shared" si="40"/>
        <v>0</v>
      </c>
      <c r="Y72" s="21">
        <f t="shared" si="41"/>
        <v>0</v>
      </c>
      <c r="Z72" s="221">
        <f t="shared" si="34"/>
        <v>0</v>
      </c>
      <c r="AA72" s="30">
        <f t="shared" si="22"/>
        <v>0</v>
      </c>
      <c r="AB72" s="30">
        <f t="shared" si="23"/>
        <v>0</v>
      </c>
      <c r="AC72" s="30">
        <f t="shared" si="24"/>
        <v>0</v>
      </c>
      <c r="AD72" s="30">
        <f t="shared" si="25"/>
        <v>0</v>
      </c>
      <c r="AE72" s="32">
        <f t="shared" si="35"/>
        <v>0</v>
      </c>
    </row>
    <row r="73" spans="1:31" x14ac:dyDescent="0.35">
      <c r="A73" s="48">
        <v>1334</v>
      </c>
      <c r="B73" s="58">
        <f>SUMIF([2]!Table2_23[ETA],'IAB Model'!A73,[2]!Table2_23[FIS PAX])</f>
        <v>152</v>
      </c>
      <c r="C73" s="44">
        <f>IF((D72-D73)&gt;-1,(D72-D73),18)</f>
        <v>0</v>
      </c>
      <c r="D73" s="52">
        <f t="shared" si="42"/>
        <v>0</v>
      </c>
      <c r="E73" s="26">
        <f t="shared" si="26"/>
        <v>0</v>
      </c>
      <c r="F73" s="26">
        <f t="shared" si="27"/>
        <v>0</v>
      </c>
      <c r="G73" s="26">
        <f t="shared" si="28"/>
        <v>0</v>
      </c>
      <c r="H73" s="26">
        <f t="shared" si="37"/>
        <v>0</v>
      </c>
      <c r="I73" s="27">
        <f t="shared" si="53"/>
        <v>0</v>
      </c>
      <c r="J73" s="27">
        <f t="shared" si="53"/>
        <v>0</v>
      </c>
      <c r="K73" s="27">
        <f t="shared" si="53"/>
        <v>0</v>
      </c>
      <c r="L73" s="27">
        <f t="shared" si="53"/>
        <v>0</v>
      </c>
      <c r="M73" s="28">
        <f t="shared" si="54"/>
        <v>0</v>
      </c>
      <c r="N73" s="29">
        <f t="shared" si="54"/>
        <v>18</v>
      </c>
      <c r="O73" s="28">
        <f t="shared" si="54"/>
        <v>0</v>
      </c>
      <c r="P73" s="28">
        <f t="shared" si="54"/>
        <v>0</v>
      </c>
      <c r="Q73" s="28">
        <f t="shared" si="29"/>
        <v>18</v>
      </c>
      <c r="R73" s="22">
        <f t="shared" si="30"/>
        <v>0</v>
      </c>
      <c r="S73" s="22">
        <f t="shared" si="31"/>
        <v>0</v>
      </c>
      <c r="T73" s="22">
        <f t="shared" si="32"/>
        <v>0</v>
      </c>
      <c r="U73" s="22">
        <f t="shared" si="33"/>
        <v>0</v>
      </c>
      <c r="V73" s="21">
        <f t="shared" si="38"/>
        <v>0</v>
      </c>
      <c r="W73" s="21">
        <f t="shared" si="39"/>
        <v>0</v>
      </c>
      <c r="X73" s="21">
        <f t="shared" si="40"/>
        <v>0</v>
      </c>
      <c r="Y73" s="21">
        <f t="shared" si="41"/>
        <v>0</v>
      </c>
      <c r="Z73" s="221">
        <f t="shared" si="34"/>
        <v>0</v>
      </c>
      <c r="AA73" s="30">
        <f t="shared" si="22"/>
        <v>0</v>
      </c>
      <c r="AB73" s="30">
        <f t="shared" si="23"/>
        <v>0</v>
      </c>
      <c r="AC73" s="30">
        <f t="shared" si="24"/>
        <v>0</v>
      </c>
      <c r="AD73" s="30">
        <f t="shared" si="25"/>
        <v>0</v>
      </c>
      <c r="AE73" s="32">
        <f t="shared" si="35"/>
        <v>0</v>
      </c>
    </row>
    <row r="74" spans="1:31" x14ac:dyDescent="0.35">
      <c r="A74" s="48">
        <v>1335</v>
      </c>
      <c r="B74" s="58">
        <f>SUMIF([2]!Table2_23[ETA],'IAB Model'!A74,[2]!Table2_23[FIS PAX])</f>
        <v>0</v>
      </c>
      <c r="C74" s="44">
        <f t="shared" si="36"/>
        <v>18</v>
      </c>
      <c r="D74" s="52">
        <f t="shared" si="42"/>
        <v>134</v>
      </c>
      <c r="E74" s="26">
        <f t="shared" si="26"/>
        <v>8.2691999999999997</v>
      </c>
      <c r="F74" s="26">
        <f t="shared" si="27"/>
        <v>5.3369999999999997</v>
      </c>
      <c r="G74" s="26">
        <f t="shared" si="28"/>
        <v>3.1175999999999999</v>
      </c>
      <c r="H74" s="26">
        <f t="shared" si="37"/>
        <v>1.2762</v>
      </c>
      <c r="I74" s="27">
        <f t="shared" si="53"/>
        <v>0</v>
      </c>
      <c r="J74" s="27">
        <f t="shared" si="53"/>
        <v>0</v>
      </c>
      <c r="K74" s="27">
        <f t="shared" si="53"/>
        <v>0</v>
      </c>
      <c r="L74" s="27">
        <f t="shared" si="53"/>
        <v>0</v>
      </c>
      <c r="M74" s="28">
        <f t="shared" si="54"/>
        <v>0</v>
      </c>
      <c r="N74" s="29">
        <f t="shared" si="54"/>
        <v>18</v>
      </c>
      <c r="O74" s="28">
        <f t="shared" si="54"/>
        <v>0</v>
      </c>
      <c r="P74" s="28">
        <f t="shared" si="54"/>
        <v>0</v>
      </c>
      <c r="Q74" s="28">
        <f t="shared" si="29"/>
        <v>18</v>
      </c>
      <c r="R74" s="22">
        <f t="shared" si="30"/>
        <v>0</v>
      </c>
      <c r="S74" s="22">
        <f t="shared" si="31"/>
        <v>0</v>
      </c>
      <c r="T74" s="22">
        <f t="shared" si="32"/>
        <v>0</v>
      </c>
      <c r="U74" s="22">
        <f t="shared" si="33"/>
        <v>0</v>
      </c>
      <c r="V74" s="21">
        <f t="shared" si="38"/>
        <v>0</v>
      </c>
      <c r="W74" s="21">
        <f t="shared" si="39"/>
        <v>0</v>
      </c>
      <c r="X74" s="21">
        <f t="shared" si="40"/>
        <v>0</v>
      </c>
      <c r="Y74" s="21">
        <f t="shared" si="41"/>
        <v>0</v>
      </c>
      <c r="Z74" s="221">
        <f t="shared" si="34"/>
        <v>0</v>
      </c>
      <c r="AA74" s="30">
        <f t="shared" si="22"/>
        <v>0</v>
      </c>
      <c r="AB74" s="30">
        <f t="shared" si="23"/>
        <v>0</v>
      </c>
      <c r="AC74" s="30">
        <f t="shared" si="24"/>
        <v>0</v>
      </c>
      <c r="AD74" s="30">
        <f t="shared" si="25"/>
        <v>0</v>
      </c>
      <c r="AE74" s="32">
        <f t="shared" si="35"/>
        <v>0</v>
      </c>
    </row>
    <row r="75" spans="1:31" x14ac:dyDescent="0.35">
      <c r="A75" s="48">
        <v>1336</v>
      </c>
      <c r="B75" s="58">
        <f>SUMIF([2]!Table2_23[ETA],'IAB Model'!A75,[2]!Table2_23[FIS PAX])</f>
        <v>0</v>
      </c>
      <c r="C75" s="44">
        <f t="shared" si="36"/>
        <v>18</v>
      </c>
      <c r="D75" s="52">
        <f t="shared" si="42"/>
        <v>116</v>
      </c>
      <c r="E75" s="26">
        <f t="shared" si="26"/>
        <v>8.2691999999999997</v>
      </c>
      <c r="F75" s="26">
        <f t="shared" si="27"/>
        <v>5.3369999999999997</v>
      </c>
      <c r="G75" s="26">
        <f t="shared" si="28"/>
        <v>3.1175999999999999</v>
      </c>
      <c r="H75" s="26">
        <f t="shared" si="37"/>
        <v>1.2762</v>
      </c>
      <c r="I75" s="27">
        <f t="shared" si="53"/>
        <v>0</v>
      </c>
      <c r="J75" s="27">
        <f t="shared" si="53"/>
        <v>0</v>
      </c>
      <c r="K75" s="27">
        <f t="shared" si="53"/>
        <v>0</v>
      </c>
      <c r="L75" s="27">
        <f t="shared" si="53"/>
        <v>0</v>
      </c>
      <c r="M75" s="28">
        <f t="shared" si="54"/>
        <v>0</v>
      </c>
      <c r="N75" s="29">
        <f t="shared" si="54"/>
        <v>18</v>
      </c>
      <c r="O75" s="28">
        <f t="shared" si="54"/>
        <v>0</v>
      </c>
      <c r="P75" s="28">
        <f t="shared" si="54"/>
        <v>0</v>
      </c>
      <c r="Q75" s="28">
        <f t="shared" si="29"/>
        <v>18</v>
      </c>
      <c r="R75" s="22">
        <f t="shared" si="30"/>
        <v>0</v>
      </c>
      <c r="S75" s="22">
        <f t="shared" si="31"/>
        <v>0</v>
      </c>
      <c r="T75" s="22">
        <f t="shared" si="32"/>
        <v>0</v>
      </c>
      <c r="U75" s="22">
        <f t="shared" si="33"/>
        <v>0</v>
      </c>
      <c r="V75" s="21">
        <f t="shared" si="38"/>
        <v>0</v>
      </c>
      <c r="W75" s="21">
        <f t="shared" si="39"/>
        <v>0</v>
      </c>
      <c r="X75" s="21">
        <f t="shared" si="40"/>
        <v>0</v>
      </c>
      <c r="Y75" s="21">
        <f t="shared" si="41"/>
        <v>0</v>
      </c>
      <c r="Z75" s="221">
        <f t="shared" si="34"/>
        <v>0</v>
      </c>
      <c r="AA75" s="30">
        <f t="shared" si="22"/>
        <v>0</v>
      </c>
      <c r="AB75" s="30">
        <f t="shared" si="23"/>
        <v>0</v>
      </c>
      <c r="AC75" s="30">
        <f t="shared" si="24"/>
        <v>0</v>
      </c>
      <c r="AD75" s="30">
        <f t="shared" si="25"/>
        <v>0</v>
      </c>
      <c r="AE75" s="32">
        <f t="shared" si="35"/>
        <v>0</v>
      </c>
    </row>
    <row r="76" spans="1:31" x14ac:dyDescent="0.35">
      <c r="A76" s="48">
        <v>1337</v>
      </c>
      <c r="B76" s="58">
        <f>SUMIF([2]!Table2_23[ETA],'IAB Model'!A76,[2]!Table2_23[FIS PAX])</f>
        <v>0</v>
      </c>
      <c r="C76" s="44">
        <f t="shared" si="36"/>
        <v>18</v>
      </c>
      <c r="D76" s="52">
        <f t="shared" si="42"/>
        <v>98</v>
      </c>
      <c r="E76" s="26">
        <f t="shared" si="26"/>
        <v>8.2691999999999997</v>
      </c>
      <c r="F76" s="26">
        <f t="shared" si="27"/>
        <v>5.3369999999999997</v>
      </c>
      <c r="G76" s="26">
        <f t="shared" si="28"/>
        <v>3.1175999999999999</v>
      </c>
      <c r="H76" s="26">
        <f t="shared" si="37"/>
        <v>1.2762</v>
      </c>
      <c r="I76" s="27">
        <f t="shared" si="53"/>
        <v>0</v>
      </c>
      <c r="J76" s="27">
        <f t="shared" si="53"/>
        <v>0</v>
      </c>
      <c r="K76" s="27">
        <f t="shared" si="53"/>
        <v>0</v>
      </c>
      <c r="L76" s="27">
        <f t="shared" si="53"/>
        <v>0</v>
      </c>
      <c r="M76" s="28">
        <f t="shared" si="54"/>
        <v>0</v>
      </c>
      <c r="N76" s="29">
        <f t="shared" si="54"/>
        <v>18</v>
      </c>
      <c r="O76" s="28">
        <f t="shared" si="54"/>
        <v>0</v>
      </c>
      <c r="P76" s="28">
        <f t="shared" si="54"/>
        <v>0</v>
      </c>
      <c r="Q76" s="28">
        <f t="shared" si="29"/>
        <v>18</v>
      </c>
      <c r="R76" s="22">
        <f t="shared" si="30"/>
        <v>0</v>
      </c>
      <c r="S76" s="22">
        <f t="shared" si="31"/>
        <v>0</v>
      </c>
      <c r="T76" s="22">
        <f t="shared" si="32"/>
        <v>0</v>
      </c>
      <c r="U76" s="22">
        <f t="shared" si="33"/>
        <v>0</v>
      </c>
      <c r="V76" s="21">
        <f t="shared" si="38"/>
        <v>0</v>
      </c>
      <c r="W76" s="21">
        <f t="shared" si="39"/>
        <v>0</v>
      </c>
      <c r="X76" s="21">
        <f t="shared" si="40"/>
        <v>0</v>
      </c>
      <c r="Y76" s="21">
        <f t="shared" si="41"/>
        <v>0</v>
      </c>
      <c r="Z76" s="221">
        <f t="shared" si="34"/>
        <v>0</v>
      </c>
      <c r="AA76" s="30">
        <f t="shared" si="22"/>
        <v>0</v>
      </c>
      <c r="AB76" s="30">
        <f t="shared" si="23"/>
        <v>0</v>
      </c>
      <c r="AC76" s="30">
        <f t="shared" si="24"/>
        <v>0</v>
      </c>
      <c r="AD76" s="30">
        <f t="shared" si="25"/>
        <v>0</v>
      </c>
      <c r="AE76" s="32">
        <f t="shared" si="35"/>
        <v>0</v>
      </c>
    </row>
    <row r="77" spans="1:31" x14ac:dyDescent="0.35">
      <c r="A77" s="48">
        <v>1338</v>
      </c>
      <c r="B77" s="58">
        <f>SUMIF([2]!Table2_23[ETA],'IAB Model'!A77,[2]!Table2_23[FIS PAX])</f>
        <v>0</v>
      </c>
      <c r="C77" s="44">
        <f t="shared" si="36"/>
        <v>18</v>
      </c>
      <c r="D77" s="52">
        <f t="shared" si="42"/>
        <v>80</v>
      </c>
      <c r="E77" s="26">
        <f t="shared" si="26"/>
        <v>8.2691999999999997</v>
      </c>
      <c r="F77" s="26">
        <f t="shared" si="27"/>
        <v>5.3369999999999997</v>
      </c>
      <c r="G77" s="26">
        <f t="shared" si="28"/>
        <v>3.1175999999999999</v>
      </c>
      <c r="H77" s="26">
        <f t="shared" si="37"/>
        <v>1.2762</v>
      </c>
      <c r="I77" s="27">
        <f t="shared" si="53"/>
        <v>0</v>
      </c>
      <c r="J77" s="27">
        <f t="shared" si="53"/>
        <v>0</v>
      </c>
      <c r="K77" s="27">
        <f t="shared" si="53"/>
        <v>0</v>
      </c>
      <c r="L77" s="27">
        <f t="shared" si="53"/>
        <v>0</v>
      </c>
      <c r="M77" s="28">
        <f t="shared" si="54"/>
        <v>0</v>
      </c>
      <c r="N77" s="29">
        <f t="shared" si="54"/>
        <v>18</v>
      </c>
      <c r="O77" s="28">
        <f t="shared" si="54"/>
        <v>0</v>
      </c>
      <c r="P77" s="28">
        <f t="shared" si="54"/>
        <v>0</v>
      </c>
      <c r="Q77" s="28">
        <f t="shared" si="29"/>
        <v>18</v>
      </c>
      <c r="R77" s="22">
        <f t="shared" si="30"/>
        <v>0</v>
      </c>
      <c r="S77" s="22">
        <f t="shared" si="31"/>
        <v>0</v>
      </c>
      <c r="T77" s="22">
        <f t="shared" si="32"/>
        <v>0</v>
      </c>
      <c r="U77" s="22">
        <f t="shared" si="33"/>
        <v>0</v>
      </c>
      <c r="V77" s="21">
        <f t="shared" si="38"/>
        <v>0</v>
      </c>
      <c r="W77" s="21">
        <f t="shared" si="39"/>
        <v>0</v>
      </c>
      <c r="X77" s="21">
        <f t="shared" si="40"/>
        <v>0</v>
      </c>
      <c r="Y77" s="21">
        <f t="shared" si="41"/>
        <v>0</v>
      </c>
      <c r="Z77" s="221">
        <f t="shared" si="34"/>
        <v>0</v>
      </c>
      <c r="AA77" s="30">
        <f t="shared" si="22"/>
        <v>0</v>
      </c>
      <c r="AB77" s="30">
        <f t="shared" si="23"/>
        <v>0</v>
      </c>
      <c r="AC77" s="30">
        <f t="shared" si="24"/>
        <v>0</v>
      </c>
      <c r="AD77" s="30">
        <f t="shared" si="25"/>
        <v>0</v>
      </c>
      <c r="AE77" s="32">
        <f t="shared" si="35"/>
        <v>0</v>
      </c>
    </row>
    <row r="78" spans="1:31" x14ac:dyDescent="0.35">
      <c r="A78" s="48">
        <v>1339</v>
      </c>
      <c r="B78" s="58">
        <f>SUMIF([2]!Table2_23[ETA],'IAB Model'!A78,[2]!Table2_23[FIS PAX])</f>
        <v>0</v>
      </c>
      <c r="C78" s="44">
        <f t="shared" si="36"/>
        <v>18</v>
      </c>
      <c r="D78" s="52">
        <f t="shared" si="42"/>
        <v>62</v>
      </c>
      <c r="E78" s="26">
        <f t="shared" si="26"/>
        <v>8.2691999999999997</v>
      </c>
      <c r="F78" s="26">
        <f t="shared" si="27"/>
        <v>5.3369999999999997</v>
      </c>
      <c r="G78" s="26">
        <f t="shared" si="28"/>
        <v>3.1175999999999999</v>
      </c>
      <c r="H78" s="26">
        <f t="shared" si="37"/>
        <v>1.2762</v>
      </c>
      <c r="I78" s="27">
        <f t="shared" si="53"/>
        <v>0</v>
      </c>
      <c r="J78" s="27">
        <f t="shared" si="53"/>
        <v>0</v>
      </c>
      <c r="K78" s="27">
        <f t="shared" si="53"/>
        <v>0</v>
      </c>
      <c r="L78" s="27">
        <f t="shared" si="53"/>
        <v>0</v>
      </c>
      <c r="M78" s="28">
        <f t="shared" si="54"/>
        <v>0</v>
      </c>
      <c r="N78" s="29">
        <f t="shared" si="54"/>
        <v>18</v>
      </c>
      <c r="O78" s="28">
        <f t="shared" si="54"/>
        <v>0</v>
      </c>
      <c r="P78" s="28">
        <f t="shared" si="54"/>
        <v>0</v>
      </c>
      <c r="Q78" s="28">
        <f t="shared" si="29"/>
        <v>18</v>
      </c>
      <c r="R78" s="22">
        <f t="shared" si="30"/>
        <v>0</v>
      </c>
      <c r="S78" s="22">
        <f t="shared" si="31"/>
        <v>0</v>
      </c>
      <c r="T78" s="22">
        <f t="shared" si="32"/>
        <v>0</v>
      </c>
      <c r="U78" s="22">
        <f t="shared" si="33"/>
        <v>0</v>
      </c>
      <c r="V78" s="21">
        <f t="shared" si="38"/>
        <v>0</v>
      </c>
      <c r="W78" s="21">
        <f t="shared" si="39"/>
        <v>0</v>
      </c>
      <c r="X78" s="21">
        <f t="shared" si="40"/>
        <v>0</v>
      </c>
      <c r="Y78" s="21">
        <f t="shared" si="41"/>
        <v>0</v>
      </c>
      <c r="Z78" s="221">
        <f t="shared" si="34"/>
        <v>0</v>
      </c>
      <c r="AA78" s="30">
        <f t="shared" si="22"/>
        <v>0</v>
      </c>
      <c r="AB78" s="30">
        <f t="shared" si="23"/>
        <v>0</v>
      </c>
      <c r="AC78" s="30">
        <f t="shared" si="24"/>
        <v>0</v>
      </c>
      <c r="AD78" s="30">
        <f t="shared" si="25"/>
        <v>0</v>
      </c>
      <c r="AE78" s="32">
        <f t="shared" si="35"/>
        <v>0</v>
      </c>
    </row>
    <row r="79" spans="1:31" x14ac:dyDescent="0.35">
      <c r="A79" s="48">
        <v>1340</v>
      </c>
      <c r="B79" s="58">
        <f>SUMIF([2]!Table2_23[ETA],'IAB Model'!A79,[2]!Table2_23[FIS PAX])</f>
        <v>0</v>
      </c>
      <c r="C79" s="44">
        <f t="shared" si="36"/>
        <v>18</v>
      </c>
      <c r="D79" s="52">
        <f t="shared" si="42"/>
        <v>44</v>
      </c>
      <c r="E79" s="26">
        <f t="shared" si="26"/>
        <v>8.2691999999999997</v>
      </c>
      <c r="F79" s="26">
        <f t="shared" si="27"/>
        <v>5.3369999999999997</v>
      </c>
      <c r="G79" s="26">
        <f t="shared" si="28"/>
        <v>3.1175999999999999</v>
      </c>
      <c r="H79" s="26">
        <f t="shared" si="37"/>
        <v>1.2762</v>
      </c>
      <c r="I79" s="27">
        <f t="shared" si="53"/>
        <v>0</v>
      </c>
      <c r="J79" s="27">
        <f t="shared" si="53"/>
        <v>0</v>
      </c>
      <c r="K79" s="27">
        <f t="shared" si="53"/>
        <v>0</v>
      </c>
      <c r="L79" s="27">
        <f t="shared" si="53"/>
        <v>0</v>
      </c>
      <c r="M79" s="28">
        <f t="shared" si="54"/>
        <v>0</v>
      </c>
      <c r="N79" s="29">
        <f t="shared" si="54"/>
        <v>18</v>
      </c>
      <c r="O79" s="28">
        <f t="shared" si="54"/>
        <v>0</v>
      </c>
      <c r="P79" s="28">
        <f t="shared" si="54"/>
        <v>0</v>
      </c>
      <c r="Q79" s="28">
        <f t="shared" si="29"/>
        <v>18</v>
      </c>
      <c r="R79" s="22">
        <f t="shared" si="30"/>
        <v>0</v>
      </c>
      <c r="S79" s="22">
        <f t="shared" si="31"/>
        <v>0</v>
      </c>
      <c r="T79" s="22">
        <f t="shared" si="32"/>
        <v>0</v>
      </c>
      <c r="U79" s="22">
        <f t="shared" si="33"/>
        <v>0</v>
      </c>
      <c r="V79" s="21">
        <f t="shared" si="38"/>
        <v>0</v>
      </c>
      <c r="W79" s="21">
        <f t="shared" si="39"/>
        <v>0</v>
      </c>
      <c r="X79" s="21">
        <f t="shared" si="40"/>
        <v>0</v>
      </c>
      <c r="Y79" s="21">
        <f t="shared" si="41"/>
        <v>0</v>
      </c>
      <c r="Z79" s="221">
        <f t="shared" si="34"/>
        <v>0</v>
      </c>
      <c r="AA79" s="30">
        <f t="shared" si="22"/>
        <v>0</v>
      </c>
      <c r="AB79" s="30">
        <f t="shared" si="23"/>
        <v>0</v>
      </c>
      <c r="AC79" s="30">
        <f t="shared" si="24"/>
        <v>0</v>
      </c>
      <c r="AD79" s="30">
        <f t="shared" si="25"/>
        <v>0</v>
      </c>
      <c r="AE79" s="32">
        <f t="shared" si="35"/>
        <v>0</v>
      </c>
    </row>
    <row r="80" spans="1:31" x14ac:dyDescent="0.35">
      <c r="A80" s="48">
        <v>1341</v>
      </c>
      <c r="B80" s="58">
        <f>SUMIF([2]!Table2_23[ETA],'IAB Model'!A80,[2]!Table2_23[FIS PAX])</f>
        <v>0</v>
      </c>
      <c r="C80" s="44">
        <f t="shared" si="36"/>
        <v>18</v>
      </c>
      <c r="D80" s="52">
        <f t="shared" si="42"/>
        <v>26</v>
      </c>
      <c r="E80" s="26">
        <f t="shared" si="26"/>
        <v>8.2691999999999997</v>
      </c>
      <c r="F80" s="26">
        <f t="shared" si="27"/>
        <v>5.3369999999999997</v>
      </c>
      <c r="G80" s="26">
        <f t="shared" si="28"/>
        <v>3.1175999999999999</v>
      </c>
      <c r="H80" s="26">
        <f t="shared" si="37"/>
        <v>1.2762</v>
      </c>
      <c r="I80" s="27">
        <f t="shared" si="53"/>
        <v>0</v>
      </c>
      <c r="J80" s="27">
        <f t="shared" si="53"/>
        <v>0</v>
      </c>
      <c r="K80" s="27">
        <f t="shared" si="53"/>
        <v>0</v>
      </c>
      <c r="L80" s="27">
        <f t="shared" si="53"/>
        <v>0</v>
      </c>
      <c r="M80" s="28">
        <f t="shared" si="54"/>
        <v>0</v>
      </c>
      <c r="N80" s="29">
        <f t="shared" si="54"/>
        <v>18</v>
      </c>
      <c r="O80" s="28">
        <f t="shared" si="54"/>
        <v>0</v>
      </c>
      <c r="P80" s="28">
        <f t="shared" si="54"/>
        <v>0</v>
      </c>
      <c r="Q80" s="28">
        <f t="shared" si="29"/>
        <v>18</v>
      </c>
      <c r="R80" s="22">
        <f t="shared" si="30"/>
        <v>0</v>
      </c>
      <c r="S80" s="22">
        <f t="shared" si="31"/>
        <v>0</v>
      </c>
      <c r="T80" s="22">
        <f t="shared" si="32"/>
        <v>0</v>
      </c>
      <c r="U80" s="22">
        <f t="shared" si="33"/>
        <v>0</v>
      </c>
      <c r="V80" s="21">
        <f t="shared" si="38"/>
        <v>0</v>
      </c>
      <c r="W80" s="21">
        <f t="shared" si="39"/>
        <v>0</v>
      </c>
      <c r="X80" s="21">
        <f t="shared" si="40"/>
        <v>0</v>
      </c>
      <c r="Y80" s="21">
        <f t="shared" si="41"/>
        <v>0</v>
      </c>
      <c r="Z80" s="221">
        <f t="shared" si="34"/>
        <v>0</v>
      </c>
      <c r="AA80" s="30">
        <f t="shared" si="22"/>
        <v>0</v>
      </c>
      <c r="AB80" s="30">
        <f t="shared" si="23"/>
        <v>0</v>
      </c>
      <c r="AC80" s="30">
        <f t="shared" si="24"/>
        <v>0</v>
      </c>
      <c r="AD80" s="30">
        <f t="shared" si="25"/>
        <v>0</v>
      </c>
      <c r="AE80" s="32">
        <f t="shared" si="35"/>
        <v>0</v>
      </c>
    </row>
    <row r="81" spans="1:31" x14ac:dyDescent="0.35">
      <c r="A81" s="48">
        <v>1342</v>
      </c>
      <c r="B81" s="58">
        <f>SUMIF([2]!Table2_23[ETA],'IAB Model'!A81,[2]!Table2_23[FIS PAX])</f>
        <v>0</v>
      </c>
      <c r="C81" s="44">
        <f t="shared" si="36"/>
        <v>18</v>
      </c>
      <c r="D81" s="52">
        <f t="shared" si="42"/>
        <v>8</v>
      </c>
      <c r="E81" s="26">
        <f t="shared" si="26"/>
        <v>8.2691999999999997</v>
      </c>
      <c r="F81" s="26">
        <f t="shared" si="27"/>
        <v>5.3369999999999997</v>
      </c>
      <c r="G81" s="26">
        <f t="shared" si="28"/>
        <v>3.1175999999999999</v>
      </c>
      <c r="H81" s="26">
        <f t="shared" si="37"/>
        <v>1.2762</v>
      </c>
      <c r="I81" s="27">
        <f t="shared" si="53"/>
        <v>0</v>
      </c>
      <c r="J81" s="27">
        <f t="shared" si="53"/>
        <v>0</v>
      </c>
      <c r="K81" s="27">
        <f t="shared" si="53"/>
        <v>0</v>
      </c>
      <c r="L81" s="27">
        <f t="shared" si="53"/>
        <v>0</v>
      </c>
      <c r="M81" s="28">
        <f t="shared" si="54"/>
        <v>0</v>
      </c>
      <c r="N81" s="29">
        <f t="shared" si="54"/>
        <v>18</v>
      </c>
      <c r="O81" s="28">
        <f t="shared" si="54"/>
        <v>0</v>
      </c>
      <c r="P81" s="28">
        <f t="shared" si="54"/>
        <v>0</v>
      </c>
      <c r="Q81" s="28">
        <f t="shared" si="29"/>
        <v>18</v>
      </c>
      <c r="R81" s="22">
        <f t="shared" si="30"/>
        <v>0</v>
      </c>
      <c r="S81" s="22">
        <f t="shared" si="31"/>
        <v>0</v>
      </c>
      <c r="T81" s="22">
        <f t="shared" si="32"/>
        <v>0</v>
      </c>
      <c r="U81" s="22">
        <f t="shared" si="33"/>
        <v>0</v>
      </c>
      <c r="V81" s="21">
        <f t="shared" si="38"/>
        <v>0</v>
      </c>
      <c r="W81" s="21">
        <f t="shared" si="39"/>
        <v>0</v>
      </c>
      <c r="X81" s="21">
        <f t="shared" si="40"/>
        <v>0</v>
      </c>
      <c r="Y81" s="21">
        <f t="shared" si="41"/>
        <v>0</v>
      </c>
      <c r="Z81" s="221">
        <f t="shared" si="34"/>
        <v>0</v>
      </c>
      <c r="AA81" s="30">
        <f t="shared" si="22"/>
        <v>0</v>
      </c>
      <c r="AB81" s="30">
        <f t="shared" si="23"/>
        <v>0</v>
      </c>
      <c r="AC81" s="30">
        <f t="shared" si="24"/>
        <v>0</v>
      </c>
      <c r="AD81" s="30">
        <f t="shared" si="25"/>
        <v>0</v>
      </c>
      <c r="AE81" s="32">
        <f t="shared" si="35"/>
        <v>0</v>
      </c>
    </row>
    <row r="82" spans="1:31" x14ac:dyDescent="0.35">
      <c r="A82" s="48">
        <v>1343</v>
      </c>
      <c r="B82" s="58">
        <f>SUMIF([2]!Table2_23[ETA],'IAB Model'!A82,[2]!Table2_23[FIS PAX])</f>
        <v>0</v>
      </c>
      <c r="C82" s="44">
        <f t="shared" si="36"/>
        <v>8</v>
      </c>
      <c r="D82" s="52">
        <f t="shared" si="42"/>
        <v>0</v>
      </c>
      <c r="E82" s="26">
        <f t="shared" si="26"/>
        <v>3.6751999999999998</v>
      </c>
      <c r="F82" s="26">
        <f t="shared" si="27"/>
        <v>2.3719999999999999</v>
      </c>
      <c r="G82" s="26">
        <f t="shared" si="28"/>
        <v>1.3855999999999999</v>
      </c>
      <c r="H82" s="26">
        <f t="shared" si="37"/>
        <v>0.56720000000000004</v>
      </c>
      <c r="I82" s="27">
        <f t="shared" si="53"/>
        <v>0</v>
      </c>
      <c r="J82" s="27">
        <f t="shared" si="53"/>
        <v>0</v>
      </c>
      <c r="K82" s="27">
        <f t="shared" si="53"/>
        <v>0</v>
      </c>
      <c r="L82" s="27">
        <f t="shared" si="53"/>
        <v>0</v>
      </c>
      <c r="M82" s="28">
        <f t="shared" si="54"/>
        <v>0</v>
      </c>
      <c r="N82" s="29">
        <f t="shared" si="54"/>
        <v>18</v>
      </c>
      <c r="O82" s="28">
        <f t="shared" si="54"/>
        <v>0</v>
      </c>
      <c r="P82" s="28">
        <f t="shared" si="54"/>
        <v>0</v>
      </c>
      <c r="Q82" s="28">
        <f t="shared" si="29"/>
        <v>18</v>
      </c>
      <c r="R82" s="22">
        <f t="shared" si="30"/>
        <v>0</v>
      </c>
      <c r="S82" s="22">
        <f t="shared" si="31"/>
        <v>0</v>
      </c>
      <c r="T82" s="22">
        <f t="shared" si="32"/>
        <v>0</v>
      </c>
      <c r="U82" s="22">
        <f t="shared" si="33"/>
        <v>0</v>
      </c>
      <c r="V82" s="21">
        <f t="shared" si="38"/>
        <v>0</v>
      </c>
      <c r="W82" s="21">
        <f t="shared" si="39"/>
        <v>0</v>
      </c>
      <c r="X82" s="21">
        <f t="shared" si="40"/>
        <v>0</v>
      </c>
      <c r="Y82" s="21">
        <f t="shared" si="41"/>
        <v>0</v>
      </c>
      <c r="Z82" s="221">
        <f t="shared" si="34"/>
        <v>0</v>
      </c>
      <c r="AA82" s="30">
        <f t="shared" si="22"/>
        <v>0</v>
      </c>
      <c r="AB82" s="30">
        <f t="shared" si="23"/>
        <v>0</v>
      </c>
      <c r="AC82" s="30">
        <f t="shared" si="24"/>
        <v>0</v>
      </c>
      <c r="AD82" s="30">
        <f t="shared" si="25"/>
        <v>0</v>
      </c>
      <c r="AE82" s="32">
        <f t="shared" si="35"/>
        <v>0</v>
      </c>
    </row>
    <row r="83" spans="1:31" x14ac:dyDescent="0.35">
      <c r="A83" s="48">
        <v>1344</v>
      </c>
      <c r="B83" s="58">
        <f>SUMIF([2]!Table2_23[ETA],'IAB Model'!A83,[2]!Table2_23[FIS PAX])</f>
        <v>0</v>
      </c>
      <c r="C83" s="44">
        <f t="shared" si="36"/>
        <v>0</v>
      </c>
      <c r="D83" s="52">
        <f t="shared" si="42"/>
        <v>0</v>
      </c>
      <c r="E83" s="26">
        <f t="shared" si="26"/>
        <v>0</v>
      </c>
      <c r="F83" s="26">
        <f t="shared" si="27"/>
        <v>0</v>
      </c>
      <c r="G83" s="26">
        <f t="shared" si="28"/>
        <v>0</v>
      </c>
      <c r="H83" s="26">
        <f t="shared" si="37"/>
        <v>0</v>
      </c>
      <c r="I83" s="27">
        <f t="shared" si="53"/>
        <v>0</v>
      </c>
      <c r="J83" s="27">
        <f t="shared" si="53"/>
        <v>0</v>
      </c>
      <c r="K83" s="27">
        <f t="shared" si="53"/>
        <v>0</v>
      </c>
      <c r="L83" s="27">
        <f t="shared" si="53"/>
        <v>0</v>
      </c>
      <c r="M83" s="28">
        <f t="shared" si="54"/>
        <v>0</v>
      </c>
      <c r="N83" s="29">
        <f t="shared" si="54"/>
        <v>18</v>
      </c>
      <c r="O83" s="28">
        <f t="shared" si="54"/>
        <v>0</v>
      </c>
      <c r="P83" s="28">
        <f t="shared" si="54"/>
        <v>0</v>
      </c>
      <c r="Q83" s="28">
        <f t="shared" si="29"/>
        <v>18</v>
      </c>
      <c r="R83" s="22">
        <f t="shared" si="30"/>
        <v>0</v>
      </c>
      <c r="S83" s="22">
        <f t="shared" si="31"/>
        <v>0</v>
      </c>
      <c r="T83" s="22">
        <f t="shared" si="32"/>
        <v>0</v>
      </c>
      <c r="U83" s="22">
        <f t="shared" si="33"/>
        <v>0</v>
      </c>
      <c r="V83" s="21">
        <f t="shared" si="38"/>
        <v>0</v>
      </c>
      <c r="W83" s="21">
        <f t="shared" si="39"/>
        <v>0</v>
      </c>
      <c r="X83" s="21">
        <f t="shared" si="40"/>
        <v>0</v>
      </c>
      <c r="Y83" s="21">
        <f t="shared" si="41"/>
        <v>0</v>
      </c>
      <c r="Z83" s="221">
        <f t="shared" si="34"/>
        <v>0</v>
      </c>
      <c r="AA83" s="30">
        <f t="shared" si="22"/>
        <v>0</v>
      </c>
      <c r="AB83" s="30">
        <f t="shared" si="23"/>
        <v>0</v>
      </c>
      <c r="AC83" s="30">
        <f t="shared" si="24"/>
        <v>0</v>
      </c>
      <c r="AD83" s="30">
        <f t="shared" si="25"/>
        <v>0</v>
      </c>
      <c r="AE83" s="32">
        <f t="shared" si="35"/>
        <v>0</v>
      </c>
    </row>
    <row r="84" spans="1:31" x14ac:dyDescent="0.35">
      <c r="A84" s="48">
        <v>1345</v>
      </c>
      <c r="B84" s="58">
        <f>SUMIF([2]!Table2_23[ETA],'IAB Model'!A84,[2]!Table2_23[FIS PAX])</f>
        <v>0</v>
      </c>
      <c r="C84" s="44">
        <f t="shared" si="36"/>
        <v>0</v>
      </c>
      <c r="D84" s="52">
        <f t="shared" si="42"/>
        <v>0</v>
      </c>
      <c r="E84" s="26">
        <f t="shared" si="26"/>
        <v>0</v>
      </c>
      <c r="F84" s="26">
        <f t="shared" si="27"/>
        <v>0</v>
      </c>
      <c r="G84" s="26">
        <f t="shared" si="28"/>
        <v>0</v>
      </c>
      <c r="H84" s="26">
        <f t="shared" si="37"/>
        <v>0</v>
      </c>
      <c r="I84" s="27">
        <f t="shared" si="53"/>
        <v>0</v>
      </c>
      <c r="J84" s="27">
        <f t="shared" si="53"/>
        <v>0</v>
      </c>
      <c r="K84" s="27">
        <f t="shared" si="53"/>
        <v>0</v>
      </c>
      <c r="L84" s="27">
        <f t="shared" si="53"/>
        <v>0</v>
      </c>
      <c r="M84" s="28">
        <f t="shared" si="54"/>
        <v>0</v>
      </c>
      <c r="N84" s="29">
        <f t="shared" si="54"/>
        <v>18</v>
      </c>
      <c r="O84" s="28">
        <f t="shared" si="54"/>
        <v>0</v>
      </c>
      <c r="P84" s="28">
        <f t="shared" si="54"/>
        <v>0</v>
      </c>
      <c r="Q84" s="28">
        <f t="shared" si="29"/>
        <v>18</v>
      </c>
      <c r="R84" s="22">
        <f t="shared" si="30"/>
        <v>0</v>
      </c>
      <c r="S84" s="22">
        <f t="shared" si="31"/>
        <v>0</v>
      </c>
      <c r="T84" s="22">
        <f t="shared" si="32"/>
        <v>0</v>
      </c>
      <c r="U84" s="22">
        <f t="shared" si="33"/>
        <v>0</v>
      </c>
      <c r="V84" s="21">
        <f t="shared" si="38"/>
        <v>0</v>
      </c>
      <c r="W84" s="21">
        <f t="shared" si="39"/>
        <v>0</v>
      </c>
      <c r="X84" s="21">
        <f t="shared" si="40"/>
        <v>0</v>
      </c>
      <c r="Y84" s="21">
        <f t="shared" si="41"/>
        <v>0</v>
      </c>
      <c r="Z84" s="221">
        <f t="shared" si="34"/>
        <v>0</v>
      </c>
      <c r="AA84" s="30">
        <f t="shared" si="22"/>
        <v>0</v>
      </c>
      <c r="AB84" s="30">
        <f t="shared" si="23"/>
        <v>0</v>
      </c>
      <c r="AC84" s="30">
        <f t="shared" si="24"/>
        <v>0</v>
      </c>
      <c r="AD84" s="30">
        <f t="shared" si="25"/>
        <v>0</v>
      </c>
      <c r="AE84" s="32">
        <f t="shared" si="35"/>
        <v>0</v>
      </c>
    </row>
    <row r="85" spans="1:31" x14ac:dyDescent="0.35">
      <c r="A85" s="48">
        <v>1346</v>
      </c>
      <c r="B85" s="58">
        <f>SUMIF([2]!Table2_23[ETA],'IAB Model'!A85,[2]!Table2_23[FIS PAX])</f>
        <v>0</v>
      </c>
      <c r="C85" s="44">
        <f t="shared" si="36"/>
        <v>0</v>
      </c>
      <c r="D85" s="52">
        <f t="shared" si="42"/>
        <v>0</v>
      </c>
      <c r="E85" s="26">
        <f t="shared" si="26"/>
        <v>0</v>
      </c>
      <c r="F85" s="26">
        <f t="shared" si="27"/>
        <v>0</v>
      </c>
      <c r="G85" s="26">
        <f t="shared" si="28"/>
        <v>0</v>
      </c>
      <c r="H85" s="26">
        <f t="shared" si="37"/>
        <v>0</v>
      </c>
      <c r="I85" s="27">
        <f t="shared" si="53"/>
        <v>0</v>
      </c>
      <c r="J85" s="27">
        <f t="shared" si="53"/>
        <v>0</v>
      </c>
      <c r="K85" s="27">
        <f t="shared" si="53"/>
        <v>0</v>
      </c>
      <c r="L85" s="27">
        <f t="shared" si="53"/>
        <v>0</v>
      </c>
      <c r="M85" s="28">
        <f>IF(R84=0,0,$Q$9)</f>
        <v>0</v>
      </c>
      <c r="N85" s="29">
        <f>$U$9-M85-O85-P85</f>
        <v>18</v>
      </c>
      <c r="O85" s="28">
        <f>IF(T84=0,0,$S$9)</f>
        <v>0</v>
      </c>
      <c r="P85" s="28">
        <f>IF(U84=0,0,$T$9)</f>
        <v>0</v>
      </c>
      <c r="Q85" s="28">
        <f t="shared" si="29"/>
        <v>18</v>
      </c>
      <c r="R85" s="22">
        <f t="shared" si="30"/>
        <v>0</v>
      </c>
      <c r="S85" s="22">
        <f t="shared" si="31"/>
        <v>0</v>
      </c>
      <c r="T85" s="22">
        <f t="shared" si="32"/>
        <v>0</v>
      </c>
      <c r="U85" s="22">
        <f t="shared" si="33"/>
        <v>0</v>
      </c>
      <c r="V85" s="21">
        <f t="shared" si="38"/>
        <v>0</v>
      </c>
      <c r="W85" s="21">
        <f t="shared" si="39"/>
        <v>0</v>
      </c>
      <c r="X85" s="21">
        <f t="shared" si="40"/>
        <v>0</v>
      </c>
      <c r="Y85" s="21">
        <f t="shared" si="41"/>
        <v>0</v>
      </c>
      <c r="Z85" s="221">
        <f t="shared" si="34"/>
        <v>0</v>
      </c>
      <c r="AA85" s="30">
        <f t="shared" si="22"/>
        <v>0</v>
      </c>
      <c r="AB85" s="30">
        <f t="shared" si="23"/>
        <v>0</v>
      </c>
      <c r="AC85" s="30">
        <f t="shared" si="24"/>
        <v>0</v>
      </c>
      <c r="AD85" s="30">
        <f t="shared" si="25"/>
        <v>0</v>
      </c>
      <c r="AE85" s="32">
        <f t="shared" si="35"/>
        <v>0</v>
      </c>
    </row>
    <row r="86" spans="1:31" x14ac:dyDescent="0.35">
      <c r="A86" s="48">
        <v>1347</v>
      </c>
      <c r="B86" s="58">
        <f>SUMIF([2]!Table2_23[ETA],'IAB Model'!A86,[2]!Table2_23[FIS PAX])</f>
        <v>0</v>
      </c>
      <c r="C86" s="44">
        <f t="shared" si="36"/>
        <v>0</v>
      </c>
      <c r="D86" s="52">
        <f t="shared" si="42"/>
        <v>0</v>
      </c>
      <c r="E86" s="26">
        <f t="shared" si="26"/>
        <v>0</v>
      </c>
      <c r="F86" s="26">
        <f t="shared" si="27"/>
        <v>0</v>
      </c>
      <c r="G86" s="26">
        <f t="shared" si="28"/>
        <v>0</v>
      </c>
      <c r="H86" s="26">
        <f t="shared" si="37"/>
        <v>0</v>
      </c>
      <c r="I86" s="27">
        <f t="shared" si="53"/>
        <v>0</v>
      </c>
      <c r="J86" s="27">
        <f t="shared" si="53"/>
        <v>0</v>
      </c>
      <c r="K86" s="27">
        <f t="shared" si="53"/>
        <v>0</v>
      </c>
      <c r="L86" s="27">
        <f t="shared" si="53"/>
        <v>0</v>
      </c>
      <c r="M86" s="28">
        <f>$M$85</f>
        <v>0</v>
      </c>
      <c r="N86" s="29">
        <f>$N$85</f>
        <v>18</v>
      </c>
      <c r="O86" s="28">
        <f>$O$85</f>
        <v>0</v>
      </c>
      <c r="P86" s="28">
        <f>$P$85</f>
        <v>0</v>
      </c>
      <c r="Q86" s="28">
        <f t="shared" si="29"/>
        <v>18</v>
      </c>
      <c r="R86" s="22">
        <f t="shared" si="30"/>
        <v>0</v>
      </c>
      <c r="S86" s="22">
        <f t="shared" si="31"/>
        <v>0</v>
      </c>
      <c r="T86" s="22">
        <f t="shared" si="32"/>
        <v>0</v>
      </c>
      <c r="U86" s="22">
        <f t="shared" si="33"/>
        <v>0</v>
      </c>
      <c r="V86" s="21">
        <f t="shared" si="38"/>
        <v>0</v>
      </c>
      <c r="W86" s="21">
        <f t="shared" si="39"/>
        <v>0</v>
      </c>
      <c r="X86" s="21">
        <f t="shared" si="40"/>
        <v>0</v>
      </c>
      <c r="Y86" s="21">
        <f t="shared" si="41"/>
        <v>0</v>
      </c>
      <c r="Z86" s="221">
        <f t="shared" si="34"/>
        <v>0</v>
      </c>
      <c r="AA86" s="30">
        <f t="shared" si="22"/>
        <v>0</v>
      </c>
      <c r="AB86" s="30">
        <f t="shared" si="23"/>
        <v>0</v>
      </c>
      <c r="AC86" s="30">
        <f t="shared" si="24"/>
        <v>0</v>
      </c>
      <c r="AD86" s="30">
        <f t="shared" si="25"/>
        <v>0</v>
      </c>
      <c r="AE86" s="32">
        <f t="shared" si="35"/>
        <v>0</v>
      </c>
    </row>
    <row r="87" spans="1:31" x14ac:dyDescent="0.35">
      <c r="A87" s="48">
        <v>1348</v>
      </c>
      <c r="B87" s="58">
        <f>SUMIF([2]!Table2_23[ETA],'IAB Model'!A87,[2]!Table2_23[FIS PAX])</f>
        <v>0</v>
      </c>
      <c r="C87" s="44">
        <f t="shared" si="36"/>
        <v>0</v>
      </c>
      <c r="D87" s="52">
        <f t="shared" si="42"/>
        <v>0</v>
      </c>
      <c r="E87" s="26">
        <f t="shared" si="26"/>
        <v>0</v>
      </c>
      <c r="F87" s="26">
        <f t="shared" si="27"/>
        <v>0</v>
      </c>
      <c r="G87" s="26">
        <f t="shared" si="28"/>
        <v>0</v>
      </c>
      <c r="H87" s="26">
        <f t="shared" si="37"/>
        <v>0</v>
      </c>
      <c r="I87" s="27">
        <f t="shared" ref="I87:L102" si="55">E72</f>
        <v>0</v>
      </c>
      <c r="J87" s="27">
        <f t="shared" si="55"/>
        <v>0</v>
      </c>
      <c r="K87" s="27">
        <f t="shared" si="55"/>
        <v>0</v>
      </c>
      <c r="L87" s="27">
        <f t="shared" si="55"/>
        <v>0</v>
      </c>
      <c r="M87" s="28">
        <f t="shared" ref="M87:M99" si="56">$M$85</f>
        <v>0</v>
      </c>
      <c r="N87" s="29">
        <f t="shared" ref="N87:N99" si="57">$N$85</f>
        <v>18</v>
      </c>
      <c r="O87" s="28">
        <f t="shared" ref="O87:O99" si="58">$O$85</f>
        <v>0</v>
      </c>
      <c r="P87" s="28">
        <f t="shared" ref="P87:P99" si="59">$P$85</f>
        <v>0</v>
      </c>
      <c r="Q87" s="28">
        <f t="shared" si="29"/>
        <v>18</v>
      </c>
      <c r="R87" s="22">
        <f t="shared" si="30"/>
        <v>0</v>
      </c>
      <c r="S87" s="22">
        <f t="shared" si="31"/>
        <v>0</v>
      </c>
      <c r="T87" s="22">
        <f t="shared" si="32"/>
        <v>0</v>
      </c>
      <c r="U87" s="22">
        <f t="shared" si="33"/>
        <v>0</v>
      </c>
      <c r="V87" s="21">
        <f t="shared" si="38"/>
        <v>0</v>
      </c>
      <c r="W87" s="21">
        <f t="shared" si="39"/>
        <v>0</v>
      </c>
      <c r="X87" s="21">
        <f t="shared" si="40"/>
        <v>0</v>
      </c>
      <c r="Y87" s="21">
        <f t="shared" si="41"/>
        <v>0</v>
      </c>
      <c r="Z87" s="221">
        <f t="shared" si="34"/>
        <v>0</v>
      </c>
      <c r="AA87" s="30">
        <f t="shared" si="22"/>
        <v>0</v>
      </c>
      <c r="AB87" s="30">
        <f t="shared" si="23"/>
        <v>0</v>
      </c>
      <c r="AC87" s="30">
        <f t="shared" si="24"/>
        <v>0</v>
      </c>
      <c r="AD87" s="30">
        <f t="shared" si="25"/>
        <v>0</v>
      </c>
      <c r="AE87" s="32">
        <f t="shared" si="35"/>
        <v>0</v>
      </c>
    </row>
    <row r="88" spans="1:31" x14ac:dyDescent="0.35">
      <c r="A88" s="48">
        <v>1349</v>
      </c>
      <c r="B88" s="58">
        <f>SUMIF([2]!Table2_23[ETA],'IAB Model'!A88,[2]!Table2_23[FIS PAX])</f>
        <v>0</v>
      </c>
      <c r="C88" s="44">
        <f t="shared" si="36"/>
        <v>0</v>
      </c>
      <c r="D88" s="52">
        <f t="shared" si="42"/>
        <v>0</v>
      </c>
      <c r="E88" s="26">
        <f t="shared" si="26"/>
        <v>0</v>
      </c>
      <c r="F88" s="26">
        <f t="shared" si="27"/>
        <v>0</v>
      </c>
      <c r="G88" s="26">
        <f t="shared" si="28"/>
        <v>0</v>
      </c>
      <c r="H88" s="26">
        <f t="shared" si="37"/>
        <v>0</v>
      </c>
      <c r="I88" s="27">
        <f t="shared" si="55"/>
        <v>0</v>
      </c>
      <c r="J88" s="27">
        <f t="shared" si="55"/>
        <v>0</v>
      </c>
      <c r="K88" s="27">
        <f t="shared" si="55"/>
        <v>0</v>
      </c>
      <c r="L88" s="27">
        <f t="shared" si="55"/>
        <v>0</v>
      </c>
      <c r="M88" s="28">
        <f t="shared" si="56"/>
        <v>0</v>
      </c>
      <c r="N88" s="29">
        <f t="shared" si="57"/>
        <v>18</v>
      </c>
      <c r="O88" s="28">
        <f t="shared" si="58"/>
        <v>0</v>
      </c>
      <c r="P88" s="28">
        <f t="shared" si="59"/>
        <v>0</v>
      </c>
      <c r="Q88" s="28">
        <f t="shared" si="29"/>
        <v>18</v>
      </c>
      <c r="R88" s="22">
        <f t="shared" si="30"/>
        <v>0</v>
      </c>
      <c r="S88" s="22">
        <f t="shared" si="31"/>
        <v>0</v>
      </c>
      <c r="T88" s="22">
        <f t="shared" si="32"/>
        <v>0</v>
      </c>
      <c r="U88" s="22">
        <f t="shared" si="33"/>
        <v>0</v>
      </c>
      <c r="V88" s="21">
        <f t="shared" si="38"/>
        <v>0</v>
      </c>
      <c r="W88" s="21">
        <f t="shared" si="39"/>
        <v>0</v>
      </c>
      <c r="X88" s="21">
        <f t="shared" si="40"/>
        <v>0</v>
      </c>
      <c r="Y88" s="21">
        <f t="shared" si="41"/>
        <v>0</v>
      </c>
      <c r="Z88" s="221">
        <f t="shared" si="34"/>
        <v>0</v>
      </c>
      <c r="AA88" s="30">
        <f t="shared" si="22"/>
        <v>0</v>
      </c>
      <c r="AB88" s="30">
        <f t="shared" si="23"/>
        <v>0</v>
      </c>
      <c r="AC88" s="30">
        <f t="shared" si="24"/>
        <v>0</v>
      </c>
      <c r="AD88" s="30">
        <f t="shared" si="25"/>
        <v>0</v>
      </c>
      <c r="AE88" s="32">
        <f t="shared" si="35"/>
        <v>0</v>
      </c>
    </row>
    <row r="89" spans="1:31" x14ac:dyDescent="0.35">
      <c r="A89" s="48">
        <v>1350</v>
      </c>
      <c r="B89" s="58">
        <f>SUMIF([2]!Table2_23[ETA],'IAB Model'!A89,[2]!Table2_23[FIS PAX])</f>
        <v>0</v>
      </c>
      <c r="C89" s="44">
        <f t="shared" si="36"/>
        <v>0</v>
      </c>
      <c r="D89" s="52">
        <f t="shared" si="42"/>
        <v>0</v>
      </c>
      <c r="E89" s="26">
        <f t="shared" si="26"/>
        <v>0</v>
      </c>
      <c r="F89" s="26">
        <f t="shared" si="27"/>
        <v>0</v>
      </c>
      <c r="G89" s="26">
        <f t="shared" si="28"/>
        <v>0</v>
      </c>
      <c r="H89" s="26">
        <f t="shared" si="37"/>
        <v>0</v>
      </c>
      <c r="I89" s="27">
        <f t="shared" si="55"/>
        <v>8.2691999999999997</v>
      </c>
      <c r="J89" s="27">
        <f t="shared" si="55"/>
        <v>5.3369999999999997</v>
      </c>
      <c r="K89" s="27">
        <f t="shared" si="55"/>
        <v>3.1175999999999999</v>
      </c>
      <c r="L89" s="27">
        <f t="shared" si="55"/>
        <v>1.2762</v>
      </c>
      <c r="M89" s="28">
        <f t="shared" si="56"/>
        <v>0</v>
      </c>
      <c r="N89" s="29">
        <f t="shared" si="57"/>
        <v>18</v>
      </c>
      <c r="O89" s="28">
        <f t="shared" si="58"/>
        <v>0</v>
      </c>
      <c r="P89" s="28">
        <f t="shared" si="59"/>
        <v>0</v>
      </c>
      <c r="Q89" s="28">
        <f t="shared" si="29"/>
        <v>18</v>
      </c>
      <c r="R89" s="22">
        <f t="shared" si="30"/>
        <v>8.2691999999999997</v>
      </c>
      <c r="S89" s="22">
        <f t="shared" si="31"/>
        <v>0</v>
      </c>
      <c r="T89" s="22">
        <f t="shared" si="32"/>
        <v>3.1175999999999999</v>
      </c>
      <c r="U89" s="22">
        <f t="shared" si="33"/>
        <v>1.2762</v>
      </c>
      <c r="V89" s="21">
        <f t="shared" si="38"/>
        <v>0</v>
      </c>
      <c r="W89" s="21">
        <f t="shared" si="39"/>
        <v>0</v>
      </c>
      <c r="X89" s="21">
        <f t="shared" si="40"/>
        <v>0</v>
      </c>
      <c r="Y89" s="21">
        <f t="shared" si="41"/>
        <v>0</v>
      </c>
      <c r="Z89" s="221">
        <f t="shared" si="34"/>
        <v>0</v>
      </c>
      <c r="AA89" s="30">
        <f t="shared" si="22"/>
        <v>0</v>
      </c>
      <c r="AB89" s="30">
        <f t="shared" si="23"/>
        <v>0</v>
      </c>
      <c r="AC89" s="30">
        <f t="shared" si="24"/>
        <v>0</v>
      </c>
      <c r="AD89" s="30">
        <f t="shared" si="25"/>
        <v>0</v>
      </c>
      <c r="AE89" s="32">
        <f t="shared" si="35"/>
        <v>0</v>
      </c>
    </row>
    <row r="90" spans="1:31" x14ac:dyDescent="0.35">
      <c r="A90" s="48">
        <v>1351</v>
      </c>
      <c r="B90" s="58">
        <f>SUMIF([2]!Table2_23[ETA],'IAB Model'!A90,[2]!Table2_23[FIS PAX])</f>
        <v>0</v>
      </c>
      <c r="C90" s="44">
        <f t="shared" si="36"/>
        <v>0</v>
      </c>
      <c r="D90" s="52">
        <f t="shared" si="42"/>
        <v>0</v>
      </c>
      <c r="E90" s="26">
        <f t="shared" si="26"/>
        <v>0</v>
      </c>
      <c r="F90" s="26">
        <f t="shared" si="27"/>
        <v>0</v>
      </c>
      <c r="G90" s="26">
        <f t="shared" si="28"/>
        <v>0</v>
      </c>
      <c r="H90" s="26">
        <f t="shared" si="37"/>
        <v>0</v>
      </c>
      <c r="I90" s="27">
        <f t="shared" si="55"/>
        <v>8.2691999999999997</v>
      </c>
      <c r="J90" s="27">
        <f t="shared" si="55"/>
        <v>5.3369999999999997</v>
      </c>
      <c r="K90" s="27">
        <f t="shared" si="55"/>
        <v>3.1175999999999999</v>
      </c>
      <c r="L90" s="27">
        <f t="shared" si="55"/>
        <v>1.2762</v>
      </c>
      <c r="M90" s="28">
        <f t="shared" si="56"/>
        <v>0</v>
      </c>
      <c r="N90" s="29">
        <f t="shared" si="57"/>
        <v>18</v>
      </c>
      <c r="O90" s="28">
        <f t="shared" si="58"/>
        <v>0</v>
      </c>
      <c r="P90" s="28">
        <f t="shared" si="59"/>
        <v>0</v>
      </c>
      <c r="Q90" s="28">
        <f t="shared" si="29"/>
        <v>18</v>
      </c>
      <c r="R90" s="22">
        <f t="shared" si="30"/>
        <v>16.538399999999999</v>
      </c>
      <c r="S90" s="22">
        <f t="shared" si="31"/>
        <v>0</v>
      </c>
      <c r="T90" s="22">
        <f t="shared" si="32"/>
        <v>6.2351999999999999</v>
      </c>
      <c r="U90" s="22">
        <f t="shared" si="33"/>
        <v>2.5524</v>
      </c>
      <c r="V90" s="21">
        <f t="shared" si="38"/>
        <v>0</v>
      </c>
      <c r="W90" s="21">
        <f t="shared" si="39"/>
        <v>0</v>
      </c>
      <c r="X90" s="21">
        <f t="shared" si="40"/>
        <v>0</v>
      </c>
      <c r="Y90" s="21">
        <f t="shared" si="41"/>
        <v>0</v>
      </c>
      <c r="Z90" s="221">
        <f t="shared" si="34"/>
        <v>0</v>
      </c>
      <c r="AA90" s="30">
        <f t="shared" si="22"/>
        <v>0</v>
      </c>
      <c r="AB90" s="30">
        <f t="shared" si="23"/>
        <v>0</v>
      </c>
      <c r="AC90" s="30">
        <f t="shared" si="24"/>
        <v>0</v>
      </c>
      <c r="AD90" s="30">
        <f t="shared" si="25"/>
        <v>0</v>
      </c>
      <c r="AE90" s="32">
        <f t="shared" si="35"/>
        <v>0</v>
      </c>
    </row>
    <row r="91" spans="1:31" x14ac:dyDescent="0.35">
      <c r="A91" s="48">
        <v>1352</v>
      </c>
      <c r="B91" s="58">
        <f>SUMIF([2]!Table2_23[ETA],'IAB Model'!A91,[2]!Table2_23[FIS PAX])</f>
        <v>0</v>
      </c>
      <c r="C91" s="44">
        <f t="shared" si="36"/>
        <v>0</v>
      </c>
      <c r="D91" s="52">
        <f t="shared" si="42"/>
        <v>0</v>
      </c>
      <c r="E91" s="26">
        <f t="shared" si="26"/>
        <v>0</v>
      </c>
      <c r="F91" s="26">
        <f t="shared" si="27"/>
        <v>0</v>
      </c>
      <c r="G91" s="26">
        <f t="shared" si="28"/>
        <v>0</v>
      </c>
      <c r="H91" s="26">
        <f t="shared" si="37"/>
        <v>0</v>
      </c>
      <c r="I91" s="27">
        <f t="shared" si="55"/>
        <v>8.2691999999999997</v>
      </c>
      <c r="J91" s="27">
        <f t="shared" si="55"/>
        <v>5.3369999999999997</v>
      </c>
      <c r="K91" s="27">
        <f t="shared" si="55"/>
        <v>3.1175999999999999</v>
      </c>
      <c r="L91" s="27">
        <f t="shared" si="55"/>
        <v>1.2762</v>
      </c>
      <c r="M91" s="28">
        <f t="shared" si="56"/>
        <v>0</v>
      </c>
      <c r="N91" s="29">
        <f t="shared" si="57"/>
        <v>18</v>
      </c>
      <c r="O91" s="28">
        <f t="shared" si="58"/>
        <v>0</v>
      </c>
      <c r="P91" s="28">
        <f t="shared" si="59"/>
        <v>0</v>
      </c>
      <c r="Q91" s="28">
        <f t="shared" si="29"/>
        <v>18</v>
      </c>
      <c r="R91" s="22">
        <f t="shared" si="30"/>
        <v>24.807600000000001</v>
      </c>
      <c r="S91" s="22">
        <f t="shared" si="31"/>
        <v>0</v>
      </c>
      <c r="T91" s="22">
        <f t="shared" si="32"/>
        <v>9.3528000000000002</v>
      </c>
      <c r="U91" s="22">
        <f t="shared" si="33"/>
        <v>3.8285999999999998</v>
      </c>
      <c r="V91" s="21">
        <f t="shared" si="38"/>
        <v>0</v>
      </c>
      <c r="W91" s="21">
        <f t="shared" si="39"/>
        <v>0</v>
      </c>
      <c r="X91" s="21">
        <f t="shared" si="40"/>
        <v>0</v>
      </c>
      <c r="Y91" s="21">
        <f t="shared" si="41"/>
        <v>0</v>
      </c>
      <c r="Z91" s="221">
        <f t="shared" si="34"/>
        <v>0</v>
      </c>
      <c r="AA91" s="30">
        <f t="shared" si="22"/>
        <v>0</v>
      </c>
      <c r="AB91" s="30">
        <f t="shared" si="23"/>
        <v>0</v>
      </c>
      <c r="AC91" s="30">
        <f t="shared" si="24"/>
        <v>0</v>
      </c>
      <c r="AD91" s="30">
        <f t="shared" si="25"/>
        <v>0</v>
      </c>
      <c r="AE91" s="32">
        <f t="shared" si="35"/>
        <v>0</v>
      </c>
    </row>
    <row r="92" spans="1:31" x14ac:dyDescent="0.35">
      <c r="A92" s="48">
        <v>1353</v>
      </c>
      <c r="B92" s="58">
        <f>SUMIF([2]!Table2_23[ETA],'IAB Model'!A92,[2]!Table2_23[FIS PAX])</f>
        <v>0</v>
      </c>
      <c r="C92" s="44">
        <f t="shared" si="36"/>
        <v>0</v>
      </c>
      <c r="D92" s="52">
        <f t="shared" si="42"/>
        <v>0</v>
      </c>
      <c r="E92" s="26">
        <f t="shared" si="26"/>
        <v>0</v>
      </c>
      <c r="F92" s="26">
        <f t="shared" si="27"/>
        <v>0</v>
      </c>
      <c r="G92" s="26">
        <f t="shared" si="28"/>
        <v>0</v>
      </c>
      <c r="H92" s="26">
        <f t="shared" si="37"/>
        <v>0</v>
      </c>
      <c r="I92" s="27">
        <f t="shared" si="55"/>
        <v>8.2691999999999997</v>
      </c>
      <c r="J92" s="27">
        <f t="shared" si="55"/>
        <v>5.3369999999999997</v>
      </c>
      <c r="K92" s="27">
        <f t="shared" si="55"/>
        <v>3.1175999999999999</v>
      </c>
      <c r="L92" s="27">
        <f t="shared" si="55"/>
        <v>1.2762</v>
      </c>
      <c r="M92" s="28">
        <f t="shared" si="56"/>
        <v>0</v>
      </c>
      <c r="N92" s="29">
        <f t="shared" si="57"/>
        <v>18</v>
      </c>
      <c r="O92" s="28">
        <f t="shared" si="58"/>
        <v>0</v>
      </c>
      <c r="P92" s="28">
        <f t="shared" si="59"/>
        <v>0</v>
      </c>
      <c r="Q92" s="28">
        <f t="shared" si="29"/>
        <v>18</v>
      </c>
      <c r="R92" s="22">
        <f t="shared" si="30"/>
        <v>33.076799999999999</v>
      </c>
      <c r="S92" s="22">
        <f t="shared" si="31"/>
        <v>0</v>
      </c>
      <c r="T92" s="22">
        <f t="shared" si="32"/>
        <v>12.4704</v>
      </c>
      <c r="U92" s="22">
        <f t="shared" si="33"/>
        <v>5.1048</v>
      </c>
      <c r="V92" s="21">
        <f t="shared" si="38"/>
        <v>0</v>
      </c>
      <c r="W92" s="21">
        <f t="shared" si="39"/>
        <v>0</v>
      </c>
      <c r="X92" s="21">
        <f t="shared" si="40"/>
        <v>0</v>
      </c>
      <c r="Y92" s="21">
        <f t="shared" si="41"/>
        <v>0</v>
      </c>
      <c r="Z92" s="221">
        <f t="shared" si="34"/>
        <v>0</v>
      </c>
      <c r="AA92" s="30">
        <f t="shared" si="22"/>
        <v>0</v>
      </c>
      <c r="AB92" s="30">
        <f t="shared" si="23"/>
        <v>0</v>
      </c>
      <c r="AC92" s="30">
        <f t="shared" si="24"/>
        <v>0</v>
      </c>
      <c r="AD92" s="30">
        <f t="shared" si="25"/>
        <v>0</v>
      </c>
      <c r="AE92" s="32">
        <f t="shared" si="35"/>
        <v>0</v>
      </c>
    </row>
    <row r="93" spans="1:31" x14ac:dyDescent="0.35">
      <c r="A93" s="48">
        <v>1354</v>
      </c>
      <c r="B93" s="58">
        <f>SUMIF([2]!Table2_23[ETA],'IAB Model'!A93,[2]!Table2_23[FIS PAX])</f>
        <v>0</v>
      </c>
      <c r="C93" s="44">
        <f t="shared" si="36"/>
        <v>0</v>
      </c>
      <c r="D93" s="52">
        <f t="shared" si="42"/>
        <v>0</v>
      </c>
      <c r="E93" s="26">
        <f t="shared" si="26"/>
        <v>0</v>
      </c>
      <c r="F93" s="26">
        <f t="shared" si="27"/>
        <v>0</v>
      </c>
      <c r="G93" s="26">
        <f t="shared" si="28"/>
        <v>0</v>
      </c>
      <c r="H93" s="26">
        <f t="shared" si="37"/>
        <v>0</v>
      </c>
      <c r="I93" s="27">
        <f t="shared" si="55"/>
        <v>8.2691999999999997</v>
      </c>
      <c r="J93" s="27">
        <f t="shared" si="55"/>
        <v>5.3369999999999997</v>
      </c>
      <c r="K93" s="27">
        <f t="shared" si="55"/>
        <v>3.1175999999999999</v>
      </c>
      <c r="L93" s="27">
        <f t="shared" si="55"/>
        <v>1.2762</v>
      </c>
      <c r="M93" s="28">
        <f t="shared" si="56"/>
        <v>0</v>
      </c>
      <c r="N93" s="29">
        <f t="shared" si="57"/>
        <v>18</v>
      </c>
      <c r="O93" s="28">
        <f t="shared" si="58"/>
        <v>0</v>
      </c>
      <c r="P93" s="28">
        <f t="shared" si="59"/>
        <v>0</v>
      </c>
      <c r="Q93" s="28">
        <f t="shared" si="29"/>
        <v>18</v>
      </c>
      <c r="R93" s="22">
        <f t="shared" si="30"/>
        <v>41.345999999999997</v>
      </c>
      <c r="S93" s="22">
        <f t="shared" si="31"/>
        <v>0</v>
      </c>
      <c r="T93" s="22">
        <f t="shared" si="32"/>
        <v>15.587999999999999</v>
      </c>
      <c r="U93" s="22">
        <f t="shared" si="33"/>
        <v>6.3810000000000002</v>
      </c>
      <c r="V93" s="21">
        <f t="shared" si="38"/>
        <v>0</v>
      </c>
      <c r="W93" s="21">
        <f t="shared" si="39"/>
        <v>0</v>
      </c>
      <c r="X93" s="21">
        <f t="shared" si="40"/>
        <v>0</v>
      </c>
      <c r="Y93" s="21">
        <f t="shared" si="41"/>
        <v>0</v>
      </c>
      <c r="Z93" s="221">
        <f t="shared" si="34"/>
        <v>0</v>
      </c>
      <c r="AA93" s="30">
        <f t="shared" si="22"/>
        <v>0</v>
      </c>
      <c r="AB93" s="30">
        <f t="shared" si="23"/>
        <v>0</v>
      </c>
      <c r="AC93" s="30">
        <f t="shared" si="24"/>
        <v>0</v>
      </c>
      <c r="AD93" s="30">
        <f t="shared" si="25"/>
        <v>0</v>
      </c>
      <c r="AE93" s="32">
        <f t="shared" si="35"/>
        <v>0</v>
      </c>
    </row>
    <row r="94" spans="1:31" x14ac:dyDescent="0.35">
      <c r="A94" s="48">
        <v>1355</v>
      </c>
      <c r="B94" s="58">
        <f>SUMIF([2]!Table2_23[ETA],'IAB Model'!A94,[2]!Table2_23[FIS PAX])</f>
        <v>0</v>
      </c>
      <c r="C94" s="44">
        <f t="shared" si="36"/>
        <v>0</v>
      </c>
      <c r="D94" s="52">
        <f t="shared" si="42"/>
        <v>0</v>
      </c>
      <c r="E94" s="26">
        <f t="shared" si="26"/>
        <v>0</v>
      </c>
      <c r="F94" s="26">
        <f t="shared" si="27"/>
        <v>0</v>
      </c>
      <c r="G94" s="26">
        <f t="shared" si="28"/>
        <v>0</v>
      </c>
      <c r="H94" s="26">
        <f t="shared" si="37"/>
        <v>0</v>
      </c>
      <c r="I94" s="27">
        <f t="shared" si="55"/>
        <v>8.2691999999999997</v>
      </c>
      <c r="J94" s="27">
        <f t="shared" si="55"/>
        <v>5.3369999999999997</v>
      </c>
      <c r="K94" s="27">
        <f t="shared" si="55"/>
        <v>3.1175999999999999</v>
      </c>
      <c r="L94" s="27">
        <f t="shared" si="55"/>
        <v>1.2762</v>
      </c>
      <c r="M94" s="28">
        <f t="shared" si="56"/>
        <v>0</v>
      </c>
      <c r="N94" s="29">
        <f t="shared" si="57"/>
        <v>18</v>
      </c>
      <c r="O94" s="28">
        <f t="shared" si="58"/>
        <v>0</v>
      </c>
      <c r="P94" s="28">
        <f t="shared" si="59"/>
        <v>0</v>
      </c>
      <c r="Q94" s="28">
        <f t="shared" si="29"/>
        <v>18</v>
      </c>
      <c r="R94" s="22">
        <f t="shared" si="30"/>
        <v>49.615199999999994</v>
      </c>
      <c r="S94" s="22">
        <f t="shared" si="31"/>
        <v>0</v>
      </c>
      <c r="T94" s="22">
        <f t="shared" si="32"/>
        <v>18.7056</v>
      </c>
      <c r="U94" s="22">
        <f t="shared" si="33"/>
        <v>7.6572000000000005</v>
      </c>
      <c r="V94" s="21">
        <f t="shared" si="38"/>
        <v>0</v>
      </c>
      <c r="W94" s="21">
        <f t="shared" si="39"/>
        <v>0</v>
      </c>
      <c r="X94" s="21">
        <f t="shared" si="40"/>
        <v>0</v>
      </c>
      <c r="Y94" s="21">
        <f t="shared" si="41"/>
        <v>0</v>
      </c>
      <c r="Z94" s="221">
        <f t="shared" si="34"/>
        <v>0</v>
      </c>
      <c r="AA94" s="30">
        <f t="shared" si="22"/>
        <v>0</v>
      </c>
      <c r="AB94" s="30">
        <f t="shared" si="23"/>
        <v>0</v>
      </c>
      <c r="AC94" s="30">
        <f t="shared" si="24"/>
        <v>0</v>
      </c>
      <c r="AD94" s="30">
        <f t="shared" si="25"/>
        <v>0</v>
      </c>
      <c r="AE94" s="32">
        <f t="shared" si="35"/>
        <v>0</v>
      </c>
    </row>
    <row r="95" spans="1:31" x14ac:dyDescent="0.35">
      <c r="A95" s="48">
        <v>1356</v>
      </c>
      <c r="B95" s="58">
        <f>SUMIF([2]!Table2_23[ETA],'IAB Model'!A95,[2]!Table2_23[FIS PAX])</f>
        <v>0</v>
      </c>
      <c r="C95" s="44">
        <f t="shared" si="36"/>
        <v>0</v>
      </c>
      <c r="D95" s="52">
        <f t="shared" si="42"/>
        <v>0</v>
      </c>
      <c r="E95" s="26">
        <f t="shared" si="26"/>
        <v>0</v>
      </c>
      <c r="F95" s="26">
        <f t="shared" si="27"/>
        <v>0</v>
      </c>
      <c r="G95" s="26">
        <f t="shared" si="28"/>
        <v>0</v>
      </c>
      <c r="H95" s="26">
        <f t="shared" si="37"/>
        <v>0</v>
      </c>
      <c r="I95" s="27">
        <f t="shared" si="55"/>
        <v>8.2691999999999997</v>
      </c>
      <c r="J95" s="27">
        <f t="shared" si="55"/>
        <v>5.3369999999999997</v>
      </c>
      <c r="K95" s="27">
        <f t="shared" si="55"/>
        <v>3.1175999999999999</v>
      </c>
      <c r="L95" s="27">
        <f t="shared" si="55"/>
        <v>1.2762</v>
      </c>
      <c r="M95" s="28">
        <f t="shared" si="56"/>
        <v>0</v>
      </c>
      <c r="N95" s="29">
        <f t="shared" si="57"/>
        <v>18</v>
      </c>
      <c r="O95" s="28">
        <f t="shared" si="58"/>
        <v>0</v>
      </c>
      <c r="P95" s="28">
        <f t="shared" si="59"/>
        <v>0</v>
      </c>
      <c r="Q95" s="28">
        <f t="shared" si="29"/>
        <v>18</v>
      </c>
      <c r="R95" s="22">
        <f t="shared" si="30"/>
        <v>57.884399999999992</v>
      </c>
      <c r="S95" s="22">
        <f t="shared" si="31"/>
        <v>0</v>
      </c>
      <c r="T95" s="22">
        <f t="shared" si="32"/>
        <v>21.8232</v>
      </c>
      <c r="U95" s="22">
        <f t="shared" si="33"/>
        <v>8.9334000000000007</v>
      </c>
      <c r="V95" s="21">
        <f t="shared" si="38"/>
        <v>0</v>
      </c>
      <c r="W95" s="21">
        <f t="shared" si="39"/>
        <v>0</v>
      </c>
      <c r="X95" s="21">
        <f t="shared" si="40"/>
        <v>0</v>
      </c>
      <c r="Y95" s="21">
        <f t="shared" si="41"/>
        <v>0</v>
      </c>
      <c r="Z95" s="221">
        <f t="shared" si="34"/>
        <v>0</v>
      </c>
      <c r="AA95" s="30">
        <f t="shared" si="22"/>
        <v>0</v>
      </c>
      <c r="AB95" s="30">
        <f t="shared" si="23"/>
        <v>0</v>
      </c>
      <c r="AC95" s="30">
        <f t="shared" si="24"/>
        <v>0</v>
      </c>
      <c r="AD95" s="30">
        <f t="shared" si="25"/>
        <v>0</v>
      </c>
      <c r="AE95" s="32">
        <f t="shared" si="35"/>
        <v>0</v>
      </c>
    </row>
    <row r="96" spans="1:31" x14ac:dyDescent="0.35">
      <c r="A96" s="48">
        <v>1357</v>
      </c>
      <c r="B96" s="58">
        <f>SUMIF([2]!Table2_23[ETA],'IAB Model'!A96,[2]!Table2_23[FIS PAX])</f>
        <v>0</v>
      </c>
      <c r="C96" s="44">
        <f t="shared" si="36"/>
        <v>0</v>
      </c>
      <c r="D96" s="52">
        <f t="shared" si="42"/>
        <v>0</v>
      </c>
      <c r="E96" s="26">
        <f t="shared" si="26"/>
        <v>0</v>
      </c>
      <c r="F96" s="26">
        <f t="shared" si="27"/>
        <v>0</v>
      </c>
      <c r="G96" s="26">
        <f t="shared" si="28"/>
        <v>0</v>
      </c>
      <c r="H96" s="26">
        <f t="shared" si="37"/>
        <v>0</v>
      </c>
      <c r="I96" s="27">
        <f t="shared" si="55"/>
        <v>8.2691999999999997</v>
      </c>
      <c r="J96" s="27">
        <f t="shared" si="55"/>
        <v>5.3369999999999997</v>
      </c>
      <c r="K96" s="27">
        <f t="shared" si="55"/>
        <v>3.1175999999999999</v>
      </c>
      <c r="L96" s="27">
        <f t="shared" si="55"/>
        <v>1.2762</v>
      </c>
      <c r="M96" s="28">
        <f t="shared" si="56"/>
        <v>0</v>
      </c>
      <c r="N96" s="29">
        <f t="shared" si="57"/>
        <v>18</v>
      </c>
      <c r="O96" s="28">
        <f t="shared" si="58"/>
        <v>0</v>
      </c>
      <c r="P96" s="28">
        <f t="shared" si="59"/>
        <v>0</v>
      </c>
      <c r="Q96" s="28">
        <f t="shared" si="29"/>
        <v>18</v>
      </c>
      <c r="R96" s="22">
        <f t="shared" si="30"/>
        <v>66.153599999999997</v>
      </c>
      <c r="S96" s="22">
        <f t="shared" si="31"/>
        <v>0</v>
      </c>
      <c r="T96" s="22">
        <f t="shared" si="32"/>
        <v>24.940799999999999</v>
      </c>
      <c r="U96" s="22">
        <f t="shared" si="33"/>
        <v>10.2096</v>
      </c>
      <c r="V96" s="21">
        <f t="shared" si="38"/>
        <v>0</v>
      </c>
      <c r="W96" s="21">
        <f t="shared" si="39"/>
        <v>0</v>
      </c>
      <c r="X96" s="21">
        <f t="shared" si="40"/>
        <v>0</v>
      </c>
      <c r="Y96" s="21">
        <f t="shared" si="41"/>
        <v>0</v>
      </c>
      <c r="Z96" s="221">
        <f t="shared" si="34"/>
        <v>0</v>
      </c>
      <c r="AA96" s="30">
        <f t="shared" si="22"/>
        <v>0</v>
      </c>
      <c r="AB96" s="30">
        <f t="shared" si="23"/>
        <v>0</v>
      </c>
      <c r="AC96" s="30">
        <f t="shared" si="24"/>
        <v>0</v>
      </c>
      <c r="AD96" s="30">
        <f t="shared" si="25"/>
        <v>0</v>
      </c>
      <c r="AE96" s="32">
        <f t="shared" si="35"/>
        <v>0</v>
      </c>
    </row>
    <row r="97" spans="1:31" x14ac:dyDescent="0.35">
      <c r="A97" s="48">
        <v>1358</v>
      </c>
      <c r="B97" s="58">
        <f>SUMIF([2]!Table2_23[ETA],'IAB Model'!A97,[2]!Table2_23[FIS PAX])</f>
        <v>0</v>
      </c>
      <c r="C97" s="44">
        <f t="shared" si="36"/>
        <v>0</v>
      </c>
      <c r="D97" s="52">
        <f t="shared" si="42"/>
        <v>0</v>
      </c>
      <c r="E97" s="26">
        <f t="shared" si="26"/>
        <v>0</v>
      </c>
      <c r="F97" s="26">
        <f t="shared" si="27"/>
        <v>0</v>
      </c>
      <c r="G97" s="26">
        <f t="shared" si="28"/>
        <v>0</v>
      </c>
      <c r="H97" s="26">
        <f t="shared" si="37"/>
        <v>0</v>
      </c>
      <c r="I97" s="27">
        <f t="shared" si="55"/>
        <v>3.6751999999999998</v>
      </c>
      <c r="J97" s="27">
        <f t="shared" si="55"/>
        <v>2.3719999999999999</v>
      </c>
      <c r="K97" s="27">
        <f t="shared" si="55"/>
        <v>1.3855999999999999</v>
      </c>
      <c r="L97" s="27">
        <f t="shared" si="55"/>
        <v>0.56720000000000004</v>
      </c>
      <c r="M97" s="28">
        <f t="shared" si="56"/>
        <v>0</v>
      </c>
      <c r="N97" s="29">
        <f t="shared" si="57"/>
        <v>18</v>
      </c>
      <c r="O97" s="28">
        <f t="shared" si="58"/>
        <v>0</v>
      </c>
      <c r="P97" s="28">
        <f t="shared" si="59"/>
        <v>0</v>
      </c>
      <c r="Q97" s="28">
        <f t="shared" si="29"/>
        <v>18</v>
      </c>
      <c r="R97" s="22">
        <f t="shared" si="30"/>
        <v>69.828800000000001</v>
      </c>
      <c r="S97" s="22">
        <f t="shared" si="31"/>
        <v>0</v>
      </c>
      <c r="T97" s="22">
        <f t="shared" si="32"/>
        <v>26.3264</v>
      </c>
      <c r="U97" s="22">
        <f t="shared" si="33"/>
        <v>10.7768</v>
      </c>
      <c r="V97" s="21">
        <f t="shared" si="38"/>
        <v>0</v>
      </c>
      <c r="W97" s="21">
        <f t="shared" si="39"/>
        <v>0</v>
      </c>
      <c r="X97" s="21">
        <f t="shared" si="40"/>
        <v>0</v>
      </c>
      <c r="Y97" s="21">
        <f t="shared" si="41"/>
        <v>0</v>
      </c>
      <c r="Z97" s="221">
        <f t="shared" si="34"/>
        <v>0</v>
      </c>
      <c r="AA97" s="30">
        <f t="shared" si="22"/>
        <v>0</v>
      </c>
      <c r="AB97" s="30">
        <f t="shared" si="23"/>
        <v>0</v>
      </c>
      <c r="AC97" s="30">
        <f t="shared" si="24"/>
        <v>0</v>
      </c>
      <c r="AD97" s="30">
        <f t="shared" si="25"/>
        <v>0</v>
      </c>
      <c r="AE97" s="32">
        <f t="shared" si="35"/>
        <v>0</v>
      </c>
    </row>
    <row r="98" spans="1:31" x14ac:dyDescent="0.35">
      <c r="A98" s="48">
        <v>1359</v>
      </c>
      <c r="B98" s="58">
        <f>SUMIF([2]!Table2_23[ETA],'IAB Model'!A98,[2]!Table2_23[FIS PAX])</f>
        <v>0</v>
      </c>
      <c r="C98" s="44">
        <f t="shared" si="36"/>
        <v>0</v>
      </c>
      <c r="D98" s="52">
        <f t="shared" si="42"/>
        <v>0</v>
      </c>
      <c r="E98" s="26">
        <f t="shared" si="26"/>
        <v>0</v>
      </c>
      <c r="F98" s="26">
        <f t="shared" si="27"/>
        <v>0</v>
      </c>
      <c r="G98" s="26">
        <f t="shared" si="28"/>
        <v>0</v>
      </c>
      <c r="H98" s="26">
        <f t="shared" si="37"/>
        <v>0</v>
      </c>
      <c r="I98" s="27">
        <f t="shared" si="55"/>
        <v>0</v>
      </c>
      <c r="J98" s="27">
        <f t="shared" si="55"/>
        <v>0</v>
      </c>
      <c r="K98" s="27">
        <f t="shared" si="55"/>
        <v>0</v>
      </c>
      <c r="L98" s="27">
        <f t="shared" si="55"/>
        <v>0</v>
      </c>
      <c r="M98" s="28">
        <f t="shared" si="56"/>
        <v>0</v>
      </c>
      <c r="N98" s="29">
        <f t="shared" si="57"/>
        <v>18</v>
      </c>
      <c r="O98" s="28">
        <f t="shared" si="58"/>
        <v>0</v>
      </c>
      <c r="P98" s="28">
        <f t="shared" si="59"/>
        <v>0</v>
      </c>
      <c r="Q98" s="28">
        <f t="shared" si="29"/>
        <v>18</v>
      </c>
      <c r="R98" s="22">
        <f t="shared" si="30"/>
        <v>69.828800000000001</v>
      </c>
      <c r="S98" s="22">
        <f t="shared" si="31"/>
        <v>0</v>
      </c>
      <c r="T98" s="22">
        <f t="shared" si="32"/>
        <v>26.3264</v>
      </c>
      <c r="U98" s="22">
        <f t="shared" si="33"/>
        <v>10.7768</v>
      </c>
      <c r="V98" s="21">
        <f t="shared" si="38"/>
        <v>0</v>
      </c>
      <c r="W98" s="21">
        <f t="shared" si="39"/>
        <v>0</v>
      </c>
      <c r="X98" s="21">
        <f t="shared" si="40"/>
        <v>0</v>
      </c>
      <c r="Y98" s="21">
        <f t="shared" si="41"/>
        <v>0</v>
      </c>
      <c r="Z98" s="221">
        <f t="shared" si="34"/>
        <v>0</v>
      </c>
      <c r="AA98" s="30">
        <f t="shared" si="22"/>
        <v>0</v>
      </c>
      <c r="AB98" s="30">
        <f t="shared" si="23"/>
        <v>0</v>
      </c>
      <c r="AC98" s="30">
        <f t="shared" si="24"/>
        <v>0</v>
      </c>
      <c r="AD98" s="30">
        <f t="shared" si="25"/>
        <v>0</v>
      </c>
      <c r="AE98" s="32">
        <f t="shared" si="35"/>
        <v>0</v>
      </c>
    </row>
    <row r="99" spans="1:31" x14ac:dyDescent="0.35">
      <c r="A99" s="48">
        <v>1400</v>
      </c>
      <c r="B99" s="58">
        <f>SUMIF([2]!Table2_23[ETA],'IAB Model'!A99,[2]!Table2_23[FIS PAX])</f>
        <v>0</v>
      </c>
      <c r="C99" s="44">
        <f t="shared" si="36"/>
        <v>0</v>
      </c>
      <c r="D99" s="52">
        <f t="shared" si="42"/>
        <v>0</v>
      </c>
      <c r="E99" s="26">
        <f t="shared" si="26"/>
        <v>0</v>
      </c>
      <c r="F99" s="26">
        <f t="shared" si="27"/>
        <v>0</v>
      </c>
      <c r="G99" s="26">
        <f t="shared" si="28"/>
        <v>0</v>
      </c>
      <c r="H99" s="26">
        <f t="shared" si="37"/>
        <v>0</v>
      </c>
      <c r="I99" s="27">
        <f t="shared" si="55"/>
        <v>0</v>
      </c>
      <c r="J99" s="27">
        <f t="shared" si="55"/>
        <v>0</v>
      </c>
      <c r="K99" s="27">
        <f t="shared" si="55"/>
        <v>0</v>
      </c>
      <c r="L99" s="27">
        <f t="shared" si="55"/>
        <v>0</v>
      </c>
      <c r="M99" s="28">
        <f t="shared" si="56"/>
        <v>0</v>
      </c>
      <c r="N99" s="29">
        <f t="shared" si="57"/>
        <v>18</v>
      </c>
      <c r="O99" s="28">
        <f t="shared" si="58"/>
        <v>0</v>
      </c>
      <c r="P99" s="28">
        <f t="shared" si="59"/>
        <v>0</v>
      </c>
      <c r="Q99" s="28">
        <f t="shared" si="29"/>
        <v>18</v>
      </c>
      <c r="R99" s="22">
        <f t="shared" si="30"/>
        <v>69.828800000000001</v>
      </c>
      <c r="S99" s="22">
        <f t="shared" si="31"/>
        <v>0</v>
      </c>
      <c r="T99" s="22">
        <f t="shared" si="32"/>
        <v>26.3264</v>
      </c>
      <c r="U99" s="22">
        <f t="shared" si="33"/>
        <v>10.7768</v>
      </c>
      <c r="V99" s="21">
        <f t="shared" si="38"/>
        <v>0</v>
      </c>
      <c r="W99" s="21">
        <f t="shared" si="39"/>
        <v>0</v>
      </c>
      <c r="X99" s="21">
        <f t="shared" si="40"/>
        <v>0</v>
      </c>
      <c r="Y99" s="21">
        <f t="shared" si="41"/>
        <v>0</v>
      </c>
      <c r="Z99" s="221">
        <f t="shared" si="34"/>
        <v>0</v>
      </c>
      <c r="AA99" s="30">
        <f t="shared" si="22"/>
        <v>0</v>
      </c>
      <c r="AB99" s="30">
        <f t="shared" si="23"/>
        <v>0</v>
      </c>
      <c r="AC99" s="30">
        <f t="shared" si="24"/>
        <v>0</v>
      </c>
      <c r="AD99" s="30">
        <f t="shared" si="25"/>
        <v>0</v>
      </c>
      <c r="AE99" s="32">
        <f t="shared" si="35"/>
        <v>0</v>
      </c>
    </row>
    <row r="100" spans="1:31" x14ac:dyDescent="0.35">
      <c r="A100" s="48">
        <v>1401</v>
      </c>
      <c r="B100" s="58">
        <f>SUMIF([2]!Table2_23[ETA],'IAB Model'!A100,[2]!Table2_23[FIS PAX])</f>
        <v>0</v>
      </c>
      <c r="C100" s="44">
        <f t="shared" si="36"/>
        <v>0</v>
      </c>
      <c r="D100" s="52">
        <f t="shared" si="42"/>
        <v>0</v>
      </c>
      <c r="E100" s="26">
        <f t="shared" si="26"/>
        <v>0</v>
      </c>
      <c r="F100" s="26">
        <f t="shared" si="27"/>
        <v>0</v>
      </c>
      <c r="G100" s="26">
        <f t="shared" si="28"/>
        <v>0</v>
      </c>
      <c r="H100" s="26">
        <f t="shared" si="37"/>
        <v>0</v>
      </c>
      <c r="I100" s="27">
        <f t="shared" si="55"/>
        <v>0</v>
      </c>
      <c r="J100" s="27">
        <f t="shared" si="55"/>
        <v>0</v>
      </c>
      <c r="K100" s="27">
        <f t="shared" si="55"/>
        <v>0</v>
      </c>
      <c r="L100" s="27">
        <f t="shared" si="55"/>
        <v>0</v>
      </c>
      <c r="M100" s="28">
        <f>IF(R99=0,0,$Q$10)</f>
        <v>11</v>
      </c>
      <c r="N100" s="29">
        <f>$U$10-M100-O100-P100</f>
        <v>4</v>
      </c>
      <c r="O100" s="28">
        <f>IF(T99=0,0,$S$10)</f>
        <v>2</v>
      </c>
      <c r="P100" s="28">
        <f>IF(U99=0,0,$T$10)</f>
        <v>1</v>
      </c>
      <c r="Q100" s="28">
        <f t="shared" si="29"/>
        <v>18</v>
      </c>
      <c r="R100" s="22">
        <f t="shared" si="30"/>
        <v>46.677212816322495</v>
      </c>
      <c r="S100" s="22">
        <f t="shared" si="31"/>
        <v>0</v>
      </c>
      <c r="T100" s="22">
        <f t="shared" si="32"/>
        <v>21.364446508098201</v>
      </c>
      <c r="U100" s="22">
        <f t="shared" si="33"/>
        <v>8.940466962640345</v>
      </c>
      <c r="V100" s="21">
        <f t="shared" si="38"/>
        <v>1.7137326516363638</v>
      </c>
      <c r="W100" s="21">
        <f t="shared" si="39"/>
        <v>0</v>
      </c>
      <c r="X100" s="21">
        <f t="shared" si="40"/>
        <v>3.6598044623999999</v>
      </c>
      <c r="Y100" s="21">
        <f t="shared" si="41"/>
        <v>4.1383544072000005</v>
      </c>
      <c r="Z100" s="221">
        <f t="shared" si="34"/>
        <v>2</v>
      </c>
      <c r="AA100" s="30">
        <f t="shared" si="22"/>
        <v>23.15158718367751</v>
      </c>
      <c r="AB100" s="30">
        <f t="shared" si="23"/>
        <v>0</v>
      </c>
      <c r="AC100" s="30">
        <f t="shared" si="24"/>
        <v>4.9619534919017996</v>
      </c>
      <c r="AD100" s="30">
        <f t="shared" si="25"/>
        <v>1.8363330373596554</v>
      </c>
      <c r="AE100" s="32">
        <f t="shared" si="35"/>
        <v>29.949873712938963</v>
      </c>
    </row>
    <row r="101" spans="1:31" x14ac:dyDescent="0.35">
      <c r="A101" s="48">
        <v>1402</v>
      </c>
      <c r="B101" s="58">
        <f>SUMIF([2]!Table2_23[ETA],'IAB Model'!A101,[2]!Table2_23[FIS PAX])</f>
        <v>0</v>
      </c>
      <c r="C101" s="44">
        <f t="shared" si="36"/>
        <v>0</v>
      </c>
      <c r="D101" s="52">
        <f t="shared" si="42"/>
        <v>0</v>
      </c>
      <c r="E101" s="26">
        <f t="shared" si="26"/>
        <v>0</v>
      </c>
      <c r="F101" s="26">
        <f t="shared" si="27"/>
        <v>0</v>
      </c>
      <c r="G101" s="26">
        <f t="shared" si="28"/>
        <v>0</v>
      </c>
      <c r="H101" s="26">
        <f t="shared" si="37"/>
        <v>0</v>
      </c>
      <c r="I101" s="27">
        <f t="shared" si="55"/>
        <v>0</v>
      </c>
      <c r="J101" s="27">
        <f t="shared" si="55"/>
        <v>0</v>
      </c>
      <c r="K101" s="27">
        <f t="shared" si="55"/>
        <v>0</v>
      </c>
      <c r="L101" s="27">
        <f t="shared" si="55"/>
        <v>0</v>
      </c>
      <c r="M101" s="28">
        <f>$M$100</f>
        <v>11</v>
      </c>
      <c r="N101" s="29">
        <f>$N$100</f>
        <v>4</v>
      </c>
      <c r="O101" s="28">
        <f>$O$100</f>
        <v>2</v>
      </c>
      <c r="P101" s="28">
        <f>$P$100</f>
        <v>1</v>
      </c>
      <c r="Q101" s="28">
        <f t="shared" si="29"/>
        <v>18</v>
      </c>
      <c r="R101" s="22">
        <f t="shared" si="30"/>
        <v>23.525625632644985</v>
      </c>
      <c r="S101" s="22">
        <f t="shared" si="31"/>
        <v>0</v>
      </c>
      <c r="T101" s="22">
        <f t="shared" si="32"/>
        <v>16.402493016196402</v>
      </c>
      <c r="U101" s="22">
        <f t="shared" si="33"/>
        <v>7.1041339252806894</v>
      </c>
      <c r="V101" s="21">
        <f t="shared" si="38"/>
        <v>0.86373265163636392</v>
      </c>
      <c r="W101" s="21">
        <f t="shared" si="39"/>
        <v>0</v>
      </c>
      <c r="X101" s="21">
        <f t="shared" si="40"/>
        <v>2.8098044624000003</v>
      </c>
      <c r="Y101" s="21">
        <f t="shared" si="41"/>
        <v>3.2883544071999999</v>
      </c>
      <c r="Z101" s="221">
        <f t="shared" si="34"/>
        <v>2</v>
      </c>
      <c r="AA101" s="30">
        <f t="shared" si="22"/>
        <v>23.15158718367751</v>
      </c>
      <c r="AB101" s="30">
        <f t="shared" si="23"/>
        <v>0</v>
      </c>
      <c r="AC101" s="30">
        <f t="shared" si="24"/>
        <v>4.9619534919017996</v>
      </c>
      <c r="AD101" s="30">
        <f t="shared" si="25"/>
        <v>1.8363330373596554</v>
      </c>
      <c r="AE101" s="32">
        <f t="shared" si="35"/>
        <v>29.949873712938963</v>
      </c>
    </row>
    <row r="102" spans="1:31" x14ac:dyDescent="0.35">
      <c r="A102" s="48">
        <v>1403</v>
      </c>
      <c r="B102" s="58">
        <f>SUMIF([2]!Table2_23[ETA],'IAB Model'!A102,[2]!Table2_23[FIS PAX])</f>
        <v>0</v>
      </c>
      <c r="C102" s="44">
        <f t="shared" si="36"/>
        <v>0</v>
      </c>
      <c r="D102" s="52">
        <f t="shared" si="42"/>
        <v>0</v>
      </c>
      <c r="E102" s="26">
        <f t="shared" si="26"/>
        <v>0</v>
      </c>
      <c r="F102" s="26">
        <f t="shared" si="27"/>
        <v>0</v>
      </c>
      <c r="G102" s="26">
        <f t="shared" si="28"/>
        <v>0</v>
      </c>
      <c r="H102" s="26">
        <f t="shared" si="37"/>
        <v>0</v>
      </c>
      <c r="I102" s="27">
        <f t="shared" si="55"/>
        <v>0</v>
      </c>
      <c r="J102" s="27">
        <f t="shared" si="55"/>
        <v>0</v>
      </c>
      <c r="K102" s="27">
        <f t="shared" si="55"/>
        <v>0</v>
      </c>
      <c r="L102" s="27">
        <f t="shared" si="55"/>
        <v>0</v>
      </c>
      <c r="M102" s="28">
        <f t="shared" ref="M102:M114" si="60">$M$100</f>
        <v>11</v>
      </c>
      <c r="N102" s="29">
        <f t="shared" ref="N102:N114" si="61">$N$100</f>
        <v>4</v>
      </c>
      <c r="O102" s="28">
        <f t="shared" ref="O102:O114" si="62">$O$100</f>
        <v>2</v>
      </c>
      <c r="P102" s="28">
        <f t="shared" ref="P102:P114" si="63">$P$100</f>
        <v>1</v>
      </c>
      <c r="Q102" s="28">
        <f t="shared" si="29"/>
        <v>18</v>
      </c>
      <c r="R102" s="22">
        <f t="shared" si="30"/>
        <v>0.37403844896747529</v>
      </c>
      <c r="S102" s="22">
        <f t="shared" si="31"/>
        <v>0</v>
      </c>
      <c r="T102" s="22">
        <f t="shared" si="32"/>
        <v>11.440539524294604</v>
      </c>
      <c r="U102" s="22">
        <f t="shared" si="33"/>
        <v>5.2678008879210338</v>
      </c>
      <c r="V102" s="21">
        <f t="shared" si="38"/>
        <v>1.373265163636405E-2</v>
      </c>
      <c r="W102" s="21">
        <f t="shared" si="39"/>
        <v>0</v>
      </c>
      <c r="X102" s="21">
        <f t="shared" si="40"/>
        <v>1.9598044624000006</v>
      </c>
      <c r="Y102" s="21">
        <f t="shared" si="41"/>
        <v>2.4383544072000003</v>
      </c>
      <c r="Z102" s="221">
        <f t="shared" si="34"/>
        <v>1</v>
      </c>
      <c r="AA102" s="30">
        <f t="shared" si="22"/>
        <v>23.15158718367751</v>
      </c>
      <c r="AB102" s="30">
        <f t="shared" si="23"/>
        <v>0</v>
      </c>
      <c r="AC102" s="30">
        <f t="shared" si="24"/>
        <v>4.9619534919017996</v>
      </c>
      <c r="AD102" s="30">
        <f t="shared" si="25"/>
        <v>1.8363330373596554</v>
      </c>
      <c r="AE102" s="32">
        <f t="shared" si="35"/>
        <v>29.949873712938963</v>
      </c>
    </row>
    <row r="103" spans="1:31" x14ac:dyDescent="0.35">
      <c r="A103" s="48">
        <v>1404</v>
      </c>
      <c r="B103" s="58">
        <f>SUMIF([2]!Table2_23[ETA],'IAB Model'!A103,[2]!Table2_23[FIS PAX])</f>
        <v>0</v>
      </c>
      <c r="C103" s="44">
        <f t="shared" si="36"/>
        <v>0</v>
      </c>
      <c r="D103" s="52">
        <f t="shared" si="42"/>
        <v>0</v>
      </c>
      <c r="E103" s="26">
        <f t="shared" si="26"/>
        <v>0</v>
      </c>
      <c r="F103" s="26">
        <f t="shared" si="27"/>
        <v>0</v>
      </c>
      <c r="G103" s="26">
        <f t="shared" si="28"/>
        <v>0</v>
      </c>
      <c r="H103" s="26">
        <f t="shared" si="37"/>
        <v>0</v>
      </c>
      <c r="I103" s="27">
        <f t="shared" ref="I103:L118" si="64">E88</f>
        <v>0</v>
      </c>
      <c r="J103" s="27">
        <f t="shared" si="64"/>
        <v>0</v>
      </c>
      <c r="K103" s="27">
        <f t="shared" si="64"/>
        <v>0</v>
      </c>
      <c r="L103" s="27">
        <f t="shared" si="64"/>
        <v>0</v>
      </c>
      <c r="M103" s="28">
        <f t="shared" si="60"/>
        <v>11</v>
      </c>
      <c r="N103" s="29">
        <f t="shared" si="61"/>
        <v>4</v>
      </c>
      <c r="O103" s="28">
        <f t="shared" si="62"/>
        <v>2</v>
      </c>
      <c r="P103" s="28">
        <f t="shared" si="63"/>
        <v>1</v>
      </c>
      <c r="Q103" s="28">
        <f t="shared" si="29"/>
        <v>18</v>
      </c>
      <c r="R103" s="22">
        <f t="shared" si="30"/>
        <v>0</v>
      </c>
      <c r="S103" s="22">
        <f t="shared" si="31"/>
        <v>0</v>
      </c>
      <c r="T103" s="22">
        <f t="shared" si="32"/>
        <v>6.478586032392804</v>
      </c>
      <c r="U103" s="22">
        <f t="shared" si="33"/>
        <v>3.4314678505613783</v>
      </c>
      <c r="V103" s="21">
        <f t="shared" si="38"/>
        <v>0</v>
      </c>
      <c r="W103" s="21">
        <f t="shared" si="39"/>
        <v>0</v>
      </c>
      <c r="X103" s="21">
        <f t="shared" si="40"/>
        <v>1.1098044624000007</v>
      </c>
      <c r="Y103" s="21">
        <f t="shared" si="41"/>
        <v>1.5883544072000002</v>
      </c>
      <c r="Z103" s="221">
        <f t="shared" si="34"/>
        <v>1</v>
      </c>
      <c r="AA103" s="30">
        <f t="shared" ref="AA103:AA166" si="65">IF(R103&lt;&gt;0,($J$30*M103*$L$33),0)</f>
        <v>0</v>
      </c>
      <c r="AB103" s="30">
        <f t="shared" ref="AB103:AB166" si="66">IF(W103&lt;&gt;0,($J$31*N103*$L$33),0)</f>
        <v>0</v>
      </c>
      <c r="AC103" s="30">
        <f t="shared" ref="AC103:AC166" si="67">IF(X103&lt;&gt;0,($J$32*O103*$L$33),0)</f>
        <v>4.9619534919017996</v>
      </c>
      <c r="AD103" s="30">
        <f t="shared" ref="AD103:AD166" si="68">IF(Y103&lt;&gt;0,($J$33*P103*$L$33),0)</f>
        <v>1.8363330373596554</v>
      </c>
      <c r="AE103" s="32">
        <f t="shared" si="35"/>
        <v>6.7982865292614552</v>
      </c>
    </row>
    <row r="104" spans="1:31" x14ac:dyDescent="0.35">
      <c r="A104" s="48">
        <v>1405</v>
      </c>
      <c r="B104" s="58">
        <f>SUMIF([2]!Table2_23[ETA],'IAB Model'!A104,[2]!Table2_23[FIS PAX])</f>
        <v>0</v>
      </c>
      <c r="C104" s="44">
        <f t="shared" si="36"/>
        <v>0</v>
      </c>
      <c r="D104" s="52">
        <f t="shared" si="42"/>
        <v>0</v>
      </c>
      <c r="E104" s="26">
        <f t="shared" ref="E104:E167" si="69">$C$30*C104</f>
        <v>0</v>
      </c>
      <c r="F104" s="26">
        <f t="shared" ref="F104:F167" si="70">$C$31*C104</f>
        <v>0</v>
      </c>
      <c r="G104" s="26">
        <f t="shared" ref="G104:G167" si="71">$C$32*C104</f>
        <v>0</v>
      </c>
      <c r="H104" s="26">
        <f t="shared" si="37"/>
        <v>0</v>
      </c>
      <c r="I104" s="27">
        <f t="shared" si="64"/>
        <v>0</v>
      </c>
      <c r="J104" s="27">
        <f t="shared" si="64"/>
        <v>0</v>
      </c>
      <c r="K104" s="27">
        <f t="shared" si="64"/>
        <v>0</v>
      </c>
      <c r="L104" s="27">
        <f t="shared" si="64"/>
        <v>0</v>
      </c>
      <c r="M104" s="28">
        <f t="shared" si="60"/>
        <v>11</v>
      </c>
      <c r="N104" s="29">
        <f t="shared" si="61"/>
        <v>4</v>
      </c>
      <c r="O104" s="28">
        <f t="shared" si="62"/>
        <v>2</v>
      </c>
      <c r="P104" s="28">
        <f t="shared" si="63"/>
        <v>1</v>
      </c>
      <c r="Q104" s="28">
        <f t="shared" ref="Q104:Q167" si="72">SUM(M104:P104)</f>
        <v>18</v>
      </c>
      <c r="R104" s="22">
        <f t="shared" ref="R104:R167" si="73">MAX(R103-($J$30*M104*$L$33)+I104,0)</f>
        <v>0</v>
      </c>
      <c r="S104" s="22">
        <f t="shared" ref="S104:S167" si="74">IF(U104&lt;&gt;0,(MAX(S103-($J$31*N104*$L$33)+J104,0)),(MAX(S103-($J$31*(N104+P104)*$L$33)+J104,0)))</f>
        <v>0</v>
      </c>
      <c r="T104" s="22">
        <f t="shared" ref="T104:T167" si="75">MAX(T103-($J$32*O104*$L$33)+K104,0)</f>
        <v>1.5166325404910044</v>
      </c>
      <c r="U104" s="22">
        <f t="shared" ref="U104:U167" si="76">MAX(U103-($J$33*P104*$L$33)+L104,0)</f>
        <v>1.5951348132017229</v>
      </c>
      <c r="V104" s="21">
        <f t="shared" si="38"/>
        <v>0</v>
      </c>
      <c r="W104" s="21">
        <f t="shared" si="39"/>
        <v>0</v>
      </c>
      <c r="X104" s="21">
        <f t="shared" si="40"/>
        <v>0.25980446240000077</v>
      </c>
      <c r="Y104" s="21">
        <f t="shared" si="41"/>
        <v>0.73835440720000023</v>
      </c>
      <c r="Z104" s="221">
        <f t="shared" ref="Z104:Z167" si="77">ROUNDUP(SUM(V104*$C$30,W104*$C$31,X104*$C$32,Y104*$C$33),0)</f>
        <v>1</v>
      </c>
      <c r="AA104" s="30">
        <f t="shared" si="65"/>
        <v>0</v>
      </c>
      <c r="AB104" s="30">
        <f t="shared" si="66"/>
        <v>0</v>
      </c>
      <c r="AC104" s="30">
        <f t="shared" si="67"/>
        <v>4.9619534919017996</v>
      </c>
      <c r="AD104" s="30">
        <f t="shared" si="68"/>
        <v>1.8363330373596554</v>
      </c>
      <c r="AE104" s="32">
        <f t="shared" ref="AE104:AE167" si="78">SUM(AA104:AD104)</f>
        <v>6.7982865292614552</v>
      </c>
    </row>
    <row r="105" spans="1:31" x14ac:dyDescent="0.35">
      <c r="A105" s="48">
        <v>1406</v>
      </c>
      <c r="B105" s="58">
        <f>SUMIF([2]!Table2_23[ETA],'IAB Model'!A105,[2]!Table2_23[FIS PAX])</f>
        <v>0</v>
      </c>
      <c r="C105" s="44">
        <f t="shared" ref="C105:C168" si="79">IF((D104-D105)&gt;-1,(D104-D105),18)</f>
        <v>0</v>
      </c>
      <c r="D105" s="52">
        <f t="shared" si="42"/>
        <v>0</v>
      </c>
      <c r="E105" s="26">
        <f t="shared" si="69"/>
        <v>0</v>
      </c>
      <c r="F105" s="26">
        <f t="shared" si="70"/>
        <v>0</v>
      </c>
      <c r="G105" s="26">
        <f t="shared" si="71"/>
        <v>0</v>
      </c>
      <c r="H105" s="26">
        <f t="shared" ref="H105:H168" si="80">$C$33*C105</f>
        <v>0</v>
      </c>
      <c r="I105" s="27">
        <f t="shared" si="64"/>
        <v>0</v>
      </c>
      <c r="J105" s="27">
        <f t="shared" si="64"/>
        <v>0</v>
      </c>
      <c r="K105" s="27">
        <f t="shared" si="64"/>
        <v>0</v>
      </c>
      <c r="L105" s="27">
        <f t="shared" si="64"/>
        <v>0</v>
      </c>
      <c r="M105" s="28">
        <f t="shared" si="60"/>
        <v>11</v>
      </c>
      <c r="N105" s="29">
        <f t="shared" si="61"/>
        <v>4</v>
      </c>
      <c r="O105" s="28">
        <f t="shared" si="62"/>
        <v>2</v>
      </c>
      <c r="P105" s="28">
        <f t="shared" si="63"/>
        <v>1</v>
      </c>
      <c r="Q105" s="28">
        <f t="shared" si="72"/>
        <v>18</v>
      </c>
      <c r="R105" s="22">
        <f t="shared" si="73"/>
        <v>0</v>
      </c>
      <c r="S105" s="22">
        <f t="shared" si="74"/>
        <v>0</v>
      </c>
      <c r="T105" s="22">
        <f t="shared" si="75"/>
        <v>0</v>
      </c>
      <c r="U105" s="22">
        <f t="shared" si="76"/>
        <v>0</v>
      </c>
      <c r="V105" s="21">
        <f t="shared" ref="V105:V114" si="81">IFERROR(R105*($I$30/M105),0)</f>
        <v>0</v>
      </c>
      <c r="W105" s="21">
        <f t="shared" ref="W105:W115" si="82">S105*($I$31/N105)</f>
        <v>0</v>
      </c>
      <c r="X105" s="21">
        <f t="shared" ref="X105:X168" si="83">IFERROR(T105*($I$32/O105),0)</f>
        <v>0</v>
      </c>
      <c r="Y105" s="21">
        <f t="shared" ref="Y105:Y168" si="84">IFERROR(U105*($I$33/P105),0)</f>
        <v>0</v>
      </c>
      <c r="Z105" s="221">
        <f t="shared" si="77"/>
        <v>0</v>
      </c>
      <c r="AA105" s="30">
        <f t="shared" si="65"/>
        <v>0</v>
      </c>
      <c r="AB105" s="30">
        <f t="shared" si="66"/>
        <v>0</v>
      </c>
      <c r="AC105" s="30">
        <f t="shared" si="67"/>
        <v>0</v>
      </c>
      <c r="AD105" s="30">
        <f t="shared" si="68"/>
        <v>0</v>
      </c>
      <c r="AE105" s="32">
        <f t="shared" si="78"/>
        <v>0</v>
      </c>
    </row>
    <row r="106" spans="1:31" x14ac:dyDescent="0.35">
      <c r="A106" s="48">
        <v>1407</v>
      </c>
      <c r="B106" s="58">
        <f>SUMIF([2]!Table2_23[ETA],'IAB Model'!A106,[2]!Table2_23[FIS PAX])</f>
        <v>0</v>
      </c>
      <c r="C106" s="44">
        <f t="shared" si="79"/>
        <v>0</v>
      </c>
      <c r="D106" s="52">
        <f t="shared" ref="D106:D169" si="85">MAX(D105-$E$31+B105,0)</f>
        <v>0</v>
      </c>
      <c r="E106" s="26">
        <f t="shared" si="69"/>
        <v>0</v>
      </c>
      <c r="F106" s="26">
        <f t="shared" si="70"/>
        <v>0</v>
      </c>
      <c r="G106" s="26">
        <f t="shared" si="71"/>
        <v>0</v>
      </c>
      <c r="H106" s="26">
        <f t="shared" si="80"/>
        <v>0</v>
      </c>
      <c r="I106" s="27">
        <f t="shared" si="64"/>
        <v>0</v>
      </c>
      <c r="J106" s="27">
        <f t="shared" si="64"/>
        <v>0</v>
      </c>
      <c r="K106" s="27">
        <f t="shared" si="64"/>
        <v>0</v>
      </c>
      <c r="L106" s="27">
        <f t="shared" si="64"/>
        <v>0</v>
      </c>
      <c r="M106" s="28">
        <f t="shared" si="60"/>
        <v>11</v>
      </c>
      <c r="N106" s="29">
        <f t="shared" si="61"/>
        <v>4</v>
      </c>
      <c r="O106" s="28">
        <f t="shared" si="62"/>
        <v>2</v>
      </c>
      <c r="P106" s="28">
        <f t="shared" si="63"/>
        <v>1</v>
      </c>
      <c r="Q106" s="28">
        <f t="shared" si="72"/>
        <v>18</v>
      </c>
      <c r="R106" s="22">
        <f t="shared" si="73"/>
        <v>0</v>
      </c>
      <c r="S106" s="22">
        <f t="shared" si="74"/>
        <v>0</v>
      </c>
      <c r="T106" s="22">
        <f t="shared" si="75"/>
        <v>0</v>
      </c>
      <c r="U106" s="22">
        <f t="shared" si="76"/>
        <v>0</v>
      </c>
      <c r="V106" s="21">
        <f t="shared" si="81"/>
        <v>0</v>
      </c>
      <c r="W106" s="21">
        <f t="shared" si="82"/>
        <v>0</v>
      </c>
      <c r="X106" s="21">
        <f t="shared" si="83"/>
        <v>0</v>
      </c>
      <c r="Y106" s="21">
        <f t="shared" si="84"/>
        <v>0</v>
      </c>
      <c r="Z106" s="221">
        <f t="shared" si="77"/>
        <v>0</v>
      </c>
      <c r="AA106" s="30">
        <f t="shared" si="65"/>
        <v>0</v>
      </c>
      <c r="AB106" s="30">
        <f t="shared" si="66"/>
        <v>0</v>
      </c>
      <c r="AC106" s="30">
        <f t="shared" si="67"/>
        <v>0</v>
      </c>
      <c r="AD106" s="30">
        <f t="shared" si="68"/>
        <v>0</v>
      </c>
      <c r="AE106" s="32">
        <f t="shared" si="78"/>
        <v>0</v>
      </c>
    </row>
    <row r="107" spans="1:31" x14ac:dyDescent="0.35">
      <c r="A107" s="48">
        <v>1408</v>
      </c>
      <c r="B107" s="58">
        <f>SUMIF([2]!Table2_23[ETA],'IAB Model'!A107,[2]!Table2_23[FIS PAX])</f>
        <v>0</v>
      </c>
      <c r="C107" s="44">
        <f t="shared" si="79"/>
        <v>0</v>
      </c>
      <c r="D107" s="52">
        <f t="shared" si="85"/>
        <v>0</v>
      </c>
      <c r="E107" s="26">
        <f t="shared" si="69"/>
        <v>0</v>
      </c>
      <c r="F107" s="26">
        <f t="shared" si="70"/>
        <v>0</v>
      </c>
      <c r="G107" s="26">
        <f t="shared" si="71"/>
        <v>0</v>
      </c>
      <c r="H107" s="26">
        <f t="shared" si="80"/>
        <v>0</v>
      </c>
      <c r="I107" s="27">
        <f t="shared" si="64"/>
        <v>0</v>
      </c>
      <c r="J107" s="27">
        <f t="shared" si="64"/>
        <v>0</v>
      </c>
      <c r="K107" s="27">
        <f t="shared" si="64"/>
        <v>0</v>
      </c>
      <c r="L107" s="27">
        <f t="shared" si="64"/>
        <v>0</v>
      </c>
      <c r="M107" s="28">
        <f t="shared" si="60"/>
        <v>11</v>
      </c>
      <c r="N107" s="29">
        <f t="shared" si="61"/>
        <v>4</v>
      </c>
      <c r="O107" s="28">
        <f t="shared" si="62"/>
        <v>2</v>
      </c>
      <c r="P107" s="28">
        <f t="shared" si="63"/>
        <v>1</v>
      </c>
      <c r="Q107" s="28">
        <f t="shared" si="72"/>
        <v>18</v>
      </c>
      <c r="R107" s="22">
        <f t="shared" si="73"/>
        <v>0</v>
      </c>
      <c r="S107" s="22">
        <f t="shared" si="74"/>
        <v>0</v>
      </c>
      <c r="T107" s="22">
        <f t="shared" si="75"/>
        <v>0</v>
      </c>
      <c r="U107" s="22">
        <f t="shared" si="76"/>
        <v>0</v>
      </c>
      <c r="V107" s="21">
        <f t="shared" si="81"/>
        <v>0</v>
      </c>
      <c r="W107" s="21">
        <f t="shared" si="82"/>
        <v>0</v>
      </c>
      <c r="X107" s="21">
        <f t="shared" si="83"/>
        <v>0</v>
      </c>
      <c r="Y107" s="21">
        <f t="shared" si="84"/>
        <v>0</v>
      </c>
      <c r="Z107" s="221">
        <f t="shared" si="77"/>
        <v>0</v>
      </c>
      <c r="AA107" s="30">
        <f t="shared" si="65"/>
        <v>0</v>
      </c>
      <c r="AB107" s="30">
        <f t="shared" si="66"/>
        <v>0</v>
      </c>
      <c r="AC107" s="30">
        <f t="shared" si="67"/>
        <v>0</v>
      </c>
      <c r="AD107" s="30">
        <f t="shared" si="68"/>
        <v>0</v>
      </c>
      <c r="AE107" s="32">
        <f t="shared" si="78"/>
        <v>0</v>
      </c>
    </row>
    <row r="108" spans="1:31" x14ac:dyDescent="0.35">
      <c r="A108" s="48">
        <v>1409</v>
      </c>
      <c r="B108" s="58">
        <f>SUMIF([2]!Table2_23[ETA],'IAB Model'!A108,[2]!Table2_23[FIS PAX])</f>
        <v>0</v>
      </c>
      <c r="C108" s="44">
        <f t="shared" si="79"/>
        <v>0</v>
      </c>
      <c r="D108" s="52">
        <f t="shared" si="85"/>
        <v>0</v>
      </c>
      <c r="E108" s="26">
        <f t="shared" si="69"/>
        <v>0</v>
      </c>
      <c r="F108" s="26">
        <f t="shared" si="70"/>
        <v>0</v>
      </c>
      <c r="G108" s="26">
        <f t="shared" si="71"/>
        <v>0</v>
      </c>
      <c r="H108" s="26">
        <f t="shared" si="80"/>
        <v>0</v>
      </c>
      <c r="I108" s="27">
        <f t="shared" si="64"/>
        <v>0</v>
      </c>
      <c r="J108" s="27">
        <f t="shared" si="64"/>
        <v>0</v>
      </c>
      <c r="K108" s="27">
        <f t="shared" si="64"/>
        <v>0</v>
      </c>
      <c r="L108" s="27">
        <f t="shared" si="64"/>
        <v>0</v>
      </c>
      <c r="M108" s="28">
        <f t="shared" si="60"/>
        <v>11</v>
      </c>
      <c r="N108" s="29">
        <f t="shared" si="61"/>
        <v>4</v>
      </c>
      <c r="O108" s="28">
        <f t="shared" si="62"/>
        <v>2</v>
      </c>
      <c r="P108" s="28">
        <f t="shared" si="63"/>
        <v>1</v>
      </c>
      <c r="Q108" s="28">
        <f t="shared" si="72"/>
        <v>18</v>
      </c>
      <c r="R108" s="22">
        <f t="shared" si="73"/>
        <v>0</v>
      </c>
      <c r="S108" s="22">
        <f t="shared" si="74"/>
        <v>0</v>
      </c>
      <c r="T108" s="22">
        <f t="shared" si="75"/>
        <v>0</v>
      </c>
      <c r="U108" s="22">
        <f t="shared" si="76"/>
        <v>0</v>
      </c>
      <c r="V108" s="21">
        <f t="shared" si="81"/>
        <v>0</v>
      </c>
      <c r="W108" s="21">
        <f t="shared" si="82"/>
        <v>0</v>
      </c>
      <c r="X108" s="21">
        <f t="shared" si="83"/>
        <v>0</v>
      </c>
      <c r="Y108" s="21">
        <f t="shared" si="84"/>
        <v>0</v>
      </c>
      <c r="Z108" s="221">
        <f t="shared" si="77"/>
        <v>0</v>
      </c>
      <c r="AA108" s="30">
        <f t="shared" si="65"/>
        <v>0</v>
      </c>
      <c r="AB108" s="30">
        <f t="shared" si="66"/>
        <v>0</v>
      </c>
      <c r="AC108" s="30">
        <f t="shared" si="67"/>
        <v>0</v>
      </c>
      <c r="AD108" s="30">
        <f t="shared" si="68"/>
        <v>0</v>
      </c>
      <c r="AE108" s="32">
        <f t="shared" si="78"/>
        <v>0</v>
      </c>
    </row>
    <row r="109" spans="1:31" x14ac:dyDescent="0.35">
      <c r="A109" s="48">
        <v>1410</v>
      </c>
      <c r="B109" s="58">
        <f>SUMIF([2]!Table2_23[ETA],'IAB Model'!A109,[2]!Table2_23[FIS PAX])</f>
        <v>0</v>
      </c>
      <c r="C109" s="44">
        <f t="shared" si="79"/>
        <v>0</v>
      </c>
      <c r="D109" s="52">
        <f t="shared" si="85"/>
        <v>0</v>
      </c>
      <c r="E109" s="26">
        <f t="shared" si="69"/>
        <v>0</v>
      </c>
      <c r="F109" s="26">
        <f t="shared" si="70"/>
        <v>0</v>
      </c>
      <c r="G109" s="26">
        <f t="shared" si="71"/>
        <v>0</v>
      </c>
      <c r="H109" s="26">
        <f t="shared" si="80"/>
        <v>0</v>
      </c>
      <c r="I109" s="27">
        <f t="shared" si="64"/>
        <v>0</v>
      </c>
      <c r="J109" s="27">
        <f t="shared" si="64"/>
        <v>0</v>
      </c>
      <c r="K109" s="27">
        <f t="shared" si="64"/>
        <v>0</v>
      </c>
      <c r="L109" s="27">
        <f t="shared" si="64"/>
        <v>0</v>
      </c>
      <c r="M109" s="28">
        <f t="shared" si="60"/>
        <v>11</v>
      </c>
      <c r="N109" s="29">
        <f t="shared" si="61"/>
        <v>4</v>
      </c>
      <c r="O109" s="28">
        <f t="shared" si="62"/>
        <v>2</v>
      </c>
      <c r="P109" s="28">
        <f t="shared" si="63"/>
        <v>1</v>
      </c>
      <c r="Q109" s="28">
        <f t="shared" si="72"/>
        <v>18</v>
      </c>
      <c r="R109" s="22">
        <f t="shared" si="73"/>
        <v>0</v>
      </c>
      <c r="S109" s="22">
        <f t="shared" si="74"/>
        <v>0</v>
      </c>
      <c r="T109" s="22">
        <f t="shared" si="75"/>
        <v>0</v>
      </c>
      <c r="U109" s="22">
        <f t="shared" si="76"/>
        <v>0</v>
      </c>
      <c r="V109" s="21">
        <f t="shared" si="81"/>
        <v>0</v>
      </c>
      <c r="W109" s="21">
        <f t="shared" si="82"/>
        <v>0</v>
      </c>
      <c r="X109" s="21">
        <f t="shared" si="83"/>
        <v>0</v>
      </c>
      <c r="Y109" s="21">
        <f t="shared" si="84"/>
        <v>0</v>
      </c>
      <c r="Z109" s="221">
        <f t="shared" si="77"/>
        <v>0</v>
      </c>
      <c r="AA109" s="30">
        <f t="shared" si="65"/>
        <v>0</v>
      </c>
      <c r="AB109" s="30">
        <f t="shared" si="66"/>
        <v>0</v>
      </c>
      <c r="AC109" s="30">
        <f t="shared" si="67"/>
        <v>0</v>
      </c>
      <c r="AD109" s="30">
        <f t="shared" si="68"/>
        <v>0</v>
      </c>
      <c r="AE109" s="32">
        <f t="shared" si="78"/>
        <v>0</v>
      </c>
    </row>
    <row r="110" spans="1:31" x14ac:dyDescent="0.35">
      <c r="A110" s="48">
        <v>1411</v>
      </c>
      <c r="B110" s="58">
        <f>SUMIF([2]!Table2_23[ETA],'IAB Model'!A110,[2]!Table2_23[FIS PAX])</f>
        <v>0</v>
      </c>
      <c r="C110" s="44">
        <f t="shared" si="79"/>
        <v>0</v>
      </c>
      <c r="D110" s="52">
        <f t="shared" si="85"/>
        <v>0</v>
      </c>
      <c r="E110" s="26">
        <f t="shared" si="69"/>
        <v>0</v>
      </c>
      <c r="F110" s="26">
        <f t="shared" si="70"/>
        <v>0</v>
      </c>
      <c r="G110" s="26">
        <f t="shared" si="71"/>
        <v>0</v>
      </c>
      <c r="H110" s="26">
        <f t="shared" si="80"/>
        <v>0</v>
      </c>
      <c r="I110" s="27">
        <f t="shared" si="64"/>
        <v>0</v>
      </c>
      <c r="J110" s="27">
        <f t="shared" si="64"/>
        <v>0</v>
      </c>
      <c r="K110" s="27">
        <f t="shared" si="64"/>
        <v>0</v>
      </c>
      <c r="L110" s="27">
        <f t="shared" si="64"/>
        <v>0</v>
      </c>
      <c r="M110" s="28">
        <f t="shared" si="60"/>
        <v>11</v>
      </c>
      <c r="N110" s="29">
        <f t="shared" si="61"/>
        <v>4</v>
      </c>
      <c r="O110" s="28">
        <f t="shared" si="62"/>
        <v>2</v>
      </c>
      <c r="P110" s="28">
        <f t="shared" si="63"/>
        <v>1</v>
      </c>
      <c r="Q110" s="28">
        <f t="shared" si="72"/>
        <v>18</v>
      </c>
      <c r="R110" s="22">
        <f t="shared" si="73"/>
        <v>0</v>
      </c>
      <c r="S110" s="22">
        <f t="shared" si="74"/>
        <v>0</v>
      </c>
      <c r="T110" s="22">
        <f t="shared" si="75"/>
        <v>0</v>
      </c>
      <c r="U110" s="22">
        <f t="shared" si="76"/>
        <v>0</v>
      </c>
      <c r="V110" s="21">
        <f t="shared" si="81"/>
        <v>0</v>
      </c>
      <c r="W110" s="21">
        <f t="shared" si="82"/>
        <v>0</v>
      </c>
      <c r="X110" s="21">
        <f t="shared" si="83"/>
        <v>0</v>
      </c>
      <c r="Y110" s="21">
        <f t="shared" si="84"/>
        <v>0</v>
      </c>
      <c r="Z110" s="221">
        <f t="shared" si="77"/>
        <v>0</v>
      </c>
      <c r="AA110" s="30">
        <f t="shared" si="65"/>
        <v>0</v>
      </c>
      <c r="AB110" s="30">
        <f t="shared" si="66"/>
        <v>0</v>
      </c>
      <c r="AC110" s="30">
        <f t="shared" si="67"/>
        <v>0</v>
      </c>
      <c r="AD110" s="30">
        <f t="shared" si="68"/>
        <v>0</v>
      </c>
      <c r="AE110" s="32">
        <f t="shared" si="78"/>
        <v>0</v>
      </c>
    </row>
    <row r="111" spans="1:31" x14ac:dyDescent="0.35">
      <c r="A111" s="48">
        <v>1412</v>
      </c>
      <c r="B111" s="58">
        <f>SUMIF([2]!Table2_23[ETA],'IAB Model'!A111,[2]!Table2_23[FIS PAX])</f>
        <v>0</v>
      </c>
      <c r="C111" s="44">
        <f t="shared" si="79"/>
        <v>0</v>
      </c>
      <c r="D111" s="52">
        <f t="shared" si="85"/>
        <v>0</v>
      </c>
      <c r="E111" s="26">
        <f t="shared" si="69"/>
        <v>0</v>
      </c>
      <c r="F111" s="26">
        <f t="shared" si="70"/>
        <v>0</v>
      </c>
      <c r="G111" s="26">
        <f t="shared" si="71"/>
        <v>0</v>
      </c>
      <c r="H111" s="26">
        <f t="shared" si="80"/>
        <v>0</v>
      </c>
      <c r="I111" s="27">
        <f t="shared" si="64"/>
        <v>0</v>
      </c>
      <c r="J111" s="27">
        <f t="shared" si="64"/>
        <v>0</v>
      </c>
      <c r="K111" s="27">
        <f t="shared" si="64"/>
        <v>0</v>
      </c>
      <c r="L111" s="27">
        <f t="shared" si="64"/>
        <v>0</v>
      </c>
      <c r="M111" s="28">
        <f t="shared" si="60"/>
        <v>11</v>
      </c>
      <c r="N111" s="29">
        <f t="shared" si="61"/>
        <v>4</v>
      </c>
      <c r="O111" s="28">
        <f t="shared" si="62"/>
        <v>2</v>
      </c>
      <c r="P111" s="28">
        <f t="shared" si="63"/>
        <v>1</v>
      </c>
      <c r="Q111" s="28">
        <f t="shared" si="72"/>
        <v>18</v>
      </c>
      <c r="R111" s="22">
        <f t="shared" si="73"/>
        <v>0</v>
      </c>
      <c r="S111" s="22">
        <f t="shared" si="74"/>
        <v>0</v>
      </c>
      <c r="T111" s="22">
        <f t="shared" si="75"/>
        <v>0</v>
      </c>
      <c r="U111" s="22">
        <f t="shared" si="76"/>
        <v>0</v>
      </c>
      <c r="V111" s="21">
        <f t="shared" si="81"/>
        <v>0</v>
      </c>
      <c r="W111" s="21">
        <f t="shared" si="82"/>
        <v>0</v>
      </c>
      <c r="X111" s="21">
        <f t="shared" si="83"/>
        <v>0</v>
      </c>
      <c r="Y111" s="21">
        <f t="shared" si="84"/>
        <v>0</v>
      </c>
      <c r="Z111" s="221">
        <f t="shared" si="77"/>
        <v>0</v>
      </c>
      <c r="AA111" s="30">
        <f t="shared" si="65"/>
        <v>0</v>
      </c>
      <c r="AB111" s="30">
        <f t="shared" si="66"/>
        <v>0</v>
      </c>
      <c r="AC111" s="30">
        <f t="shared" si="67"/>
        <v>0</v>
      </c>
      <c r="AD111" s="30">
        <f t="shared" si="68"/>
        <v>0</v>
      </c>
      <c r="AE111" s="32">
        <f t="shared" si="78"/>
        <v>0</v>
      </c>
    </row>
    <row r="112" spans="1:31" x14ac:dyDescent="0.35">
      <c r="A112" s="48">
        <v>1413</v>
      </c>
      <c r="B112" s="58">
        <f>SUMIF([2]!Table2_23[ETA],'IAB Model'!A112,[2]!Table2_23[FIS PAX])</f>
        <v>0</v>
      </c>
      <c r="C112" s="44">
        <f t="shared" si="79"/>
        <v>0</v>
      </c>
      <c r="D112" s="52">
        <f t="shared" si="85"/>
        <v>0</v>
      </c>
      <c r="E112" s="26">
        <f t="shared" si="69"/>
        <v>0</v>
      </c>
      <c r="F112" s="26">
        <f t="shared" si="70"/>
        <v>0</v>
      </c>
      <c r="G112" s="26">
        <f t="shared" si="71"/>
        <v>0</v>
      </c>
      <c r="H112" s="26">
        <f t="shared" si="80"/>
        <v>0</v>
      </c>
      <c r="I112" s="27">
        <f t="shared" si="64"/>
        <v>0</v>
      </c>
      <c r="J112" s="27">
        <f t="shared" si="64"/>
        <v>0</v>
      </c>
      <c r="K112" s="27">
        <f t="shared" si="64"/>
        <v>0</v>
      </c>
      <c r="L112" s="27">
        <f t="shared" si="64"/>
        <v>0</v>
      </c>
      <c r="M112" s="28">
        <f t="shared" si="60"/>
        <v>11</v>
      </c>
      <c r="N112" s="29">
        <f t="shared" si="61"/>
        <v>4</v>
      </c>
      <c r="O112" s="28">
        <f t="shared" si="62"/>
        <v>2</v>
      </c>
      <c r="P112" s="28">
        <f t="shared" si="63"/>
        <v>1</v>
      </c>
      <c r="Q112" s="28">
        <f t="shared" si="72"/>
        <v>18</v>
      </c>
      <c r="R112" s="22">
        <f t="shared" si="73"/>
        <v>0</v>
      </c>
      <c r="S112" s="22">
        <f t="shared" si="74"/>
        <v>0</v>
      </c>
      <c r="T112" s="22">
        <f t="shared" si="75"/>
        <v>0</v>
      </c>
      <c r="U112" s="22">
        <f t="shared" si="76"/>
        <v>0</v>
      </c>
      <c r="V112" s="21">
        <f t="shared" si="81"/>
        <v>0</v>
      </c>
      <c r="W112" s="21">
        <f t="shared" si="82"/>
        <v>0</v>
      </c>
      <c r="X112" s="21">
        <f t="shared" si="83"/>
        <v>0</v>
      </c>
      <c r="Y112" s="21">
        <f t="shared" si="84"/>
        <v>0</v>
      </c>
      <c r="Z112" s="221">
        <f t="shared" si="77"/>
        <v>0</v>
      </c>
      <c r="AA112" s="30">
        <f t="shared" si="65"/>
        <v>0</v>
      </c>
      <c r="AB112" s="30">
        <f t="shared" si="66"/>
        <v>0</v>
      </c>
      <c r="AC112" s="30">
        <f t="shared" si="67"/>
        <v>0</v>
      </c>
      <c r="AD112" s="30">
        <f t="shared" si="68"/>
        <v>0</v>
      </c>
      <c r="AE112" s="32">
        <f t="shared" si="78"/>
        <v>0</v>
      </c>
    </row>
    <row r="113" spans="1:31" x14ac:dyDescent="0.35">
      <c r="A113" s="48">
        <v>1414</v>
      </c>
      <c r="B113" s="58">
        <f>SUMIF([2]!Table2_23[ETA],'IAB Model'!A113,[2]!Table2_23[FIS PAX])</f>
        <v>0</v>
      </c>
      <c r="C113" s="44">
        <f t="shared" si="79"/>
        <v>0</v>
      </c>
      <c r="D113" s="52">
        <f t="shared" si="85"/>
        <v>0</v>
      </c>
      <c r="E113" s="26">
        <f t="shared" si="69"/>
        <v>0</v>
      </c>
      <c r="F113" s="26">
        <f t="shared" si="70"/>
        <v>0</v>
      </c>
      <c r="G113" s="26">
        <f t="shared" si="71"/>
        <v>0</v>
      </c>
      <c r="H113" s="26">
        <f t="shared" si="80"/>
        <v>0</v>
      </c>
      <c r="I113" s="27">
        <f t="shared" si="64"/>
        <v>0</v>
      </c>
      <c r="J113" s="27">
        <f t="shared" si="64"/>
        <v>0</v>
      </c>
      <c r="K113" s="27">
        <f t="shared" si="64"/>
        <v>0</v>
      </c>
      <c r="L113" s="27">
        <f t="shared" si="64"/>
        <v>0</v>
      </c>
      <c r="M113" s="28">
        <f t="shared" si="60"/>
        <v>11</v>
      </c>
      <c r="N113" s="29">
        <f t="shared" si="61"/>
        <v>4</v>
      </c>
      <c r="O113" s="28">
        <f t="shared" si="62"/>
        <v>2</v>
      </c>
      <c r="P113" s="28">
        <f t="shared" si="63"/>
        <v>1</v>
      </c>
      <c r="Q113" s="28">
        <f t="shared" si="72"/>
        <v>18</v>
      </c>
      <c r="R113" s="22">
        <f t="shared" si="73"/>
        <v>0</v>
      </c>
      <c r="S113" s="22">
        <f t="shared" si="74"/>
        <v>0</v>
      </c>
      <c r="T113" s="22">
        <f t="shared" si="75"/>
        <v>0</v>
      </c>
      <c r="U113" s="22">
        <f t="shared" si="76"/>
        <v>0</v>
      </c>
      <c r="V113" s="21">
        <f t="shared" si="81"/>
        <v>0</v>
      </c>
      <c r="W113" s="21">
        <f t="shared" si="82"/>
        <v>0</v>
      </c>
      <c r="X113" s="21">
        <f t="shared" si="83"/>
        <v>0</v>
      </c>
      <c r="Y113" s="21">
        <f t="shared" si="84"/>
        <v>0</v>
      </c>
      <c r="Z113" s="221">
        <f t="shared" si="77"/>
        <v>0</v>
      </c>
      <c r="AA113" s="30">
        <f t="shared" si="65"/>
        <v>0</v>
      </c>
      <c r="AB113" s="30">
        <f t="shared" si="66"/>
        <v>0</v>
      </c>
      <c r="AC113" s="30">
        <f t="shared" si="67"/>
        <v>0</v>
      </c>
      <c r="AD113" s="30">
        <f t="shared" si="68"/>
        <v>0</v>
      </c>
      <c r="AE113" s="32">
        <f t="shared" si="78"/>
        <v>0</v>
      </c>
    </row>
    <row r="114" spans="1:31" x14ac:dyDescent="0.35">
      <c r="A114" s="48">
        <v>1415</v>
      </c>
      <c r="B114" s="58">
        <f>SUMIF([2]!Table2_23[ETA],'IAB Model'!A114,[2]!Table2_23[FIS PAX])</f>
        <v>0</v>
      </c>
      <c r="C114" s="44">
        <f t="shared" si="79"/>
        <v>0</v>
      </c>
      <c r="D114" s="52">
        <f t="shared" si="85"/>
        <v>0</v>
      </c>
      <c r="E114" s="26">
        <f t="shared" si="69"/>
        <v>0</v>
      </c>
      <c r="F114" s="26">
        <f t="shared" si="70"/>
        <v>0</v>
      </c>
      <c r="G114" s="26">
        <f t="shared" si="71"/>
        <v>0</v>
      </c>
      <c r="H114" s="26">
        <f t="shared" si="80"/>
        <v>0</v>
      </c>
      <c r="I114" s="27">
        <f t="shared" si="64"/>
        <v>0</v>
      </c>
      <c r="J114" s="27">
        <f t="shared" si="64"/>
        <v>0</v>
      </c>
      <c r="K114" s="27">
        <f t="shared" si="64"/>
        <v>0</v>
      </c>
      <c r="L114" s="27">
        <f t="shared" si="64"/>
        <v>0</v>
      </c>
      <c r="M114" s="28">
        <f t="shared" si="60"/>
        <v>11</v>
      </c>
      <c r="N114" s="29">
        <f t="shared" si="61"/>
        <v>4</v>
      </c>
      <c r="O114" s="28">
        <f t="shared" si="62"/>
        <v>2</v>
      </c>
      <c r="P114" s="28">
        <f t="shared" si="63"/>
        <v>1</v>
      </c>
      <c r="Q114" s="28">
        <f t="shared" si="72"/>
        <v>18</v>
      </c>
      <c r="R114" s="22">
        <f t="shared" si="73"/>
        <v>0</v>
      </c>
      <c r="S114" s="22">
        <f t="shared" si="74"/>
        <v>0</v>
      </c>
      <c r="T114" s="22">
        <f t="shared" si="75"/>
        <v>0</v>
      </c>
      <c r="U114" s="22">
        <f t="shared" si="76"/>
        <v>0</v>
      </c>
      <c r="V114" s="21">
        <f t="shared" si="81"/>
        <v>0</v>
      </c>
      <c r="W114" s="21">
        <f t="shared" si="82"/>
        <v>0</v>
      </c>
      <c r="X114" s="21">
        <f t="shared" si="83"/>
        <v>0</v>
      </c>
      <c r="Y114" s="21">
        <f t="shared" si="84"/>
        <v>0</v>
      </c>
      <c r="Z114" s="221">
        <f t="shared" si="77"/>
        <v>0</v>
      </c>
      <c r="AA114" s="30">
        <f t="shared" si="65"/>
        <v>0</v>
      </c>
      <c r="AB114" s="30">
        <f t="shared" si="66"/>
        <v>0</v>
      </c>
      <c r="AC114" s="30">
        <f t="shared" si="67"/>
        <v>0</v>
      </c>
      <c r="AD114" s="30">
        <f t="shared" si="68"/>
        <v>0</v>
      </c>
      <c r="AE114" s="32">
        <f t="shared" si="78"/>
        <v>0</v>
      </c>
    </row>
    <row r="115" spans="1:31" x14ac:dyDescent="0.35">
      <c r="A115" s="48">
        <v>1416</v>
      </c>
      <c r="B115" s="58">
        <f>SUMIF([2]!Table2_23[ETA],'IAB Model'!A115,[2]!Table2_23[FIS PAX])</f>
        <v>0</v>
      </c>
      <c r="C115" s="44">
        <f t="shared" si="79"/>
        <v>0</v>
      </c>
      <c r="D115" s="52">
        <f t="shared" si="85"/>
        <v>0</v>
      </c>
      <c r="E115" s="26">
        <f t="shared" si="69"/>
        <v>0</v>
      </c>
      <c r="F115" s="26">
        <f t="shared" si="70"/>
        <v>0</v>
      </c>
      <c r="G115" s="26">
        <f t="shared" si="71"/>
        <v>0</v>
      </c>
      <c r="H115" s="26">
        <f t="shared" si="80"/>
        <v>0</v>
      </c>
      <c r="I115" s="27">
        <f t="shared" si="64"/>
        <v>0</v>
      </c>
      <c r="J115" s="27">
        <f t="shared" si="64"/>
        <v>0</v>
      </c>
      <c r="K115" s="27">
        <f t="shared" si="64"/>
        <v>0</v>
      </c>
      <c r="L115" s="27">
        <f t="shared" si="64"/>
        <v>0</v>
      </c>
      <c r="M115" s="28">
        <f>IF(R114=0,0,$Q$11)</f>
        <v>0</v>
      </c>
      <c r="N115" s="29">
        <f>$U$11-M115-O115-P115</f>
        <v>18</v>
      </c>
      <c r="O115" s="28">
        <f>IF(T114=0,0,$S$11)</f>
        <v>0</v>
      </c>
      <c r="P115" s="28">
        <f>IF(U114=0,0,$T$11)</f>
        <v>0</v>
      </c>
      <c r="Q115" s="28">
        <f t="shared" si="72"/>
        <v>18</v>
      </c>
      <c r="R115" s="22">
        <f t="shared" si="73"/>
        <v>0</v>
      </c>
      <c r="S115" s="22">
        <f t="shared" si="74"/>
        <v>0</v>
      </c>
      <c r="T115" s="22">
        <f t="shared" si="75"/>
        <v>0</v>
      </c>
      <c r="U115" s="22">
        <f t="shared" si="76"/>
        <v>0</v>
      </c>
      <c r="V115" s="21">
        <f>IFERROR(R115*($I$30/M115),0)</f>
        <v>0</v>
      </c>
      <c r="W115" s="21">
        <f t="shared" si="82"/>
        <v>0</v>
      </c>
      <c r="X115" s="21">
        <f t="shared" si="83"/>
        <v>0</v>
      </c>
      <c r="Y115" s="21">
        <f t="shared" si="84"/>
        <v>0</v>
      </c>
      <c r="Z115" s="221">
        <f t="shared" si="77"/>
        <v>0</v>
      </c>
      <c r="AA115" s="30">
        <f t="shared" si="65"/>
        <v>0</v>
      </c>
      <c r="AB115" s="30">
        <f t="shared" si="66"/>
        <v>0</v>
      </c>
      <c r="AC115" s="30">
        <f t="shared" si="67"/>
        <v>0</v>
      </c>
      <c r="AD115" s="30">
        <f t="shared" si="68"/>
        <v>0</v>
      </c>
      <c r="AE115" s="32">
        <f t="shared" si="78"/>
        <v>0</v>
      </c>
    </row>
    <row r="116" spans="1:31" x14ac:dyDescent="0.35">
      <c r="A116" s="48">
        <v>1417</v>
      </c>
      <c r="B116" s="58">
        <f>SUMIF([2]!Table2_23[ETA],'IAB Model'!A116,[2]!Table2_23[FIS PAX])</f>
        <v>0</v>
      </c>
      <c r="C116" s="44">
        <f t="shared" si="79"/>
        <v>0</v>
      </c>
      <c r="D116" s="52">
        <f t="shared" si="85"/>
        <v>0</v>
      </c>
      <c r="E116" s="26">
        <f t="shared" si="69"/>
        <v>0</v>
      </c>
      <c r="F116" s="26">
        <f t="shared" si="70"/>
        <v>0</v>
      </c>
      <c r="G116" s="26">
        <f t="shared" si="71"/>
        <v>0</v>
      </c>
      <c r="H116" s="26">
        <f t="shared" si="80"/>
        <v>0</v>
      </c>
      <c r="I116" s="27">
        <f t="shared" si="64"/>
        <v>0</v>
      </c>
      <c r="J116" s="27">
        <f t="shared" si="64"/>
        <v>0</v>
      </c>
      <c r="K116" s="27">
        <f t="shared" si="64"/>
        <v>0</v>
      </c>
      <c r="L116" s="27">
        <f t="shared" si="64"/>
        <v>0</v>
      </c>
      <c r="M116" s="28">
        <f>$M$115</f>
        <v>0</v>
      </c>
      <c r="N116" s="29">
        <f>$N$115</f>
        <v>18</v>
      </c>
      <c r="O116" s="28">
        <f>$O$115</f>
        <v>0</v>
      </c>
      <c r="P116" s="28">
        <f>$P$115</f>
        <v>0</v>
      </c>
      <c r="Q116" s="28">
        <f t="shared" si="72"/>
        <v>18</v>
      </c>
      <c r="R116" s="22">
        <f t="shared" si="73"/>
        <v>0</v>
      </c>
      <c r="S116" s="22">
        <f t="shared" si="74"/>
        <v>0</v>
      </c>
      <c r="T116" s="22">
        <f t="shared" si="75"/>
        <v>0</v>
      </c>
      <c r="U116" s="22">
        <f t="shared" si="76"/>
        <v>0</v>
      </c>
      <c r="V116" s="21">
        <f t="shared" ref="V116:V179" si="86">IFERROR(R116*($I$30/M116),0)</f>
        <v>0</v>
      </c>
      <c r="W116" s="21">
        <f>IFERROR(S116*($I$31/N116),0)</f>
        <v>0</v>
      </c>
      <c r="X116" s="21">
        <f t="shared" si="83"/>
        <v>0</v>
      </c>
      <c r="Y116" s="21">
        <f t="shared" si="84"/>
        <v>0</v>
      </c>
      <c r="Z116" s="221">
        <f t="shared" si="77"/>
        <v>0</v>
      </c>
      <c r="AA116" s="30">
        <f t="shared" si="65"/>
        <v>0</v>
      </c>
      <c r="AB116" s="30">
        <f t="shared" si="66"/>
        <v>0</v>
      </c>
      <c r="AC116" s="30">
        <f t="shared" si="67"/>
        <v>0</v>
      </c>
      <c r="AD116" s="30">
        <f t="shared" si="68"/>
        <v>0</v>
      </c>
      <c r="AE116" s="32">
        <f t="shared" si="78"/>
        <v>0</v>
      </c>
    </row>
    <row r="117" spans="1:31" x14ac:dyDescent="0.35">
      <c r="A117" s="48">
        <v>1418</v>
      </c>
      <c r="B117" s="58">
        <f>SUMIF([2]!Table2_23[ETA],'IAB Model'!A117,[2]!Table2_23[FIS PAX])</f>
        <v>0</v>
      </c>
      <c r="C117" s="44">
        <f t="shared" si="79"/>
        <v>0</v>
      </c>
      <c r="D117" s="52">
        <f t="shared" si="85"/>
        <v>0</v>
      </c>
      <c r="E117" s="26">
        <f t="shared" si="69"/>
        <v>0</v>
      </c>
      <c r="F117" s="26">
        <f t="shared" si="70"/>
        <v>0</v>
      </c>
      <c r="G117" s="26">
        <f t="shared" si="71"/>
        <v>0</v>
      </c>
      <c r="H117" s="26">
        <f t="shared" si="80"/>
        <v>0</v>
      </c>
      <c r="I117" s="27">
        <f t="shared" si="64"/>
        <v>0</v>
      </c>
      <c r="J117" s="27">
        <f t="shared" si="64"/>
        <v>0</v>
      </c>
      <c r="K117" s="27">
        <f t="shared" si="64"/>
        <v>0</v>
      </c>
      <c r="L117" s="27">
        <f t="shared" si="64"/>
        <v>0</v>
      </c>
      <c r="M117" s="28">
        <f t="shared" ref="M117:M129" si="87">$M$115</f>
        <v>0</v>
      </c>
      <c r="N117" s="29">
        <f t="shared" ref="N117:N129" si="88">$N$115</f>
        <v>18</v>
      </c>
      <c r="O117" s="28">
        <f t="shared" ref="O117:O129" si="89">$O$115</f>
        <v>0</v>
      </c>
      <c r="P117" s="28">
        <f t="shared" ref="P117:P129" si="90">$P$115</f>
        <v>0</v>
      </c>
      <c r="Q117" s="28">
        <f t="shared" si="72"/>
        <v>18</v>
      </c>
      <c r="R117" s="22">
        <f t="shared" si="73"/>
        <v>0</v>
      </c>
      <c r="S117" s="22">
        <f t="shared" si="74"/>
        <v>0</v>
      </c>
      <c r="T117" s="22">
        <f t="shared" si="75"/>
        <v>0</v>
      </c>
      <c r="U117" s="22">
        <f t="shared" si="76"/>
        <v>0</v>
      </c>
      <c r="V117" s="21">
        <f t="shared" si="86"/>
        <v>0</v>
      </c>
      <c r="W117" s="21">
        <f t="shared" ref="W117:W180" si="91">IFERROR(S117*($I$31/N117),0)</f>
        <v>0</v>
      </c>
      <c r="X117" s="21">
        <f t="shared" si="83"/>
        <v>0</v>
      </c>
      <c r="Y117" s="21">
        <f t="shared" si="84"/>
        <v>0</v>
      </c>
      <c r="Z117" s="221">
        <f t="shared" si="77"/>
        <v>0</v>
      </c>
      <c r="AA117" s="30">
        <f t="shared" si="65"/>
        <v>0</v>
      </c>
      <c r="AB117" s="30">
        <f t="shared" si="66"/>
        <v>0</v>
      </c>
      <c r="AC117" s="30">
        <f t="shared" si="67"/>
        <v>0</v>
      </c>
      <c r="AD117" s="30">
        <f t="shared" si="68"/>
        <v>0</v>
      </c>
      <c r="AE117" s="32">
        <f t="shared" si="78"/>
        <v>0</v>
      </c>
    </row>
    <row r="118" spans="1:31" x14ac:dyDescent="0.35">
      <c r="A118" s="48">
        <v>1419</v>
      </c>
      <c r="B118" s="58">
        <f>SUMIF([2]!Table2_23[ETA],'IAB Model'!A118,[2]!Table2_23[FIS PAX])</f>
        <v>0</v>
      </c>
      <c r="C118" s="44">
        <f t="shared" si="79"/>
        <v>0</v>
      </c>
      <c r="D118" s="52">
        <f t="shared" si="85"/>
        <v>0</v>
      </c>
      <c r="E118" s="26">
        <f t="shared" si="69"/>
        <v>0</v>
      </c>
      <c r="F118" s="26">
        <f t="shared" si="70"/>
        <v>0</v>
      </c>
      <c r="G118" s="26">
        <f t="shared" si="71"/>
        <v>0</v>
      </c>
      <c r="H118" s="26">
        <f t="shared" si="80"/>
        <v>0</v>
      </c>
      <c r="I118" s="27">
        <f t="shared" si="64"/>
        <v>0</v>
      </c>
      <c r="J118" s="27">
        <f t="shared" si="64"/>
        <v>0</v>
      </c>
      <c r="K118" s="27">
        <f t="shared" si="64"/>
        <v>0</v>
      </c>
      <c r="L118" s="27">
        <f t="shared" si="64"/>
        <v>0</v>
      </c>
      <c r="M118" s="28">
        <f t="shared" si="87"/>
        <v>0</v>
      </c>
      <c r="N118" s="29">
        <f t="shared" si="88"/>
        <v>18</v>
      </c>
      <c r="O118" s="28">
        <f t="shared" si="89"/>
        <v>0</v>
      </c>
      <c r="P118" s="28">
        <f t="shared" si="90"/>
        <v>0</v>
      </c>
      <c r="Q118" s="28">
        <f t="shared" si="72"/>
        <v>18</v>
      </c>
      <c r="R118" s="22">
        <f t="shared" si="73"/>
        <v>0</v>
      </c>
      <c r="S118" s="22">
        <f t="shared" si="74"/>
        <v>0</v>
      </c>
      <c r="T118" s="22">
        <f t="shared" si="75"/>
        <v>0</v>
      </c>
      <c r="U118" s="22">
        <f t="shared" si="76"/>
        <v>0</v>
      </c>
      <c r="V118" s="21">
        <f t="shared" si="86"/>
        <v>0</v>
      </c>
      <c r="W118" s="21">
        <f t="shared" si="91"/>
        <v>0</v>
      </c>
      <c r="X118" s="21">
        <f t="shared" si="83"/>
        <v>0</v>
      </c>
      <c r="Y118" s="21">
        <f t="shared" si="84"/>
        <v>0</v>
      </c>
      <c r="Z118" s="221">
        <f t="shared" si="77"/>
        <v>0</v>
      </c>
      <c r="AA118" s="30">
        <f t="shared" si="65"/>
        <v>0</v>
      </c>
      <c r="AB118" s="30">
        <f t="shared" si="66"/>
        <v>0</v>
      </c>
      <c r="AC118" s="30">
        <f t="shared" si="67"/>
        <v>0</v>
      </c>
      <c r="AD118" s="30">
        <f t="shared" si="68"/>
        <v>0</v>
      </c>
      <c r="AE118" s="32">
        <f t="shared" si="78"/>
        <v>0</v>
      </c>
    </row>
    <row r="119" spans="1:31" x14ac:dyDescent="0.35">
      <c r="A119" s="48">
        <v>1420</v>
      </c>
      <c r="B119" s="58">
        <f>SUMIF([2]!Table2_23[ETA],'IAB Model'!A119,[2]!Table2_23[FIS PAX])</f>
        <v>0</v>
      </c>
      <c r="C119" s="44">
        <f t="shared" si="79"/>
        <v>0</v>
      </c>
      <c r="D119" s="52">
        <f t="shared" si="85"/>
        <v>0</v>
      </c>
      <c r="E119" s="26">
        <f t="shared" si="69"/>
        <v>0</v>
      </c>
      <c r="F119" s="26">
        <f t="shared" si="70"/>
        <v>0</v>
      </c>
      <c r="G119" s="26">
        <f t="shared" si="71"/>
        <v>0</v>
      </c>
      <c r="H119" s="26">
        <f t="shared" si="80"/>
        <v>0</v>
      </c>
      <c r="I119" s="27">
        <f t="shared" ref="I119:L134" si="92">E104</f>
        <v>0</v>
      </c>
      <c r="J119" s="27">
        <f t="shared" si="92"/>
        <v>0</v>
      </c>
      <c r="K119" s="27">
        <f t="shared" si="92"/>
        <v>0</v>
      </c>
      <c r="L119" s="27">
        <f t="shared" si="92"/>
        <v>0</v>
      </c>
      <c r="M119" s="28">
        <f t="shared" si="87"/>
        <v>0</v>
      </c>
      <c r="N119" s="29">
        <f t="shared" si="88"/>
        <v>18</v>
      </c>
      <c r="O119" s="28">
        <f t="shared" si="89"/>
        <v>0</v>
      </c>
      <c r="P119" s="28">
        <f t="shared" si="90"/>
        <v>0</v>
      </c>
      <c r="Q119" s="28">
        <f t="shared" si="72"/>
        <v>18</v>
      </c>
      <c r="R119" s="22">
        <f t="shared" si="73"/>
        <v>0</v>
      </c>
      <c r="S119" s="22">
        <f t="shared" si="74"/>
        <v>0</v>
      </c>
      <c r="T119" s="22">
        <f t="shared" si="75"/>
        <v>0</v>
      </c>
      <c r="U119" s="22">
        <f t="shared" si="76"/>
        <v>0</v>
      </c>
      <c r="V119" s="21">
        <f t="shared" si="86"/>
        <v>0</v>
      </c>
      <c r="W119" s="21">
        <f t="shared" si="91"/>
        <v>0</v>
      </c>
      <c r="X119" s="21">
        <f t="shared" si="83"/>
        <v>0</v>
      </c>
      <c r="Y119" s="21">
        <f t="shared" si="84"/>
        <v>0</v>
      </c>
      <c r="Z119" s="221">
        <f t="shared" si="77"/>
        <v>0</v>
      </c>
      <c r="AA119" s="30">
        <f t="shared" si="65"/>
        <v>0</v>
      </c>
      <c r="AB119" s="30">
        <f t="shared" si="66"/>
        <v>0</v>
      </c>
      <c r="AC119" s="30">
        <f t="shared" si="67"/>
        <v>0</v>
      </c>
      <c r="AD119" s="30">
        <f t="shared" si="68"/>
        <v>0</v>
      </c>
      <c r="AE119" s="32">
        <f t="shared" si="78"/>
        <v>0</v>
      </c>
    </row>
    <row r="120" spans="1:31" x14ac:dyDescent="0.35">
      <c r="A120" s="48">
        <v>1421</v>
      </c>
      <c r="B120" s="58">
        <f>SUMIF([2]!Table2_23[ETA],'IAB Model'!A120,[2]!Table2_23[FIS PAX])</f>
        <v>0</v>
      </c>
      <c r="C120" s="44">
        <f t="shared" si="79"/>
        <v>0</v>
      </c>
      <c r="D120" s="52">
        <f t="shared" si="85"/>
        <v>0</v>
      </c>
      <c r="E120" s="26">
        <f t="shared" si="69"/>
        <v>0</v>
      </c>
      <c r="F120" s="26">
        <f t="shared" si="70"/>
        <v>0</v>
      </c>
      <c r="G120" s="26">
        <f t="shared" si="71"/>
        <v>0</v>
      </c>
      <c r="H120" s="26">
        <f t="shared" si="80"/>
        <v>0</v>
      </c>
      <c r="I120" s="27">
        <f t="shared" si="92"/>
        <v>0</v>
      </c>
      <c r="J120" s="27">
        <f t="shared" si="92"/>
        <v>0</v>
      </c>
      <c r="K120" s="27">
        <f t="shared" si="92"/>
        <v>0</v>
      </c>
      <c r="L120" s="27">
        <f t="shared" si="92"/>
        <v>0</v>
      </c>
      <c r="M120" s="28">
        <f t="shared" si="87"/>
        <v>0</v>
      </c>
      <c r="N120" s="29">
        <f t="shared" si="88"/>
        <v>18</v>
      </c>
      <c r="O120" s="28">
        <f t="shared" si="89"/>
        <v>0</v>
      </c>
      <c r="P120" s="28">
        <f t="shared" si="90"/>
        <v>0</v>
      </c>
      <c r="Q120" s="28">
        <f t="shared" si="72"/>
        <v>18</v>
      </c>
      <c r="R120" s="22">
        <f t="shared" si="73"/>
        <v>0</v>
      </c>
      <c r="S120" s="22">
        <f t="shared" si="74"/>
        <v>0</v>
      </c>
      <c r="T120" s="22">
        <f t="shared" si="75"/>
        <v>0</v>
      </c>
      <c r="U120" s="22">
        <f t="shared" si="76"/>
        <v>0</v>
      </c>
      <c r="V120" s="21">
        <f t="shared" si="86"/>
        <v>0</v>
      </c>
      <c r="W120" s="21">
        <f t="shared" si="91"/>
        <v>0</v>
      </c>
      <c r="X120" s="21">
        <f t="shared" si="83"/>
        <v>0</v>
      </c>
      <c r="Y120" s="21">
        <f t="shared" si="84"/>
        <v>0</v>
      </c>
      <c r="Z120" s="221">
        <f t="shared" si="77"/>
        <v>0</v>
      </c>
      <c r="AA120" s="30">
        <f t="shared" si="65"/>
        <v>0</v>
      </c>
      <c r="AB120" s="30">
        <f t="shared" si="66"/>
        <v>0</v>
      </c>
      <c r="AC120" s="30">
        <f t="shared" si="67"/>
        <v>0</v>
      </c>
      <c r="AD120" s="30">
        <f t="shared" si="68"/>
        <v>0</v>
      </c>
      <c r="AE120" s="32">
        <f t="shared" si="78"/>
        <v>0</v>
      </c>
    </row>
    <row r="121" spans="1:31" x14ac:dyDescent="0.35">
      <c r="A121" s="48">
        <v>1422</v>
      </c>
      <c r="B121" s="58">
        <f>SUMIF([2]!Table2_23[ETA],'IAB Model'!A121,[2]!Table2_23[FIS PAX])</f>
        <v>0</v>
      </c>
      <c r="C121" s="44">
        <f t="shared" si="79"/>
        <v>0</v>
      </c>
      <c r="D121" s="52">
        <f t="shared" si="85"/>
        <v>0</v>
      </c>
      <c r="E121" s="26">
        <f t="shared" si="69"/>
        <v>0</v>
      </c>
      <c r="F121" s="26">
        <f t="shared" si="70"/>
        <v>0</v>
      </c>
      <c r="G121" s="26">
        <f t="shared" si="71"/>
        <v>0</v>
      </c>
      <c r="H121" s="26">
        <f t="shared" si="80"/>
        <v>0</v>
      </c>
      <c r="I121" s="27">
        <f t="shared" si="92"/>
        <v>0</v>
      </c>
      <c r="J121" s="27">
        <f t="shared" si="92"/>
        <v>0</v>
      </c>
      <c r="K121" s="27">
        <f t="shared" si="92"/>
        <v>0</v>
      </c>
      <c r="L121" s="27">
        <f t="shared" si="92"/>
        <v>0</v>
      </c>
      <c r="M121" s="28">
        <f t="shared" si="87"/>
        <v>0</v>
      </c>
      <c r="N121" s="29">
        <f t="shared" si="88"/>
        <v>18</v>
      </c>
      <c r="O121" s="28">
        <f t="shared" si="89"/>
        <v>0</v>
      </c>
      <c r="P121" s="28">
        <f t="shared" si="90"/>
        <v>0</v>
      </c>
      <c r="Q121" s="28">
        <f t="shared" si="72"/>
        <v>18</v>
      </c>
      <c r="R121" s="22">
        <f t="shared" si="73"/>
        <v>0</v>
      </c>
      <c r="S121" s="22">
        <f t="shared" si="74"/>
        <v>0</v>
      </c>
      <c r="T121" s="22">
        <f t="shared" si="75"/>
        <v>0</v>
      </c>
      <c r="U121" s="22">
        <f t="shared" si="76"/>
        <v>0</v>
      </c>
      <c r="V121" s="21">
        <f t="shared" si="86"/>
        <v>0</v>
      </c>
      <c r="W121" s="21">
        <f t="shared" si="91"/>
        <v>0</v>
      </c>
      <c r="X121" s="21">
        <f t="shared" si="83"/>
        <v>0</v>
      </c>
      <c r="Y121" s="21">
        <f t="shared" si="84"/>
        <v>0</v>
      </c>
      <c r="Z121" s="221">
        <f t="shared" si="77"/>
        <v>0</v>
      </c>
      <c r="AA121" s="30">
        <f t="shared" si="65"/>
        <v>0</v>
      </c>
      <c r="AB121" s="30">
        <f t="shared" si="66"/>
        <v>0</v>
      </c>
      <c r="AC121" s="30">
        <f t="shared" si="67"/>
        <v>0</v>
      </c>
      <c r="AD121" s="30">
        <f t="shared" si="68"/>
        <v>0</v>
      </c>
      <c r="AE121" s="32">
        <f t="shared" si="78"/>
        <v>0</v>
      </c>
    </row>
    <row r="122" spans="1:31" x14ac:dyDescent="0.35">
      <c r="A122" s="48">
        <v>1423</v>
      </c>
      <c r="B122" s="58">
        <f>SUMIF([2]!Table2_23[ETA],'IAB Model'!A122,[2]!Table2_23[FIS PAX])</f>
        <v>0</v>
      </c>
      <c r="C122" s="44">
        <f t="shared" si="79"/>
        <v>0</v>
      </c>
      <c r="D122" s="52">
        <f t="shared" si="85"/>
        <v>0</v>
      </c>
      <c r="E122" s="26">
        <f t="shared" si="69"/>
        <v>0</v>
      </c>
      <c r="F122" s="26">
        <f t="shared" si="70"/>
        <v>0</v>
      </c>
      <c r="G122" s="26">
        <f t="shared" si="71"/>
        <v>0</v>
      </c>
      <c r="H122" s="26">
        <f t="shared" si="80"/>
        <v>0</v>
      </c>
      <c r="I122" s="27">
        <f t="shared" si="92"/>
        <v>0</v>
      </c>
      <c r="J122" s="27">
        <f t="shared" si="92"/>
        <v>0</v>
      </c>
      <c r="K122" s="27">
        <f t="shared" si="92"/>
        <v>0</v>
      </c>
      <c r="L122" s="27">
        <f t="shared" si="92"/>
        <v>0</v>
      </c>
      <c r="M122" s="28">
        <f t="shared" si="87"/>
        <v>0</v>
      </c>
      <c r="N122" s="29">
        <f t="shared" si="88"/>
        <v>18</v>
      </c>
      <c r="O122" s="28">
        <f t="shared" si="89"/>
        <v>0</v>
      </c>
      <c r="P122" s="28">
        <f t="shared" si="90"/>
        <v>0</v>
      </c>
      <c r="Q122" s="28">
        <f t="shared" si="72"/>
        <v>18</v>
      </c>
      <c r="R122" s="22">
        <f t="shared" si="73"/>
        <v>0</v>
      </c>
      <c r="S122" s="22">
        <f t="shared" si="74"/>
        <v>0</v>
      </c>
      <c r="T122" s="22">
        <f t="shared" si="75"/>
        <v>0</v>
      </c>
      <c r="U122" s="22">
        <f t="shared" si="76"/>
        <v>0</v>
      </c>
      <c r="V122" s="21">
        <f t="shared" si="86"/>
        <v>0</v>
      </c>
      <c r="W122" s="21">
        <f t="shared" si="91"/>
        <v>0</v>
      </c>
      <c r="X122" s="21">
        <f t="shared" si="83"/>
        <v>0</v>
      </c>
      <c r="Y122" s="21">
        <f t="shared" si="84"/>
        <v>0</v>
      </c>
      <c r="Z122" s="221">
        <f t="shared" si="77"/>
        <v>0</v>
      </c>
      <c r="AA122" s="30">
        <f t="shared" si="65"/>
        <v>0</v>
      </c>
      <c r="AB122" s="30">
        <f t="shared" si="66"/>
        <v>0</v>
      </c>
      <c r="AC122" s="30">
        <f t="shared" si="67"/>
        <v>0</v>
      </c>
      <c r="AD122" s="30">
        <f t="shared" si="68"/>
        <v>0</v>
      </c>
      <c r="AE122" s="32">
        <f t="shared" si="78"/>
        <v>0</v>
      </c>
    </row>
    <row r="123" spans="1:31" x14ac:dyDescent="0.35">
      <c r="A123" s="48">
        <v>1424</v>
      </c>
      <c r="B123" s="58">
        <f>SUMIF([2]!Table2_23[ETA],'IAB Model'!A123,[2]!Table2_23[FIS PAX])</f>
        <v>0</v>
      </c>
      <c r="C123" s="44">
        <f t="shared" si="79"/>
        <v>0</v>
      </c>
      <c r="D123" s="52">
        <f t="shared" si="85"/>
        <v>0</v>
      </c>
      <c r="E123" s="26">
        <f t="shared" si="69"/>
        <v>0</v>
      </c>
      <c r="F123" s="26">
        <f t="shared" si="70"/>
        <v>0</v>
      </c>
      <c r="G123" s="26">
        <f t="shared" si="71"/>
        <v>0</v>
      </c>
      <c r="H123" s="26">
        <f t="shared" si="80"/>
        <v>0</v>
      </c>
      <c r="I123" s="27">
        <f t="shared" si="92"/>
        <v>0</v>
      </c>
      <c r="J123" s="27">
        <f t="shared" si="92"/>
        <v>0</v>
      </c>
      <c r="K123" s="27">
        <f t="shared" si="92"/>
        <v>0</v>
      </c>
      <c r="L123" s="27">
        <f t="shared" si="92"/>
        <v>0</v>
      </c>
      <c r="M123" s="28">
        <f t="shared" si="87"/>
        <v>0</v>
      </c>
      <c r="N123" s="29">
        <f t="shared" si="88"/>
        <v>18</v>
      </c>
      <c r="O123" s="28">
        <f t="shared" si="89"/>
        <v>0</v>
      </c>
      <c r="P123" s="28">
        <f t="shared" si="90"/>
        <v>0</v>
      </c>
      <c r="Q123" s="28">
        <f t="shared" si="72"/>
        <v>18</v>
      </c>
      <c r="R123" s="22">
        <f t="shared" si="73"/>
        <v>0</v>
      </c>
      <c r="S123" s="22">
        <f t="shared" si="74"/>
        <v>0</v>
      </c>
      <c r="T123" s="22">
        <f t="shared" si="75"/>
        <v>0</v>
      </c>
      <c r="U123" s="22">
        <f t="shared" si="76"/>
        <v>0</v>
      </c>
      <c r="V123" s="21">
        <f t="shared" si="86"/>
        <v>0</v>
      </c>
      <c r="W123" s="21">
        <f t="shared" si="91"/>
        <v>0</v>
      </c>
      <c r="X123" s="21">
        <f t="shared" si="83"/>
        <v>0</v>
      </c>
      <c r="Y123" s="21">
        <f t="shared" si="84"/>
        <v>0</v>
      </c>
      <c r="Z123" s="221">
        <f t="shared" si="77"/>
        <v>0</v>
      </c>
      <c r="AA123" s="30">
        <f t="shared" si="65"/>
        <v>0</v>
      </c>
      <c r="AB123" s="30">
        <f t="shared" si="66"/>
        <v>0</v>
      </c>
      <c r="AC123" s="30">
        <f t="shared" si="67"/>
        <v>0</v>
      </c>
      <c r="AD123" s="30">
        <f t="shared" si="68"/>
        <v>0</v>
      </c>
      <c r="AE123" s="32">
        <f t="shared" si="78"/>
        <v>0</v>
      </c>
    </row>
    <row r="124" spans="1:31" x14ac:dyDescent="0.35">
      <c r="A124" s="48">
        <v>1425</v>
      </c>
      <c r="B124" s="58">
        <f>SUMIF([2]!Table2_23[ETA],'IAB Model'!A124,[2]!Table2_23[FIS PAX])</f>
        <v>0</v>
      </c>
      <c r="C124" s="44">
        <f t="shared" si="79"/>
        <v>0</v>
      </c>
      <c r="D124" s="52">
        <f t="shared" si="85"/>
        <v>0</v>
      </c>
      <c r="E124" s="26">
        <f t="shared" si="69"/>
        <v>0</v>
      </c>
      <c r="F124" s="26">
        <f t="shared" si="70"/>
        <v>0</v>
      </c>
      <c r="G124" s="26">
        <f t="shared" si="71"/>
        <v>0</v>
      </c>
      <c r="H124" s="26">
        <f t="shared" si="80"/>
        <v>0</v>
      </c>
      <c r="I124" s="27">
        <f t="shared" si="92"/>
        <v>0</v>
      </c>
      <c r="J124" s="27">
        <f t="shared" si="92"/>
        <v>0</v>
      </c>
      <c r="K124" s="27">
        <f t="shared" si="92"/>
        <v>0</v>
      </c>
      <c r="L124" s="27">
        <f t="shared" si="92"/>
        <v>0</v>
      </c>
      <c r="M124" s="28">
        <f t="shared" si="87"/>
        <v>0</v>
      </c>
      <c r="N124" s="29">
        <f t="shared" si="88"/>
        <v>18</v>
      </c>
      <c r="O124" s="28">
        <f t="shared" si="89"/>
        <v>0</v>
      </c>
      <c r="P124" s="28">
        <f t="shared" si="90"/>
        <v>0</v>
      </c>
      <c r="Q124" s="28">
        <f t="shared" si="72"/>
        <v>18</v>
      </c>
      <c r="R124" s="22">
        <f t="shared" si="73"/>
        <v>0</v>
      </c>
      <c r="S124" s="22">
        <f t="shared" si="74"/>
        <v>0</v>
      </c>
      <c r="T124" s="22">
        <f t="shared" si="75"/>
        <v>0</v>
      </c>
      <c r="U124" s="22">
        <f t="shared" si="76"/>
        <v>0</v>
      </c>
      <c r="V124" s="21">
        <f t="shared" si="86"/>
        <v>0</v>
      </c>
      <c r="W124" s="21">
        <f t="shared" si="91"/>
        <v>0</v>
      </c>
      <c r="X124" s="21">
        <f t="shared" si="83"/>
        <v>0</v>
      </c>
      <c r="Y124" s="21">
        <f t="shared" si="84"/>
        <v>0</v>
      </c>
      <c r="Z124" s="221">
        <f t="shared" si="77"/>
        <v>0</v>
      </c>
      <c r="AA124" s="30">
        <f t="shared" si="65"/>
        <v>0</v>
      </c>
      <c r="AB124" s="30">
        <f t="shared" si="66"/>
        <v>0</v>
      </c>
      <c r="AC124" s="30">
        <f t="shared" si="67"/>
        <v>0</v>
      </c>
      <c r="AD124" s="30">
        <f t="shared" si="68"/>
        <v>0</v>
      </c>
      <c r="AE124" s="32">
        <f t="shared" si="78"/>
        <v>0</v>
      </c>
    </row>
    <row r="125" spans="1:31" x14ac:dyDescent="0.35">
      <c r="A125" s="48">
        <v>1426</v>
      </c>
      <c r="B125" s="58">
        <f>SUMIF([2]!Table2_23[ETA],'IAB Model'!A125,[2]!Table2_23[FIS PAX])</f>
        <v>0</v>
      </c>
      <c r="C125" s="44">
        <f t="shared" si="79"/>
        <v>0</v>
      </c>
      <c r="D125" s="52">
        <f t="shared" si="85"/>
        <v>0</v>
      </c>
      <c r="E125" s="26">
        <f t="shared" si="69"/>
        <v>0</v>
      </c>
      <c r="F125" s="26">
        <f t="shared" si="70"/>
        <v>0</v>
      </c>
      <c r="G125" s="26">
        <f t="shared" si="71"/>
        <v>0</v>
      </c>
      <c r="H125" s="26">
        <f t="shared" si="80"/>
        <v>0</v>
      </c>
      <c r="I125" s="27">
        <f t="shared" si="92"/>
        <v>0</v>
      </c>
      <c r="J125" s="27">
        <f t="shared" si="92"/>
        <v>0</v>
      </c>
      <c r="K125" s="27">
        <f t="shared" si="92"/>
        <v>0</v>
      </c>
      <c r="L125" s="27">
        <f t="shared" si="92"/>
        <v>0</v>
      </c>
      <c r="M125" s="28">
        <f t="shared" si="87"/>
        <v>0</v>
      </c>
      <c r="N125" s="29">
        <f t="shared" si="88"/>
        <v>18</v>
      </c>
      <c r="O125" s="28">
        <f t="shared" si="89"/>
        <v>0</v>
      </c>
      <c r="P125" s="28">
        <f t="shared" si="90"/>
        <v>0</v>
      </c>
      <c r="Q125" s="28">
        <f t="shared" si="72"/>
        <v>18</v>
      </c>
      <c r="R125" s="22">
        <f t="shared" si="73"/>
        <v>0</v>
      </c>
      <c r="S125" s="22">
        <f t="shared" si="74"/>
        <v>0</v>
      </c>
      <c r="T125" s="22">
        <f t="shared" si="75"/>
        <v>0</v>
      </c>
      <c r="U125" s="22">
        <f t="shared" si="76"/>
        <v>0</v>
      </c>
      <c r="V125" s="21">
        <f t="shared" si="86"/>
        <v>0</v>
      </c>
      <c r="W125" s="21">
        <f t="shared" si="91"/>
        <v>0</v>
      </c>
      <c r="X125" s="21">
        <f t="shared" si="83"/>
        <v>0</v>
      </c>
      <c r="Y125" s="21">
        <f t="shared" si="84"/>
        <v>0</v>
      </c>
      <c r="Z125" s="221">
        <f t="shared" si="77"/>
        <v>0</v>
      </c>
      <c r="AA125" s="30">
        <f t="shared" si="65"/>
        <v>0</v>
      </c>
      <c r="AB125" s="30">
        <f t="shared" si="66"/>
        <v>0</v>
      </c>
      <c r="AC125" s="30">
        <f t="shared" si="67"/>
        <v>0</v>
      </c>
      <c r="AD125" s="30">
        <f t="shared" si="68"/>
        <v>0</v>
      </c>
      <c r="AE125" s="32">
        <f t="shared" si="78"/>
        <v>0</v>
      </c>
    </row>
    <row r="126" spans="1:31" x14ac:dyDescent="0.35">
      <c r="A126" s="48">
        <v>1427</v>
      </c>
      <c r="B126" s="58">
        <f>SUMIF([2]!Table2_23[ETA],'IAB Model'!A126,[2]!Table2_23[FIS PAX])</f>
        <v>0</v>
      </c>
      <c r="C126" s="44">
        <f t="shared" si="79"/>
        <v>0</v>
      </c>
      <c r="D126" s="52">
        <f t="shared" si="85"/>
        <v>0</v>
      </c>
      <c r="E126" s="26">
        <f t="shared" si="69"/>
        <v>0</v>
      </c>
      <c r="F126" s="26">
        <f t="shared" si="70"/>
        <v>0</v>
      </c>
      <c r="G126" s="26">
        <f t="shared" si="71"/>
        <v>0</v>
      </c>
      <c r="H126" s="26">
        <f t="shared" si="80"/>
        <v>0</v>
      </c>
      <c r="I126" s="27">
        <f t="shared" si="92"/>
        <v>0</v>
      </c>
      <c r="J126" s="27">
        <f t="shared" si="92"/>
        <v>0</v>
      </c>
      <c r="K126" s="27">
        <f t="shared" si="92"/>
        <v>0</v>
      </c>
      <c r="L126" s="27">
        <f t="shared" si="92"/>
        <v>0</v>
      </c>
      <c r="M126" s="28">
        <f t="shared" si="87"/>
        <v>0</v>
      </c>
      <c r="N126" s="29">
        <f t="shared" si="88"/>
        <v>18</v>
      </c>
      <c r="O126" s="28">
        <f t="shared" si="89"/>
        <v>0</v>
      </c>
      <c r="P126" s="28">
        <f t="shared" si="90"/>
        <v>0</v>
      </c>
      <c r="Q126" s="28">
        <f t="shared" si="72"/>
        <v>18</v>
      </c>
      <c r="R126" s="22">
        <f t="shared" si="73"/>
        <v>0</v>
      </c>
      <c r="S126" s="22">
        <f t="shared" si="74"/>
        <v>0</v>
      </c>
      <c r="T126" s="22">
        <f t="shared" si="75"/>
        <v>0</v>
      </c>
      <c r="U126" s="22">
        <f t="shared" si="76"/>
        <v>0</v>
      </c>
      <c r="V126" s="21">
        <f t="shared" si="86"/>
        <v>0</v>
      </c>
      <c r="W126" s="21">
        <f t="shared" si="91"/>
        <v>0</v>
      </c>
      <c r="X126" s="21">
        <f t="shared" si="83"/>
        <v>0</v>
      </c>
      <c r="Y126" s="21">
        <f t="shared" si="84"/>
        <v>0</v>
      </c>
      <c r="Z126" s="221">
        <f t="shared" si="77"/>
        <v>0</v>
      </c>
      <c r="AA126" s="30">
        <f t="shared" si="65"/>
        <v>0</v>
      </c>
      <c r="AB126" s="30">
        <f t="shared" si="66"/>
        <v>0</v>
      </c>
      <c r="AC126" s="30">
        <f t="shared" si="67"/>
        <v>0</v>
      </c>
      <c r="AD126" s="30">
        <f t="shared" si="68"/>
        <v>0</v>
      </c>
      <c r="AE126" s="32">
        <f t="shared" si="78"/>
        <v>0</v>
      </c>
    </row>
    <row r="127" spans="1:31" x14ac:dyDescent="0.35">
      <c r="A127" s="48">
        <v>1428</v>
      </c>
      <c r="B127" s="58">
        <f>SUMIF([2]!Table2_23[ETA],'IAB Model'!A127,[2]!Table2_23[FIS PAX])</f>
        <v>0</v>
      </c>
      <c r="C127" s="44">
        <f t="shared" si="79"/>
        <v>0</v>
      </c>
      <c r="D127" s="52">
        <f t="shared" si="85"/>
        <v>0</v>
      </c>
      <c r="E127" s="26">
        <f t="shared" si="69"/>
        <v>0</v>
      </c>
      <c r="F127" s="26">
        <f t="shared" si="70"/>
        <v>0</v>
      </c>
      <c r="G127" s="26">
        <f t="shared" si="71"/>
        <v>0</v>
      </c>
      <c r="H127" s="26">
        <f t="shared" si="80"/>
        <v>0</v>
      </c>
      <c r="I127" s="27">
        <f t="shared" si="92"/>
        <v>0</v>
      </c>
      <c r="J127" s="27">
        <f t="shared" si="92"/>
        <v>0</v>
      </c>
      <c r="K127" s="27">
        <f t="shared" si="92"/>
        <v>0</v>
      </c>
      <c r="L127" s="27">
        <f t="shared" si="92"/>
        <v>0</v>
      </c>
      <c r="M127" s="28">
        <f t="shared" si="87"/>
        <v>0</v>
      </c>
      <c r="N127" s="29">
        <f t="shared" si="88"/>
        <v>18</v>
      </c>
      <c r="O127" s="28">
        <f t="shared" si="89"/>
        <v>0</v>
      </c>
      <c r="P127" s="28">
        <f t="shared" si="90"/>
        <v>0</v>
      </c>
      <c r="Q127" s="28">
        <f t="shared" si="72"/>
        <v>18</v>
      </c>
      <c r="R127" s="22">
        <f t="shared" si="73"/>
        <v>0</v>
      </c>
      <c r="S127" s="22">
        <f t="shared" si="74"/>
        <v>0</v>
      </c>
      <c r="T127" s="22">
        <f t="shared" si="75"/>
        <v>0</v>
      </c>
      <c r="U127" s="22">
        <f t="shared" si="76"/>
        <v>0</v>
      </c>
      <c r="V127" s="21">
        <f t="shared" si="86"/>
        <v>0</v>
      </c>
      <c r="W127" s="21">
        <f t="shared" si="91"/>
        <v>0</v>
      </c>
      <c r="X127" s="21">
        <f t="shared" si="83"/>
        <v>0</v>
      </c>
      <c r="Y127" s="21">
        <f t="shared" si="84"/>
        <v>0</v>
      </c>
      <c r="Z127" s="221">
        <f t="shared" si="77"/>
        <v>0</v>
      </c>
      <c r="AA127" s="30">
        <f t="shared" si="65"/>
        <v>0</v>
      </c>
      <c r="AB127" s="30">
        <f t="shared" si="66"/>
        <v>0</v>
      </c>
      <c r="AC127" s="30">
        <f t="shared" si="67"/>
        <v>0</v>
      </c>
      <c r="AD127" s="30">
        <f t="shared" si="68"/>
        <v>0</v>
      </c>
      <c r="AE127" s="32">
        <f t="shared" si="78"/>
        <v>0</v>
      </c>
    </row>
    <row r="128" spans="1:31" x14ac:dyDescent="0.35">
      <c r="A128" s="48">
        <v>1429</v>
      </c>
      <c r="B128" s="58">
        <f>SUMIF([2]!Table2_23[ETA],'IAB Model'!A128,[2]!Table2_23[FIS PAX])</f>
        <v>0</v>
      </c>
      <c r="C128" s="44">
        <f t="shared" si="79"/>
        <v>0</v>
      </c>
      <c r="D128" s="52">
        <f t="shared" si="85"/>
        <v>0</v>
      </c>
      <c r="E128" s="26">
        <f t="shared" si="69"/>
        <v>0</v>
      </c>
      <c r="F128" s="26">
        <f t="shared" si="70"/>
        <v>0</v>
      </c>
      <c r="G128" s="26">
        <f t="shared" si="71"/>
        <v>0</v>
      </c>
      <c r="H128" s="26">
        <f t="shared" si="80"/>
        <v>0</v>
      </c>
      <c r="I128" s="27">
        <f t="shared" si="92"/>
        <v>0</v>
      </c>
      <c r="J128" s="27">
        <f t="shared" si="92"/>
        <v>0</v>
      </c>
      <c r="K128" s="27">
        <f t="shared" si="92"/>
        <v>0</v>
      </c>
      <c r="L128" s="27">
        <f t="shared" si="92"/>
        <v>0</v>
      </c>
      <c r="M128" s="28">
        <f t="shared" si="87"/>
        <v>0</v>
      </c>
      <c r="N128" s="29">
        <f t="shared" si="88"/>
        <v>18</v>
      </c>
      <c r="O128" s="28">
        <f t="shared" si="89"/>
        <v>0</v>
      </c>
      <c r="P128" s="28">
        <f t="shared" si="90"/>
        <v>0</v>
      </c>
      <c r="Q128" s="28">
        <f t="shared" si="72"/>
        <v>18</v>
      </c>
      <c r="R128" s="22">
        <f t="shared" si="73"/>
        <v>0</v>
      </c>
      <c r="S128" s="22">
        <f t="shared" si="74"/>
        <v>0</v>
      </c>
      <c r="T128" s="22">
        <f t="shared" si="75"/>
        <v>0</v>
      </c>
      <c r="U128" s="22">
        <f t="shared" si="76"/>
        <v>0</v>
      </c>
      <c r="V128" s="21">
        <f t="shared" si="86"/>
        <v>0</v>
      </c>
      <c r="W128" s="21">
        <f t="shared" si="91"/>
        <v>0</v>
      </c>
      <c r="X128" s="21">
        <f t="shared" si="83"/>
        <v>0</v>
      </c>
      <c r="Y128" s="21">
        <f t="shared" si="84"/>
        <v>0</v>
      </c>
      <c r="Z128" s="221">
        <f t="shared" si="77"/>
        <v>0</v>
      </c>
      <c r="AA128" s="30">
        <f t="shared" si="65"/>
        <v>0</v>
      </c>
      <c r="AB128" s="30">
        <f t="shared" si="66"/>
        <v>0</v>
      </c>
      <c r="AC128" s="30">
        <f t="shared" si="67"/>
        <v>0</v>
      </c>
      <c r="AD128" s="30">
        <f t="shared" si="68"/>
        <v>0</v>
      </c>
      <c r="AE128" s="32">
        <f t="shared" si="78"/>
        <v>0</v>
      </c>
    </row>
    <row r="129" spans="1:31" x14ac:dyDescent="0.35">
      <c r="A129" s="48">
        <v>1430</v>
      </c>
      <c r="B129" s="58">
        <f>SUMIF([2]!Table2_23[ETA],'IAB Model'!A129,[2]!Table2_23[FIS PAX])</f>
        <v>11</v>
      </c>
      <c r="C129" s="44">
        <f t="shared" si="79"/>
        <v>0</v>
      </c>
      <c r="D129" s="52">
        <f t="shared" si="85"/>
        <v>0</v>
      </c>
      <c r="E129" s="26">
        <f t="shared" si="69"/>
        <v>0</v>
      </c>
      <c r="F129" s="26">
        <f t="shared" si="70"/>
        <v>0</v>
      </c>
      <c r="G129" s="26">
        <f t="shared" si="71"/>
        <v>0</v>
      </c>
      <c r="H129" s="26">
        <f t="shared" si="80"/>
        <v>0</v>
      </c>
      <c r="I129" s="27">
        <f t="shared" si="92"/>
        <v>0</v>
      </c>
      <c r="J129" s="27">
        <f t="shared" si="92"/>
        <v>0</v>
      </c>
      <c r="K129" s="27">
        <f t="shared" si="92"/>
        <v>0</v>
      </c>
      <c r="L129" s="27">
        <f t="shared" si="92"/>
        <v>0</v>
      </c>
      <c r="M129" s="28">
        <f t="shared" si="87"/>
        <v>0</v>
      </c>
      <c r="N129" s="29">
        <f t="shared" si="88"/>
        <v>18</v>
      </c>
      <c r="O129" s="28">
        <f t="shared" si="89"/>
        <v>0</v>
      </c>
      <c r="P129" s="28">
        <f t="shared" si="90"/>
        <v>0</v>
      </c>
      <c r="Q129" s="28">
        <f>SUM(M129:P129)</f>
        <v>18</v>
      </c>
      <c r="R129" s="22">
        <f t="shared" si="73"/>
        <v>0</v>
      </c>
      <c r="S129" s="22">
        <f t="shared" si="74"/>
        <v>0</v>
      </c>
      <c r="T129" s="22">
        <f t="shared" si="75"/>
        <v>0</v>
      </c>
      <c r="U129" s="22">
        <f t="shared" si="76"/>
        <v>0</v>
      </c>
      <c r="V129" s="21">
        <f>IFERROR(R129*($I$30/M129),0)</f>
        <v>0</v>
      </c>
      <c r="W129" s="21">
        <f>IFERROR(S129*($I$31/N129),0)</f>
        <v>0</v>
      </c>
      <c r="X129" s="21">
        <f>IFERROR(T129*($I$32/O129),0)</f>
        <v>0</v>
      </c>
      <c r="Y129" s="21">
        <f>IFERROR(U129*($I$33/P129),0)</f>
        <v>0</v>
      </c>
      <c r="Z129" s="221">
        <f t="shared" si="77"/>
        <v>0</v>
      </c>
      <c r="AA129" s="30">
        <f t="shared" si="65"/>
        <v>0</v>
      </c>
      <c r="AB129" s="30">
        <f t="shared" si="66"/>
        <v>0</v>
      </c>
      <c r="AC129" s="30">
        <f t="shared" si="67"/>
        <v>0</v>
      </c>
      <c r="AD129" s="30">
        <f t="shared" si="68"/>
        <v>0</v>
      </c>
      <c r="AE129" s="32">
        <f t="shared" si="78"/>
        <v>0</v>
      </c>
    </row>
    <row r="130" spans="1:31" x14ac:dyDescent="0.35">
      <c r="A130" s="48">
        <v>1431</v>
      </c>
      <c r="B130" s="58">
        <f>SUMIF([2]!Table2_23[ETA],'IAB Model'!A130,[2]!Table2_23[FIS PAX])</f>
        <v>0</v>
      </c>
      <c r="C130" s="44">
        <f t="shared" si="79"/>
        <v>0</v>
      </c>
      <c r="D130" s="52">
        <f t="shared" si="85"/>
        <v>0</v>
      </c>
      <c r="E130" s="26">
        <f t="shared" si="69"/>
        <v>0</v>
      </c>
      <c r="F130" s="26">
        <f t="shared" si="70"/>
        <v>0</v>
      </c>
      <c r="G130" s="26">
        <f t="shared" si="71"/>
        <v>0</v>
      </c>
      <c r="H130" s="26">
        <f t="shared" si="80"/>
        <v>0</v>
      </c>
      <c r="I130" s="27">
        <f t="shared" si="92"/>
        <v>0</v>
      </c>
      <c r="J130" s="27">
        <f t="shared" si="92"/>
        <v>0</v>
      </c>
      <c r="K130" s="27">
        <f t="shared" si="92"/>
        <v>0</v>
      </c>
      <c r="L130" s="27">
        <f t="shared" si="92"/>
        <v>0</v>
      </c>
      <c r="M130" s="28">
        <f>IF(R129=0,0,$Q$12)</f>
        <v>0</v>
      </c>
      <c r="N130" s="29">
        <f>$U$12-M130-O130-P130</f>
        <v>18</v>
      </c>
      <c r="O130" s="28">
        <f>IF(T129=0,0,$S$12)</f>
        <v>0</v>
      </c>
      <c r="P130" s="28">
        <f>IF(U129=0,0,$T$12)</f>
        <v>0</v>
      </c>
      <c r="Q130" s="28">
        <f>SUM(M130:P130)</f>
        <v>18</v>
      </c>
      <c r="R130" s="22">
        <f t="shared" si="73"/>
        <v>0</v>
      </c>
      <c r="S130" s="22">
        <f t="shared" si="74"/>
        <v>0</v>
      </c>
      <c r="T130" s="22">
        <f t="shared" si="75"/>
        <v>0</v>
      </c>
      <c r="U130" s="22">
        <f t="shared" si="76"/>
        <v>0</v>
      </c>
      <c r="V130" s="21">
        <f>IFERROR(R130*($I$30/M130),0)</f>
        <v>0</v>
      </c>
      <c r="W130" s="21">
        <f>IFERROR(S130*($I$31/N130),0)</f>
        <v>0</v>
      </c>
      <c r="X130" s="21">
        <f>IFERROR(T130*($I$32/O130),0)</f>
        <v>0</v>
      </c>
      <c r="Y130" s="21">
        <f>IFERROR(U130*($I$33/P130),0)</f>
        <v>0</v>
      </c>
      <c r="Z130" s="221">
        <f t="shared" si="77"/>
        <v>0</v>
      </c>
      <c r="AA130" s="30">
        <f t="shared" si="65"/>
        <v>0</v>
      </c>
      <c r="AB130" s="30">
        <f t="shared" si="66"/>
        <v>0</v>
      </c>
      <c r="AC130" s="30">
        <f t="shared" si="67"/>
        <v>0</v>
      </c>
      <c r="AD130" s="30">
        <f t="shared" si="68"/>
        <v>0</v>
      </c>
      <c r="AE130" s="32">
        <f t="shared" si="78"/>
        <v>0</v>
      </c>
    </row>
    <row r="131" spans="1:31" x14ac:dyDescent="0.35">
      <c r="A131" s="48">
        <v>1432</v>
      </c>
      <c r="B131" s="58">
        <f>SUMIF([2]!Table2_23[ETA],'IAB Model'!A131,[2]!Table2_23[FIS PAX])</f>
        <v>0</v>
      </c>
      <c r="C131" s="44">
        <f t="shared" si="79"/>
        <v>0</v>
      </c>
      <c r="D131" s="52">
        <f t="shared" si="85"/>
        <v>0</v>
      </c>
      <c r="E131" s="26">
        <f t="shared" si="69"/>
        <v>0</v>
      </c>
      <c r="F131" s="26">
        <f t="shared" si="70"/>
        <v>0</v>
      </c>
      <c r="G131" s="26">
        <f t="shared" si="71"/>
        <v>0</v>
      </c>
      <c r="H131" s="26">
        <f t="shared" si="80"/>
        <v>0</v>
      </c>
      <c r="I131" s="27">
        <f t="shared" si="92"/>
        <v>0</v>
      </c>
      <c r="J131" s="27">
        <f t="shared" si="92"/>
        <v>0</v>
      </c>
      <c r="K131" s="27">
        <f t="shared" si="92"/>
        <v>0</v>
      </c>
      <c r="L131" s="27">
        <f t="shared" si="92"/>
        <v>0</v>
      </c>
      <c r="M131" s="28">
        <f>$M$130</f>
        <v>0</v>
      </c>
      <c r="N131" s="29">
        <f>$N$130</f>
        <v>18</v>
      </c>
      <c r="O131" s="28">
        <f>$O$130</f>
        <v>0</v>
      </c>
      <c r="P131" s="28">
        <f>$P$130</f>
        <v>0</v>
      </c>
      <c r="Q131" s="28">
        <f t="shared" si="72"/>
        <v>18</v>
      </c>
      <c r="R131" s="22">
        <f t="shared" si="73"/>
        <v>0</v>
      </c>
      <c r="S131" s="22">
        <f t="shared" si="74"/>
        <v>0</v>
      </c>
      <c r="T131" s="22">
        <f t="shared" si="75"/>
        <v>0</v>
      </c>
      <c r="U131" s="22">
        <f t="shared" si="76"/>
        <v>0</v>
      </c>
      <c r="V131" s="21">
        <f t="shared" si="86"/>
        <v>0</v>
      </c>
      <c r="W131" s="21">
        <f t="shared" si="91"/>
        <v>0</v>
      </c>
      <c r="X131" s="21">
        <f t="shared" si="83"/>
        <v>0</v>
      </c>
      <c r="Y131" s="21">
        <f t="shared" si="84"/>
        <v>0</v>
      </c>
      <c r="Z131" s="221">
        <f t="shared" si="77"/>
        <v>0</v>
      </c>
      <c r="AA131" s="30">
        <f t="shared" si="65"/>
        <v>0</v>
      </c>
      <c r="AB131" s="30">
        <f t="shared" si="66"/>
        <v>0</v>
      </c>
      <c r="AC131" s="30">
        <f t="shared" si="67"/>
        <v>0</v>
      </c>
      <c r="AD131" s="30">
        <f t="shared" si="68"/>
        <v>0</v>
      </c>
      <c r="AE131" s="32">
        <f t="shared" si="78"/>
        <v>0</v>
      </c>
    </row>
    <row r="132" spans="1:31" x14ac:dyDescent="0.35">
      <c r="A132" s="48">
        <v>1433</v>
      </c>
      <c r="B132" s="58">
        <f>SUMIF([2]!Table2_23[ETA],'IAB Model'!A132,[2]!Table2_23[FIS PAX])</f>
        <v>0</v>
      </c>
      <c r="C132" s="44">
        <f t="shared" si="79"/>
        <v>0</v>
      </c>
      <c r="D132" s="52">
        <f t="shared" si="85"/>
        <v>0</v>
      </c>
      <c r="E132" s="26">
        <f t="shared" si="69"/>
        <v>0</v>
      </c>
      <c r="F132" s="26">
        <f t="shared" si="70"/>
        <v>0</v>
      </c>
      <c r="G132" s="26">
        <f t="shared" si="71"/>
        <v>0</v>
      </c>
      <c r="H132" s="26">
        <f t="shared" si="80"/>
        <v>0</v>
      </c>
      <c r="I132" s="27">
        <f t="shared" si="92"/>
        <v>0</v>
      </c>
      <c r="J132" s="27">
        <f t="shared" si="92"/>
        <v>0</v>
      </c>
      <c r="K132" s="27">
        <f t="shared" si="92"/>
        <v>0</v>
      </c>
      <c r="L132" s="27">
        <f t="shared" si="92"/>
        <v>0</v>
      </c>
      <c r="M132" s="28">
        <f t="shared" ref="M132:M144" si="93">$M$130</f>
        <v>0</v>
      </c>
      <c r="N132" s="29">
        <f t="shared" ref="N132:N144" si="94">$N$130</f>
        <v>18</v>
      </c>
      <c r="O132" s="28">
        <f t="shared" ref="O132:O144" si="95">$O$130</f>
        <v>0</v>
      </c>
      <c r="P132" s="28">
        <f t="shared" ref="P132:P144" si="96">$P$130</f>
        <v>0</v>
      </c>
      <c r="Q132" s="28">
        <f t="shared" si="72"/>
        <v>18</v>
      </c>
      <c r="R132" s="22">
        <f t="shared" si="73"/>
        <v>0</v>
      </c>
      <c r="S132" s="22">
        <f t="shared" si="74"/>
        <v>0</v>
      </c>
      <c r="T132" s="22">
        <f t="shared" si="75"/>
        <v>0</v>
      </c>
      <c r="U132" s="22">
        <f t="shared" si="76"/>
        <v>0</v>
      </c>
      <c r="V132" s="21">
        <f t="shared" si="86"/>
        <v>0</v>
      </c>
      <c r="W132" s="21">
        <f t="shared" si="91"/>
        <v>0</v>
      </c>
      <c r="X132" s="21">
        <f t="shared" si="83"/>
        <v>0</v>
      </c>
      <c r="Y132" s="21">
        <f t="shared" si="84"/>
        <v>0</v>
      </c>
      <c r="Z132" s="221">
        <f t="shared" si="77"/>
        <v>0</v>
      </c>
      <c r="AA132" s="30">
        <f t="shared" si="65"/>
        <v>0</v>
      </c>
      <c r="AB132" s="30">
        <f t="shared" si="66"/>
        <v>0</v>
      </c>
      <c r="AC132" s="30">
        <f t="shared" si="67"/>
        <v>0</v>
      </c>
      <c r="AD132" s="30">
        <f t="shared" si="68"/>
        <v>0</v>
      </c>
      <c r="AE132" s="32">
        <f t="shared" si="78"/>
        <v>0</v>
      </c>
    </row>
    <row r="133" spans="1:31" x14ac:dyDescent="0.35">
      <c r="A133" s="48">
        <v>1434</v>
      </c>
      <c r="B133" s="58">
        <f>SUMIF([2]!Table2_23[ETA],'IAB Model'!A133,[2]!Table2_23[FIS PAX])</f>
        <v>0</v>
      </c>
      <c r="C133" s="44">
        <f t="shared" si="79"/>
        <v>0</v>
      </c>
      <c r="D133" s="52">
        <f t="shared" si="85"/>
        <v>0</v>
      </c>
      <c r="E133" s="26">
        <f t="shared" si="69"/>
        <v>0</v>
      </c>
      <c r="F133" s="26">
        <f t="shared" si="70"/>
        <v>0</v>
      </c>
      <c r="G133" s="26">
        <f t="shared" si="71"/>
        <v>0</v>
      </c>
      <c r="H133" s="26">
        <f t="shared" si="80"/>
        <v>0</v>
      </c>
      <c r="I133" s="27">
        <f t="shared" si="92"/>
        <v>0</v>
      </c>
      <c r="J133" s="27">
        <f t="shared" si="92"/>
        <v>0</v>
      </c>
      <c r="K133" s="27">
        <f t="shared" si="92"/>
        <v>0</v>
      </c>
      <c r="L133" s="27">
        <f t="shared" si="92"/>
        <v>0</v>
      </c>
      <c r="M133" s="28">
        <f t="shared" si="93"/>
        <v>0</v>
      </c>
      <c r="N133" s="29">
        <f t="shared" si="94"/>
        <v>18</v>
      </c>
      <c r="O133" s="28">
        <f t="shared" si="95"/>
        <v>0</v>
      </c>
      <c r="P133" s="28">
        <f t="shared" si="96"/>
        <v>0</v>
      </c>
      <c r="Q133" s="28">
        <f t="shared" si="72"/>
        <v>18</v>
      </c>
      <c r="R133" s="22">
        <f t="shared" si="73"/>
        <v>0</v>
      </c>
      <c r="S133" s="22">
        <f t="shared" si="74"/>
        <v>0</v>
      </c>
      <c r="T133" s="22">
        <f t="shared" si="75"/>
        <v>0</v>
      </c>
      <c r="U133" s="22">
        <f t="shared" si="76"/>
        <v>0</v>
      </c>
      <c r="V133" s="21">
        <f t="shared" si="86"/>
        <v>0</v>
      </c>
      <c r="W133" s="21">
        <f t="shared" si="91"/>
        <v>0</v>
      </c>
      <c r="X133" s="21">
        <f t="shared" si="83"/>
        <v>0</v>
      </c>
      <c r="Y133" s="21">
        <f t="shared" si="84"/>
        <v>0</v>
      </c>
      <c r="Z133" s="221">
        <f t="shared" si="77"/>
        <v>0</v>
      </c>
      <c r="AA133" s="30">
        <f t="shared" si="65"/>
        <v>0</v>
      </c>
      <c r="AB133" s="30">
        <f t="shared" si="66"/>
        <v>0</v>
      </c>
      <c r="AC133" s="30">
        <f t="shared" si="67"/>
        <v>0</v>
      </c>
      <c r="AD133" s="30">
        <f t="shared" si="68"/>
        <v>0</v>
      </c>
      <c r="AE133" s="32">
        <f t="shared" si="78"/>
        <v>0</v>
      </c>
    </row>
    <row r="134" spans="1:31" x14ac:dyDescent="0.35">
      <c r="A134" s="48">
        <v>1435</v>
      </c>
      <c r="B134" s="58">
        <f>SUMIF([2]!Table2_23[ETA],'IAB Model'!A134,[2]!Table2_23[FIS PAX])</f>
        <v>0</v>
      </c>
      <c r="C134" s="44">
        <f t="shared" si="79"/>
        <v>0</v>
      </c>
      <c r="D134" s="52">
        <f t="shared" si="85"/>
        <v>0</v>
      </c>
      <c r="E134" s="26">
        <f t="shared" si="69"/>
        <v>0</v>
      </c>
      <c r="F134" s="26">
        <f t="shared" si="70"/>
        <v>0</v>
      </c>
      <c r="G134" s="26">
        <f t="shared" si="71"/>
        <v>0</v>
      </c>
      <c r="H134" s="26">
        <f t="shared" si="80"/>
        <v>0</v>
      </c>
      <c r="I134" s="27">
        <f t="shared" si="92"/>
        <v>0</v>
      </c>
      <c r="J134" s="27">
        <f t="shared" si="92"/>
        <v>0</v>
      </c>
      <c r="K134" s="27">
        <f t="shared" si="92"/>
        <v>0</v>
      </c>
      <c r="L134" s="27">
        <f t="shared" si="92"/>
        <v>0</v>
      </c>
      <c r="M134" s="28">
        <f t="shared" si="93"/>
        <v>0</v>
      </c>
      <c r="N134" s="29">
        <f t="shared" si="94"/>
        <v>18</v>
      </c>
      <c r="O134" s="28">
        <f t="shared" si="95"/>
        <v>0</v>
      </c>
      <c r="P134" s="28">
        <f t="shared" si="96"/>
        <v>0</v>
      </c>
      <c r="Q134" s="28">
        <f t="shared" si="72"/>
        <v>18</v>
      </c>
      <c r="R134" s="22">
        <f t="shared" si="73"/>
        <v>0</v>
      </c>
      <c r="S134" s="22">
        <f t="shared" si="74"/>
        <v>0</v>
      </c>
      <c r="T134" s="22">
        <f t="shared" si="75"/>
        <v>0</v>
      </c>
      <c r="U134" s="22">
        <f t="shared" si="76"/>
        <v>0</v>
      </c>
      <c r="V134" s="21">
        <f t="shared" si="86"/>
        <v>0</v>
      </c>
      <c r="W134" s="21">
        <f t="shared" si="91"/>
        <v>0</v>
      </c>
      <c r="X134" s="21">
        <f t="shared" si="83"/>
        <v>0</v>
      </c>
      <c r="Y134" s="21">
        <f t="shared" si="84"/>
        <v>0</v>
      </c>
      <c r="Z134" s="221">
        <f t="shared" si="77"/>
        <v>0</v>
      </c>
      <c r="AA134" s="30">
        <f t="shared" si="65"/>
        <v>0</v>
      </c>
      <c r="AB134" s="30">
        <f t="shared" si="66"/>
        <v>0</v>
      </c>
      <c r="AC134" s="30">
        <f t="shared" si="67"/>
        <v>0</v>
      </c>
      <c r="AD134" s="30">
        <f t="shared" si="68"/>
        <v>0</v>
      </c>
      <c r="AE134" s="32">
        <f t="shared" si="78"/>
        <v>0</v>
      </c>
    </row>
    <row r="135" spans="1:31" x14ac:dyDescent="0.35">
      <c r="A135" s="48">
        <v>1436</v>
      </c>
      <c r="B135" s="58">
        <f>SUMIF([2]!Table2_23[ETA],'IAB Model'!A135,[2]!Table2_23[FIS PAX])</f>
        <v>0</v>
      </c>
      <c r="C135" s="44">
        <f t="shared" si="79"/>
        <v>0</v>
      </c>
      <c r="D135" s="52">
        <f t="shared" si="85"/>
        <v>0</v>
      </c>
      <c r="E135" s="26">
        <f t="shared" si="69"/>
        <v>0</v>
      </c>
      <c r="F135" s="26">
        <f t="shared" si="70"/>
        <v>0</v>
      </c>
      <c r="G135" s="26">
        <f t="shared" si="71"/>
        <v>0</v>
      </c>
      <c r="H135" s="26">
        <f t="shared" si="80"/>
        <v>0</v>
      </c>
      <c r="I135" s="27">
        <f t="shared" ref="I135:L150" si="97">E120</f>
        <v>0</v>
      </c>
      <c r="J135" s="27">
        <f t="shared" si="97"/>
        <v>0</v>
      </c>
      <c r="K135" s="27">
        <f t="shared" si="97"/>
        <v>0</v>
      </c>
      <c r="L135" s="27">
        <f t="shared" si="97"/>
        <v>0</v>
      </c>
      <c r="M135" s="28">
        <f t="shared" si="93"/>
        <v>0</v>
      </c>
      <c r="N135" s="29">
        <f t="shared" si="94"/>
        <v>18</v>
      </c>
      <c r="O135" s="28">
        <f t="shared" si="95"/>
        <v>0</v>
      </c>
      <c r="P135" s="28">
        <f t="shared" si="96"/>
        <v>0</v>
      </c>
      <c r="Q135" s="28">
        <f t="shared" si="72"/>
        <v>18</v>
      </c>
      <c r="R135" s="22">
        <f t="shared" si="73"/>
        <v>0</v>
      </c>
      <c r="S135" s="22">
        <f t="shared" si="74"/>
        <v>0</v>
      </c>
      <c r="T135" s="22">
        <f t="shared" si="75"/>
        <v>0</v>
      </c>
      <c r="U135" s="22">
        <f t="shared" si="76"/>
        <v>0</v>
      </c>
      <c r="V135" s="21">
        <f t="shared" si="86"/>
        <v>0</v>
      </c>
      <c r="W135" s="21">
        <f t="shared" si="91"/>
        <v>0</v>
      </c>
      <c r="X135" s="21">
        <f t="shared" si="83"/>
        <v>0</v>
      </c>
      <c r="Y135" s="21">
        <f t="shared" si="84"/>
        <v>0</v>
      </c>
      <c r="Z135" s="221">
        <f t="shared" si="77"/>
        <v>0</v>
      </c>
      <c r="AA135" s="30">
        <f t="shared" si="65"/>
        <v>0</v>
      </c>
      <c r="AB135" s="30">
        <f t="shared" si="66"/>
        <v>0</v>
      </c>
      <c r="AC135" s="30">
        <f t="shared" si="67"/>
        <v>0</v>
      </c>
      <c r="AD135" s="30">
        <f t="shared" si="68"/>
        <v>0</v>
      </c>
      <c r="AE135" s="32">
        <f t="shared" si="78"/>
        <v>0</v>
      </c>
    </row>
    <row r="136" spans="1:31" x14ac:dyDescent="0.35">
      <c r="A136" s="48">
        <v>1437</v>
      </c>
      <c r="B136" s="58">
        <f>SUMIF([2]!Table2_23[ETA],'IAB Model'!A136,[2]!Table2_23[FIS PAX])</f>
        <v>106</v>
      </c>
      <c r="C136" s="44">
        <f t="shared" si="79"/>
        <v>0</v>
      </c>
      <c r="D136" s="52">
        <f t="shared" si="85"/>
        <v>0</v>
      </c>
      <c r="E136" s="26">
        <f t="shared" si="69"/>
        <v>0</v>
      </c>
      <c r="F136" s="26">
        <f t="shared" si="70"/>
        <v>0</v>
      </c>
      <c r="G136" s="26">
        <f t="shared" si="71"/>
        <v>0</v>
      </c>
      <c r="H136" s="26">
        <f t="shared" si="80"/>
        <v>0</v>
      </c>
      <c r="I136" s="27">
        <f t="shared" si="97"/>
        <v>0</v>
      </c>
      <c r="J136" s="27">
        <f t="shared" si="97"/>
        <v>0</v>
      </c>
      <c r="K136" s="27">
        <f t="shared" si="97"/>
        <v>0</v>
      </c>
      <c r="L136" s="27">
        <f t="shared" si="97"/>
        <v>0</v>
      </c>
      <c r="M136" s="28">
        <f t="shared" si="93"/>
        <v>0</v>
      </c>
      <c r="N136" s="29">
        <f t="shared" si="94"/>
        <v>18</v>
      </c>
      <c r="O136" s="28">
        <f t="shared" si="95"/>
        <v>0</v>
      </c>
      <c r="P136" s="28">
        <f t="shared" si="96"/>
        <v>0</v>
      </c>
      <c r="Q136" s="28">
        <f t="shared" si="72"/>
        <v>18</v>
      </c>
      <c r="R136" s="22">
        <f t="shared" si="73"/>
        <v>0</v>
      </c>
      <c r="S136" s="22">
        <f t="shared" si="74"/>
        <v>0</v>
      </c>
      <c r="T136" s="22">
        <f t="shared" si="75"/>
        <v>0</v>
      </c>
      <c r="U136" s="22">
        <f t="shared" si="76"/>
        <v>0</v>
      </c>
      <c r="V136" s="21">
        <f t="shared" si="86"/>
        <v>0</v>
      </c>
      <c r="W136" s="21">
        <f t="shared" si="91"/>
        <v>0</v>
      </c>
      <c r="X136" s="21">
        <f t="shared" si="83"/>
        <v>0</v>
      </c>
      <c r="Y136" s="21">
        <f t="shared" si="84"/>
        <v>0</v>
      </c>
      <c r="Z136" s="221">
        <f t="shared" si="77"/>
        <v>0</v>
      </c>
      <c r="AA136" s="30">
        <f t="shared" si="65"/>
        <v>0</v>
      </c>
      <c r="AB136" s="30">
        <f t="shared" si="66"/>
        <v>0</v>
      </c>
      <c r="AC136" s="30">
        <f t="shared" si="67"/>
        <v>0</v>
      </c>
      <c r="AD136" s="30">
        <f t="shared" si="68"/>
        <v>0</v>
      </c>
      <c r="AE136" s="32">
        <f t="shared" si="78"/>
        <v>0</v>
      </c>
    </row>
    <row r="137" spans="1:31" x14ac:dyDescent="0.35">
      <c r="A137" s="48">
        <v>1438</v>
      </c>
      <c r="B137" s="58">
        <f>SUMIF([2]!Table2_23[ETA],'IAB Model'!A137,[2]!Table2_23[FIS PAX])</f>
        <v>207</v>
      </c>
      <c r="C137" s="44">
        <f t="shared" si="79"/>
        <v>18</v>
      </c>
      <c r="D137" s="52">
        <f t="shared" si="85"/>
        <v>88</v>
      </c>
      <c r="E137" s="26">
        <f t="shared" si="69"/>
        <v>8.2691999999999997</v>
      </c>
      <c r="F137" s="26">
        <f t="shared" si="70"/>
        <v>5.3369999999999997</v>
      </c>
      <c r="G137" s="26">
        <f t="shared" si="71"/>
        <v>3.1175999999999999</v>
      </c>
      <c r="H137" s="26">
        <f t="shared" si="80"/>
        <v>1.2762</v>
      </c>
      <c r="I137" s="27">
        <f t="shared" si="97"/>
        <v>0</v>
      </c>
      <c r="J137" s="27">
        <f t="shared" si="97"/>
        <v>0</v>
      </c>
      <c r="K137" s="27">
        <f t="shared" si="97"/>
        <v>0</v>
      </c>
      <c r="L137" s="27">
        <f t="shared" si="97"/>
        <v>0</v>
      </c>
      <c r="M137" s="28">
        <f t="shared" si="93"/>
        <v>0</v>
      </c>
      <c r="N137" s="29">
        <f t="shared" si="94"/>
        <v>18</v>
      </c>
      <c r="O137" s="28">
        <f t="shared" si="95"/>
        <v>0</v>
      </c>
      <c r="P137" s="28">
        <f t="shared" si="96"/>
        <v>0</v>
      </c>
      <c r="Q137" s="28">
        <f t="shared" si="72"/>
        <v>18</v>
      </c>
      <c r="R137" s="22">
        <f t="shared" si="73"/>
        <v>0</v>
      </c>
      <c r="S137" s="22">
        <f t="shared" si="74"/>
        <v>0</v>
      </c>
      <c r="T137" s="22">
        <f t="shared" si="75"/>
        <v>0</v>
      </c>
      <c r="U137" s="22">
        <f t="shared" si="76"/>
        <v>0</v>
      </c>
      <c r="V137" s="21">
        <f t="shared" si="86"/>
        <v>0</v>
      </c>
      <c r="W137" s="21">
        <f t="shared" si="91"/>
        <v>0</v>
      </c>
      <c r="X137" s="21">
        <f t="shared" si="83"/>
        <v>0</v>
      </c>
      <c r="Y137" s="21">
        <f t="shared" si="84"/>
        <v>0</v>
      </c>
      <c r="Z137" s="221">
        <f t="shared" si="77"/>
        <v>0</v>
      </c>
      <c r="AA137" s="30">
        <f t="shared" si="65"/>
        <v>0</v>
      </c>
      <c r="AB137" s="30">
        <f t="shared" si="66"/>
        <v>0</v>
      </c>
      <c r="AC137" s="30">
        <f t="shared" si="67"/>
        <v>0</v>
      </c>
      <c r="AD137" s="30">
        <f t="shared" si="68"/>
        <v>0</v>
      </c>
      <c r="AE137" s="32">
        <f t="shared" si="78"/>
        <v>0</v>
      </c>
    </row>
    <row r="138" spans="1:31" x14ac:dyDescent="0.35">
      <c r="A138" s="48">
        <v>1439</v>
      </c>
      <c r="B138" s="58">
        <f>SUMIF([2]!Table2_23[ETA],'IAB Model'!A138,[2]!Table2_23[FIS PAX])</f>
        <v>0</v>
      </c>
      <c r="C138" s="44">
        <f t="shared" si="79"/>
        <v>18</v>
      </c>
      <c r="D138" s="52">
        <f t="shared" si="85"/>
        <v>277</v>
      </c>
      <c r="E138" s="26">
        <f t="shared" si="69"/>
        <v>8.2691999999999997</v>
      </c>
      <c r="F138" s="26">
        <f t="shared" si="70"/>
        <v>5.3369999999999997</v>
      </c>
      <c r="G138" s="26">
        <f t="shared" si="71"/>
        <v>3.1175999999999999</v>
      </c>
      <c r="H138" s="26">
        <f t="shared" si="80"/>
        <v>1.2762</v>
      </c>
      <c r="I138" s="27">
        <f t="shared" si="97"/>
        <v>0</v>
      </c>
      <c r="J138" s="27">
        <f t="shared" si="97"/>
        <v>0</v>
      </c>
      <c r="K138" s="27">
        <f t="shared" si="97"/>
        <v>0</v>
      </c>
      <c r="L138" s="27">
        <f t="shared" si="97"/>
        <v>0</v>
      </c>
      <c r="M138" s="28">
        <f t="shared" si="93"/>
        <v>0</v>
      </c>
      <c r="N138" s="29">
        <f t="shared" si="94"/>
        <v>18</v>
      </c>
      <c r="O138" s="28">
        <f t="shared" si="95"/>
        <v>0</v>
      </c>
      <c r="P138" s="28">
        <f t="shared" si="96"/>
        <v>0</v>
      </c>
      <c r="Q138" s="28">
        <f t="shared" si="72"/>
        <v>18</v>
      </c>
      <c r="R138" s="22">
        <f t="shared" si="73"/>
        <v>0</v>
      </c>
      <c r="S138" s="22">
        <f t="shared" si="74"/>
        <v>0</v>
      </c>
      <c r="T138" s="22">
        <f t="shared" si="75"/>
        <v>0</v>
      </c>
      <c r="U138" s="22">
        <f t="shared" si="76"/>
        <v>0</v>
      </c>
      <c r="V138" s="21">
        <f t="shared" si="86"/>
        <v>0</v>
      </c>
      <c r="W138" s="21">
        <f t="shared" si="91"/>
        <v>0</v>
      </c>
      <c r="X138" s="21">
        <f t="shared" si="83"/>
        <v>0</v>
      </c>
      <c r="Y138" s="21">
        <f t="shared" si="84"/>
        <v>0</v>
      </c>
      <c r="Z138" s="221">
        <f t="shared" si="77"/>
        <v>0</v>
      </c>
      <c r="AA138" s="30">
        <f t="shared" si="65"/>
        <v>0</v>
      </c>
      <c r="AB138" s="30">
        <f t="shared" si="66"/>
        <v>0</v>
      </c>
      <c r="AC138" s="30">
        <f t="shared" si="67"/>
        <v>0</v>
      </c>
      <c r="AD138" s="30">
        <f t="shared" si="68"/>
        <v>0</v>
      </c>
      <c r="AE138" s="32">
        <f t="shared" si="78"/>
        <v>0</v>
      </c>
    </row>
    <row r="139" spans="1:31" x14ac:dyDescent="0.35">
      <c r="A139" s="48">
        <v>1440</v>
      </c>
      <c r="B139" s="58">
        <f>SUMIF([2]!Table2_23[ETA],'IAB Model'!A139,[2]!Table2_23[FIS PAX])</f>
        <v>0</v>
      </c>
      <c r="C139" s="44">
        <f t="shared" si="79"/>
        <v>18</v>
      </c>
      <c r="D139" s="52">
        <f t="shared" si="85"/>
        <v>259</v>
      </c>
      <c r="E139" s="26">
        <f t="shared" si="69"/>
        <v>8.2691999999999997</v>
      </c>
      <c r="F139" s="26">
        <f t="shared" si="70"/>
        <v>5.3369999999999997</v>
      </c>
      <c r="G139" s="26">
        <f t="shared" si="71"/>
        <v>3.1175999999999999</v>
      </c>
      <c r="H139" s="26">
        <f t="shared" si="80"/>
        <v>1.2762</v>
      </c>
      <c r="I139" s="27">
        <f t="shared" si="97"/>
        <v>0</v>
      </c>
      <c r="J139" s="27">
        <f t="shared" si="97"/>
        <v>0</v>
      </c>
      <c r="K139" s="27">
        <f t="shared" si="97"/>
        <v>0</v>
      </c>
      <c r="L139" s="27">
        <f t="shared" si="97"/>
        <v>0</v>
      </c>
      <c r="M139" s="28">
        <f t="shared" si="93"/>
        <v>0</v>
      </c>
      <c r="N139" s="29">
        <f t="shared" si="94"/>
        <v>18</v>
      </c>
      <c r="O139" s="28">
        <f t="shared" si="95"/>
        <v>0</v>
      </c>
      <c r="P139" s="28">
        <f t="shared" si="96"/>
        <v>0</v>
      </c>
      <c r="Q139" s="28">
        <f t="shared" si="72"/>
        <v>18</v>
      </c>
      <c r="R139" s="22">
        <f t="shared" si="73"/>
        <v>0</v>
      </c>
      <c r="S139" s="22">
        <f t="shared" si="74"/>
        <v>0</v>
      </c>
      <c r="T139" s="22">
        <f t="shared" si="75"/>
        <v>0</v>
      </c>
      <c r="U139" s="22">
        <f t="shared" si="76"/>
        <v>0</v>
      </c>
      <c r="V139" s="21">
        <f t="shared" si="86"/>
        <v>0</v>
      </c>
      <c r="W139" s="21">
        <f t="shared" si="91"/>
        <v>0</v>
      </c>
      <c r="X139" s="21">
        <f t="shared" si="83"/>
        <v>0</v>
      </c>
      <c r="Y139" s="21">
        <f t="shared" si="84"/>
        <v>0</v>
      </c>
      <c r="Z139" s="221">
        <f t="shared" si="77"/>
        <v>0</v>
      </c>
      <c r="AA139" s="30">
        <f t="shared" si="65"/>
        <v>0</v>
      </c>
      <c r="AB139" s="30">
        <f t="shared" si="66"/>
        <v>0</v>
      </c>
      <c r="AC139" s="30">
        <f t="shared" si="67"/>
        <v>0</v>
      </c>
      <c r="AD139" s="30">
        <f t="shared" si="68"/>
        <v>0</v>
      </c>
      <c r="AE139" s="32">
        <f t="shared" si="78"/>
        <v>0</v>
      </c>
    </row>
    <row r="140" spans="1:31" x14ac:dyDescent="0.35">
      <c r="A140" s="48">
        <v>1441</v>
      </c>
      <c r="B140" s="58">
        <f>SUMIF([2]!Table2_23[ETA],'IAB Model'!A140,[2]!Table2_23[FIS PAX])</f>
        <v>0</v>
      </c>
      <c r="C140" s="44">
        <f t="shared" si="79"/>
        <v>18</v>
      </c>
      <c r="D140" s="52">
        <f t="shared" si="85"/>
        <v>241</v>
      </c>
      <c r="E140" s="26">
        <f t="shared" si="69"/>
        <v>8.2691999999999997</v>
      </c>
      <c r="F140" s="26">
        <f t="shared" si="70"/>
        <v>5.3369999999999997</v>
      </c>
      <c r="G140" s="26">
        <f t="shared" si="71"/>
        <v>3.1175999999999999</v>
      </c>
      <c r="H140" s="26">
        <f t="shared" si="80"/>
        <v>1.2762</v>
      </c>
      <c r="I140" s="27">
        <f t="shared" si="97"/>
        <v>0</v>
      </c>
      <c r="J140" s="27">
        <f t="shared" si="97"/>
        <v>0</v>
      </c>
      <c r="K140" s="27">
        <f t="shared" si="97"/>
        <v>0</v>
      </c>
      <c r="L140" s="27">
        <f t="shared" si="97"/>
        <v>0</v>
      </c>
      <c r="M140" s="28">
        <f t="shared" si="93"/>
        <v>0</v>
      </c>
      <c r="N140" s="29">
        <f t="shared" si="94"/>
        <v>18</v>
      </c>
      <c r="O140" s="28">
        <f t="shared" si="95"/>
        <v>0</v>
      </c>
      <c r="P140" s="28">
        <f t="shared" si="96"/>
        <v>0</v>
      </c>
      <c r="Q140" s="28">
        <f t="shared" si="72"/>
        <v>18</v>
      </c>
      <c r="R140" s="22">
        <f t="shared" si="73"/>
        <v>0</v>
      </c>
      <c r="S140" s="22">
        <f t="shared" si="74"/>
        <v>0</v>
      </c>
      <c r="T140" s="22">
        <f t="shared" si="75"/>
        <v>0</v>
      </c>
      <c r="U140" s="22">
        <f t="shared" si="76"/>
        <v>0</v>
      </c>
      <c r="V140" s="21">
        <f t="shared" si="86"/>
        <v>0</v>
      </c>
      <c r="W140" s="21">
        <f t="shared" si="91"/>
        <v>0</v>
      </c>
      <c r="X140" s="21">
        <f t="shared" si="83"/>
        <v>0</v>
      </c>
      <c r="Y140" s="21">
        <f t="shared" si="84"/>
        <v>0</v>
      </c>
      <c r="Z140" s="221">
        <f t="shared" si="77"/>
        <v>0</v>
      </c>
      <c r="AA140" s="30">
        <f t="shared" si="65"/>
        <v>0</v>
      </c>
      <c r="AB140" s="30">
        <f t="shared" si="66"/>
        <v>0</v>
      </c>
      <c r="AC140" s="30">
        <f t="shared" si="67"/>
        <v>0</v>
      </c>
      <c r="AD140" s="30">
        <f t="shared" si="68"/>
        <v>0</v>
      </c>
      <c r="AE140" s="32">
        <f t="shared" si="78"/>
        <v>0</v>
      </c>
    </row>
    <row r="141" spans="1:31" x14ac:dyDescent="0.35">
      <c r="A141" s="48">
        <v>1442</v>
      </c>
      <c r="B141" s="58">
        <f>SUMIF([2]!Table2_23[ETA],'IAB Model'!A141,[2]!Table2_23[FIS PAX])</f>
        <v>0</v>
      </c>
      <c r="C141" s="44">
        <f t="shared" si="79"/>
        <v>18</v>
      </c>
      <c r="D141" s="52">
        <f t="shared" si="85"/>
        <v>223</v>
      </c>
      <c r="E141" s="26">
        <f t="shared" si="69"/>
        <v>8.2691999999999997</v>
      </c>
      <c r="F141" s="26">
        <f t="shared" si="70"/>
        <v>5.3369999999999997</v>
      </c>
      <c r="G141" s="26">
        <f t="shared" si="71"/>
        <v>3.1175999999999999</v>
      </c>
      <c r="H141" s="26">
        <f t="shared" si="80"/>
        <v>1.2762</v>
      </c>
      <c r="I141" s="27">
        <f t="shared" si="97"/>
        <v>0</v>
      </c>
      <c r="J141" s="27">
        <f t="shared" si="97"/>
        <v>0</v>
      </c>
      <c r="K141" s="27">
        <f t="shared" si="97"/>
        <v>0</v>
      </c>
      <c r="L141" s="27">
        <f t="shared" si="97"/>
        <v>0</v>
      </c>
      <c r="M141" s="28">
        <f t="shared" si="93"/>
        <v>0</v>
      </c>
      <c r="N141" s="29">
        <f t="shared" si="94"/>
        <v>18</v>
      </c>
      <c r="O141" s="28">
        <f t="shared" si="95"/>
        <v>0</v>
      </c>
      <c r="P141" s="28">
        <f t="shared" si="96"/>
        <v>0</v>
      </c>
      <c r="Q141" s="28">
        <f t="shared" si="72"/>
        <v>18</v>
      </c>
      <c r="R141" s="22">
        <f t="shared" si="73"/>
        <v>0</v>
      </c>
      <c r="S141" s="22">
        <f t="shared" si="74"/>
        <v>0</v>
      </c>
      <c r="T141" s="22">
        <f t="shared" si="75"/>
        <v>0</v>
      </c>
      <c r="U141" s="22">
        <f t="shared" si="76"/>
        <v>0</v>
      </c>
      <c r="V141" s="21">
        <f t="shared" si="86"/>
        <v>0</v>
      </c>
      <c r="W141" s="21">
        <f t="shared" si="91"/>
        <v>0</v>
      </c>
      <c r="X141" s="21">
        <f t="shared" si="83"/>
        <v>0</v>
      </c>
      <c r="Y141" s="21">
        <f t="shared" si="84"/>
        <v>0</v>
      </c>
      <c r="Z141" s="221">
        <f t="shared" si="77"/>
        <v>0</v>
      </c>
      <c r="AA141" s="30">
        <f t="shared" si="65"/>
        <v>0</v>
      </c>
      <c r="AB141" s="30">
        <f t="shared" si="66"/>
        <v>0</v>
      </c>
      <c r="AC141" s="30">
        <f t="shared" si="67"/>
        <v>0</v>
      </c>
      <c r="AD141" s="30">
        <f t="shared" si="68"/>
        <v>0</v>
      </c>
      <c r="AE141" s="32">
        <f t="shared" si="78"/>
        <v>0</v>
      </c>
    </row>
    <row r="142" spans="1:31" x14ac:dyDescent="0.35">
      <c r="A142" s="48">
        <v>1443</v>
      </c>
      <c r="B142" s="58">
        <f>SUMIF([2]!Table2_23[ETA],'IAB Model'!A142,[2]!Table2_23[FIS PAX])</f>
        <v>0</v>
      </c>
      <c r="C142" s="44">
        <f t="shared" si="79"/>
        <v>18</v>
      </c>
      <c r="D142" s="52">
        <f t="shared" si="85"/>
        <v>205</v>
      </c>
      <c r="E142" s="26">
        <f t="shared" si="69"/>
        <v>8.2691999999999997</v>
      </c>
      <c r="F142" s="26">
        <f t="shared" si="70"/>
        <v>5.3369999999999997</v>
      </c>
      <c r="G142" s="26">
        <f t="shared" si="71"/>
        <v>3.1175999999999999</v>
      </c>
      <c r="H142" s="26">
        <f t="shared" si="80"/>
        <v>1.2762</v>
      </c>
      <c r="I142" s="27">
        <f t="shared" si="97"/>
        <v>0</v>
      </c>
      <c r="J142" s="27">
        <f t="shared" si="97"/>
        <v>0</v>
      </c>
      <c r="K142" s="27">
        <f t="shared" si="97"/>
        <v>0</v>
      </c>
      <c r="L142" s="27">
        <f t="shared" si="97"/>
        <v>0</v>
      </c>
      <c r="M142" s="28">
        <f t="shared" si="93"/>
        <v>0</v>
      </c>
      <c r="N142" s="29">
        <f t="shared" si="94"/>
        <v>18</v>
      </c>
      <c r="O142" s="28">
        <f t="shared" si="95"/>
        <v>0</v>
      </c>
      <c r="P142" s="28">
        <f t="shared" si="96"/>
        <v>0</v>
      </c>
      <c r="Q142" s="28">
        <f t="shared" si="72"/>
        <v>18</v>
      </c>
      <c r="R142" s="22">
        <f t="shared" si="73"/>
        <v>0</v>
      </c>
      <c r="S142" s="22">
        <f t="shared" si="74"/>
        <v>0</v>
      </c>
      <c r="T142" s="22">
        <f t="shared" si="75"/>
        <v>0</v>
      </c>
      <c r="U142" s="22">
        <f t="shared" si="76"/>
        <v>0</v>
      </c>
      <c r="V142" s="21">
        <f t="shared" si="86"/>
        <v>0</v>
      </c>
      <c r="W142" s="21">
        <f t="shared" si="91"/>
        <v>0</v>
      </c>
      <c r="X142" s="21">
        <f t="shared" si="83"/>
        <v>0</v>
      </c>
      <c r="Y142" s="21">
        <f t="shared" si="84"/>
        <v>0</v>
      </c>
      <c r="Z142" s="221">
        <f t="shared" si="77"/>
        <v>0</v>
      </c>
      <c r="AA142" s="30">
        <f t="shared" si="65"/>
        <v>0</v>
      </c>
      <c r="AB142" s="30">
        <f t="shared" si="66"/>
        <v>0</v>
      </c>
      <c r="AC142" s="30">
        <f t="shared" si="67"/>
        <v>0</v>
      </c>
      <c r="AD142" s="30">
        <f t="shared" si="68"/>
        <v>0</v>
      </c>
      <c r="AE142" s="32">
        <f t="shared" si="78"/>
        <v>0</v>
      </c>
    </row>
    <row r="143" spans="1:31" x14ac:dyDescent="0.35">
      <c r="A143" s="48">
        <v>1444</v>
      </c>
      <c r="B143" s="58">
        <f>SUMIF([2]!Table2_23[ETA],'IAB Model'!A143,[2]!Table2_23[FIS PAX])</f>
        <v>140</v>
      </c>
      <c r="C143" s="44">
        <f t="shared" si="79"/>
        <v>18</v>
      </c>
      <c r="D143" s="52">
        <f t="shared" si="85"/>
        <v>187</v>
      </c>
      <c r="E143" s="26">
        <f t="shared" si="69"/>
        <v>8.2691999999999997</v>
      </c>
      <c r="F143" s="26">
        <f t="shared" si="70"/>
        <v>5.3369999999999997</v>
      </c>
      <c r="G143" s="26">
        <f t="shared" si="71"/>
        <v>3.1175999999999999</v>
      </c>
      <c r="H143" s="26">
        <f t="shared" si="80"/>
        <v>1.2762</v>
      </c>
      <c r="I143" s="27">
        <f t="shared" si="97"/>
        <v>0</v>
      </c>
      <c r="J143" s="27">
        <f t="shared" si="97"/>
        <v>0</v>
      </c>
      <c r="K143" s="27">
        <f t="shared" si="97"/>
        <v>0</v>
      </c>
      <c r="L143" s="27">
        <f t="shared" si="97"/>
        <v>0</v>
      </c>
      <c r="M143" s="28">
        <f t="shared" si="93"/>
        <v>0</v>
      </c>
      <c r="N143" s="29">
        <f t="shared" si="94"/>
        <v>18</v>
      </c>
      <c r="O143" s="28">
        <f t="shared" si="95"/>
        <v>0</v>
      </c>
      <c r="P143" s="28">
        <f t="shared" si="96"/>
        <v>0</v>
      </c>
      <c r="Q143" s="28">
        <f t="shared" si="72"/>
        <v>18</v>
      </c>
      <c r="R143" s="22">
        <f t="shared" si="73"/>
        <v>0</v>
      </c>
      <c r="S143" s="22">
        <f t="shared" si="74"/>
        <v>0</v>
      </c>
      <c r="T143" s="22">
        <f t="shared" si="75"/>
        <v>0</v>
      </c>
      <c r="U143" s="22">
        <f t="shared" si="76"/>
        <v>0</v>
      </c>
      <c r="V143" s="21">
        <f t="shared" si="86"/>
        <v>0</v>
      </c>
      <c r="W143" s="21">
        <f t="shared" si="91"/>
        <v>0</v>
      </c>
      <c r="X143" s="21">
        <f t="shared" si="83"/>
        <v>0</v>
      </c>
      <c r="Y143" s="21">
        <f t="shared" si="84"/>
        <v>0</v>
      </c>
      <c r="Z143" s="221">
        <f t="shared" si="77"/>
        <v>0</v>
      </c>
      <c r="AA143" s="30">
        <f t="shared" si="65"/>
        <v>0</v>
      </c>
      <c r="AB143" s="30">
        <f t="shared" si="66"/>
        <v>0</v>
      </c>
      <c r="AC143" s="30">
        <f t="shared" si="67"/>
        <v>0</v>
      </c>
      <c r="AD143" s="30">
        <f t="shared" si="68"/>
        <v>0</v>
      </c>
      <c r="AE143" s="32">
        <f t="shared" si="78"/>
        <v>0</v>
      </c>
    </row>
    <row r="144" spans="1:31" x14ac:dyDescent="0.35">
      <c r="A144" s="48">
        <v>1445</v>
      </c>
      <c r="B144" s="58">
        <f>SUMIF([2]!Table2_23[ETA],'IAB Model'!A144,[2]!Table2_23[FIS PAX])</f>
        <v>0</v>
      </c>
      <c r="C144" s="44">
        <f t="shared" si="79"/>
        <v>18</v>
      </c>
      <c r="D144" s="52">
        <f t="shared" si="85"/>
        <v>309</v>
      </c>
      <c r="E144" s="26">
        <f t="shared" si="69"/>
        <v>8.2691999999999997</v>
      </c>
      <c r="F144" s="26">
        <f t="shared" si="70"/>
        <v>5.3369999999999997</v>
      </c>
      <c r="G144" s="26">
        <f t="shared" si="71"/>
        <v>3.1175999999999999</v>
      </c>
      <c r="H144" s="26">
        <f t="shared" si="80"/>
        <v>1.2762</v>
      </c>
      <c r="I144" s="27">
        <f t="shared" si="97"/>
        <v>0</v>
      </c>
      <c r="J144" s="27">
        <f t="shared" si="97"/>
        <v>0</v>
      </c>
      <c r="K144" s="27">
        <f t="shared" si="97"/>
        <v>0</v>
      </c>
      <c r="L144" s="27">
        <f t="shared" si="97"/>
        <v>0</v>
      </c>
      <c r="M144" s="28">
        <f t="shared" si="93"/>
        <v>0</v>
      </c>
      <c r="N144" s="29">
        <f t="shared" si="94"/>
        <v>18</v>
      </c>
      <c r="O144" s="28">
        <f t="shared" si="95"/>
        <v>0</v>
      </c>
      <c r="P144" s="28">
        <f t="shared" si="96"/>
        <v>0</v>
      </c>
      <c r="Q144" s="28">
        <f t="shared" si="72"/>
        <v>18</v>
      </c>
      <c r="R144" s="22">
        <f t="shared" si="73"/>
        <v>0</v>
      </c>
      <c r="S144" s="22">
        <f t="shared" si="74"/>
        <v>0</v>
      </c>
      <c r="T144" s="22">
        <f t="shared" si="75"/>
        <v>0</v>
      </c>
      <c r="U144" s="22">
        <f t="shared" si="76"/>
        <v>0</v>
      </c>
      <c r="V144" s="21">
        <f t="shared" si="86"/>
        <v>0</v>
      </c>
      <c r="W144" s="21">
        <f t="shared" si="91"/>
        <v>0</v>
      </c>
      <c r="X144" s="21">
        <f t="shared" si="83"/>
        <v>0</v>
      </c>
      <c r="Y144" s="21">
        <f t="shared" si="84"/>
        <v>0</v>
      </c>
      <c r="Z144" s="221">
        <f t="shared" si="77"/>
        <v>0</v>
      </c>
      <c r="AA144" s="30">
        <f t="shared" si="65"/>
        <v>0</v>
      </c>
      <c r="AB144" s="30">
        <f t="shared" si="66"/>
        <v>0</v>
      </c>
      <c r="AC144" s="30">
        <f t="shared" si="67"/>
        <v>0</v>
      </c>
      <c r="AD144" s="30">
        <f t="shared" si="68"/>
        <v>0</v>
      </c>
      <c r="AE144" s="32">
        <f t="shared" si="78"/>
        <v>0</v>
      </c>
    </row>
    <row r="145" spans="1:31" x14ac:dyDescent="0.35">
      <c r="A145" s="48">
        <v>1446</v>
      </c>
      <c r="B145" s="58">
        <f>SUMIF([2]!Table2_23[ETA],'IAB Model'!A145,[2]!Table2_23[FIS PAX])</f>
        <v>0</v>
      </c>
      <c r="C145" s="44">
        <f t="shared" si="79"/>
        <v>18</v>
      </c>
      <c r="D145" s="52">
        <f t="shared" si="85"/>
        <v>291</v>
      </c>
      <c r="E145" s="26">
        <f t="shared" si="69"/>
        <v>8.2691999999999997</v>
      </c>
      <c r="F145" s="26">
        <f t="shared" si="70"/>
        <v>5.3369999999999997</v>
      </c>
      <c r="G145" s="26">
        <f t="shared" si="71"/>
        <v>3.1175999999999999</v>
      </c>
      <c r="H145" s="26">
        <f t="shared" si="80"/>
        <v>1.2762</v>
      </c>
      <c r="I145" s="27">
        <f t="shared" si="97"/>
        <v>0</v>
      </c>
      <c r="J145" s="27">
        <f t="shared" si="97"/>
        <v>0</v>
      </c>
      <c r="K145" s="27">
        <f t="shared" si="97"/>
        <v>0</v>
      </c>
      <c r="L145" s="27">
        <f t="shared" si="97"/>
        <v>0</v>
      </c>
      <c r="M145" s="28">
        <f>IF(R144=0,0,$Q$13)</f>
        <v>0</v>
      </c>
      <c r="N145" s="29">
        <f>$U$13-M145-O145-P145</f>
        <v>18</v>
      </c>
      <c r="O145" s="28">
        <f>IF(T144=0,0,$S$13)</f>
        <v>0</v>
      </c>
      <c r="P145" s="28">
        <f>IF(U144=0,0,$T$13)</f>
        <v>0</v>
      </c>
      <c r="Q145" s="28">
        <f t="shared" si="72"/>
        <v>18</v>
      </c>
      <c r="R145" s="22">
        <f t="shared" si="73"/>
        <v>0</v>
      </c>
      <c r="S145" s="22">
        <f t="shared" si="74"/>
        <v>0</v>
      </c>
      <c r="T145" s="22">
        <f t="shared" si="75"/>
        <v>0</v>
      </c>
      <c r="U145" s="22">
        <f t="shared" si="76"/>
        <v>0</v>
      </c>
      <c r="V145" s="21">
        <f t="shared" si="86"/>
        <v>0</v>
      </c>
      <c r="W145" s="21">
        <f t="shared" si="91"/>
        <v>0</v>
      </c>
      <c r="X145" s="21">
        <f t="shared" si="83"/>
        <v>0</v>
      </c>
      <c r="Y145" s="21">
        <f t="shared" si="84"/>
        <v>0</v>
      </c>
      <c r="Z145" s="221">
        <f t="shared" si="77"/>
        <v>0</v>
      </c>
      <c r="AA145" s="30">
        <f t="shared" si="65"/>
        <v>0</v>
      </c>
      <c r="AB145" s="30">
        <f t="shared" si="66"/>
        <v>0</v>
      </c>
      <c r="AC145" s="30">
        <f t="shared" si="67"/>
        <v>0</v>
      </c>
      <c r="AD145" s="30">
        <f t="shared" si="68"/>
        <v>0</v>
      </c>
      <c r="AE145" s="32">
        <f t="shared" si="78"/>
        <v>0</v>
      </c>
    </row>
    <row r="146" spans="1:31" x14ac:dyDescent="0.35">
      <c r="A146" s="48">
        <v>1447</v>
      </c>
      <c r="B146" s="58">
        <f>SUMIF([2]!Table2_23[ETA],'IAB Model'!A146,[2]!Table2_23[FIS PAX])</f>
        <v>0</v>
      </c>
      <c r="C146" s="44">
        <f t="shared" si="79"/>
        <v>18</v>
      </c>
      <c r="D146" s="52">
        <f t="shared" si="85"/>
        <v>273</v>
      </c>
      <c r="E146" s="26">
        <f t="shared" si="69"/>
        <v>8.2691999999999997</v>
      </c>
      <c r="F146" s="26">
        <f t="shared" si="70"/>
        <v>5.3369999999999997</v>
      </c>
      <c r="G146" s="26">
        <f t="shared" si="71"/>
        <v>3.1175999999999999</v>
      </c>
      <c r="H146" s="26">
        <f t="shared" si="80"/>
        <v>1.2762</v>
      </c>
      <c r="I146" s="27">
        <f t="shared" si="97"/>
        <v>0</v>
      </c>
      <c r="J146" s="27">
        <f t="shared" si="97"/>
        <v>0</v>
      </c>
      <c r="K146" s="27">
        <f t="shared" si="97"/>
        <v>0</v>
      </c>
      <c r="L146" s="27">
        <f t="shared" si="97"/>
        <v>0</v>
      </c>
      <c r="M146" s="28">
        <f>$M$145</f>
        <v>0</v>
      </c>
      <c r="N146" s="29">
        <f>$N$145</f>
        <v>18</v>
      </c>
      <c r="O146" s="28">
        <f>$O$145</f>
        <v>0</v>
      </c>
      <c r="P146" s="28">
        <f>$P$145</f>
        <v>0</v>
      </c>
      <c r="Q146" s="28">
        <f t="shared" si="72"/>
        <v>18</v>
      </c>
      <c r="R146" s="22">
        <f t="shared" si="73"/>
        <v>0</v>
      </c>
      <c r="S146" s="22">
        <f t="shared" si="74"/>
        <v>0</v>
      </c>
      <c r="T146" s="22">
        <f t="shared" si="75"/>
        <v>0</v>
      </c>
      <c r="U146" s="22">
        <f t="shared" si="76"/>
        <v>0</v>
      </c>
      <c r="V146" s="21">
        <f t="shared" si="86"/>
        <v>0</v>
      </c>
      <c r="W146" s="21">
        <f t="shared" si="91"/>
        <v>0</v>
      </c>
      <c r="X146" s="21">
        <f t="shared" si="83"/>
        <v>0</v>
      </c>
      <c r="Y146" s="21">
        <f t="shared" si="84"/>
        <v>0</v>
      </c>
      <c r="Z146" s="221">
        <f t="shared" si="77"/>
        <v>0</v>
      </c>
      <c r="AA146" s="30">
        <f t="shared" si="65"/>
        <v>0</v>
      </c>
      <c r="AB146" s="30">
        <f t="shared" si="66"/>
        <v>0</v>
      </c>
      <c r="AC146" s="30">
        <f t="shared" si="67"/>
        <v>0</v>
      </c>
      <c r="AD146" s="30">
        <f t="shared" si="68"/>
        <v>0</v>
      </c>
      <c r="AE146" s="32">
        <f t="shared" si="78"/>
        <v>0</v>
      </c>
    </row>
    <row r="147" spans="1:31" x14ac:dyDescent="0.35">
      <c r="A147" s="48">
        <v>1448</v>
      </c>
      <c r="B147" s="58">
        <f>SUMIF([2]!Table2_23[ETA],'IAB Model'!A147,[2]!Table2_23[FIS PAX])</f>
        <v>0</v>
      </c>
      <c r="C147" s="44">
        <f t="shared" si="79"/>
        <v>18</v>
      </c>
      <c r="D147" s="52">
        <f t="shared" si="85"/>
        <v>255</v>
      </c>
      <c r="E147" s="26">
        <f t="shared" si="69"/>
        <v>8.2691999999999997</v>
      </c>
      <c r="F147" s="26">
        <f t="shared" si="70"/>
        <v>5.3369999999999997</v>
      </c>
      <c r="G147" s="26">
        <f t="shared" si="71"/>
        <v>3.1175999999999999</v>
      </c>
      <c r="H147" s="26">
        <f t="shared" si="80"/>
        <v>1.2762</v>
      </c>
      <c r="I147" s="27">
        <f t="shared" si="97"/>
        <v>0</v>
      </c>
      <c r="J147" s="27">
        <f t="shared" si="97"/>
        <v>0</v>
      </c>
      <c r="K147" s="27">
        <f t="shared" si="97"/>
        <v>0</v>
      </c>
      <c r="L147" s="27">
        <f t="shared" si="97"/>
        <v>0</v>
      </c>
      <c r="M147" s="28">
        <f t="shared" ref="M147:M159" si="98">$M$145</f>
        <v>0</v>
      </c>
      <c r="N147" s="29">
        <f t="shared" ref="N147:N159" si="99">$N$145</f>
        <v>18</v>
      </c>
      <c r="O147" s="28">
        <f t="shared" ref="O147:O159" si="100">$O$145</f>
        <v>0</v>
      </c>
      <c r="P147" s="28">
        <f t="shared" ref="P147:P159" si="101">$P$145</f>
        <v>0</v>
      </c>
      <c r="Q147" s="28">
        <f t="shared" si="72"/>
        <v>18</v>
      </c>
      <c r="R147" s="22">
        <f t="shared" si="73"/>
        <v>0</v>
      </c>
      <c r="S147" s="22">
        <f t="shared" si="74"/>
        <v>0</v>
      </c>
      <c r="T147" s="22">
        <f t="shared" si="75"/>
        <v>0</v>
      </c>
      <c r="U147" s="22">
        <f t="shared" si="76"/>
        <v>0</v>
      </c>
      <c r="V147" s="21">
        <f t="shared" si="86"/>
        <v>0</v>
      </c>
      <c r="W147" s="21">
        <f t="shared" si="91"/>
        <v>0</v>
      </c>
      <c r="X147" s="21">
        <f t="shared" si="83"/>
        <v>0</v>
      </c>
      <c r="Y147" s="21">
        <f t="shared" si="84"/>
        <v>0</v>
      </c>
      <c r="Z147" s="221">
        <f t="shared" si="77"/>
        <v>0</v>
      </c>
      <c r="AA147" s="30">
        <f t="shared" si="65"/>
        <v>0</v>
      </c>
      <c r="AB147" s="30">
        <f t="shared" si="66"/>
        <v>0</v>
      </c>
      <c r="AC147" s="30">
        <f t="shared" si="67"/>
        <v>0</v>
      </c>
      <c r="AD147" s="30">
        <f t="shared" si="68"/>
        <v>0</v>
      </c>
      <c r="AE147" s="32">
        <f t="shared" si="78"/>
        <v>0</v>
      </c>
    </row>
    <row r="148" spans="1:31" x14ac:dyDescent="0.35">
      <c r="A148" s="48">
        <v>1449</v>
      </c>
      <c r="B148" s="58">
        <f>SUMIF([2]!Table2_23[ETA],'IAB Model'!A148,[2]!Table2_23[FIS PAX])</f>
        <v>0</v>
      </c>
      <c r="C148" s="44">
        <f t="shared" si="79"/>
        <v>18</v>
      </c>
      <c r="D148" s="52">
        <f t="shared" si="85"/>
        <v>237</v>
      </c>
      <c r="E148" s="26">
        <f t="shared" si="69"/>
        <v>8.2691999999999997</v>
      </c>
      <c r="F148" s="26">
        <f t="shared" si="70"/>
        <v>5.3369999999999997</v>
      </c>
      <c r="G148" s="26">
        <f t="shared" si="71"/>
        <v>3.1175999999999999</v>
      </c>
      <c r="H148" s="26">
        <f t="shared" si="80"/>
        <v>1.2762</v>
      </c>
      <c r="I148" s="27">
        <f t="shared" si="97"/>
        <v>0</v>
      </c>
      <c r="J148" s="27">
        <f t="shared" si="97"/>
        <v>0</v>
      </c>
      <c r="K148" s="27">
        <f t="shared" si="97"/>
        <v>0</v>
      </c>
      <c r="L148" s="27">
        <f t="shared" si="97"/>
        <v>0</v>
      </c>
      <c r="M148" s="28">
        <f t="shared" si="98"/>
        <v>0</v>
      </c>
      <c r="N148" s="29">
        <f t="shared" si="99"/>
        <v>18</v>
      </c>
      <c r="O148" s="28">
        <f t="shared" si="100"/>
        <v>0</v>
      </c>
      <c r="P148" s="28">
        <f t="shared" si="101"/>
        <v>0</v>
      </c>
      <c r="Q148" s="28">
        <f t="shared" si="72"/>
        <v>18</v>
      </c>
      <c r="R148" s="22">
        <f t="shared" si="73"/>
        <v>0</v>
      </c>
      <c r="S148" s="22">
        <f t="shared" si="74"/>
        <v>0</v>
      </c>
      <c r="T148" s="22">
        <f t="shared" si="75"/>
        <v>0</v>
      </c>
      <c r="U148" s="22">
        <f t="shared" si="76"/>
        <v>0</v>
      </c>
      <c r="V148" s="21">
        <f t="shared" si="86"/>
        <v>0</v>
      </c>
      <c r="W148" s="21">
        <f t="shared" si="91"/>
        <v>0</v>
      </c>
      <c r="X148" s="21">
        <f t="shared" si="83"/>
        <v>0</v>
      </c>
      <c r="Y148" s="21">
        <f t="shared" si="84"/>
        <v>0</v>
      </c>
      <c r="Z148" s="221">
        <f t="shared" si="77"/>
        <v>0</v>
      </c>
      <c r="AA148" s="30">
        <f t="shared" si="65"/>
        <v>0</v>
      </c>
      <c r="AB148" s="30">
        <f t="shared" si="66"/>
        <v>0</v>
      </c>
      <c r="AC148" s="30">
        <f t="shared" si="67"/>
        <v>0</v>
      </c>
      <c r="AD148" s="30">
        <f t="shared" si="68"/>
        <v>0</v>
      </c>
      <c r="AE148" s="32">
        <f t="shared" si="78"/>
        <v>0</v>
      </c>
    </row>
    <row r="149" spans="1:31" x14ac:dyDescent="0.35">
      <c r="A149" s="48">
        <v>1450</v>
      </c>
      <c r="B149" s="58">
        <f>SUMIF([2]!Table2_23[ETA],'IAB Model'!A149,[2]!Table2_23[FIS PAX])</f>
        <v>0</v>
      </c>
      <c r="C149" s="44">
        <f t="shared" si="79"/>
        <v>18</v>
      </c>
      <c r="D149" s="52">
        <f t="shared" si="85"/>
        <v>219</v>
      </c>
      <c r="E149" s="26">
        <f t="shared" si="69"/>
        <v>8.2691999999999997</v>
      </c>
      <c r="F149" s="26">
        <f t="shared" si="70"/>
        <v>5.3369999999999997</v>
      </c>
      <c r="G149" s="26">
        <f t="shared" si="71"/>
        <v>3.1175999999999999</v>
      </c>
      <c r="H149" s="26">
        <f t="shared" si="80"/>
        <v>1.2762</v>
      </c>
      <c r="I149" s="27">
        <f t="shared" si="97"/>
        <v>0</v>
      </c>
      <c r="J149" s="27">
        <f t="shared" si="97"/>
        <v>0</v>
      </c>
      <c r="K149" s="27">
        <f t="shared" si="97"/>
        <v>0</v>
      </c>
      <c r="L149" s="27">
        <f t="shared" si="97"/>
        <v>0</v>
      </c>
      <c r="M149" s="28">
        <f t="shared" si="98"/>
        <v>0</v>
      </c>
      <c r="N149" s="29">
        <f t="shared" si="99"/>
        <v>18</v>
      </c>
      <c r="O149" s="28">
        <f t="shared" si="100"/>
        <v>0</v>
      </c>
      <c r="P149" s="28">
        <f t="shared" si="101"/>
        <v>0</v>
      </c>
      <c r="Q149" s="28">
        <f t="shared" si="72"/>
        <v>18</v>
      </c>
      <c r="R149" s="22">
        <f t="shared" si="73"/>
        <v>0</v>
      </c>
      <c r="S149" s="22">
        <f t="shared" si="74"/>
        <v>0</v>
      </c>
      <c r="T149" s="22">
        <f t="shared" si="75"/>
        <v>0</v>
      </c>
      <c r="U149" s="22">
        <f t="shared" si="76"/>
        <v>0</v>
      </c>
      <c r="V149" s="21">
        <f t="shared" si="86"/>
        <v>0</v>
      </c>
      <c r="W149" s="21">
        <f t="shared" si="91"/>
        <v>0</v>
      </c>
      <c r="X149" s="21">
        <f t="shared" si="83"/>
        <v>0</v>
      </c>
      <c r="Y149" s="21">
        <f t="shared" si="84"/>
        <v>0</v>
      </c>
      <c r="Z149" s="221">
        <f t="shared" si="77"/>
        <v>0</v>
      </c>
      <c r="AA149" s="30">
        <f t="shared" si="65"/>
        <v>0</v>
      </c>
      <c r="AB149" s="30">
        <f t="shared" si="66"/>
        <v>0</v>
      </c>
      <c r="AC149" s="30">
        <f t="shared" si="67"/>
        <v>0</v>
      </c>
      <c r="AD149" s="30">
        <f t="shared" si="68"/>
        <v>0</v>
      </c>
      <c r="AE149" s="32">
        <f t="shared" si="78"/>
        <v>0</v>
      </c>
    </row>
    <row r="150" spans="1:31" x14ac:dyDescent="0.35">
      <c r="A150" s="48">
        <v>1451</v>
      </c>
      <c r="B150" s="58">
        <f>SUMIF([2]!Table2_23[ETA],'IAB Model'!A150,[2]!Table2_23[FIS PAX])</f>
        <v>0</v>
      </c>
      <c r="C150" s="44">
        <f t="shared" si="79"/>
        <v>18</v>
      </c>
      <c r="D150" s="52">
        <f t="shared" si="85"/>
        <v>201</v>
      </c>
      <c r="E150" s="26">
        <f t="shared" si="69"/>
        <v>8.2691999999999997</v>
      </c>
      <c r="F150" s="26">
        <f t="shared" si="70"/>
        <v>5.3369999999999997</v>
      </c>
      <c r="G150" s="26">
        <f t="shared" si="71"/>
        <v>3.1175999999999999</v>
      </c>
      <c r="H150" s="26">
        <f t="shared" si="80"/>
        <v>1.2762</v>
      </c>
      <c r="I150" s="27">
        <f t="shared" si="97"/>
        <v>0</v>
      </c>
      <c r="J150" s="27">
        <f t="shared" si="97"/>
        <v>0</v>
      </c>
      <c r="K150" s="27">
        <f t="shared" si="97"/>
        <v>0</v>
      </c>
      <c r="L150" s="27">
        <f t="shared" si="97"/>
        <v>0</v>
      </c>
      <c r="M150" s="28">
        <f t="shared" si="98"/>
        <v>0</v>
      </c>
      <c r="N150" s="29">
        <f t="shared" si="99"/>
        <v>18</v>
      </c>
      <c r="O150" s="28">
        <f t="shared" si="100"/>
        <v>0</v>
      </c>
      <c r="P150" s="28">
        <f t="shared" si="101"/>
        <v>0</v>
      </c>
      <c r="Q150" s="28">
        <f t="shared" si="72"/>
        <v>18</v>
      </c>
      <c r="R150" s="22">
        <f t="shared" si="73"/>
        <v>0</v>
      </c>
      <c r="S150" s="22">
        <f t="shared" si="74"/>
        <v>0</v>
      </c>
      <c r="T150" s="22">
        <f t="shared" si="75"/>
        <v>0</v>
      </c>
      <c r="U150" s="22">
        <f t="shared" si="76"/>
        <v>0</v>
      </c>
      <c r="V150" s="21">
        <f t="shared" si="86"/>
        <v>0</v>
      </c>
      <c r="W150" s="21">
        <f t="shared" si="91"/>
        <v>0</v>
      </c>
      <c r="X150" s="21">
        <f t="shared" si="83"/>
        <v>0</v>
      </c>
      <c r="Y150" s="21">
        <f t="shared" si="84"/>
        <v>0</v>
      </c>
      <c r="Z150" s="221">
        <f t="shared" si="77"/>
        <v>0</v>
      </c>
      <c r="AA150" s="30">
        <f t="shared" si="65"/>
        <v>0</v>
      </c>
      <c r="AB150" s="30">
        <f t="shared" si="66"/>
        <v>0</v>
      </c>
      <c r="AC150" s="30">
        <f t="shared" si="67"/>
        <v>0</v>
      </c>
      <c r="AD150" s="30">
        <f t="shared" si="68"/>
        <v>0</v>
      </c>
      <c r="AE150" s="32">
        <f t="shared" si="78"/>
        <v>0</v>
      </c>
    </row>
    <row r="151" spans="1:31" x14ac:dyDescent="0.35">
      <c r="A151" s="48">
        <v>1452</v>
      </c>
      <c r="B151" s="58">
        <f>SUMIF([2]!Table2_23[ETA],'IAB Model'!A151,[2]!Table2_23[FIS PAX])</f>
        <v>0</v>
      </c>
      <c r="C151" s="44">
        <f t="shared" si="79"/>
        <v>18</v>
      </c>
      <c r="D151" s="52">
        <f t="shared" si="85"/>
        <v>183</v>
      </c>
      <c r="E151" s="26">
        <f t="shared" si="69"/>
        <v>8.2691999999999997</v>
      </c>
      <c r="F151" s="26">
        <f t="shared" si="70"/>
        <v>5.3369999999999997</v>
      </c>
      <c r="G151" s="26">
        <f t="shared" si="71"/>
        <v>3.1175999999999999</v>
      </c>
      <c r="H151" s="26">
        <f t="shared" si="80"/>
        <v>1.2762</v>
      </c>
      <c r="I151" s="27">
        <f t="shared" ref="I151:L166" si="102">E136</f>
        <v>0</v>
      </c>
      <c r="J151" s="27">
        <f t="shared" si="102"/>
        <v>0</v>
      </c>
      <c r="K151" s="27">
        <f t="shared" si="102"/>
        <v>0</v>
      </c>
      <c r="L151" s="27">
        <f t="shared" si="102"/>
        <v>0</v>
      </c>
      <c r="M151" s="28">
        <f t="shared" si="98"/>
        <v>0</v>
      </c>
      <c r="N151" s="29">
        <f t="shared" si="99"/>
        <v>18</v>
      </c>
      <c r="O151" s="28">
        <f t="shared" si="100"/>
        <v>0</v>
      </c>
      <c r="P151" s="28">
        <f t="shared" si="101"/>
        <v>0</v>
      </c>
      <c r="Q151" s="28">
        <f t="shared" si="72"/>
        <v>18</v>
      </c>
      <c r="R151" s="22">
        <f t="shared" si="73"/>
        <v>0</v>
      </c>
      <c r="S151" s="22">
        <f t="shared" si="74"/>
        <v>0</v>
      </c>
      <c r="T151" s="22">
        <f t="shared" si="75"/>
        <v>0</v>
      </c>
      <c r="U151" s="22">
        <f t="shared" si="76"/>
        <v>0</v>
      </c>
      <c r="V151" s="21">
        <f t="shared" si="86"/>
        <v>0</v>
      </c>
      <c r="W151" s="21">
        <f t="shared" si="91"/>
        <v>0</v>
      </c>
      <c r="X151" s="21">
        <f t="shared" si="83"/>
        <v>0</v>
      </c>
      <c r="Y151" s="21">
        <f t="shared" si="84"/>
        <v>0</v>
      </c>
      <c r="Z151" s="221">
        <f t="shared" si="77"/>
        <v>0</v>
      </c>
      <c r="AA151" s="30">
        <f t="shared" si="65"/>
        <v>0</v>
      </c>
      <c r="AB151" s="30">
        <f t="shared" si="66"/>
        <v>0</v>
      </c>
      <c r="AC151" s="30">
        <f t="shared" si="67"/>
        <v>0</v>
      </c>
      <c r="AD151" s="30">
        <f t="shared" si="68"/>
        <v>0</v>
      </c>
      <c r="AE151" s="32">
        <f t="shared" si="78"/>
        <v>0</v>
      </c>
    </row>
    <row r="152" spans="1:31" x14ac:dyDescent="0.35">
      <c r="A152" s="48">
        <v>1453</v>
      </c>
      <c r="B152" s="58">
        <f>SUMIF([2]!Table2_23[ETA],'IAB Model'!A152,[2]!Table2_23[FIS PAX])</f>
        <v>0</v>
      </c>
      <c r="C152" s="44">
        <f t="shared" si="79"/>
        <v>18</v>
      </c>
      <c r="D152" s="52">
        <f t="shared" si="85"/>
        <v>165</v>
      </c>
      <c r="E152" s="26">
        <f t="shared" si="69"/>
        <v>8.2691999999999997</v>
      </c>
      <c r="F152" s="26">
        <f t="shared" si="70"/>
        <v>5.3369999999999997</v>
      </c>
      <c r="G152" s="26">
        <f t="shared" si="71"/>
        <v>3.1175999999999999</v>
      </c>
      <c r="H152" s="26">
        <f t="shared" si="80"/>
        <v>1.2762</v>
      </c>
      <c r="I152" s="27">
        <f t="shared" si="102"/>
        <v>8.2691999999999997</v>
      </c>
      <c r="J152" s="27">
        <f t="shared" si="102"/>
        <v>5.3369999999999997</v>
      </c>
      <c r="K152" s="27">
        <f t="shared" si="102"/>
        <v>3.1175999999999999</v>
      </c>
      <c r="L152" s="27">
        <f t="shared" si="102"/>
        <v>1.2762</v>
      </c>
      <c r="M152" s="28">
        <f t="shared" si="98"/>
        <v>0</v>
      </c>
      <c r="N152" s="29">
        <f t="shared" si="99"/>
        <v>18</v>
      </c>
      <c r="O152" s="28">
        <f t="shared" si="100"/>
        <v>0</v>
      </c>
      <c r="P152" s="28">
        <f t="shared" si="101"/>
        <v>0</v>
      </c>
      <c r="Q152" s="28">
        <f t="shared" si="72"/>
        <v>18</v>
      </c>
      <c r="R152" s="22">
        <f t="shared" si="73"/>
        <v>8.2691999999999997</v>
      </c>
      <c r="S152" s="22">
        <f t="shared" si="74"/>
        <v>0</v>
      </c>
      <c r="T152" s="22">
        <f t="shared" si="75"/>
        <v>3.1175999999999999</v>
      </c>
      <c r="U152" s="22">
        <f t="shared" si="76"/>
        <v>1.2762</v>
      </c>
      <c r="V152" s="21">
        <f t="shared" si="86"/>
        <v>0</v>
      </c>
      <c r="W152" s="21">
        <f t="shared" si="91"/>
        <v>0</v>
      </c>
      <c r="X152" s="21">
        <f t="shared" si="83"/>
        <v>0</v>
      </c>
      <c r="Y152" s="21">
        <f t="shared" si="84"/>
        <v>0</v>
      </c>
      <c r="Z152" s="221">
        <f t="shared" si="77"/>
        <v>0</v>
      </c>
      <c r="AA152" s="30">
        <f t="shared" si="65"/>
        <v>0</v>
      </c>
      <c r="AB152" s="30">
        <f t="shared" si="66"/>
        <v>0</v>
      </c>
      <c r="AC152" s="30">
        <f t="shared" si="67"/>
        <v>0</v>
      </c>
      <c r="AD152" s="30">
        <f t="shared" si="68"/>
        <v>0</v>
      </c>
      <c r="AE152" s="32">
        <f t="shared" si="78"/>
        <v>0</v>
      </c>
    </row>
    <row r="153" spans="1:31" x14ac:dyDescent="0.35">
      <c r="A153" s="48">
        <v>1454</v>
      </c>
      <c r="B153" s="58">
        <f>SUMIF([2]!Table2_23[ETA],'IAB Model'!A153,[2]!Table2_23[FIS PAX])</f>
        <v>0</v>
      </c>
      <c r="C153" s="44">
        <f t="shared" si="79"/>
        <v>18</v>
      </c>
      <c r="D153" s="52">
        <f t="shared" si="85"/>
        <v>147</v>
      </c>
      <c r="E153" s="26">
        <f t="shared" si="69"/>
        <v>8.2691999999999997</v>
      </c>
      <c r="F153" s="26">
        <f t="shared" si="70"/>
        <v>5.3369999999999997</v>
      </c>
      <c r="G153" s="26">
        <f t="shared" si="71"/>
        <v>3.1175999999999999</v>
      </c>
      <c r="H153" s="26">
        <f t="shared" si="80"/>
        <v>1.2762</v>
      </c>
      <c r="I153" s="27">
        <f t="shared" si="102"/>
        <v>8.2691999999999997</v>
      </c>
      <c r="J153" s="27">
        <f t="shared" si="102"/>
        <v>5.3369999999999997</v>
      </c>
      <c r="K153" s="27">
        <f t="shared" si="102"/>
        <v>3.1175999999999999</v>
      </c>
      <c r="L153" s="27">
        <f t="shared" si="102"/>
        <v>1.2762</v>
      </c>
      <c r="M153" s="28">
        <f t="shared" si="98"/>
        <v>0</v>
      </c>
      <c r="N153" s="29">
        <f t="shared" si="99"/>
        <v>18</v>
      </c>
      <c r="O153" s="28">
        <f t="shared" si="100"/>
        <v>0</v>
      </c>
      <c r="P153" s="28">
        <f t="shared" si="101"/>
        <v>0</v>
      </c>
      <c r="Q153" s="28">
        <f t="shared" si="72"/>
        <v>18</v>
      </c>
      <c r="R153" s="22">
        <f t="shared" si="73"/>
        <v>16.538399999999999</v>
      </c>
      <c r="S153" s="22">
        <f t="shared" si="74"/>
        <v>0</v>
      </c>
      <c r="T153" s="22">
        <f t="shared" si="75"/>
        <v>6.2351999999999999</v>
      </c>
      <c r="U153" s="22">
        <f t="shared" si="76"/>
        <v>2.5524</v>
      </c>
      <c r="V153" s="21">
        <f t="shared" si="86"/>
        <v>0</v>
      </c>
      <c r="W153" s="21">
        <f t="shared" si="91"/>
        <v>0</v>
      </c>
      <c r="X153" s="21">
        <f t="shared" si="83"/>
        <v>0</v>
      </c>
      <c r="Y153" s="21">
        <f t="shared" si="84"/>
        <v>0</v>
      </c>
      <c r="Z153" s="221">
        <f t="shared" si="77"/>
        <v>0</v>
      </c>
      <c r="AA153" s="30">
        <f t="shared" si="65"/>
        <v>0</v>
      </c>
      <c r="AB153" s="30">
        <f t="shared" si="66"/>
        <v>0</v>
      </c>
      <c r="AC153" s="30">
        <f t="shared" si="67"/>
        <v>0</v>
      </c>
      <c r="AD153" s="30">
        <f t="shared" si="68"/>
        <v>0</v>
      </c>
      <c r="AE153" s="32">
        <f t="shared" si="78"/>
        <v>0</v>
      </c>
    </row>
    <row r="154" spans="1:31" x14ac:dyDescent="0.35">
      <c r="A154" s="48">
        <v>1455</v>
      </c>
      <c r="B154" s="58">
        <f>SUMIF([2]!Table2_23[ETA],'IAB Model'!A154,[2]!Table2_23[FIS PAX])</f>
        <v>186</v>
      </c>
      <c r="C154" s="44">
        <f t="shared" si="79"/>
        <v>18</v>
      </c>
      <c r="D154" s="52">
        <f t="shared" si="85"/>
        <v>129</v>
      </c>
      <c r="E154" s="26">
        <f t="shared" si="69"/>
        <v>8.2691999999999997</v>
      </c>
      <c r="F154" s="26">
        <f t="shared" si="70"/>
        <v>5.3369999999999997</v>
      </c>
      <c r="G154" s="26">
        <f t="shared" si="71"/>
        <v>3.1175999999999999</v>
      </c>
      <c r="H154" s="26">
        <f t="shared" si="80"/>
        <v>1.2762</v>
      </c>
      <c r="I154" s="27">
        <f t="shared" si="102"/>
        <v>8.2691999999999997</v>
      </c>
      <c r="J154" s="27">
        <f t="shared" si="102"/>
        <v>5.3369999999999997</v>
      </c>
      <c r="K154" s="27">
        <f t="shared" si="102"/>
        <v>3.1175999999999999</v>
      </c>
      <c r="L154" s="27">
        <f t="shared" si="102"/>
        <v>1.2762</v>
      </c>
      <c r="M154" s="28">
        <f t="shared" si="98"/>
        <v>0</v>
      </c>
      <c r="N154" s="29">
        <f t="shared" si="99"/>
        <v>18</v>
      </c>
      <c r="O154" s="28">
        <f t="shared" si="100"/>
        <v>0</v>
      </c>
      <c r="P154" s="28">
        <f t="shared" si="101"/>
        <v>0</v>
      </c>
      <c r="Q154" s="28">
        <f t="shared" si="72"/>
        <v>18</v>
      </c>
      <c r="R154" s="22">
        <f t="shared" si="73"/>
        <v>24.807600000000001</v>
      </c>
      <c r="S154" s="22">
        <f t="shared" si="74"/>
        <v>0</v>
      </c>
      <c r="T154" s="22">
        <f t="shared" si="75"/>
        <v>9.3528000000000002</v>
      </c>
      <c r="U154" s="22">
        <f t="shared" si="76"/>
        <v>3.8285999999999998</v>
      </c>
      <c r="V154" s="21">
        <f t="shared" si="86"/>
        <v>0</v>
      </c>
      <c r="W154" s="21">
        <f t="shared" si="91"/>
        <v>0</v>
      </c>
      <c r="X154" s="21">
        <f t="shared" si="83"/>
        <v>0</v>
      </c>
      <c r="Y154" s="21">
        <f t="shared" si="84"/>
        <v>0</v>
      </c>
      <c r="Z154" s="221">
        <f t="shared" si="77"/>
        <v>0</v>
      </c>
      <c r="AA154" s="30">
        <f t="shared" si="65"/>
        <v>0</v>
      </c>
      <c r="AB154" s="30">
        <f t="shared" si="66"/>
        <v>0</v>
      </c>
      <c r="AC154" s="30">
        <f t="shared" si="67"/>
        <v>0</v>
      </c>
      <c r="AD154" s="30">
        <f t="shared" si="68"/>
        <v>0</v>
      </c>
      <c r="AE154" s="32">
        <f t="shared" si="78"/>
        <v>0</v>
      </c>
    </row>
    <row r="155" spans="1:31" x14ac:dyDescent="0.35">
      <c r="A155" s="48">
        <v>1456</v>
      </c>
      <c r="B155" s="58">
        <f>SUMIF([2]!Table2_23[ETA],'IAB Model'!A155,[2]!Table2_23[FIS PAX])</f>
        <v>0</v>
      </c>
      <c r="C155" s="44">
        <f t="shared" si="79"/>
        <v>18</v>
      </c>
      <c r="D155" s="52">
        <f t="shared" si="85"/>
        <v>297</v>
      </c>
      <c r="E155" s="26">
        <f t="shared" si="69"/>
        <v>8.2691999999999997</v>
      </c>
      <c r="F155" s="26">
        <f t="shared" si="70"/>
        <v>5.3369999999999997</v>
      </c>
      <c r="G155" s="26">
        <f t="shared" si="71"/>
        <v>3.1175999999999999</v>
      </c>
      <c r="H155" s="26">
        <f t="shared" si="80"/>
        <v>1.2762</v>
      </c>
      <c r="I155" s="27">
        <f t="shared" si="102"/>
        <v>8.2691999999999997</v>
      </c>
      <c r="J155" s="27">
        <f t="shared" si="102"/>
        <v>5.3369999999999997</v>
      </c>
      <c r="K155" s="27">
        <f t="shared" si="102"/>
        <v>3.1175999999999999</v>
      </c>
      <c r="L155" s="27">
        <f t="shared" si="102"/>
        <v>1.2762</v>
      </c>
      <c r="M155" s="28">
        <f t="shared" si="98"/>
        <v>0</v>
      </c>
      <c r="N155" s="29">
        <f t="shared" si="99"/>
        <v>18</v>
      </c>
      <c r="O155" s="28">
        <f t="shared" si="100"/>
        <v>0</v>
      </c>
      <c r="P155" s="28">
        <f t="shared" si="101"/>
        <v>0</v>
      </c>
      <c r="Q155" s="28">
        <f t="shared" si="72"/>
        <v>18</v>
      </c>
      <c r="R155" s="22">
        <f t="shared" si="73"/>
        <v>33.076799999999999</v>
      </c>
      <c r="S155" s="22">
        <f t="shared" si="74"/>
        <v>0</v>
      </c>
      <c r="T155" s="22">
        <f t="shared" si="75"/>
        <v>12.4704</v>
      </c>
      <c r="U155" s="22">
        <f t="shared" si="76"/>
        <v>5.1048</v>
      </c>
      <c r="V155" s="21">
        <f t="shared" si="86"/>
        <v>0</v>
      </c>
      <c r="W155" s="21">
        <f t="shared" si="91"/>
        <v>0</v>
      </c>
      <c r="X155" s="21">
        <f t="shared" si="83"/>
        <v>0</v>
      </c>
      <c r="Y155" s="21">
        <f t="shared" si="84"/>
        <v>0</v>
      </c>
      <c r="Z155" s="221">
        <f t="shared" si="77"/>
        <v>0</v>
      </c>
      <c r="AA155" s="30">
        <f t="shared" si="65"/>
        <v>0</v>
      </c>
      <c r="AB155" s="30">
        <f t="shared" si="66"/>
        <v>0</v>
      </c>
      <c r="AC155" s="30">
        <f t="shared" si="67"/>
        <v>0</v>
      </c>
      <c r="AD155" s="30">
        <f t="shared" si="68"/>
        <v>0</v>
      </c>
      <c r="AE155" s="32">
        <f t="shared" si="78"/>
        <v>0</v>
      </c>
    </row>
    <row r="156" spans="1:31" x14ac:dyDescent="0.35">
      <c r="A156" s="48">
        <v>1457</v>
      </c>
      <c r="B156" s="58">
        <f>SUMIF([2]!Table2_23[ETA],'IAB Model'!A156,[2]!Table2_23[FIS PAX])</f>
        <v>0</v>
      </c>
      <c r="C156" s="44">
        <f t="shared" si="79"/>
        <v>18</v>
      </c>
      <c r="D156" s="52">
        <f t="shared" si="85"/>
        <v>279</v>
      </c>
      <c r="E156" s="26">
        <f t="shared" si="69"/>
        <v>8.2691999999999997</v>
      </c>
      <c r="F156" s="26">
        <f t="shared" si="70"/>
        <v>5.3369999999999997</v>
      </c>
      <c r="G156" s="26">
        <f t="shared" si="71"/>
        <v>3.1175999999999999</v>
      </c>
      <c r="H156" s="26">
        <f t="shared" si="80"/>
        <v>1.2762</v>
      </c>
      <c r="I156" s="27">
        <f t="shared" si="102"/>
        <v>8.2691999999999997</v>
      </c>
      <c r="J156" s="27">
        <f t="shared" si="102"/>
        <v>5.3369999999999997</v>
      </c>
      <c r="K156" s="27">
        <f t="shared" si="102"/>
        <v>3.1175999999999999</v>
      </c>
      <c r="L156" s="27">
        <f t="shared" si="102"/>
        <v>1.2762</v>
      </c>
      <c r="M156" s="28">
        <f t="shared" si="98"/>
        <v>0</v>
      </c>
      <c r="N156" s="29">
        <f t="shared" si="99"/>
        <v>18</v>
      </c>
      <c r="O156" s="28">
        <f t="shared" si="100"/>
        <v>0</v>
      </c>
      <c r="P156" s="28">
        <f t="shared" si="101"/>
        <v>0</v>
      </c>
      <c r="Q156" s="28">
        <f t="shared" si="72"/>
        <v>18</v>
      </c>
      <c r="R156" s="22">
        <f t="shared" si="73"/>
        <v>41.345999999999997</v>
      </c>
      <c r="S156" s="22">
        <f t="shared" si="74"/>
        <v>0</v>
      </c>
      <c r="T156" s="22">
        <f t="shared" si="75"/>
        <v>15.587999999999999</v>
      </c>
      <c r="U156" s="22">
        <f t="shared" si="76"/>
        <v>6.3810000000000002</v>
      </c>
      <c r="V156" s="21">
        <f t="shared" si="86"/>
        <v>0</v>
      </c>
      <c r="W156" s="21">
        <f t="shared" si="91"/>
        <v>0</v>
      </c>
      <c r="X156" s="21">
        <f t="shared" si="83"/>
        <v>0</v>
      </c>
      <c r="Y156" s="21">
        <f t="shared" si="84"/>
        <v>0</v>
      </c>
      <c r="Z156" s="221">
        <f t="shared" si="77"/>
        <v>0</v>
      </c>
      <c r="AA156" s="30">
        <f t="shared" si="65"/>
        <v>0</v>
      </c>
      <c r="AB156" s="30">
        <f t="shared" si="66"/>
        <v>0</v>
      </c>
      <c r="AC156" s="30">
        <f t="shared" si="67"/>
        <v>0</v>
      </c>
      <c r="AD156" s="30">
        <f t="shared" si="68"/>
        <v>0</v>
      </c>
      <c r="AE156" s="32">
        <f t="shared" si="78"/>
        <v>0</v>
      </c>
    </row>
    <row r="157" spans="1:31" x14ac:dyDescent="0.35">
      <c r="A157" s="48">
        <v>1458</v>
      </c>
      <c r="B157" s="58">
        <f>SUMIF([2]!Table2_23[ETA],'IAB Model'!A157,[2]!Table2_23[FIS PAX])</f>
        <v>0</v>
      </c>
      <c r="C157" s="44">
        <f t="shared" si="79"/>
        <v>18</v>
      </c>
      <c r="D157" s="52">
        <f t="shared" si="85"/>
        <v>261</v>
      </c>
      <c r="E157" s="26">
        <f t="shared" si="69"/>
        <v>8.2691999999999997</v>
      </c>
      <c r="F157" s="26">
        <f t="shared" si="70"/>
        <v>5.3369999999999997</v>
      </c>
      <c r="G157" s="26">
        <f t="shared" si="71"/>
        <v>3.1175999999999999</v>
      </c>
      <c r="H157" s="26">
        <f t="shared" si="80"/>
        <v>1.2762</v>
      </c>
      <c r="I157" s="27">
        <f t="shared" si="102"/>
        <v>8.2691999999999997</v>
      </c>
      <c r="J157" s="27">
        <f t="shared" si="102"/>
        <v>5.3369999999999997</v>
      </c>
      <c r="K157" s="27">
        <f t="shared" si="102"/>
        <v>3.1175999999999999</v>
      </c>
      <c r="L157" s="27">
        <f t="shared" si="102"/>
        <v>1.2762</v>
      </c>
      <c r="M157" s="28">
        <f t="shared" si="98"/>
        <v>0</v>
      </c>
      <c r="N157" s="29">
        <f t="shared" si="99"/>
        <v>18</v>
      </c>
      <c r="O157" s="28">
        <f t="shared" si="100"/>
        <v>0</v>
      </c>
      <c r="P157" s="28">
        <f t="shared" si="101"/>
        <v>0</v>
      </c>
      <c r="Q157" s="28">
        <f t="shared" si="72"/>
        <v>18</v>
      </c>
      <c r="R157" s="22">
        <f t="shared" si="73"/>
        <v>49.615199999999994</v>
      </c>
      <c r="S157" s="22">
        <f t="shared" si="74"/>
        <v>0</v>
      </c>
      <c r="T157" s="22">
        <f t="shared" si="75"/>
        <v>18.7056</v>
      </c>
      <c r="U157" s="22">
        <f t="shared" si="76"/>
        <v>7.6572000000000005</v>
      </c>
      <c r="V157" s="21">
        <f t="shared" si="86"/>
        <v>0</v>
      </c>
      <c r="W157" s="21">
        <f t="shared" si="91"/>
        <v>0</v>
      </c>
      <c r="X157" s="21">
        <f t="shared" si="83"/>
        <v>0</v>
      </c>
      <c r="Y157" s="21">
        <f t="shared" si="84"/>
        <v>0</v>
      </c>
      <c r="Z157" s="221">
        <f t="shared" si="77"/>
        <v>0</v>
      </c>
      <c r="AA157" s="30">
        <f t="shared" si="65"/>
        <v>0</v>
      </c>
      <c r="AB157" s="30">
        <f t="shared" si="66"/>
        <v>0</v>
      </c>
      <c r="AC157" s="30">
        <f t="shared" si="67"/>
        <v>0</v>
      </c>
      <c r="AD157" s="30">
        <f t="shared" si="68"/>
        <v>0</v>
      </c>
      <c r="AE157" s="32">
        <f t="shared" si="78"/>
        <v>0</v>
      </c>
    </row>
    <row r="158" spans="1:31" x14ac:dyDescent="0.35">
      <c r="A158" s="48">
        <v>1459</v>
      </c>
      <c r="B158" s="58">
        <f>SUMIF([2]!Table2_23[ETA],'IAB Model'!A158,[2]!Table2_23[FIS PAX])</f>
        <v>0</v>
      </c>
      <c r="C158" s="44">
        <f t="shared" si="79"/>
        <v>18</v>
      </c>
      <c r="D158" s="52">
        <f t="shared" si="85"/>
        <v>243</v>
      </c>
      <c r="E158" s="26">
        <f t="shared" si="69"/>
        <v>8.2691999999999997</v>
      </c>
      <c r="F158" s="26">
        <f t="shared" si="70"/>
        <v>5.3369999999999997</v>
      </c>
      <c r="G158" s="26">
        <f t="shared" si="71"/>
        <v>3.1175999999999999</v>
      </c>
      <c r="H158" s="26">
        <f t="shared" si="80"/>
        <v>1.2762</v>
      </c>
      <c r="I158" s="27">
        <f t="shared" si="102"/>
        <v>8.2691999999999997</v>
      </c>
      <c r="J158" s="27">
        <f t="shared" si="102"/>
        <v>5.3369999999999997</v>
      </c>
      <c r="K158" s="27">
        <f t="shared" si="102"/>
        <v>3.1175999999999999</v>
      </c>
      <c r="L158" s="27">
        <f t="shared" si="102"/>
        <v>1.2762</v>
      </c>
      <c r="M158" s="28">
        <f t="shared" si="98"/>
        <v>0</v>
      </c>
      <c r="N158" s="29">
        <f t="shared" si="99"/>
        <v>18</v>
      </c>
      <c r="O158" s="28">
        <f t="shared" si="100"/>
        <v>0</v>
      </c>
      <c r="P158" s="28">
        <f t="shared" si="101"/>
        <v>0</v>
      </c>
      <c r="Q158" s="28">
        <f t="shared" si="72"/>
        <v>18</v>
      </c>
      <c r="R158" s="22">
        <f t="shared" si="73"/>
        <v>57.884399999999992</v>
      </c>
      <c r="S158" s="22">
        <f t="shared" si="74"/>
        <v>0</v>
      </c>
      <c r="T158" s="22">
        <f t="shared" si="75"/>
        <v>21.8232</v>
      </c>
      <c r="U158" s="22">
        <f t="shared" si="76"/>
        <v>8.9334000000000007</v>
      </c>
      <c r="V158" s="21">
        <f t="shared" si="86"/>
        <v>0</v>
      </c>
      <c r="W158" s="21">
        <f t="shared" si="91"/>
        <v>0</v>
      </c>
      <c r="X158" s="21">
        <f t="shared" si="83"/>
        <v>0</v>
      </c>
      <c r="Y158" s="21">
        <f t="shared" si="84"/>
        <v>0</v>
      </c>
      <c r="Z158" s="221">
        <f t="shared" si="77"/>
        <v>0</v>
      </c>
      <c r="AA158" s="30">
        <f t="shared" si="65"/>
        <v>0</v>
      </c>
      <c r="AB158" s="30">
        <f t="shared" si="66"/>
        <v>0</v>
      </c>
      <c r="AC158" s="30">
        <f t="shared" si="67"/>
        <v>0</v>
      </c>
      <c r="AD158" s="30">
        <f t="shared" si="68"/>
        <v>0</v>
      </c>
      <c r="AE158" s="32">
        <f t="shared" si="78"/>
        <v>0</v>
      </c>
    </row>
    <row r="159" spans="1:31" x14ac:dyDescent="0.35">
      <c r="A159" s="48">
        <v>1500</v>
      </c>
      <c r="B159" s="58">
        <f>SUMIF([2]!Table2_23[ETA],'IAB Model'!A159,[2]!Table2_23[FIS PAX])</f>
        <v>0</v>
      </c>
      <c r="C159" s="44">
        <f t="shared" si="79"/>
        <v>18</v>
      </c>
      <c r="D159" s="52">
        <f t="shared" si="85"/>
        <v>225</v>
      </c>
      <c r="E159" s="26">
        <f t="shared" si="69"/>
        <v>8.2691999999999997</v>
      </c>
      <c r="F159" s="26">
        <f t="shared" si="70"/>
        <v>5.3369999999999997</v>
      </c>
      <c r="G159" s="26">
        <f t="shared" si="71"/>
        <v>3.1175999999999999</v>
      </c>
      <c r="H159" s="26">
        <f t="shared" si="80"/>
        <v>1.2762</v>
      </c>
      <c r="I159" s="27">
        <f t="shared" si="102"/>
        <v>8.2691999999999997</v>
      </c>
      <c r="J159" s="27">
        <f t="shared" si="102"/>
        <v>5.3369999999999997</v>
      </c>
      <c r="K159" s="27">
        <f t="shared" si="102"/>
        <v>3.1175999999999999</v>
      </c>
      <c r="L159" s="27">
        <f t="shared" si="102"/>
        <v>1.2762</v>
      </c>
      <c r="M159" s="28">
        <f t="shared" si="98"/>
        <v>0</v>
      </c>
      <c r="N159" s="29">
        <f t="shared" si="99"/>
        <v>18</v>
      </c>
      <c r="O159" s="28">
        <f t="shared" si="100"/>
        <v>0</v>
      </c>
      <c r="P159" s="28">
        <f t="shared" si="101"/>
        <v>0</v>
      </c>
      <c r="Q159" s="28">
        <f t="shared" si="72"/>
        <v>18</v>
      </c>
      <c r="R159" s="22">
        <f t="shared" si="73"/>
        <v>66.153599999999997</v>
      </c>
      <c r="S159" s="22">
        <f t="shared" si="74"/>
        <v>0</v>
      </c>
      <c r="T159" s="22">
        <f t="shared" si="75"/>
        <v>24.940799999999999</v>
      </c>
      <c r="U159" s="22">
        <f t="shared" si="76"/>
        <v>10.2096</v>
      </c>
      <c r="V159" s="21">
        <f t="shared" si="86"/>
        <v>0</v>
      </c>
      <c r="W159" s="21">
        <f t="shared" si="91"/>
        <v>0</v>
      </c>
      <c r="X159" s="21">
        <f t="shared" si="83"/>
        <v>0</v>
      </c>
      <c r="Y159" s="21">
        <f t="shared" si="84"/>
        <v>0</v>
      </c>
      <c r="Z159" s="221">
        <f t="shared" si="77"/>
        <v>0</v>
      </c>
      <c r="AA159" s="30">
        <f t="shared" si="65"/>
        <v>0</v>
      </c>
      <c r="AB159" s="30">
        <f t="shared" si="66"/>
        <v>0</v>
      </c>
      <c r="AC159" s="30">
        <f t="shared" si="67"/>
        <v>0</v>
      </c>
      <c r="AD159" s="30">
        <f t="shared" si="68"/>
        <v>0</v>
      </c>
      <c r="AE159" s="32">
        <f t="shared" si="78"/>
        <v>0</v>
      </c>
    </row>
    <row r="160" spans="1:31" x14ac:dyDescent="0.35">
      <c r="A160" s="48">
        <v>1501</v>
      </c>
      <c r="B160" s="58">
        <f>SUMIF([2]!Table2_23[ETA],'IAB Model'!A160,[2]!Table2_23[FIS PAX])</f>
        <v>0</v>
      </c>
      <c r="C160" s="44">
        <f t="shared" si="79"/>
        <v>18</v>
      </c>
      <c r="D160" s="52">
        <f t="shared" si="85"/>
        <v>207</v>
      </c>
      <c r="E160" s="26">
        <f t="shared" si="69"/>
        <v>8.2691999999999997</v>
      </c>
      <c r="F160" s="26">
        <f t="shared" si="70"/>
        <v>5.3369999999999997</v>
      </c>
      <c r="G160" s="26">
        <f t="shared" si="71"/>
        <v>3.1175999999999999</v>
      </c>
      <c r="H160" s="26">
        <f t="shared" si="80"/>
        <v>1.2762</v>
      </c>
      <c r="I160" s="27">
        <f t="shared" si="102"/>
        <v>8.2691999999999997</v>
      </c>
      <c r="J160" s="27">
        <f t="shared" si="102"/>
        <v>5.3369999999999997</v>
      </c>
      <c r="K160" s="27">
        <f t="shared" si="102"/>
        <v>3.1175999999999999</v>
      </c>
      <c r="L160" s="27">
        <f t="shared" si="102"/>
        <v>1.2762</v>
      </c>
      <c r="M160" s="28">
        <f>IF(R159=0,0,$Q$14)</f>
        <v>11</v>
      </c>
      <c r="N160" s="29">
        <f>$U$14-M160-O160-P160</f>
        <v>4</v>
      </c>
      <c r="O160" s="28">
        <f>IF(T159=0,0,$S$14)</f>
        <v>2</v>
      </c>
      <c r="P160" s="28">
        <f>IF(U159=0,0,$T$14)</f>
        <v>1</v>
      </c>
      <c r="Q160" s="28">
        <f t="shared" si="72"/>
        <v>18</v>
      </c>
      <c r="R160" s="22">
        <f t="shared" si="73"/>
        <v>51.271212816322489</v>
      </c>
      <c r="S160" s="22">
        <f t="shared" si="74"/>
        <v>3.3547862870455334</v>
      </c>
      <c r="T160" s="22">
        <f t="shared" si="75"/>
        <v>23.0964465080982</v>
      </c>
      <c r="U160" s="22">
        <f t="shared" si="76"/>
        <v>9.6494669626403446</v>
      </c>
      <c r="V160" s="21">
        <f t="shared" si="86"/>
        <v>1.8823992734545454</v>
      </c>
      <c r="W160" s="21">
        <f t="shared" si="91"/>
        <v>1.4385776494999998</v>
      </c>
      <c r="X160" s="21">
        <f t="shared" si="83"/>
        <v>3.9565021244</v>
      </c>
      <c r="Y160" s="21">
        <f t="shared" si="84"/>
        <v>4.4665356182</v>
      </c>
      <c r="Z160" s="221">
        <f t="shared" si="77"/>
        <v>3</v>
      </c>
      <c r="AA160" s="30">
        <f t="shared" si="65"/>
        <v>23.15158718367751</v>
      </c>
      <c r="AB160" s="30">
        <f t="shared" si="66"/>
        <v>1.9822137129544664</v>
      </c>
      <c r="AC160" s="30">
        <f t="shared" si="67"/>
        <v>4.9619534919017996</v>
      </c>
      <c r="AD160" s="30">
        <f t="shared" si="68"/>
        <v>1.8363330373596554</v>
      </c>
      <c r="AE160" s="32">
        <f t="shared" si="78"/>
        <v>31.932087425893428</v>
      </c>
    </row>
    <row r="161" spans="1:31" x14ac:dyDescent="0.35">
      <c r="A161" s="48">
        <v>1502</v>
      </c>
      <c r="B161" s="58">
        <f>SUMIF([2]!Table2_23[ETA],'IAB Model'!A161,[2]!Table2_23[FIS PAX])</f>
        <v>0</v>
      </c>
      <c r="C161" s="44">
        <f t="shared" si="79"/>
        <v>18</v>
      </c>
      <c r="D161" s="52">
        <f t="shared" si="85"/>
        <v>189</v>
      </c>
      <c r="E161" s="26">
        <f t="shared" si="69"/>
        <v>8.2691999999999997</v>
      </c>
      <c r="F161" s="26">
        <f t="shared" si="70"/>
        <v>5.3369999999999997</v>
      </c>
      <c r="G161" s="26">
        <f t="shared" si="71"/>
        <v>3.1175999999999999</v>
      </c>
      <c r="H161" s="26">
        <f t="shared" si="80"/>
        <v>1.2762</v>
      </c>
      <c r="I161" s="27">
        <f t="shared" si="102"/>
        <v>8.2691999999999997</v>
      </c>
      <c r="J161" s="27">
        <f t="shared" si="102"/>
        <v>5.3369999999999997</v>
      </c>
      <c r="K161" s="27">
        <f t="shared" si="102"/>
        <v>3.1175999999999999</v>
      </c>
      <c r="L161" s="27">
        <f t="shared" si="102"/>
        <v>1.2762</v>
      </c>
      <c r="M161" s="28">
        <f>$M$160</f>
        <v>11</v>
      </c>
      <c r="N161" s="29">
        <f>$N$160</f>
        <v>4</v>
      </c>
      <c r="O161" s="28">
        <f>$O$160</f>
        <v>2</v>
      </c>
      <c r="P161" s="28">
        <f>$P$160</f>
        <v>1</v>
      </c>
      <c r="Q161" s="28">
        <f t="shared" si="72"/>
        <v>18</v>
      </c>
      <c r="R161" s="22">
        <f t="shared" si="73"/>
        <v>36.388825632644981</v>
      </c>
      <c r="S161" s="22">
        <f t="shared" si="74"/>
        <v>6.7095725740910668</v>
      </c>
      <c r="T161" s="22">
        <f t="shared" si="75"/>
        <v>21.252093016196401</v>
      </c>
      <c r="U161" s="22">
        <f t="shared" si="76"/>
        <v>9.0893339252806893</v>
      </c>
      <c r="V161" s="21">
        <f t="shared" si="86"/>
        <v>1.3359991927272727</v>
      </c>
      <c r="W161" s="21">
        <f t="shared" si="91"/>
        <v>2.8771552989999996</v>
      </c>
      <c r="X161" s="21">
        <f t="shared" si="83"/>
        <v>3.6405579160000001</v>
      </c>
      <c r="Y161" s="21">
        <f t="shared" si="84"/>
        <v>4.2072617980000002</v>
      </c>
      <c r="Z161" s="221">
        <f t="shared" si="77"/>
        <v>3</v>
      </c>
      <c r="AA161" s="30">
        <f t="shared" si="65"/>
        <v>23.15158718367751</v>
      </c>
      <c r="AB161" s="30">
        <f t="shared" si="66"/>
        <v>1.9822137129544664</v>
      </c>
      <c r="AC161" s="30">
        <f t="shared" si="67"/>
        <v>4.9619534919017996</v>
      </c>
      <c r="AD161" s="30">
        <f t="shared" si="68"/>
        <v>1.8363330373596554</v>
      </c>
      <c r="AE161" s="32">
        <f t="shared" si="78"/>
        <v>31.932087425893428</v>
      </c>
    </row>
    <row r="162" spans="1:31" x14ac:dyDescent="0.35">
      <c r="A162" s="48">
        <v>1503</v>
      </c>
      <c r="B162" s="58">
        <f>SUMIF([2]!Table2_23[ETA],'IAB Model'!A162,[2]!Table2_23[FIS PAX])</f>
        <v>0</v>
      </c>
      <c r="C162" s="44">
        <f t="shared" si="79"/>
        <v>18</v>
      </c>
      <c r="D162" s="52">
        <f t="shared" si="85"/>
        <v>171</v>
      </c>
      <c r="E162" s="26">
        <f t="shared" si="69"/>
        <v>8.2691999999999997</v>
      </c>
      <c r="F162" s="26">
        <f t="shared" si="70"/>
        <v>5.3369999999999997</v>
      </c>
      <c r="G162" s="26">
        <f t="shared" si="71"/>
        <v>3.1175999999999999</v>
      </c>
      <c r="H162" s="26">
        <f t="shared" si="80"/>
        <v>1.2762</v>
      </c>
      <c r="I162" s="27">
        <f t="shared" si="102"/>
        <v>8.2691999999999997</v>
      </c>
      <c r="J162" s="27">
        <f t="shared" si="102"/>
        <v>5.3369999999999997</v>
      </c>
      <c r="K162" s="27">
        <f t="shared" si="102"/>
        <v>3.1175999999999999</v>
      </c>
      <c r="L162" s="27">
        <f t="shared" si="102"/>
        <v>1.2762</v>
      </c>
      <c r="M162" s="28">
        <f t="shared" ref="M162:M174" si="103">$M$160</f>
        <v>11</v>
      </c>
      <c r="N162" s="29">
        <f t="shared" ref="N162:N174" si="104">$N$160</f>
        <v>4</v>
      </c>
      <c r="O162" s="28">
        <f t="shared" ref="O162:O174" si="105">$O$160</f>
        <v>2</v>
      </c>
      <c r="P162" s="28">
        <f t="shared" ref="P162:P174" si="106">$P$160</f>
        <v>1</v>
      </c>
      <c r="Q162" s="28">
        <f t="shared" si="72"/>
        <v>18</v>
      </c>
      <c r="R162" s="22">
        <f t="shared" si="73"/>
        <v>21.506438448967472</v>
      </c>
      <c r="S162" s="22">
        <f t="shared" si="74"/>
        <v>10.064358861136601</v>
      </c>
      <c r="T162" s="22">
        <f t="shared" si="75"/>
        <v>19.407739524294602</v>
      </c>
      <c r="U162" s="22">
        <f t="shared" si="76"/>
        <v>8.5292008879210339</v>
      </c>
      <c r="V162" s="21">
        <f t="shared" si="86"/>
        <v>0.78959911200000021</v>
      </c>
      <c r="W162" s="21">
        <f t="shared" si="91"/>
        <v>4.3157329485</v>
      </c>
      <c r="X162" s="21">
        <f t="shared" si="83"/>
        <v>3.3246137076000002</v>
      </c>
      <c r="Y162" s="21">
        <f t="shared" si="84"/>
        <v>3.9479879778</v>
      </c>
      <c r="Z162" s="221">
        <f t="shared" si="77"/>
        <v>3</v>
      </c>
      <c r="AA162" s="30">
        <f t="shared" si="65"/>
        <v>23.15158718367751</v>
      </c>
      <c r="AB162" s="30">
        <f t="shared" si="66"/>
        <v>1.9822137129544664</v>
      </c>
      <c r="AC162" s="30">
        <f t="shared" si="67"/>
        <v>4.9619534919017996</v>
      </c>
      <c r="AD162" s="30">
        <f t="shared" si="68"/>
        <v>1.8363330373596554</v>
      </c>
      <c r="AE162" s="32">
        <f t="shared" si="78"/>
        <v>31.932087425893428</v>
      </c>
    </row>
    <row r="163" spans="1:31" x14ac:dyDescent="0.35">
      <c r="A163" s="48">
        <v>1504</v>
      </c>
      <c r="B163" s="58">
        <f>SUMIF([2]!Table2_23[ETA],'IAB Model'!A163,[2]!Table2_23[FIS PAX])</f>
        <v>0</v>
      </c>
      <c r="C163" s="44">
        <f t="shared" si="79"/>
        <v>18</v>
      </c>
      <c r="D163" s="52">
        <f t="shared" si="85"/>
        <v>153</v>
      </c>
      <c r="E163" s="26">
        <f t="shared" si="69"/>
        <v>8.2691999999999997</v>
      </c>
      <c r="F163" s="26">
        <f t="shared" si="70"/>
        <v>5.3369999999999997</v>
      </c>
      <c r="G163" s="26">
        <f t="shared" si="71"/>
        <v>3.1175999999999999</v>
      </c>
      <c r="H163" s="26">
        <f t="shared" si="80"/>
        <v>1.2762</v>
      </c>
      <c r="I163" s="27">
        <f t="shared" si="102"/>
        <v>8.2691999999999997</v>
      </c>
      <c r="J163" s="27">
        <f t="shared" si="102"/>
        <v>5.3369999999999997</v>
      </c>
      <c r="K163" s="27">
        <f t="shared" si="102"/>
        <v>3.1175999999999999</v>
      </c>
      <c r="L163" s="27">
        <f t="shared" si="102"/>
        <v>1.2762</v>
      </c>
      <c r="M163" s="28">
        <f t="shared" si="103"/>
        <v>11</v>
      </c>
      <c r="N163" s="29">
        <f t="shared" si="104"/>
        <v>4</v>
      </c>
      <c r="O163" s="28">
        <f t="shared" si="105"/>
        <v>2</v>
      </c>
      <c r="P163" s="28">
        <f t="shared" si="106"/>
        <v>1</v>
      </c>
      <c r="Q163" s="28">
        <f t="shared" si="72"/>
        <v>18</v>
      </c>
      <c r="R163" s="22">
        <f t="shared" si="73"/>
        <v>6.6240512652899621</v>
      </c>
      <c r="S163" s="22">
        <f t="shared" si="74"/>
        <v>13.419145148182134</v>
      </c>
      <c r="T163" s="22">
        <f t="shared" si="75"/>
        <v>17.563386032392803</v>
      </c>
      <c r="U163" s="22">
        <f t="shared" si="76"/>
        <v>7.9690678505613786</v>
      </c>
      <c r="V163" s="21">
        <f t="shared" si="86"/>
        <v>0.24319903127272763</v>
      </c>
      <c r="W163" s="21">
        <f t="shared" si="91"/>
        <v>5.7543105979999991</v>
      </c>
      <c r="X163" s="21">
        <f t="shared" si="83"/>
        <v>3.0086694992000003</v>
      </c>
      <c r="Y163" s="21">
        <f t="shared" si="84"/>
        <v>3.6887141576000002</v>
      </c>
      <c r="Z163" s="221">
        <f t="shared" si="77"/>
        <v>3</v>
      </c>
      <c r="AA163" s="30">
        <f t="shared" si="65"/>
        <v>23.15158718367751</v>
      </c>
      <c r="AB163" s="30">
        <f t="shared" si="66"/>
        <v>1.9822137129544664</v>
      </c>
      <c r="AC163" s="30">
        <f t="shared" si="67"/>
        <v>4.9619534919017996</v>
      </c>
      <c r="AD163" s="30">
        <f t="shared" si="68"/>
        <v>1.8363330373596554</v>
      </c>
      <c r="AE163" s="32">
        <f t="shared" si="78"/>
        <v>31.932087425893428</v>
      </c>
    </row>
    <row r="164" spans="1:31" x14ac:dyDescent="0.35">
      <c r="A164" s="48">
        <v>1505</v>
      </c>
      <c r="B164" s="58">
        <f>SUMIF([2]!Table2_23[ETA],'IAB Model'!A164,[2]!Table2_23[FIS PAX])</f>
        <v>0</v>
      </c>
      <c r="C164" s="44">
        <f t="shared" si="79"/>
        <v>18</v>
      </c>
      <c r="D164" s="52">
        <f t="shared" si="85"/>
        <v>135</v>
      </c>
      <c r="E164" s="26">
        <f t="shared" si="69"/>
        <v>8.2691999999999997</v>
      </c>
      <c r="F164" s="26">
        <f t="shared" si="70"/>
        <v>5.3369999999999997</v>
      </c>
      <c r="G164" s="26">
        <f t="shared" si="71"/>
        <v>3.1175999999999999</v>
      </c>
      <c r="H164" s="26">
        <f t="shared" si="80"/>
        <v>1.2762</v>
      </c>
      <c r="I164" s="27">
        <f t="shared" si="102"/>
        <v>8.2691999999999997</v>
      </c>
      <c r="J164" s="27">
        <f t="shared" si="102"/>
        <v>5.3369999999999997</v>
      </c>
      <c r="K164" s="27">
        <f t="shared" si="102"/>
        <v>3.1175999999999999</v>
      </c>
      <c r="L164" s="27">
        <f t="shared" si="102"/>
        <v>1.2762</v>
      </c>
      <c r="M164" s="28">
        <f t="shared" si="103"/>
        <v>11</v>
      </c>
      <c r="N164" s="29">
        <f t="shared" si="104"/>
        <v>4</v>
      </c>
      <c r="O164" s="28">
        <f t="shared" si="105"/>
        <v>2</v>
      </c>
      <c r="P164" s="28">
        <f t="shared" si="106"/>
        <v>1</v>
      </c>
      <c r="Q164" s="28">
        <f t="shared" si="72"/>
        <v>18</v>
      </c>
      <c r="R164" s="22">
        <f t="shared" si="73"/>
        <v>0</v>
      </c>
      <c r="S164" s="22">
        <f t="shared" si="74"/>
        <v>16.773931435227666</v>
      </c>
      <c r="T164" s="22">
        <f t="shared" si="75"/>
        <v>15.719032540491003</v>
      </c>
      <c r="U164" s="22">
        <f t="shared" si="76"/>
        <v>7.4089348132017232</v>
      </c>
      <c r="V164" s="21">
        <f t="shared" si="86"/>
        <v>0</v>
      </c>
      <c r="W164" s="21">
        <f t="shared" si="91"/>
        <v>7.1928882474999991</v>
      </c>
      <c r="X164" s="21">
        <f t="shared" si="83"/>
        <v>2.6927252908000008</v>
      </c>
      <c r="Y164" s="21">
        <f t="shared" si="84"/>
        <v>3.4294403374000004</v>
      </c>
      <c r="Z164" s="221">
        <f t="shared" si="77"/>
        <v>3</v>
      </c>
      <c r="AA164" s="30">
        <f t="shared" si="65"/>
        <v>0</v>
      </c>
      <c r="AB164" s="30">
        <f t="shared" si="66"/>
        <v>1.9822137129544664</v>
      </c>
      <c r="AC164" s="30">
        <f t="shared" si="67"/>
        <v>4.9619534919017996</v>
      </c>
      <c r="AD164" s="30">
        <f t="shared" si="68"/>
        <v>1.8363330373596554</v>
      </c>
      <c r="AE164" s="32">
        <f t="shared" si="78"/>
        <v>8.7805002422159202</v>
      </c>
    </row>
    <row r="165" spans="1:31" x14ac:dyDescent="0.35">
      <c r="A165" s="48">
        <v>1506</v>
      </c>
      <c r="B165" s="58">
        <f>SUMIF([2]!Table2_23[ETA],'IAB Model'!A165,[2]!Table2_23[FIS PAX])</f>
        <v>86</v>
      </c>
      <c r="C165" s="44">
        <f t="shared" si="79"/>
        <v>18</v>
      </c>
      <c r="D165" s="52">
        <f t="shared" si="85"/>
        <v>117</v>
      </c>
      <c r="E165" s="26">
        <f t="shared" si="69"/>
        <v>8.2691999999999997</v>
      </c>
      <c r="F165" s="26">
        <f t="shared" si="70"/>
        <v>5.3369999999999997</v>
      </c>
      <c r="G165" s="26">
        <f t="shared" si="71"/>
        <v>3.1175999999999999</v>
      </c>
      <c r="H165" s="26">
        <f t="shared" si="80"/>
        <v>1.2762</v>
      </c>
      <c r="I165" s="27">
        <f t="shared" si="102"/>
        <v>8.2691999999999997</v>
      </c>
      <c r="J165" s="27">
        <f t="shared" si="102"/>
        <v>5.3369999999999997</v>
      </c>
      <c r="K165" s="27">
        <f t="shared" si="102"/>
        <v>3.1175999999999999</v>
      </c>
      <c r="L165" s="27">
        <f t="shared" si="102"/>
        <v>1.2762</v>
      </c>
      <c r="M165" s="28">
        <f t="shared" si="103"/>
        <v>11</v>
      </c>
      <c r="N165" s="29">
        <f t="shared" si="104"/>
        <v>4</v>
      </c>
      <c r="O165" s="28">
        <f t="shared" si="105"/>
        <v>2</v>
      </c>
      <c r="P165" s="28">
        <f t="shared" si="106"/>
        <v>1</v>
      </c>
      <c r="Q165" s="28">
        <f t="shared" si="72"/>
        <v>18</v>
      </c>
      <c r="R165" s="22">
        <f t="shared" si="73"/>
        <v>0</v>
      </c>
      <c r="S165" s="22">
        <f t="shared" si="74"/>
        <v>20.128717722273201</v>
      </c>
      <c r="T165" s="22">
        <f t="shared" si="75"/>
        <v>13.874679048589204</v>
      </c>
      <c r="U165" s="22">
        <f t="shared" si="76"/>
        <v>6.8488017758420678</v>
      </c>
      <c r="V165" s="21">
        <f t="shared" si="86"/>
        <v>0</v>
      </c>
      <c r="W165" s="21">
        <f t="shared" si="91"/>
        <v>8.631465897</v>
      </c>
      <c r="X165" s="21">
        <f t="shared" si="83"/>
        <v>2.3767810824000009</v>
      </c>
      <c r="Y165" s="21">
        <f t="shared" si="84"/>
        <v>3.1701665172000002</v>
      </c>
      <c r="Z165" s="221">
        <f t="shared" si="77"/>
        <v>4</v>
      </c>
      <c r="AA165" s="30">
        <f t="shared" si="65"/>
        <v>0</v>
      </c>
      <c r="AB165" s="30">
        <f t="shared" si="66"/>
        <v>1.9822137129544664</v>
      </c>
      <c r="AC165" s="30">
        <f t="shared" si="67"/>
        <v>4.9619534919017996</v>
      </c>
      <c r="AD165" s="30">
        <f t="shared" si="68"/>
        <v>1.8363330373596554</v>
      </c>
      <c r="AE165" s="32">
        <f t="shared" si="78"/>
        <v>8.7805002422159202</v>
      </c>
    </row>
    <row r="166" spans="1:31" x14ac:dyDescent="0.35">
      <c r="A166" s="48">
        <v>1507</v>
      </c>
      <c r="B166" s="58">
        <f>SUMIF([2]!Table2_23[ETA],'IAB Model'!A166,[2]!Table2_23[FIS PAX])</f>
        <v>0</v>
      </c>
      <c r="C166" s="44">
        <f t="shared" si="79"/>
        <v>18</v>
      </c>
      <c r="D166" s="52">
        <f t="shared" si="85"/>
        <v>185</v>
      </c>
      <c r="E166" s="26">
        <f t="shared" si="69"/>
        <v>8.2691999999999997</v>
      </c>
      <c r="F166" s="26">
        <f t="shared" si="70"/>
        <v>5.3369999999999997</v>
      </c>
      <c r="G166" s="26">
        <f t="shared" si="71"/>
        <v>3.1175999999999999</v>
      </c>
      <c r="H166" s="26">
        <f t="shared" si="80"/>
        <v>1.2762</v>
      </c>
      <c r="I166" s="27">
        <f t="shared" si="102"/>
        <v>8.2691999999999997</v>
      </c>
      <c r="J166" s="27">
        <f t="shared" si="102"/>
        <v>5.3369999999999997</v>
      </c>
      <c r="K166" s="27">
        <f t="shared" si="102"/>
        <v>3.1175999999999999</v>
      </c>
      <c r="L166" s="27">
        <f t="shared" si="102"/>
        <v>1.2762</v>
      </c>
      <c r="M166" s="28">
        <f t="shared" si="103"/>
        <v>11</v>
      </c>
      <c r="N166" s="29">
        <f t="shared" si="104"/>
        <v>4</v>
      </c>
      <c r="O166" s="28">
        <f t="shared" si="105"/>
        <v>2</v>
      </c>
      <c r="P166" s="28">
        <f t="shared" si="106"/>
        <v>1</v>
      </c>
      <c r="Q166" s="28">
        <f t="shared" si="72"/>
        <v>18</v>
      </c>
      <c r="R166" s="22">
        <f t="shared" si="73"/>
        <v>0</v>
      </c>
      <c r="S166" s="22">
        <f t="shared" si="74"/>
        <v>23.483504009318736</v>
      </c>
      <c r="T166" s="22">
        <f t="shared" si="75"/>
        <v>12.030325556687405</v>
      </c>
      <c r="U166" s="22">
        <f t="shared" si="76"/>
        <v>6.2886687384824125</v>
      </c>
      <c r="V166" s="21">
        <f t="shared" si="86"/>
        <v>0</v>
      </c>
      <c r="W166" s="21">
        <f t="shared" si="91"/>
        <v>10.070043546500001</v>
      </c>
      <c r="X166" s="21">
        <f t="shared" si="83"/>
        <v>2.0608368740000009</v>
      </c>
      <c r="Y166" s="21">
        <f t="shared" si="84"/>
        <v>2.9108926970000004</v>
      </c>
      <c r="Z166" s="221">
        <f t="shared" si="77"/>
        <v>4</v>
      </c>
      <c r="AA166" s="30">
        <f t="shared" si="65"/>
        <v>0</v>
      </c>
      <c r="AB166" s="30">
        <f t="shared" si="66"/>
        <v>1.9822137129544664</v>
      </c>
      <c r="AC166" s="30">
        <f t="shared" si="67"/>
        <v>4.9619534919017996</v>
      </c>
      <c r="AD166" s="30">
        <f t="shared" si="68"/>
        <v>1.8363330373596554</v>
      </c>
      <c r="AE166" s="32">
        <f t="shared" si="78"/>
        <v>8.7805002422159202</v>
      </c>
    </row>
    <row r="167" spans="1:31" x14ac:dyDescent="0.35">
      <c r="A167" s="48">
        <v>1508</v>
      </c>
      <c r="B167" s="58">
        <f>SUMIF([2]!Table2_23[ETA],'IAB Model'!A167,[2]!Table2_23[FIS PAX])</f>
        <v>0</v>
      </c>
      <c r="C167" s="44">
        <f t="shared" si="79"/>
        <v>18</v>
      </c>
      <c r="D167" s="52">
        <f t="shared" si="85"/>
        <v>167</v>
      </c>
      <c r="E167" s="26">
        <f t="shared" si="69"/>
        <v>8.2691999999999997</v>
      </c>
      <c r="F167" s="26">
        <f t="shared" si="70"/>
        <v>5.3369999999999997</v>
      </c>
      <c r="G167" s="26">
        <f t="shared" si="71"/>
        <v>3.1175999999999999</v>
      </c>
      <c r="H167" s="26">
        <f t="shared" si="80"/>
        <v>1.2762</v>
      </c>
      <c r="I167" s="27">
        <f t="shared" ref="I167:L182" si="107">E152</f>
        <v>8.2691999999999997</v>
      </c>
      <c r="J167" s="27">
        <f t="shared" si="107"/>
        <v>5.3369999999999997</v>
      </c>
      <c r="K167" s="27">
        <f t="shared" si="107"/>
        <v>3.1175999999999999</v>
      </c>
      <c r="L167" s="27">
        <f t="shared" si="107"/>
        <v>1.2762</v>
      </c>
      <c r="M167" s="28">
        <f t="shared" si="103"/>
        <v>11</v>
      </c>
      <c r="N167" s="29">
        <f t="shared" si="104"/>
        <v>4</v>
      </c>
      <c r="O167" s="28">
        <f t="shared" si="105"/>
        <v>2</v>
      </c>
      <c r="P167" s="28">
        <f t="shared" si="106"/>
        <v>1</v>
      </c>
      <c r="Q167" s="28">
        <f t="shared" si="72"/>
        <v>18</v>
      </c>
      <c r="R167" s="22">
        <f t="shared" si="73"/>
        <v>0</v>
      </c>
      <c r="S167" s="22">
        <f t="shared" si="74"/>
        <v>26.838290296364271</v>
      </c>
      <c r="T167" s="22">
        <f t="shared" si="75"/>
        <v>10.185972064785606</v>
      </c>
      <c r="U167" s="22">
        <f t="shared" si="76"/>
        <v>5.7285357011227571</v>
      </c>
      <c r="V167" s="21">
        <f t="shared" si="86"/>
        <v>0</v>
      </c>
      <c r="W167" s="21">
        <f t="shared" si="91"/>
        <v>11.508621196</v>
      </c>
      <c r="X167" s="21">
        <f t="shared" si="83"/>
        <v>1.744892665600001</v>
      </c>
      <c r="Y167" s="21">
        <f t="shared" si="84"/>
        <v>2.6516188768000006</v>
      </c>
      <c r="Z167" s="221">
        <f t="shared" si="77"/>
        <v>4</v>
      </c>
      <c r="AA167" s="30">
        <f t="shared" ref="AA167:AA230" si="108">IF(R167&lt;&gt;0,($J$30*M167*$L$33),0)</f>
        <v>0</v>
      </c>
      <c r="AB167" s="30">
        <f t="shared" ref="AB167:AB230" si="109">IF(W167&lt;&gt;0,($J$31*N167*$L$33),0)</f>
        <v>1.9822137129544664</v>
      </c>
      <c r="AC167" s="30">
        <f t="shared" ref="AC167:AC230" si="110">IF(X167&lt;&gt;0,($J$32*O167*$L$33),0)</f>
        <v>4.9619534919017996</v>
      </c>
      <c r="AD167" s="30">
        <f t="shared" ref="AD167:AD230" si="111">IF(Y167&lt;&gt;0,($J$33*P167*$L$33),0)</f>
        <v>1.8363330373596554</v>
      </c>
      <c r="AE167" s="32">
        <f t="shared" si="78"/>
        <v>8.7805002422159202</v>
      </c>
    </row>
    <row r="168" spans="1:31" x14ac:dyDescent="0.35">
      <c r="A168" s="48">
        <v>1509</v>
      </c>
      <c r="B168" s="58">
        <f>SUMIF([2]!Table2_23[ETA],'IAB Model'!A168,[2]!Table2_23[FIS PAX])</f>
        <v>0</v>
      </c>
      <c r="C168" s="44">
        <f t="shared" si="79"/>
        <v>18</v>
      </c>
      <c r="D168" s="52">
        <f t="shared" si="85"/>
        <v>149</v>
      </c>
      <c r="E168" s="26">
        <f t="shared" ref="E168:E231" si="112">$C$30*C168</f>
        <v>8.2691999999999997</v>
      </c>
      <c r="F168" s="26">
        <f t="shared" ref="F168:F231" si="113">$C$31*C168</f>
        <v>5.3369999999999997</v>
      </c>
      <c r="G168" s="26">
        <f t="shared" ref="G168:G231" si="114">$C$32*C168</f>
        <v>3.1175999999999999</v>
      </c>
      <c r="H168" s="26">
        <f t="shared" si="80"/>
        <v>1.2762</v>
      </c>
      <c r="I168" s="27">
        <f t="shared" si="107"/>
        <v>8.2691999999999997</v>
      </c>
      <c r="J168" s="27">
        <f t="shared" si="107"/>
        <v>5.3369999999999997</v>
      </c>
      <c r="K168" s="27">
        <f t="shared" si="107"/>
        <v>3.1175999999999999</v>
      </c>
      <c r="L168" s="27">
        <f t="shared" si="107"/>
        <v>1.2762</v>
      </c>
      <c r="M168" s="28">
        <f t="shared" si="103"/>
        <v>11</v>
      </c>
      <c r="N168" s="29">
        <f t="shared" si="104"/>
        <v>4</v>
      </c>
      <c r="O168" s="28">
        <f t="shared" si="105"/>
        <v>2</v>
      </c>
      <c r="P168" s="28">
        <f t="shared" si="106"/>
        <v>1</v>
      </c>
      <c r="Q168" s="28">
        <f t="shared" ref="Q168:Q231" si="115">SUM(M168:P168)</f>
        <v>18</v>
      </c>
      <c r="R168" s="22">
        <f t="shared" ref="R168:R231" si="116">MAX(R167-($J$30*M168*$L$33)+I168,0)</f>
        <v>0</v>
      </c>
      <c r="S168" s="22">
        <f t="shared" ref="S168:S231" si="117">IF(U168&lt;&gt;0,(MAX(S167-($J$31*N168*$L$33)+J168,0)),(MAX(S167-($J$31*(N168+P168)*$L$33)+J168,0)))</f>
        <v>30.193076583409805</v>
      </c>
      <c r="T168" s="22">
        <f t="shared" ref="T168:T231" si="118">MAX(T167-($J$32*O168*$L$33)+K168,0)</f>
        <v>8.3416185728838066</v>
      </c>
      <c r="U168" s="22">
        <f t="shared" ref="U168:U231" si="119">MAX(U167-($J$33*P168*$L$33)+L168,0)</f>
        <v>5.1684026637631018</v>
      </c>
      <c r="V168" s="21">
        <f t="shared" si="86"/>
        <v>0</v>
      </c>
      <c r="W168" s="21">
        <f t="shared" si="91"/>
        <v>12.947198845500001</v>
      </c>
      <c r="X168" s="21">
        <f t="shared" si="83"/>
        <v>1.4289484572000011</v>
      </c>
      <c r="Y168" s="21">
        <f t="shared" si="84"/>
        <v>2.3923450566000009</v>
      </c>
      <c r="Z168" s="221">
        <f t="shared" ref="Z168:Z231" si="120">ROUNDUP(SUM(V168*$C$30,W168*$C$31,X168*$C$32,Y168*$C$33),0)</f>
        <v>5</v>
      </c>
      <c r="AA168" s="30">
        <f t="shared" si="108"/>
        <v>0</v>
      </c>
      <c r="AB168" s="30">
        <f t="shared" si="109"/>
        <v>1.9822137129544664</v>
      </c>
      <c r="AC168" s="30">
        <f t="shared" si="110"/>
        <v>4.9619534919017996</v>
      </c>
      <c r="AD168" s="30">
        <f t="shared" si="111"/>
        <v>1.8363330373596554</v>
      </c>
      <c r="AE168" s="32">
        <f t="shared" ref="AE168:AE231" si="121">SUM(AA168:AD168)</f>
        <v>8.7805002422159202</v>
      </c>
    </row>
    <row r="169" spans="1:31" x14ac:dyDescent="0.35">
      <c r="A169" s="48">
        <v>1510</v>
      </c>
      <c r="B169" s="58">
        <f>SUMIF([2]!Table2_23[ETA],'IAB Model'!A169,[2]!Table2_23[FIS PAX])</f>
        <v>0</v>
      </c>
      <c r="C169" s="44">
        <f t="shared" ref="C169:C232" si="122">IF((D168-D169)&gt;-1,(D168-D169),18)</f>
        <v>18</v>
      </c>
      <c r="D169" s="52">
        <f t="shared" si="85"/>
        <v>131</v>
      </c>
      <c r="E169" s="26">
        <f t="shared" si="112"/>
        <v>8.2691999999999997</v>
      </c>
      <c r="F169" s="26">
        <f t="shared" si="113"/>
        <v>5.3369999999999997</v>
      </c>
      <c r="G169" s="26">
        <f t="shared" si="114"/>
        <v>3.1175999999999999</v>
      </c>
      <c r="H169" s="26">
        <f t="shared" ref="H169:H232" si="123">$C$33*C169</f>
        <v>1.2762</v>
      </c>
      <c r="I169" s="27">
        <f t="shared" si="107"/>
        <v>8.2691999999999997</v>
      </c>
      <c r="J169" s="27">
        <f t="shared" si="107"/>
        <v>5.3369999999999997</v>
      </c>
      <c r="K169" s="27">
        <f t="shared" si="107"/>
        <v>3.1175999999999999</v>
      </c>
      <c r="L169" s="27">
        <f t="shared" si="107"/>
        <v>1.2762</v>
      </c>
      <c r="M169" s="28">
        <f t="shared" si="103"/>
        <v>11</v>
      </c>
      <c r="N169" s="29">
        <f t="shared" si="104"/>
        <v>4</v>
      </c>
      <c r="O169" s="28">
        <f t="shared" si="105"/>
        <v>2</v>
      </c>
      <c r="P169" s="28">
        <f t="shared" si="106"/>
        <v>1</v>
      </c>
      <c r="Q169" s="28">
        <f t="shared" si="115"/>
        <v>18</v>
      </c>
      <c r="R169" s="22">
        <f t="shared" si="116"/>
        <v>0</v>
      </c>
      <c r="S169" s="22">
        <f t="shared" si="117"/>
        <v>33.54786287045534</v>
      </c>
      <c r="T169" s="22">
        <f t="shared" si="118"/>
        <v>6.4972650809820074</v>
      </c>
      <c r="U169" s="22">
        <f t="shared" si="119"/>
        <v>4.6082696264034464</v>
      </c>
      <c r="V169" s="21">
        <f t="shared" si="86"/>
        <v>0</v>
      </c>
      <c r="W169" s="21">
        <f t="shared" si="91"/>
        <v>14.385776495000002</v>
      </c>
      <c r="X169" s="21">
        <f t="shared" ref="X169:X232" si="124">IFERROR(T169*($I$32/O169),0)</f>
        <v>1.1130042488000014</v>
      </c>
      <c r="Y169" s="21">
        <f t="shared" ref="Y169:Y232" si="125">IFERROR(U169*($I$33/P169),0)</f>
        <v>2.1330712364000006</v>
      </c>
      <c r="Z169" s="221">
        <f t="shared" si="120"/>
        <v>5</v>
      </c>
      <c r="AA169" s="30">
        <f t="shared" si="108"/>
        <v>0</v>
      </c>
      <c r="AB169" s="30">
        <f t="shared" si="109"/>
        <v>1.9822137129544664</v>
      </c>
      <c r="AC169" s="30">
        <f t="shared" si="110"/>
        <v>4.9619534919017996</v>
      </c>
      <c r="AD169" s="30">
        <f t="shared" si="111"/>
        <v>1.8363330373596554</v>
      </c>
      <c r="AE169" s="32">
        <f t="shared" si="121"/>
        <v>8.7805002422159202</v>
      </c>
    </row>
    <row r="170" spans="1:31" x14ac:dyDescent="0.35">
      <c r="A170" s="48">
        <v>1511</v>
      </c>
      <c r="B170" s="58">
        <f>SUMIF([2]!Table2_23[ETA],'IAB Model'!A170,[2]!Table2_23[FIS PAX])</f>
        <v>0</v>
      </c>
      <c r="C170" s="44">
        <f t="shared" si="122"/>
        <v>18</v>
      </c>
      <c r="D170" s="52">
        <f t="shared" ref="D170:D233" si="126">MAX(D169-$E$31+B169,0)</f>
        <v>113</v>
      </c>
      <c r="E170" s="26">
        <f t="shared" si="112"/>
        <v>8.2691999999999997</v>
      </c>
      <c r="F170" s="26">
        <f t="shared" si="113"/>
        <v>5.3369999999999997</v>
      </c>
      <c r="G170" s="26">
        <f t="shared" si="114"/>
        <v>3.1175999999999999</v>
      </c>
      <c r="H170" s="26">
        <f t="shared" si="123"/>
        <v>1.2762</v>
      </c>
      <c r="I170" s="27">
        <f t="shared" si="107"/>
        <v>8.2691999999999997</v>
      </c>
      <c r="J170" s="27">
        <f t="shared" si="107"/>
        <v>5.3369999999999997</v>
      </c>
      <c r="K170" s="27">
        <f t="shared" si="107"/>
        <v>3.1175999999999999</v>
      </c>
      <c r="L170" s="27">
        <f t="shared" si="107"/>
        <v>1.2762</v>
      </c>
      <c r="M170" s="28">
        <f t="shared" si="103"/>
        <v>11</v>
      </c>
      <c r="N170" s="29">
        <f t="shared" si="104"/>
        <v>4</v>
      </c>
      <c r="O170" s="28">
        <f t="shared" si="105"/>
        <v>2</v>
      </c>
      <c r="P170" s="28">
        <f t="shared" si="106"/>
        <v>1</v>
      </c>
      <c r="Q170" s="28">
        <f t="shared" si="115"/>
        <v>18</v>
      </c>
      <c r="R170" s="22">
        <f t="shared" si="116"/>
        <v>0</v>
      </c>
      <c r="S170" s="22">
        <f t="shared" si="117"/>
        <v>36.902649157500875</v>
      </c>
      <c r="T170" s="22">
        <f t="shared" si="118"/>
        <v>4.6529115890802082</v>
      </c>
      <c r="U170" s="22">
        <f t="shared" si="119"/>
        <v>4.048136589043791</v>
      </c>
      <c r="V170" s="21">
        <f t="shared" si="86"/>
        <v>0</v>
      </c>
      <c r="W170" s="21">
        <f t="shared" si="91"/>
        <v>15.824354144500003</v>
      </c>
      <c r="X170" s="21">
        <f t="shared" si="124"/>
        <v>0.79706004040000145</v>
      </c>
      <c r="Y170" s="21">
        <f t="shared" si="125"/>
        <v>1.8737974162000008</v>
      </c>
      <c r="Z170" s="221">
        <f t="shared" si="120"/>
        <v>5</v>
      </c>
      <c r="AA170" s="30">
        <f t="shared" si="108"/>
        <v>0</v>
      </c>
      <c r="AB170" s="30">
        <f t="shared" si="109"/>
        <v>1.9822137129544664</v>
      </c>
      <c r="AC170" s="30">
        <f t="shared" si="110"/>
        <v>4.9619534919017996</v>
      </c>
      <c r="AD170" s="30">
        <f t="shared" si="111"/>
        <v>1.8363330373596554</v>
      </c>
      <c r="AE170" s="32">
        <f t="shared" si="121"/>
        <v>8.7805002422159202</v>
      </c>
    </row>
    <row r="171" spans="1:31" x14ac:dyDescent="0.35">
      <c r="A171" s="48">
        <v>1512</v>
      </c>
      <c r="B171" s="58">
        <f>SUMIF([2]!Table2_23[ETA],'IAB Model'!A171,[2]!Table2_23[FIS PAX])</f>
        <v>0</v>
      </c>
      <c r="C171" s="44">
        <f t="shared" si="122"/>
        <v>18</v>
      </c>
      <c r="D171" s="52">
        <f t="shared" si="126"/>
        <v>95</v>
      </c>
      <c r="E171" s="26">
        <f t="shared" si="112"/>
        <v>8.2691999999999997</v>
      </c>
      <c r="F171" s="26">
        <f t="shared" si="113"/>
        <v>5.3369999999999997</v>
      </c>
      <c r="G171" s="26">
        <f t="shared" si="114"/>
        <v>3.1175999999999999</v>
      </c>
      <c r="H171" s="26">
        <f t="shared" si="123"/>
        <v>1.2762</v>
      </c>
      <c r="I171" s="27">
        <f t="shared" si="107"/>
        <v>8.2691999999999997</v>
      </c>
      <c r="J171" s="27">
        <f t="shared" si="107"/>
        <v>5.3369999999999997</v>
      </c>
      <c r="K171" s="27">
        <f t="shared" si="107"/>
        <v>3.1175999999999999</v>
      </c>
      <c r="L171" s="27">
        <f t="shared" si="107"/>
        <v>1.2762</v>
      </c>
      <c r="M171" s="28">
        <f t="shared" si="103"/>
        <v>11</v>
      </c>
      <c r="N171" s="29">
        <f t="shared" si="104"/>
        <v>4</v>
      </c>
      <c r="O171" s="28">
        <f t="shared" si="105"/>
        <v>2</v>
      </c>
      <c r="P171" s="28">
        <f t="shared" si="106"/>
        <v>1</v>
      </c>
      <c r="Q171" s="28">
        <f t="shared" si="115"/>
        <v>18</v>
      </c>
      <c r="R171" s="22">
        <f t="shared" si="116"/>
        <v>0</v>
      </c>
      <c r="S171" s="22">
        <f t="shared" si="117"/>
        <v>40.257435444546402</v>
      </c>
      <c r="T171" s="22">
        <f t="shared" si="118"/>
        <v>2.8085580971784085</v>
      </c>
      <c r="U171" s="22">
        <f t="shared" si="119"/>
        <v>3.4880035516841357</v>
      </c>
      <c r="V171" s="21">
        <f t="shared" si="86"/>
        <v>0</v>
      </c>
      <c r="W171" s="21">
        <f t="shared" si="91"/>
        <v>17.262931794</v>
      </c>
      <c r="X171" s="21">
        <f t="shared" si="124"/>
        <v>0.48111583200000152</v>
      </c>
      <c r="Y171" s="21">
        <f t="shared" si="125"/>
        <v>1.6145235960000011</v>
      </c>
      <c r="Z171" s="221">
        <f t="shared" si="120"/>
        <v>6</v>
      </c>
      <c r="AA171" s="30">
        <f t="shared" si="108"/>
        <v>0</v>
      </c>
      <c r="AB171" s="30">
        <f t="shared" si="109"/>
        <v>1.9822137129544664</v>
      </c>
      <c r="AC171" s="30">
        <f t="shared" si="110"/>
        <v>4.9619534919017996</v>
      </c>
      <c r="AD171" s="30">
        <f t="shared" si="111"/>
        <v>1.8363330373596554</v>
      </c>
      <c r="AE171" s="32">
        <f t="shared" si="121"/>
        <v>8.7805002422159202</v>
      </c>
    </row>
    <row r="172" spans="1:31" x14ac:dyDescent="0.35">
      <c r="A172" s="48">
        <v>1513</v>
      </c>
      <c r="B172" s="58">
        <f>SUMIF([2]!Table2_23[ETA],'IAB Model'!A172,[2]!Table2_23[FIS PAX])</f>
        <v>0</v>
      </c>
      <c r="C172" s="44">
        <f t="shared" si="122"/>
        <v>18</v>
      </c>
      <c r="D172" s="52">
        <f t="shared" si="126"/>
        <v>77</v>
      </c>
      <c r="E172" s="26">
        <f t="shared" si="112"/>
        <v>8.2691999999999997</v>
      </c>
      <c r="F172" s="26">
        <f t="shared" si="113"/>
        <v>5.3369999999999997</v>
      </c>
      <c r="G172" s="26">
        <f t="shared" si="114"/>
        <v>3.1175999999999999</v>
      </c>
      <c r="H172" s="26">
        <f t="shared" si="123"/>
        <v>1.2762</v>
      </c>
      <c r="I172" s="27">
        <f t="shared" si="107"/>
        <v>8.2691999999999997</v>
      </c>
      <c r="J172" s="27">
        <f t="shared" si="107"/>
        <v>5.3369999999999997</v>
      </c>
      <c r="K172" s="27">
        <f t="shared" si="107"/>
        <v>3.1175999999999999</v>
      </c>
      <c r="L172" s="27">
        <f t="shared" si="107"/>
        <v>1.2762</v>
      </c>
      <c r="M172" s="28">
        <f t="shared" si="103"/>
        <v>11</v>
      </c>
      <c r="N172" s="29">
        <f t="shared" si="104"/>
        <v>4</v>
      </c>
      <c r="O172" s="28">
        <f t="shared" si="105"/>
        <v>2</v>
      </c>
      <c r="P172" s="28">
        <f t="shared" si="106"/>
        <v>1</v>
      </c>
      <c r="Q172" s="28">
        <f t="shared" si="115"/>
        <v>18</v>
      </c>
      <c r="R172" s="22">
        <f t="shared" si="116"/>
        <v>0</v>
      </c>
      <c r="S172" s="22">
        <f t="shared" si="117"/>
        <v>43.61222173159193</v>
      </c>
      <c r="T172" s="22">
        <f t="shared" si="118"/>
        <v>0.96420460527660889</v>
      </c>
      <c r="U172" s="22">
        <f t="shared" si="119"/>
        <v>2.9278705143244803</v>
      </c>
      <c r="V172" s="21">
        <f t="shared" si="86"/>
        <v>0</v>
      </c>
      <c r="W172" s="21">
        <f t="shared" si="91"/>
        <v>18.701509443499997</v>
      </c>
      <c r="X172" s="21">
        <f t="shared" si="124"/>
        <v>0.16517162360000157</v>
      </c>
      <c r="Y172" s="21">
        <f t="shared" si="125"/>
        <v>1.3552497758000011</v>
      </c>
      <c r="Z172" s="221">
        <f t="shared" si="120"/>
        <v>6</v>
      </c>
      <c r="AA172" s="30">
        <f t="shared" si="108"/>
        <v>0</v>
      </c>
      <c r="AB172" s="30">
        <f t="shared" si="109"/>
        <v>1.9822137129544664</v>
      </c>
      <c r="AC172" s="30">
        <f t="shared" si="110"/>
        <v>4.9619534919017996</v>
      </c>
      <c r="AD172" s="30">
        <f t="shared" si="111"/>
        <v>1.8363330373596554</v>
      </c>
      <c r="AE172" s="32">
        <f t="shared" si="121"/>
        <v>8.7805002422159202</v>
      </c>
    </row>
    <row r="173" spans="1:31" x14ac:dyDescent="0.35">
      <c r="A173" s="48">
        <v>1514</v>
      </c>
      <c r="B173" s="58">
        <f>SUMIF([2]!Table2_23[ETA],'IAB Model'!A173,[2]!Table2_23[FIS PAX])</f>
        <v>0</v>
      </c>
      <c r="C173" s="44">
        <f t="shared" si="122"/>
        <v>18</v>
      </c>
      <c r="D173" s="52">
        <f t="shared" si="126"/>
        <v>59</v>
      </c>
      <c r="E173" s="26">
        <f t="shared" si="112"/>
        <v>8.2691999999999997</v>
      </c>
      <c r="F173" s="26">
        <f t="shared" si="113"/>
        <v>5.3369999999999997</v>
      </c>
      <c r="G173" s="26">
        <f t="shared" si="114"/>
        <v>3.1175999999999999</v>
      </c>
      <c r="H173" s="26">
        <f t="shared" si="123"/>
        <v>1.2762</v>
      </c>
      <c r="I173" s="27">
        <f t="shared" si="107"/>
        <v>8.2691999999999997</v>
      </c>
      <c r="J173" s="27">
        <f t="shared" si="107"/>
        <v>5.3369999999999997</v>
      </c>
      <c r="K173" s="27">
        <f t="shared" si="107"/>
        <v>3.1175999999999999</v>
      </c>
      <c r="L173" s="27">
        <f t="shared" si="107"/>
        <v>1.2762</v>
      </c>
      <c r="M173" s="28">
        <f t="shared" si="103"/>
        <v>11</v>
      </c>
      <c r="N173" s="29">
        <f t="shared" si="104"/>
        <v>4</v>
      </c>
      <c r="O173" s="28">
        <f t="shared" si="105"/>
        <v>2</v>
      </c>
      <c r="P173" s="28">
        <f t="shared" si="106"/>
        <v>1</v>
      </c>
      <c r="Q173" s="28">
        <f t="shared" si="115"/>
        <v>18</v>
      </c>
      <c r="R173" s="22">
        <f t="shared" si="116"/>
        <v>0</v>
      </c>
      <c r="S173" s="22">
        <f t="shared" si="117"/>
        <v>46.967008018637458</v>
      </c>
      <c r="T173" s="22">
        <f t="shared" si="118"/>
        <v>0</v>
      </c>
      <c r="U173" s="22">
        <f t="shared" si="119"/>
        <v>2.3677374769648249</v>
      </c>
      <c r="V173" s="21">
        <f t="shared" si="86"/>
        <v>0</v>
      </c>
      <c r="W173" s="21">
        <f t="shared" si="91"/>
        <v>20.140087092999995</v>
      </c>
      <c r="X173" s="21">
        <f t="shared" si="124"/>
        <v>0</v>
      </c>
      <c r="Y173" s="21">
        <f t="shared" si="125"/>
        <v>1.0959759556000013</v>
      </c>
      <c r="Z173" s="221">
        <f t="shared" si="120"/>
        <v>7</v>
      </c>
      <c r="AA173" s="30">
        <f t="shared" si="108"/>
        <v>0</v>
      </c>
      <c r="AB173" s="30">
        <f t="shared" si="109"/>
        <v>1.9822137129544664</v>
      </c>
      <c r="AC173" s="30">
        <f t="shared" si="110"/>
        <v>0</v>
      </c>
      <c r="AD173" s="30">
        <f t="shared" si="111"/>
        <v>1.8363330373596554</v>
      </c>
      <c r="AE173" s="32">
        <f t="shared" si="121"/>
        <v>3.8185467503141215</v>
      </c>
    </row>
    <row r="174" spans="1:31" x14ac:dyDescent="0.35">
      <c r="A174" s="48">
        <v>1515</v>
      </c>
      <c r="B174" s="58">
        <f>SUMIF([2]!Table2_23[ETA],'IAB Model'!A174,[2]!Table2_23[FIS PAX])</f>
        <v>0</v>
      </c>
      <c r="C174" s="44">
        <f t="shared" si="122"/>
        <v>18</v>
      </c>
      <c r="D174" s="52">
        <f t="shared" si="126"/>
        <v>41</v>
      </c>
      <c r="E174" s="26">
        <f t="shared" si="112"/>
        <v>8.2691999999999997</v>
      </c>
      <c r="F174" s="26">
        <f t="shared" si="113"/>
        <v>5.3369999999999997</v>
      </c>
      <c r="G174" s="26">
        <f t="shared" si="114"/>
        <v>3.1175999999999999</v>
      </c>
      <c r="H174" s="26">
        <f t="shared" si="123"/>
        <v>1.2762</v>
      </c>
      <c r="I174" s="27">
        <f t="shared" si="107"/>
        <v>8.2691999999999997</v>
      </c>
      <c r="J174" s="27">
        <f t="shared" si="107"/>
        <v>5.3369999999999997</v>
      </c>
      <c r="K174" s="27">
        <f t="shared" si="107"/>
        <v>3.1175999999999999</v>
      </c>
      <c r="L174" s="27">
        <f t="shared" si="107"/>
        <v>1.2762</v>
      </c>
      <c r="M174" s="28">
        <f t="shared" si="103"/>
        <v>11</v>
      </c>
      <c r="N174" s="29">
        <f t="shared" si="104"/>
        <v>4</v>
      </c>
      <c r="O174" s="28">
        <f t="shared" si="105"/>
        <v>2</v>
      </c>
      <c r="P174" s="28">
        <f t="shared" si="106"/>
        <v>1</v>
      </c>
      <c r="Q174" s="28">
        <f t="shared" si="115"/>
        <v>18</v>
      </c>
      <c r="R174" s="22">
        <f t="shared" si="116"/>
        <v>0</v>
      </c>
      <c r="S174" s="22">
        <f t="shared" si="117"/>
        <v>50.321794305682985</v>
      </c>
      <c r="T174" s="22">
        <f t="shared" si="118"/>
        <v>0</v>
      </c>
      <c r="U174" s="22">
        <f t="shared" si="119"/>
        <v>1.8076044396051696</v>
      </c>
      <c r="V174" s="21">
        <f t="shared" si="86"/>
        <v>0</v>
      </c>
      <c r="W174" s="21">
        <f t="shared" si="91"/>
        <v>21.578664742499992</v>
      </c>
      <c r="X174" s="21">
        <f t="shared" si="124"/>
        <v>0</v>
      </c>
      <c r="Y174" s="21">
        <f t="shared" si="125"/>
        <v>0.83670213540000127</v>
      </c>
      <c r="Z174" s="221">
        <f t="shared" si="120"/>
        <v>7</v>
      </c>
      <c r="AA174" s="30">
        <f t="shared" si="108"/>
        <v>0</v>
      </c>
      <c r="AB174" s="30">
        <f t="shared" si="109"/>
        <v>1.9822137129544664</v>
      </c>
      <c r="AC174" s="30">
        <f t="shared" si="110"/>
        <v>0</v>
      </c>
      <c r="AD174" s="30">
        <f t="shared" si="111"/>
        <v>1.8363330373596554</v>
      </c>
      <c r="AE174" s="32">
        <f t="shared" si="121"/>
        <v>3.8185467503141215</v>
      </c>
    </row>
    <row r="175" spans="1:31" x14ac:dyDescent="0.35">
      <c r="A175" s="48">
        <v>1516</v>
      </c>
      <c r="B175" s="58">
        <f>SUMIF([2]!Table2_23[ETA],'IAB Model'!A175,[2]!Table2_23[FIS PAX])</f>
        <v>0</v>
      </c>
      <c r="C175" s="44">
        <f t="shared" si="122"/>
        <v>18</v>
      </c>
      <c r="D175" s="52">
        <f t="shared" si="126"/>
        <v>23</v>
      </c>
      <c r="E175" s="26">
        <f t="shared" si="112"/>
        <v>8.2691999999999997</v>
      </c>
      <c r="F175" s="26">
        <f t="shared" si="113"/>
        <v>5.3369999999999997</v>
      </c>
      <c r="G175" s="26">
        <f t="shared" si="114"/>
        <v>3.1175999999999999</v>
      </c>
      <c r="H175" s="26">
        <f t="shared" si="123"/>
        <v>1.2762</v>
      </c>
      <c r="I175" s="27">
        <f t="shared" si="107"/>
        <v>8.2691999999999997</v>
      </c>
      <c r="J175" s="27">
        <f t="shared" si="107"/>
        <v>5.3369999999999997</v>
      </c>
      <c r="K175" s="27">
        <f t="shared" si="107"/>
        <v>3.1175999999999999</v>
      </c>
      <c r="L175" s="27">
        <f t="shared" si="107"/>
        <v>1.2762</v>
      </c>
      <c r="M175" s="28">
        <f>IF(R174=0,0,$Q$15)</f>
        <v>0</v>
      </c>
      <c r="N175" s="29">
        <f>$U$15-M175-O175-P175</f>
        <v>17</v>
      </c>
      <c r="O175" s="28">
        <f>IF(T174=0,0,$S$15)</f>
        <v>0</v>
      </c>
      <c r="P175" s="28">
        <f>IF(U174=0,0,$T$15)</f>
        <v>1</v>
      </c>
      <c r="Q175" s="28">
        <f t="shared" si="115"/>
        <v>18</v>
      </c>
      <c r="R175" s="22">
        <f t="shared" si="116"/>
        <v>8.2691999999999997</v>
      </c>
      <c r="S175" s="22">
        <f t="shared" si="117"/>
        <v>47.234386025626506</v>
      </c>
      <c r="T175" s="22">
        <f t="shared" si="118"/>
        <v>3.1175999999999999</v>
      </c>
      <c r="U175" s="22">
        <f t="shared" si="119"/>
        <v>1.2474714022455142</v>
      </c>
      <c r="V175" s="21">
        <f t="shared" si="86"/>
        <v>0</v>
      </c>
      <c r="W175" s="21">
        <f t="shared" si="91"/>
        <v>4.7658217392941156</v>
      </c>
      <c r="X175" s="21">
        <f t="shared" si="124"/>
        <v>0</v>
      </c>
      <c r="Y175" s="21">
        <f t="shared" si="125"/>
        <v>0.57742831520000137</v>
      </c>
      <c r="Z175" s="221">
        <f t="shared" si="120"/>
        <v>2</v>
      </c>
      <c r="AA175" s="30">
        <f t="shared" si="108"/>
        <v>0</v>
      </c>
      <c r="AB175" s="30">
        <f t="shared" si="109"/>
        <v>8.4244082800564826</v>
      </c>
      <c r="AC175" s="30">
        <f t="shared" si="110"/>
        <v>0</v>
      </c>
      <c r="AD175" s="30">
        <f t="shared" si="111"/>
        <v>1.8363330373596554</v>
      </c>
      <c r="AE175" s="32">
        <f t="shared" si="121"/>
        <v>10.260741317416137</v>
      </c>
    </row>
    <row r="176" spans="1:31" x14ac:dyDescent="0.35">
      <c r="A176" s="48">
        <v>1517</v>
      </c>
      <c r="B176" s="58">
        <f>SUMIF([2]!Table2_23[ETA],'IAB Model'!A176,[2]!Table2_23[FIS PAX])</f>
        <v>0</v>
      </c>
      <c r="C176" s="44">
        <f t="shared" si="122"/>
        <v>18</v>
      </c>
      <c r="D176" s="52">
        <f t="shared" si="126"/>
        <v>5</v>
      </c>
      <c r="E176" s="26">
        <f t="shared" si="112"/>
        <v>8.2691999999999997</v>
      </c>
      <c r="F176" s="26">
        <f t="shared" si="113"/>
        <v>5.3369999999999997</v>
      </c>
      <c r="G176" s="26">
        <f t="shared" si="114"/>
        <v>3.1175999999999999</v>
      </c>
      <c r="H176" s="26">
        <f t="shared" si="123"/>
        <v>1.2762</v>
      </c>
      <c r="I176" s="27">
        <f t="shared" si="107"/>
        <v>8.2691999999999997</v>
      </c>
      <c r="J176" s="27">
        <f t="shared" si="107"/>
        <v>5.3369999999999997</v>
      </c>
      <c r="K176" s="27">
        <f t="shared" si="107"/>
        <v>3.1175999999999999</v>
      </c>
      <c r="L176" s="27">
        <f t="shared" si="107"/>
        <v>1.2762</v>
      </c>
      <c r="M176" s="28">
        <f>$M$175</f>
        <v>0</v>
      </c>
      <c r="N176" s="29">
        <f>$N$175</f>
        <v>17</v>
      </c>
      <c r="O176" s="28">
        <f>$O$175</f>
        <v>0</v>
      </c>
      <c r="P176" s="28">
        <f>$P$175</f>
        <v>1</v>
      </c>
      <c r="Q176" s="28">
        <f t="shared" si="115"/>
        <v>18</v>
      </c>
      <c r="R176" s="22">
        <f t="shared" si="116"/>
        <v>16.538399999999999</v>
      </c>
      <c r="S176" s="22">
        <f t="shared" si="117"/>
        <v>44.146977745570027</v>
      </c>
      <c r="T176" s="22">
        <f t="shared" si="118"/>
        <v>6.2351999999999999</v>
      </c>
      <c r="U176" s="22">
        <f t="shared" si="119"/>
        <v>0.68733836488585887</v>
      </c>
      <c r="V176" s="21">
        <f t="shared" si="86"/>
        <v>0</v>
      </c>
      <c r="W176" s="21">
        <f t="shared" si="91"/>
        <v>4.4543105979999984</v>
      </c>
      <c r="X176" s="21">
        <f t="shared" si="124"/>
        <v>0</v>
      </c>
      <c r="Y176" s="21">
        <f t="shared" si="125"/>
        <v>0.31815449500000148</v>
      </c>
      <c r="Z176" s="221">
        <f t="shared" si="120"/>
        <v>2</v>
      </c>
      <c r="AA176" s="30">
        <f t="shared" si="108"/>
        <v>0</v>
      </c>
      <c r="AB176" s="30">
        <f t="shared" si="109"/>
        <v>8.4244082800564826</v>
      </c>
      <c r="AC176" s="30">
        <f t="shared" si="110"/>
        <v>0</v>
      </c>
      <c r="AD176" s="30">
        <f t="shared" si="111"/>
        <v>1.8363330373596554</v>
      </c>
      <c r="AE176" s="32">
        <f t="shared" si="121"/>
        <v>10.260741317416137</v>
      </c>
    </row>
    <row r="177" spans="1:31" x14ac:dyDescent="0.35">
      <c r="A177" s="48">
        <v>1518</v>
      </c>
      <c r="B177" s="58">
        <f>SUMIF([2]!Table2_23[ETA],'IAB Model'!A177,[2]!Table2_23[FIS PAX])</f>
        <v>0</v>
      </c>
      <c r="C177" s="44">
        <f t="shared" si="122"/>
        <v>5</v>
      </c>
      <c r="D177" s="52">
        <f t="shared" si="126"/>
        <v>0</v>
      </c>
      <c r="E177" s="26">
        <f t="shared" si="112"/>
        <v>2.2969999999999997</v>
      </c>
      <c r="F177" s="26">
        <f t="shared" si="113"/>
        <v>1.4824999999999999</v>
      </c>
      <c r="G177" s="26">
        <f t="shared" si="114"/>
        <v>0.86599999999999999</v>
      </c>
      <c r="H177" s="26">
        <f t="shared" si="123"/>
        <v>0.35450000000000004</v>
      </c>
      <c r="I177" s="27">
        <f t="shared" si="107"/>
        <v>8.2691999999999997</v>
      </c>
      <c r="J177" s="27">
        <f t="shared" si="107"/>
        <v>5.3369999999999997</v>
      </c>
      <c r="K177" s="27">
        <f t="shared" si="107"/>
        <v>3.1175999999999999</v>
      </c>
      <c r="L177" s="27">
        <f t="shared" si="107"/>
        <v>1.2762</v>
      </c>
      <c r="M177" s="28">
        <f t="shared" ref="M177:M189" si="127">$M$175</f>
        <v>0</v>
      </c>
      <c r="N177" s="29">
        <f t="shared" ref="N177:N189" si="128">$N$175</f>
        <v>17</v>
      </c>
      <c r="O177" s="28">
        <f t="shared" ref="O177:O189" si="129">$O$175</f>
        <v>0</v>
      </c>
      <c r="P177" s="28">
        <f t="shared" ref="P177:P189" si="130">$P$175</f>
        <v>1</v>
      </c>
      <c r="Q177" s="28">
        <f t="shared" si="115"/>
        <v>18</v>
      </c>
      <c r="R177" s="22">
        <f t="shared" si="116"/>
        <v>24.807600000000001</v>
      </c>
      <c r="S177" s="22">
        <f t="shared" si="117"/>
        <v>41.059569465513547</v>
      </c>
      <c r="T177" s="22">
        <f t="shared" si="118"/>
        <v>9.3528000000000002</v>
      </c>
      <c r="U177" s="22">
        <f t="shared" si="119"/>
        <v>0.1272053275262035</v>
      </c>
      <c r="V177" s="21">
        <f t="shared" si="86"/>
        <v>0</v>
      </c>
      <c r="W177" s="21">
        <f t="shared" si="91"/>
        <v>4.1427994567058803</v>
      </c>
      <c r="X177" s="21">
        <f t="shared" si="124"/>
        <v>0</v>
      </c>
      <c r="Y177" s="21">
        <f t="shared" si="125"/>
        <v>5.8880674800001552E-2</v>
      </c>
      <c r="Z177" s="221">
        <f t="shared" si="120"/>
        <v>2</v>
      </c>
      <c r="AA177" s="30">
        <f t="shared" si="108"/>
        <v>0</v>
      </c>
      <c r="AB177" s="30">
        <f t="shared" si="109"/>
        <v>8.4244082800564826</v>
      </c>
      <c r="AC177" s="30">
        <f t="shared" si="110"/>
        <v>0</v>
      </c>
      <c r="AD177" s="30">
        <f t="shared" si="111"/>
        <v>1.8363330373596554</v>
      </c>
      <c r="AE177" s="32">
        <f t="shared" si="121"/>
        <v>10.260741317416137</v>
      </c>
    </row>
    <row r="178" spans="1:31" x14ac:dyDescent="0.35">
      <c r="A178" s="48">
        <v>1519</v>
      </c>
      <c r="B178" s="58">
        <f>SUMIF([2]!Table2_23[ETA],'IAB Model'!A178,[2]!Table2_23[FIS PAX])</f>
        <v>0</v>
      </c>
      <c r="C178" s="44">
        <f t="shared" si="122"/>
        <v>0</v>
      </c>
      <c r="D178" s="52">
        <f t="shared" si="126"/>
        <v>0</v>
      </c>
      <c r="E178" s="26">
        <f t="shared" si="112"/>
        <v>0</v>
      </c>
      <c r="F178" s="26">
        <f t="shared" si="113"/>
        <v>0</v>
      </c>
      <c r="G178" s="26">
        <f t="shared" si="114"/>
        <v>0</v>
      </c>
      <c r="H178" s="26">
        <f t="shared" si="123"/>
        <v>0</v>
      </c>
      <c r="I178" s="27">
        <f t="shared" si="107"/>
        <v>8.2691999999999997</v>
      </c>
      <c r="J178" s="27">
        <f t="shared" si="107"/>
        <v>5.3369999999999997</v>
      </c>
      <c r="K178" s="27">
        <f t="shared" si="107"/>
        <v>3.1175999999999999</v>
      </c>
      <c r="L178" s="27">
        <f t="shared" si="107"/>
        <v>1.2762</v>
      </c>
      <c r="M178" s="28">
        <f t="shared" si="127"/>
        <v>0</v>
      </c>
      <c r="N178" s="29">
        <f t="shared" si="128"/>
        <v>17</v>
      </c>
      <c r="O178" s="28">
        <f t="shared" si="129"/>
        <v>0</v>
      </c>
      <c r="P178" s="28">
        <f t="shared" si="130"/>
        <v>1</v>
      </c>
      <c r="Q178" s="28">
        <f t="shared" si="115"/>
        <v>18</v>
      </c>
      <c r="R178" s="22">
        <f t="shared" si="116"/>
        <v>33.076799999999999</v>
      </c>
      <c r="S178" s="22">
        <f t="shared" si="117"/>
        <v>37.476607757218446</v>
      </c>
      <c r="T178" s="22">
        <f t="shared" si="118"/>
        <v>12.4704</v>
      </c>
      <c r="U178" s="22">
        <f t="shared" si="119"/>
        <v>0</v>
      </c>
      <c r="V178" s="21">
        <f t="shared" si="86"/>
        <v>0</v>
      </c>
      <c r="W178" s="21">
        <f t="shared" si="91"/>
        <v>3.7812883154117629</v>
      </c>
      <c r="X178" s="21">
        <f t="shared" si="124"/>
        <v>0</v>
      </c>
      <c r="Y178" s="21">
        <f t="shared" si="125"/>
        <v>0</v>
      </c>
      <c r="Z178" s="221">
        <f t="shared" si="120"/>
        <v>2</v>
      </c>
      <c r="AA178" s="30">
        <f t="shared" si="108"/>
        <v>0</v>
      </c>
      <c r="AB178" s="30">
        <f t="shared" si="109"/>
        <v>8.4244082800564826</v>
      </c>
      <c r="AC178" s="30">
        <f t="shared" si="110"/>
        <v>0</v>
      </c>
      <c r="AD178" s="30">
        <f t="shared" si="111"/>
        <v>0</v>
      </c>
      <c r="AE178" s="32">
        <f t="shared" si="121"/>
        <v>8.4244082800564826</v>
      </c>
    </row>
    <row r="179" spans="1:31" x14ac:dyDescent="0.35">
      <c r="A179" s="48">
        <v>1520</v>
      </c>
      <c r="B179" s="58">
        <f>SUMIF([2]!Table2_23[ETA],'IAB Model'!A179,[2]!Table2_23[FIS PAX])</f>
        <v>0</v>
      </c>
      <c r="C179" s="44">
        <f t="shared" si="122"/>
        <v>0</v>
      </c>
      <c r="D179" s="52">
        <f t="shared" si="126"/>
        <v>0</v>
      </c>
      <c r="E179" s="26">
        <f t="shared" si="112"/>
        <v>0</v>
      </c>
      <c r="F179" s="26">
        <f t="shared" si="113"/>
        <v>0</v>
      </c>
      <c r="G179" s="26">
        <f t="shared" si="114"/>
        <v>0</v>
      </c>
      <c r="H179" s="26">
        <f t="shared" si="123"/>
        <v>0</v>
      </c>
      <c r="I179" s="27">
        <f t="shared" si="107"/>
        <v>8.2691999999999997</v>
      </c>
      <c r="J179" s="27">
        <f t="shared" si="107"/>
        <v>5.3369999999999997</v>
      </c>
      <c r="K179" s="27">
        <f t="shared" si="107"/>
        <v>3.1175999999999999</v>
      </c>
      <c r="L179" s="27">
        <f t="shared" si="107"/>
        <v>1.2762</v>
      </c>
      <c r="M179" s="28">
        <f t="shared" si="127"/>
        <v>0</v>
      </c>
      <c r="N179" s="29">
        <f t="shared" si="128"/>
        <v>17</v>
      </c>
      <c r="O179" s="28">
        <f t="shared" si="129"/>
        <v>0</v>
      </c>
      <c r="P179" s="28">
        <f t="shared" si="130"/>
        <v>1</v>
      </c>
      <c r="Q179" s="28">
        <f t="shared" si="115"/>
        <v>18</v>
      </c>
      <c r="R179" s="22">
        <f t="shared" si="116"/>
        <v>41.345999999999997</v>
      </c>
      <c r="S179" s="22">
        <f t="shared" si="117"/>
        <v>33.893646048923344</v>
      </c>
      <c r="T179" s="22">
        <f t="shared" si="118"/>
        <v>15.587999999999999</v>
      </c>
      <c r="U179" s="22">
        <f t="shared" si="119"/>
        <v>0</v>
      </c>
      <c r="V179" s="21">
        <f t="shared" si="86"/>
        <v>0</v>
      </c>
      <c r="W179" s="21">
        <f t="shared" si="91"/>
        <v>3.4197771741176446</v>
      </c>
      <c r="X179" s="21">
        <f t="shared" si="124"/>
        <v>0</v>
      </c>
      <c r="Y179" s="21">
        <f t="shared" si="125"/>
        <v>0</v>
      </c>
      <c r="Z179" s="221">
        <f t="shared" si="120"/>
        <v>2</v>
      </c>
      <c r="AA179" s="30">
        <f t="shared" si="108"/>
        <v>0</v>
      </c>
      <c r="AB179" s="30">
        <f t="shared" si="109"/>
        <v>8.4244082800564826</v>
      </c>
      <c r="AC179" s="30">
        <f t="shared" si="110"/>
        <v>0</v>
      </c>
      <c r="AD179" s="30">
        <f t="shared" si="111"/>
        <v>0</v>
      </c>
      <c r="AE179" s="32">
        <f t="shared" si="121"/>
        <v>8.4244082800564826</v>
      </c>
    </row>
    <row r="180" spans="1:31" x14ac:dyDescent="0.35">
      <c r="A180" s="48">
        <v>1521</v>
      </c>
      <c r="B180" s="58">
        <f>SUMIF([2]!Table2_23[ETA],'IAB Model'!A180,[2]!Table2_23[FIS PAX])</f>
        <v>0</v>
      </c>
      <c r="C180" s="44">
        <f t="shared" si="122"/>
        <v>0</v>
      </c>
      <c r="D180" s="52">
        <f t="shared" si="126"/>
        <v>0</v>
      </c>
      <c r="E180" s="26">
        <f t="shared" si="112"/>
        <v>0</v>
      </c>
      <c r="F180" s="26">
        <f t="shared" si="113"/>
        <v>0</v>
      </c>
      <c r="G180" s="26">
        <f t="shared" si="114"/>
        <v>0</v>
      </c>
      <c r="H180" s="26">
        <f t="shared" si="123"/>
        <v>0</v>
      </c>
      <c r="I180" s="27">
        <f t="shared" si="107"/>
        <v>8.2691999999999997</v>
      </c>
      <c r="J180" s="27">
        <f t="shared" si="107"/>
        <v>5.3369999999999997</v>
      </c>
      <c r="K180" s="27">
        <f t="shared" si="107"/>
        <v>3.1175999999999999</v>
      </c>
      <c r="L180" s="27">
        <f t="shared" si="107"/>
        <v>1.2762</v>
      </c>
      <c r="M180" s="28">
        <f t="shared" si="127"/>
        <v>0</v>
      </c>
      <c r="N180" s="29">
        <f t="shared" si="128"/>
        <v>17</v>
      </c>
      <c r="O180" s="28">
        <f t="shared" si="129"/>
        <v>0</v>
      </c>
      <c r="P180" s="28">
        <f t="shared" si="130"/>
        <v>1</v>
      </c>
      <c r="Q180" s="28">
        <f t="shared" si="115"/>
        <v>18</v>
      </c>
      <c r="R180" s="22">
        <f t="shared" si="116"/>
        <v>49.615199999999994</v>
      </c>
      <c r="S180" s="22">
        <f t="shared" si="117"/>
        <v>30.310684340628246</v>
      </c>
      <c r="T180" s="22">
        <f t="shared" si="118"/>
        <v>18.7056</v>
      </c>
      <c r="U180" s="22">
        <f t="shared" si="119"/>
        <v>0</v>
      </c>
      <c r="V180" s="21">
        <f t="shared" ref="V180:V243" si="131">IFERROR(R180*($I$30/M180),0)</f>
        <v>0</v>
      </c>
      <c r="W180" s="21">
        <f t="shared" si="91"/>
        <v>3.0582660328235272</v>
      </c>
      <c r="X180" s="21">
        <f t="shared" si="124"/>
        <v>0</v>
      </c>
      <c r="Y180" s="21">
        <f t="shared" si="125"/>
        <v>0</v>
      </c>
      <c r="Z180" s="221">
        <f t="shared" si="120"/>
        <v>1</v>
      </c>
      <c r="AA180" s="30">
        <f t="shared" si="108"/>
        <v>0</v>
      </c>
      <c r="AB180" s="30">
        <f t="shared" si="109"/>
        <v>8.4244082800564826</v>
      </c>
      <c r="AC180" s="30">
        <f t="shared" si="110"/>
        <v>0</v>
      </c>
      <c r="AD180" s="30">
        <f t="shared" si="111"/>
        <v>0</v>
      </c>
      <c r="AE180" s="32">
        <f t="shared" si="121"/>
        <v>8.4244082800564826</v>
      </c>
    </row>
    <row r="181" spans="1:31" x14ac:dyDescent="0.35">
      <c r="A181" s="48">
        <v>1522</v>
      </c>
      <c r="B181" s="58">
        <f>SUMIF([2]!Table2_23[ETA],'IAB Model'!A181,[2]!Table2_23[FIS PAX])</f>
        <v>0</v>
      </c>
      <c r="C181" s="44">
        <f t="shared" si="122"/>
        <v>0</v>
      </c>
      <c r="D181" s="52">
        <f t="shared" si="126"/>
        <v>0</v>
      </c>
      <c r="E181" s="26">
        <f t="shared" si="112"/>
        <v>0</v>
      </c>
      <c r="F181" s="26">
        <f t="shared" si="113"/>
        <v>0</v>
      </c>
      <c r="G181" s="26">
        <f t="shared" si="114"/>
        <v>0</v>
      </c>
      <c r="H181" s="26">
        <f t="shared" si="123"/>
        <v>0</v>
      </c>
      <c r="I181" s="27">
        <f t="shared" si="107"/>
        <v>8.2691999999999997</v>
      </c>
      <c r="J181" s="27">
        <f t="shared" si="107"/>
        <v>5.3369999999999997</v>
      </c>
      <c r="K181" s="27">
        <f t="shared" si="107"/>
        <v>3.1175999999999999</v>
      </c>
      <c r="L181" s="27">
        <f t="shared" si="107"/>
        <v>1.2762</v>
      </c>
      <c r="M181" s="28">
        <f t="shared" si="127"/>
        <v>0</v>
      </c>
      <c r="N181" s="29">
        <f t="shared" si="128"/>
        <v>17</v>
      </c>
      <c r="O181" s="28">
        <f t="shared" si="129"/>
        <v>0</v>
      </c>
      <c r="P181" s="28">
        <f t="shared" si="130"/>
        <v>1</v>
      </c>
      <c r="Q181" s="28">
        <f t="shared" si="115"/>
        <v>18</v>
      </c>
      <c r="R181" s="22">
        <f t="shared" si="116"/>
        <v>57.884399999999992</v>
      </c>
      <c r="S181" s="22">
        <f t="shared" si="117"/>
        <v>26.727722632333148</v>
      </c>
      <c r="T181" s="22">
        <f t="shared" si="118"/>
        <v>21.8232</v>
      </c>
      <c r="U181" s="22">
        <f t="shared" si="119"/>
        <v>0</v>
      </c>
      <c r="V181" s="21">
        <f t="shared" si="131"/>
        <v>0</v>
      </c>
      <c r="W181" s="21">
        <f t="shared" ref="W181:W244" si="132">IFERROR(S181*($I$31/N181),0)</f>
        <v>2.6967548915294093</v>
      </c>
      <c r="X181" s="21">
        <f t="shared" si="124"/>
        <v>0</v>
      </c>
      <c r="Y181" s="21">
        <f t="shared" si="125"/>
        <v>0</v>
      </c>
      <c r="Z181" s="221">
        <f t="shared" si="120"/>
        <v>1</v>
      </c>
      <c r="AA181" s="30">
        <f t="shared" si="108"/>
        <v>0</v>
      </c>
      <c r="AB181" s="30">
        <f t="shared" si="109"/>
        <v>8.4244082800564826</v>
      </c>
      <c r="AC181" s="30">
        <f t="shared" si="110"/>
        <v>0</v>
      </c>
      <c r="AD181" s="30">
        <f t="shared" si="111"/>
        <v>0</v>
      </c>
      <c r="AE181" s="32">
        <f t="shared" si="121"/>
        <v>8.4244082800564826</v>
      </c>
    </row>
    <row r="182" spans="1:31" x14ac:dyDescent="0.35">
      <c r="A182" s="48">
        <v>1523</v>
      </c>
      <c r="B182" s="58">
        <f>SUMIF([2]!Table2_23[ETA],'IAB Model'!A182,[2]!Table2_23[FIS PAX])</f>
        <v>0</v>
      </c>
      <c r="C182" s="44">
        <f t="shared" si="122"/>
        <v>0</v>
      </c>
      <c r="D182" s="52">
        <f t="shared" si="126"/>
        <v>0</v>
      </c>
      <c r="E182" s="26">
        <f t="shared" si="112"/>
        <v>0</v>
      </c>
      <c r="F182" s="26">
        <f t="shared" si="113"/>
        <v>0</v>
      </c>
      <c r="G182" s="26">
        <f t="shared" si="114"/>
        <v>0</v>
      </c>
      <c r="H182" s="26">
        <f t="shared" si="123"/>
        <v>0</v>
      </c>
      <c r="I182" s="27">
        <f t="shared" si="107"/>
        <v>8.2691999999999997</v>
      </c>
      <c r="J182" s="27">
        <f t="shared" si="107"/>
        <v>5.3369999999999997</v>
      </c>
      <c r="K182" s="27">
        <f t="shared" si="107"/>
        <v>3.1175999999999999</v>
      </c>
      <c r="L182" s="27">
        <f t="shared" si="107"/>
        <v>1.2762</v>
      </c>
      <c r="M182" s="28">
        <f t="shared" si="127"/>
        <v>0</v>
      </c>
      <c r="N182" s="29">
        <f t="shared" si="128"/>
        <v>17</v>
      </c>
      <c r="O182" s="28">
        <f t="shared" si="129"/>
        <v>0</v>
      </c>
      <c r="P182" s="28">
        <f t="shared" si="130"/>
        <v>1</v>
      </c>
      <c r="Q182" s="28">
        <f t="shared" si="115"/>
        <v>18</v>
      </c>
      <c r="R182" s="22">
        <f t="shared" si="116"/>
        <v>66.153599999999997</v>
      </c>
      <c r="S182" s="22">
        <f t="shared" si="117"/>
        <v>23.144760924038049</v>
      </c>
      <c r="T182" s="22">
        <f t="shared" si="118"/>
        <v>24.940799999999999</v>
      </c>
      <c r="U182" s="22">
        <f t="shared" si="119"/>
        <v>0</v>
      </c>
      <c r="V182" s="21">
        <f t="shared" si="131"/>
        <v>0</v>
      </c>
      <c r="W182" s="21">
        <f t="shared" si="132"/>
        <v>2.3352437502352918</v>
      </c>
      <c r="X182" s="21">
        <f t="shared" si="124"/>
        <v>0</v>
      </c>
      <c r="Y182" s="21">
        <f t="shared" si="125"/>
        <v>0</v>
      </c>
      <c r="Z182" s="221">
        <f t="shared" si="120"/>
        <v>1</v>
      </c>
      <c r="AA182" s="30">
        <f t="shared" si="108"/>
        <v>0</v>
      </c>
      <c r="AB182" s="30">
        <f t="shared" si="109"/>
        <v>8.4244082800564826</v>
      </c>
      <c r="AC182" s="30">
        <f t="shared" si="110"/>
        <v>0</v>
      </c>
      <c r="AD182" s="30">
        <f t="shared" si="111"/>
        <v>0</v>
      </c>
      <c r="AE182" s="32">
        <f t="shared" si="121"/>
        <v>8.4244082800564826</v>
      </c>
    </row>
    <row r="183" spans="1:31" x14ac:dyDescent="0.35">
      <c r="A183" s="48">
        <v>1524</v>
      </c>
      <c r="B183" s="58">
        <f>SUMIF([2]!Table2_23[ETA],'IAB Model'!A183,[2]!Table2_23[FIS PAX])</f>
        <v>0</v>
      </c>
      <c r="C183" s="44">
        <f t="shared" si="122"/>
        <v>0</v>
      </c>
      <c r="D183" s="52">
        <f t="shared" si="126"/>
        <v>0</v>
      </c>
      <c r="E183" s="26">
        <f t="shared" si="112"/>
        <v>0</v>
      </c>
      <c r="F183" s="26">
        <f t="shared" si="113"/>
        <v>0</v>
      </c>
      <c r="G183" s="26">
        <f t="shared" si="114"/>
        <v>0</v>
      </c>
      <c r="H183" s="26">
        <f t="shared" si="123"/>
        <v>0</v>
      </c>
      <c r="I183" s="27">
        <f t="shared" ref="I183:L198" si="133">E168</f>
        <v>8.2691999999999997</v>
      </c>
      <c r="J183" s="27">
        <f t="shared" si="133"/>
        <v>5.3369999999999997</v>
      </c>
      <c r="K183" s="27">
        <f t="shared" si="133"/>
        <v>3.1175999999999999</v>
      </c>
      <c r="L183" s="27">
        <f t="shared" si="133"/>
        <v>1.2762</v>
      </c>
      <c r="M183" s="28">
        <f t="shared" si="127"/>
        <v>0</v>
      </c>
      <c r="N183" s="29">
        <f t="shared" si="128"/>
        <v>17</v>
      </c>
      <c r="O183" s="28">
        <f t="shared" si="129"/>
        <v>0</v>
      </c>
      <c r="P183" s="28">
        <f t="shared" si="130"/>
        <v>1</v>
      </c>
      <c r="Q183" s="28">
        <f t="shared" si="115"/>
        <v>18</v>
      </c>
      <c r="R183" s="22">
        <f t="shared" si="116"/>
        <v>74.422799999999995</v>
      </c>
      <c r="S183" s="22">
        <f t="shared" si="117"/>
        <v>19.561799215742951</v>
      </c>
      <c r="T183" s="22">
        <f t="shared" si="118"/>
        <v>28.058399999999999</v>
      </c>
      <c r="U183" s="22">
        <f t="shared" si="119"/>
        <v>0</v>
      </c>
      <c r="V183" s="21">
        <f t="shared" si="131"/>
        <v>0</v>
      </c>
      <c r="W183" s="21">
        <f t="shared" si="132"/>
        <v>1.9737326089411742</v>
      </c>
      <c r="X183" s="21">
        <f t="shared" si="124"/>
        <v>0</v>
      </c>
      <c r="Y183" s="21">
        <f t="shared" si="125"/>
        <v>0</v>
      </c>
      <c r="Z183" s="221">
        <f t="shared" si="120"/>
        <v>1</v>
      </c>
      <c r="AA183" s="30">
        <f t="shared" si="108"/>
        <v>0</v>
      </c>
      <c r="AB183" s="30">
        <f t="shared" si="109"/>
        <v>8.4244082800564826</v>
      </c>
      <c r="AC183" s="30">
        <f t="shared" si="110"/>
        <v>0</v>
      </c>
      <c r="AD183" s="30">
        <f t="shared" si="111"/>
        <v>0</v>
      </c>
      <c r="AE183" s="32">
        <f t="shared" si="121"/>
        <v>8.4244082800564826</v>
      </c>
    </row>
    <row r="184" spans="1:31" x14ac:dyDescent="0.35">
      <c r="A184" s="48">
        <v>1525</v>
      </c>
      <c r="B184" s="58">
        <f>SUMIF([2]!Table2_23[ETA],'IAB Model'!A184,[2]!Table2_23[FIS PAX])</f>
        <v>0</v>
      </c>
      <c r="C184" s="44">
        <f t="shared" si="122"/>
        <v>0</v>
      </c>
      <c r="D184" s="52">
        <f t="shared" si="126"/>
        <v>0</v>
      </c>
      <c r="E184" s="26">
        <f t="shared" si="112"/>
        <v>0</v>
      </c>
      <c r="F184" s="26">
        <f t="shared" si="113"/>
        <v>0</v>
      </c>
      <c r="G184" s="26">
        <f t="shared" si="114"/>
        <v>0</v>
      </c>
      <c r="H184" s="26">
        <f t="shared" si="123"/>
        <v>0</v>
      </c>
      <c r="I184" s="27">
        <f t="shared" si="133"/>
        <v>8.2691999999999997</v>
      </c>
      <c r="J184" s="27">
        <f t="shared" si="133"/>
        <v>5.3369999999999997</v>
      </c>
      <c r="K184" s="27">
        <f t="shared" si="133"/>
        <v>3.1175999999999999</v>
      </c>
      <c r="L184" s="27">
        <f t="shared" si="133"/>
        <v>1.2762</v>
      </c>
      <c r="M184" s="28">
        <f t="shared" si="127"/>
        <v>0</v>
      </c>
      <c r="N184" s="29">
        <f t="shared" si="128"/>
        <v>17</v>
      </c>
      <c r="O184" s="28">
        <f t="shared" si="129"/>
        <v>0</v>
      </c>
      <c r="P184" s="28">
        <f t="shared" si="130"/>
        <v>1</v>
      </c>
      <c r="Q184" s="28">
        <f t="shared" si="115"/>
        <v>18</v>
      </c>
      <c r="R184" s="22">
        <f t="shared" si="116"/>
        <v>82.691999999999993</v>
      </c>
      <c r="S184" s="22">
        <f t="shared" si="117"/>
        <v>15.978837507447853</v>
      </c>
      <c r="T184" s="22">
        <f t="shared" si="118"/>
        <v>31.175999999999998</v>
      </c>
      <c r="U184" s="22">
        <f t="shared" si="119"/>
        <v>0</v>
      </c>
      <c r="V184" s="21">
        <f t="shared" si="131"/>
        <v>0</v>
      </c>
      <c r="W184" s="21">
        <f t="shared" si="132"/>
        <v>1.6122214676470563</v>
      </c>
      <c r="X184" s="21">
        <f t="shared" si="124"/>
        <v>0</v>
      </c>
      <c r="Y184" s="21">
        <f t="shared" si="125"/>
        <v>0</v>
      </c>
      <c r="Z184" s="221">
        <f t="shared" si="120"/>
        <v>1</v>
      </c>
      <c r="AA184" s="30">
        <f t="shared" si="108"/>
        <v>0</v>
      </c>
      <c r="AB184" s="30">
        <f t="shared" si="109"/>
        <v>8.4244082800564826</v>
      </c>
      <c r="AC184" s="30">
        <f t="shared" si="110"/>
        <v>0</v>
      </c>
      <c r="AD184" s="30">
        <f t="shared" si="111"/>
        <v>0</v>
      </c>
      <c r="AE184" s="32">
        <f t="shared" si="121"/>
        <v>8.4244082800564826</v>
      </c>
    </row>
    <row r="185" spans="1:31" x14ac:dyDescent="0.35">
      <c r="A185" s="48">
        <v>1526</v>
      </c>
      <c r="B185" s="58">
        <f>SUMIF([2]!Table2_23[ETA],'IAB Model'!A185,[2]!Table2_23[FIS PAX])</f>
        <v>0</v>
      </c>
      <c r="C185" s="44">
        <f t="shared" si="122"/>
        <v>0</v>
      </c>
      <c r="D185" s="52">
        <f t="shared" si="126"/>
        <v>0</v>
      </c>
      <c r="E185" s="26">
        <f t="shared" si="112"/>
        <v>0</v>
      </c>
      <c r="F185" s="26">
        <f t="shared" si="113"/>
        <v>0</v>
      </c>
      <c r="G185" s="26">
        <f t="shared" si="114"/>
        <v>0</v>
      </c>
      <c r="H185" s="26">
        <f t="shared" si="123"/>
        <v>0</v>
      </c>
      <c r="I185" s="27">
        <f t="shared" si="133"/>
        <v>8.2691999999999997</v>
      </c>
      <c r="J185" s="27">
        <f t="shared" si="133"/>
        <v>5.3369999999999997</v>
      </c>
      <c r="K185" s="27">
        <f t="shared" si="133"/>
        <v>3.1175999999999999</v>
      </c>
      <c r="L185" s="27">
        <f t="shared" si="133"/>
        <v>1.2762</v>
      </c>
      <c r="M185" s="28">
        <f t="shared" si="127"/>
        <v>0</v>
      </c>
      <c r="N185" s="29">
        <f t="shared" si="128"/>
        <v>17</v>
      </c>
      <c r="O185" s="28">
        <f t="shared" si="129"/>
        <v>0</v>
      </c>
      <c r="P185" s="28">
        <f t="shared" si="130"/>
        <v>1</v>
      </c>
      <c r="Q185" s="28">
        <f t="shared" si="115"/>
        <v>18</v>
      </c>
      <c r="R185" s="22">
        <f t="shared" si="116"/>
        <v>90.961199999999991</v>
      </c>
      <c r="S185" s="22">
        <f t="shared" si="117"/>
        <v>12.395875799152755</v>
      </c>
      <c r="T185" s="22">
        <f t="shared" si="118"/>
        <v>34.293599999999998</v>
      </c>
      <c r="U185" s="22">
        <f t="shared" si="119"/>
        <v>0</v>
      </c>
      <c r="V185" s="21">
        <f t="shared" si="131"/>
        <v>0</v>
      </c>
      <c r="W185" s="21">
        <f t="shared" si="132"/>
        <v>1.2507103263529387</v>
      </c>
      <c r="X185" s="21">
        <f t="shared" si="124"/>
        <v>0</v>
      </c>
      <c r="Y185" s="21">
        <f t="shared" si="125"/>
        <v>0</v>
      </c>
      <c r="Z185" s="221">
        <f t="shared" si="120"/>
        <v>1</v>
      </c>
      <c r="AA185" s="30">
        <f t="shared" si="108"/>
        <v>0</v>
      </c>
      <c r="AB185" s="30">
        <f t="shared" si="109"/>
        <v>8.4244082800564826</v>
      </c>
      <c r="AC185" s="30">
        <f t="shared" si="110"/>
        <v>0</v>
      </c>
      <c r="AD185" s="30">
        <f t="shared" si="111"/>
        <v>0</v>
      </c>
      <c r="AE185" s="32">
        <f t="shared" si="121"/>
        <v>8.4244082800564826</v>
      </c>
    </row>
    <row r="186" spans="1:31" x14ac:dyDescent="0.35">
      <c r="A186" s="48">
        <v>1527</v>
      </c>
      <c r="B186" s="58">
        <f>SUMIF([2]!Table2_23[ETA],'IAB Model'!A186,[2]!Table2_23[FIS PAX])</f>
        <v>0</v>
      </c>
      <c r="C186" s="44">
        <f t="shared" si="122"/>
        <v>0</v>
      </c>
      <c r="D186" s="52">
        <f t="shared" si="126"/>
        <v>0</v>
      </c>
      <c r="E186" s="26">
        <f t="shared" si="112"/>
        <v>0</v>
      </c>
      <c r="F186" s="26">
        <f t="shared" si="113"/>
        <v>0</v>
      </c>
      <c r="G186" s="26">
        <f t="shared" si="114"/>
        <v>0</v>
      </c>
      <c r="H186" s="26">
        <f t="shared" si="123"/>
        <v>0</v>
      </c>
      <c r="I186" s="27">
        <f t="shared" si="133"/>
        <v>8.2691999999999997</v>
      </c>
      <c r="J186" s="27">
        <f t="shared" si="133"/>
        <v>5.3369999999999997</v>
      </c>
      <c r="K186" s="27">
        <f t="shared" si="133"/>
        <v>3.1175999999999999</v>
      </c>
      <c r="L186" s="27">
        <f t="shared" si="133"/>
        <v>1.2762</v>
      </c>
      <c r="M186" s="28">
        <f t="shared" si="127"/>
        <v>0</v>
      </c>
      <c r="N186" s="29">
        <f t="shared" si="128"/>
        <v>17</v>
      </c>
      <c r="O186" s="28">
        <f t="shared" si="129"/>
        <v>0</v>
      </c>
      <c r="P186" s="28">
        <f t="shared" si="130"/>
        <v>1</v>
      </c>
      <c r="Q186" s="28">
        <f t="shared" si="115"/>
        <v>18</v>
      </c>
      <c r="R186" s="22">
        <f t="shared" si="116"/>
        <v>99.230399999999989</v>
      </c>
      <c r="S186" s="22">
        <f t="shared" si="117"/>
        <v>8.8129140908576566</v>
      </c>
      <c r="T186" s="22">
        <f t="shared" si="118"/>
        <v>37.411200000000001</v>
      </c>
      <c r="U186" s="22">
        <f t="shared" si="119"/>
        <v>0</v>
      </c>
      <c r="V186" s="21">
        <f t="shared" si="131"/>
        <v>0</v>
      </c>
      <c r="W186" s="21">
        <f t="shared" si="132"/>
        <v>0.88919918505882112</v>
      </c>
      <c r="X186" s="21">
        <f t="shared" si="124"/>
        <v>0</v>
      </c>
      <c r="Y186" s="21">
        <f t="shared" si="125"/>
        <v>0</v>
      </c>
      <c r="Z186" s="221">
        <f t="shared" si="120"/>
        <v>1</v>
      </c>
      <c r="AA186" s="30">
        <f t="shared" si="108"/>
        <v>0</v>
      </c>
      <c r="AB186" s="30">
        <f t="shared" si="109"/>
        <v>8.4244082800564826</v>
      </c>
      <c r="AC186" s="30">
        <f t="shared" si="110"/>
        <v>0</v>
      </c>
      <c r="AD186" s="30">
        <f t="shared" si="111"/>
        <v>0</v>
      </c>
      <c r="AE186" s="32">
        <f t="shared" si="121"/>
        <v>8.4244082800564826</v>
      </c>
    </row>
    <row r="187" spans="1:31" x14ac:dyDescent="0.35">
      <c r="A187" s="48">
        <v>1528</v>
      </c>
      <c r="B187" s="58">
        <f>SUMIF([2]!Table2_23[ETA],'IAB Model'!A187,[2]!Table2_23[FIS PAX])</f>
        <v>0</v>
      </c>
      <c r="C187" s="44">
        <f t="shared" si="122"/>
        <v>0</v>
      </c>
      <c r="D187" s="52">
        <f t="shared" si="126"/>
        <v>0</v>
      </c>
      <c r="E187" s="26">
        <f t="shared" si="112"/>
        <v>0</v>
      </c>
      <c r="F187" s="26">
        <f t="shared" si="113"/>
        <v>0</v>
      </c>
      <c r="G187" s="26">
        <f t="shared" si="114"/>
        <v>0</v>
      </c>
      <c r="H187" s="26">
        <f t="shared" si="123"/>
        <v>0</v>
      </c>
      <c r="I187" s="27">
        <f t="shared" si="133"/>
        <v>8.2691999999999997</v>
      </c>
      <c r="J187" s="27">
        <f t="shared" si="133"/>
        <v>5.3369999999999997</v>
      </c>
      <c r="K187" s="27">
        <f t="shared" si="133"/>
        <v>3.1175999999999999</v>
      </c>
      <c r="L187" s="27">
        <f t="shared" si="133"/>
        <v>1.2762</v>
      </c>
      <c r="M187" s="28">
        <f t="shared" si="127"/>
        <v>0</v>
      </c>
      <c r="N187" s="29">
        <f t="shared" si="128"/>
        <v>17</v>
      </c>
      <c r="O187" s="28">
        <f t="shared" si="129"/>
        <v>0</v>
      </c>
      <c r="P187" s="28">
        <f t="shared" si="130"/>
        <v>1</v>
      </c>
      <c r="Q187" s="28">
        <f t="shared" si="115"/>
        <v>18</v>
      </c>
      <c r="R187" s="22">
        <f t="shared" si="116"/>
        <v>107.49959999999999</v>
      </c>
      <c r="S187" s="22">
        <f t="shared" si="117"/>
        <v>5.2299523825625585</v>
      </c>
      <c r="T187" s="22">
        <f t="shared" si="118"/>
        <v>40.528800000000004</v>
      </c>
      <c r="U187" s="22">
        <f t="shared" si="119"/>
        <v>0</v>
      </c>
      <c r="V187" s="21">
        <f t="shared" si="131"/>
        <v>0</v>
      </c>
      <c r="W187" s="21">
        <f t="shared" si="132"/>
        <v>0.52768804376470346</v>
      </c>
      <c r="X187" s="21">
        <f t="shared" si="124"/>
        <v>0</v>
      </c>
      <c r="Y187" s="21">
        <f t="shared" si="125"/>
        <v>0</v>
      </c>
      <c r="Z187" s="221">
        <f t="shared" si="120"/>
        <v>1</v>
      </c>
      <c r="AA187" s="30">
        <f t="shared" si="108"/>
        <v>0</v>
      </c>
      <c r="AB187" s="30">
        <f t="shared" si="109"/>
        <v>8.4244082800564826</v>
      </c>
      <c r="AC187" s="30">
        <f t="shared" si="110"/>
        <v>0</v>
      </c>
      <c r="AD187" s="30">
        <f t="shared" si="111"/>
        <v>0</v>
      </c>
      <c r="AE187" s="32">
        <f t="shared" si="121"/>
        <v>8.4244082800564826</v>
      </c>
    </row>
    <row r="188" spans="1:31" x14ac:dyDescent="0.35">
      <c r="A188" s="48">
        <v>1529</v>
      </c>
      <c r="B188" s="58">
        <f>SUMIF([2]!Table2_23[ETA],'IAB Model'!A188,[2]!Table2_23[FIS PAX])</f>
        <v>0</v>
      </c>
      <c r="C188" s="44">
        <f t="shared" si="122"/>
        <v>0</v>
      </c>
      <c r="D188" s="52">
        <f t="shared" si="126"/>
        <v>0</v>
      </c>
      <c r="E188" s="26">
        <f t="shared" si="112"/>
        <v>0</v>
      </c>
      <c r="F188" s="26">
        <f t="shared" si="113"/>
        <v>0</v>
      </c>
      <c r="G188" s="26">
        <f t="shared" si="114"/>
        <v>0</v>
      </c>
      <c r="H188" s="26">
        <f t="shared" si="123"/>
        <v>0</v>
      </c>
      <c r="I188" s="27">
        <f t="shared" si="133"/>
        <v>8.2691999999999997</v>
      </c>
      <c r="J188" s="27">
        <f t="shared" si="133"/>
        <v>5.3369999999999997</v>
      </c>
      <c r="K188" s="27">
        <f t="shared" si="133"/>
        <v>3.1175999999999999</v>
      </c>
      <c r="L188" s="27">
        <f t="shared" si="133"/>
        <v>1.2762</v>
      </c>
      <c r="M188" s="28">
        <f t="shared" si="127"/>
        <v>0</v>
      </c>
      <c r="N188" s="29">
        <f t="shared" si="128"/>
        <v>17</v>
      </c>
      <c r="O188" s="28">
        <f t="shared" si="129"/>
        <v>0</v>
      </c>
      <c r="P188" s="28">
        <f t="shared" si="130"/>
        <v>1</v>
      </c>
      <c r="Q188" s="28">
        <f t="shared" si="115"/>
        <v>18</v>
      </c>
      <c r="R188" s="22">
        <f t="shared" si="116"/>
        <v>115.76879999999998</v>
      </c>
      <c r="S188" s="22">
        <f t="shared" si="117"/>
        <v>1.6469906742674603</v>
      </c>
      <c r="T188" s="22">
        <f t="shared" si="118"/>
        <v>43.646400000000007</v>
      </c>
      <c r="U188" s="22">
        <f t="shared" si="119"/>
        <v>0</v>
      </c>
      <c r="V188" s="21">
        <f t="shared" si="131"/>
        <v>0</v>
      </c>
      <c r="W188" s="21">
        <f t="shared" si="132"/>
        <v>0.16617690247058578</v>
      </c>
      <c r="X188" s="21">
        <f t="shared" si="124"/>
        <v>0</v>
      </c>
      <c r="Y188" s="21">
        <f t="shared" si="125"/>
        <v>0</v>
      </c>
      <c r="Z188" s="221">
        <f t="shared" si="120"/>
        <v>1</v>
      </c>
      <c r="AA188" s="30">
        <f t="shared" si="108"/>
        <v>0</v>
      </c>
      <c r="AB188" s="30">
        <f t="shared" si="109"/>
        <v>8.4244082800564826</v>
      </c>
      <c r="AC188" s="30">
        <f t="shared" si="110"/>
        <v>0</v>
      </c>
      <c r="AD188" s="30">
        <f t="shared" si="111"/>
        <v>0</v>
      </c>
      <c r="AE188" s="32">
        <f t="shared" si="121"/>
        <v>8.4244082800564826</v>
      </c>
    </row>
    <row r="189" spans="1:31" x14ac:dyDescent="0.35">
      <c r="A189" s="48">
        <v>1530</v>
      </c>
      <c r="B189" s="58">
        <f>SUMIF([2]!Table2_23[ETA],'IAB Model'!A189,[2]!Table2_23[FIS PAX])</f>
        <v>0</v>
      </c>
      <c r="C189" s="44">
        <f t="shared" si="122"/>
        <v>0</v>
      </c>
      <c r="D189" s="52">
        <f t="shared" si="126"/>
        <v>0</v>
      </c>
      <c r="E189" s="26">
        <f t="shared" si="112"/>
        <v>0</v>
      </c>
      <c r="F189" s="26">
        <f t="shared" si="113"/>
        <v>0</v>
      </c>
      <c r="G189" s="26">
        <f t="shared" si="114"/>
        <v>0</v>
      </c>
      <c r="H189" s="26">
        <f t="shared" si="123"/>
        <v>0</v>
      </c>
      <c r="I189" s="27">
        <f t="shared" si="133"/>
        <v>8.2691999999999997</v>
      </c>
      <c r="J189" s="27">
        <f t="shared" si="133"/>
        <v>5.3369999999999997</v>
      </c>
      <c r="K189" s="27">
        <f t="shared" si="133"/>
        <v>3.1175999999999999</v>
      </c>
      <c r="L189" s="27">
        <f t="shared" si="133"/>
        <v>1.2762</v>
      </c>
      <c r="M189" s="28">
        <f t="shared" si="127"/>
        <v>0</v>
      </c>
      <c r="N189" s="29">
        <f t="shared" si="128"/>
        <v>17</v>
      </c>
      <c r="O189" s="28">
        <f t="shared" si="129"/>
        <v>0</v>
      </c>
      <c r="P189" s="28">
        <f t="shared" si="130"/>
        <v>1</v>
      </c>
      <c r="Q189" s="28">
        <f t="shared" si="115"/>
        <v>18</v>
      </c>
      <c r="R189" s="22">
        <f t="shared" si="116"/>
        <v>124.03799999999998</v>
      </c>
      <c r="S189" s="22">
        <f t="shared" si="117"/>
        <v>0</v>
      </c>
      <c r="T189" s="22">
        <f t="shared" si="118"/>
        <v>46.76400000000001</v>
      </c>
      <c r="U189" s="22">
        <f t="shared" si="119"/>
        <v>0</v>
      </c>
      <c r="V189" s="21">
        <f t="shared" si="131"/>
        <v>0</v>
      </c>
      <c r="W189" s="21">
        <f t="shared" si="132"/>
        <v>0</v>
      </c>
      <c r="X189" s="21">
        <f t="shared" si="124"/>
        <v>0</v>
      </c>
      <c r="Y189" s="21">
        <f t="shared" si="125"/>
        <v>0</v>
      </c>
      <c r="Z189" s="221">
        <f t="shared" si="120"/>
        <v>0</v>
      </c>
      <c r="AA189" s="30">
        <f t="shared" si="108"/>
        <v>0</v>
      </c>
      <c r="AB189" s="30">
        <f t="shared" si="109"/>
        <v>0</v>
      </c>
      <c r="AC189" s="30">
        <f t="shared" si="110"/>
        <v>0</v>
      </c>
      <c r="AD189" s="30">
        <f t="shared" si="111"/>
        <v>0</v>
      </c>
      <c r="AE189" s="32">
        <f t="shared" si="121"/>
        <v>0</v>
      </c>
    </row>
    <row r="190" spans="1:31" x14ac:dyDescent="0.35">
      <c r="A190" s="48">
        <v>1531</v>
      </c>
      <c r="B190" s="58">
        <f>SUMIF([2]!Table2_23[ETA],'IAB Model'!A190,[2]!Table2_23[FIS PAX])</f>
        <v>0</v>
      </c>
      <c r="C190" s="44">
        <f t="shared" si="122"/>
        <v>0</v>
      </c>
      <c r="D190" s="52">
        <f t="shared" si="126"/>
        <v>0</v>
      </c>
      <c r="E190" s="26">
        <f t="shared" si="112"/>
        <v>0</v>
      </c>
      <c r="F190" s="26">
        <f t="shared" si="113"/>
        <v>0</v>
      </c>
      <c r="G190" s="26">
        <f t="shared" si="114"/>
        <v>0</v>
      </c>
      <c r="H190" s="26">
        <f t="shared" si="123"/>
        <v>0</v>
      </c>
      <c r="I190" s="27">
        <f t="shared" si="133"/>
        <v>8.2691999999999997</v>
      </c>
      <c r="J190" s="27">
        <f t="shared" si="133"/>
        <v>5.3369999999999997</v>
      </c>
      <c r="K190" s="27">
        <f t="shared" si="133"/>
        <v>3.1175999999999999</v>
      </c>
      <c r="L190" s="27">
        <f t="shared" si="133"/>
        <v>1.2762</v>
      </c>
      <c r="M190" s="28">
        <f>IF(R189=0,0,$Q$16)</f>
        <v>11</v>
      </c>
      <c r="N190" s="29">
        <f>$U$16-M190-O190-P190</f>
        <v>5</v>
      </c>
      <c r="O190" s="28">
        <f>IF(T189=0,0,$S$16)</f>
        <v>2</v>
      </c>
      <c r="P190" s="28">
        <f>IF(U189=0,0,$T$16)</f>
        <v>0</v>
      </c>
      <c r="Q190" s="28">
        <f t="shared" si="115"/>
        <v>18</v>
      </c>
      <c r="R190" s="22">
        <f t="shared" si="116"/>
        <v>109.15561281632247</v>
      </c>
      <c r="S190" s="22">
        <f t="shared" si="117"/>
        <v>2.8592328588069167</v>
      </c>
      <c r="T190" s="22">
        <f t="shared" si="118"/>
        <v>44.919646508098211</v>
      </c>
      <c r="U190" s="22">
        <f t="shared" si="119"/>
        <v>1.2762</v>
      </c>
      <c r="V190" s="21">
        <f t="shared" si="131"/>
        <v>4.0075987083636351</v>
      </c>
      <c r="W190" s="21">
        <f t="shared" si="132"/>
        <v>0.9808621195999998</v>
      </c>
      <c r="X190" s="21">
        <f t="shared" si="124"/>
        <v>7.6948926656000021</v>
      </c>
      <c r="Y190" s="21">
        <f t="shared" si="125"/>
        <v>0</v>
      </c>
      <c r="Z190" s="221">
        <f t="shared" si="120"/>
        <v>4</v>
      </c>
      <c r="AA190" s="30">
        <f t="shared" si="108"/>
        <v>23.15158718367751</v>
      </c>
      <c r="AB190" s="30">
        <f t="shared" si="109"/>
        <v>2.4777671411930831</v>
      </c>
      <c r="AC190" s="30">
        <f t="shared" si="110"/>
        <v>4.9619534919017996</v>
      </c>
      <c r="AD190" s="30">
        <f t="shared" si="111"/>
        <v>0</v>
      </c>
      <c r="AE190" s="32">
        <f t="shared" si="121"/>
        <v>30.591307816772392</v>
      </c>
    </row>
    <row r="191" spans="1:31" x14ac:dyDescent="0.35">
      <c r="A191" s="48">
        <v>1532</v>
      </c>
      <c r="B191" s="58">
        <f>SUMIF([2]!Table2_23[ETA],'IAB Model'!A191,[2]!Table2_23[FIS PAX])</f>
        <v>0</v>
      </c>
      <c r="C191" s="44">
        <f t="shared" si="122"/>
        <v>0</v>
      </c>
      <c r="D191" s="52">
        <f t="shared" si="126"/>
        <v>0</v>
      </c>
      <c r="E191" s="26">
        <f t="shared" si="112"/>
        <v>0</v>
      </c>
      <c r="F191" s="26">
        <f t="shared" si="113"/>
        <v>0</v>
      </c>
      <c r="G191" s="26">
        <f t="shared" si="114"/>
        <v>0</v>
      </c>
      <c r="H191" s="26">
        <f t="shared" si="123"/>
        <v>0</v>
      </c>
      <c r="I191" s="27">
        <f t="shared" si="133"/>
        <v>8.2691999999999997</v>
      </c>
      <c r="J191" s="27">
        <f t="shared" si="133"/>
        <v>5.3369999999999997</v>
      </c>
      <c r="K191" s="27">
        <f t="shared" si="133"/>
        <v>3.1175999999999999</v>
      </c>
      <c r="L191" s="27">
        <f t="shared" si="133"/>
        <v>1.2762</v>
      </c>
      <c r="M191" s="28">
        <f>$M$190</f>
        <v>11</v>
      </c>
      <c r="N191" s="29">
        <f>$N$190</f>
        <v>5</v>
      </c>
      <c r="O191" s="28">
        <f>$O$190</f>
        <v>2</v>
      </c>
      <c r="P191" s="28">
        <f>$P$190</f>
        <v>0</v>
      </c>
      <c r="Q191" s="28">
        <f t="shared" si="115"/>
        <v>18</v>
      </c>
      <c r="R191" s="22">
        <f t="shared" si="116"/>
        <v>94.273225632644966</v>
      </c>
      <c r="S191" s="22">
        <f t="shared" si="117"/>
        <v>5.7184657176138334</v>
      </c>
      <c r="T191" s="22">
        <f t="shared" si="118"/>
        <v>43.075293016196412</v>
      </c>
      <c r="U191" s="22">
        <f t="shared" si="119"/>
        <v>2.5524</v>
      </c>
      <c r="V191" s="21">
        <f t="shared" si="131"/>
        <v>3.4611986276363629</v>
      </c>
      <c r="W191" s="21">
        <f t="shared" si="132"/>
        <v>1.9617242391999996</v>
      </c>
      <c r="X191" s="21">
        <f t="shared" si="124"/>
        <v>7.3789484572000017</v>
      </c>
      <c r="Y191" s="21">
        <f t="shared" si="125"/>
        <v>0</v>
      </c>
      <c r="Z191" s="221">
        <f t="shared" si="120"/>
        <v>4</v>
      </c>
      <c r="AA191" s="30">
        <f t="shared" si="108"/>
        <v>23.15158718367751</v>
      </c>
      <c r="AB191" s="30">
        <f t="shared" si="109"/>
        <v>2.4777671411930831</v>
      </c>
      <c r="AC191" s="30">
        <f t="shared" si="110"/>
        <v>4.9619534919017996</v>
      </c>
      <c r="AD191" s="30">
        <f t="shared" si="111"/>
        <v>0</v>
      </c>
      <c r="AE191" s="32">
        <f t="shared" si="121"/>
        <v>30.591307816772392</v>
      </c>
    </row>
    <row r="192" spans="1:31" x14ac:dyDescent="0.35">
      <c r="A192" s="48">
        <v>1533</v>
      </c>
      <c r="B192" s="58">
        <f>SUMIF([2]!Table2_23[ETA],'IAB Model'!A192,[2]!Table2_23[FIS PAX])</f>
        <v>0</v>
      </c>
      <c r="C192" s="44">
        <f t="shared" si="122"/>
        <v>0</v>
      </c>
      <c r="D192" s="52">
        <f t="shared" si="126"/>
        <v>0</v>
      </c>
      <c r="E192" s="26">
        <f t="shared" si="112"/>
        <v>0</v>
      </c>
      <c r="F192" s="26">
        <f t="shared" si="113"/>
        <v>0</v>
      </c>
      <c r="G192" s="26">
        <f t="shared" si="114"/>
        <v>0</v>
      </c>
      <c r="H192" s="26">
        <f t="shared" si="123"/>
        <v>0</v>
      </c>
      <c r="I192" s="27">
        <f t="shared" si="133"/>
        <v>2.2969999999999997</v>
      </c>
      <c r="J192" s="27">
        <f t="shared" si="133"/>
        <v>1.4824999999999999</v>
      </c>
      <c r="K192" s="27">
        <f t="shared" si="133"/>
        <v>0.86599999999999999</v>
      </c>
      <c r="L192" s="27">
        <f t="shared" si="133"/>
        <v>0.35450000000000004</v>
      </c>
      <c r="M192" s="28">
        <f t="shared" ref="M192:M204" si="134">$M$190</f>
        <v>11</v>
      </c>
      <c r="N192" s="29">
        <f t="shared" ref="N192:N204" si="135">$N$190</f>
        <v>5</v>
      </c>
      <c r="O192" s="28">
        <f t="shared" ref="O192:O204" si="136">$O$190</f>
        <v>2</v>
      </c>
      <c r="P192" s="28">
        <f t="shared" ref="P192:P204" si="137">$P$190</f>
        <v>0</v>
      </c>
      <c r="Q192" s="28">
        <f t="shared" si="115"/>
        <v>18</v>
      </c>
      <c r="R192" s="22">
        <f t="shared" si="116"/>
        <v>73.418638448967457</v>
      </c>
      <c r="S192" s="22">
        <f t="shared" si="117"/>
        <v>4.7231985764207502</v>
      </c>
      <c r="T192" s="22">
        <f t="shared" si="118"/>
        <v>38.979339524294609</v>
      </c>
      <c r="U192" s="22">
        <f t="shared" si="119"/>
        <v>2.9069000000000003</v>
      </c>
      <c r="V192" s="21">
        <f t="shared" si="131"/>
        <v>2.6955319385454541</v>
      </c>
      <c r="W192" s="21">
        <f t="shared" si="132"/>
        <v>1.6202970501999994</v>
      </c>
      <c r="X192" s="21">
        <f t="shared" si="124"/>
        <v>6.677297288200001</v>
      </c>
      <c r="Y192" s="21">
        <f t="shared" si="125"/>
        <v>0</v>
      </c>
      <c r="Z192" s="221">
        <f t="shared" si="120"/>
        <v>3</v>
      </c>
      <c r="AA192" s="30">
        <f t="shared" si="108"/>
        <v>23.15158718367751</v>
      </c>
      <c r="AB192" s="30">
        <f t="shared" si="109"/>
        <v>2.4777671411930831</v>
      </c>
      <c r="AC192" s="30">
        <f t="shared" si="110"/>
        <v>4.9619534919017996</v>
      </c>
      <c r="AD192" s="30">
        <f t="shared" si="111"/>
        <v>0</v>
      </c>
      <c r="AE192" s="32">
        <f t="shared" si="121"/>
        <v>30.591307816772392</v>
      </c>
    </row>
    <row r="193" spans="1:31" x14ac:dyDescent="0.35">
      <c r="A193" s="48">
        <v>1534</v>
      </c>
      <c r="B193" s="58">
        <f>SUMIF([2]!Table2_23[ETA],'IAB Model'!A193,[2]!Table2_23[FIS PAX])</f>
        <v>0</v>
      </c>
      <c r="C193" s="44">
        <f t="shared" si="122"/>
        <v>0</v>
      </c>
      <c r="D193" s="52">
        <f t="shared" si="126"/>
        <v>0</v>
      </c>
      <c r="E193" s="26">
        <f t="shared" si="112"/>
        <v>0</v>
      </c>
      <c r="F193" s="26">
        <f t="shared" si="113"/>
        <v>0</v>
      </c>
      <c r="G193" s="26">
        <f t="shared" si="114"/>
        <v>0</v>
      </c>
      <c r="H193" s="26">
        <f t="shared" si="123"/>
        <v>0</v>
      </c>
      <c r="I193" s="27">
        <f t="shared" si="133"/>
        <v>0</v>
      </c>
      <c r="J193" s="27">
        <f t="shared" si="133"/>
        <v>0</v>
      </c>
      <c r="K193" s="27">
        <f t="shared" si="133"/>
        <v>0</v>
      </c>
      <c r="L193" s="27">
        <f t="shared" si="133"/>
        <v>0</v>
      </c>
      <c r="M193" s="28">
        <f t="shared" si="134"/>
        <v>11</v>
      </c>
      <c r="N193" s="29">
        <f t="shared" si="135"/>
        <v>5</v>
      </c>
      <c r="O193" s="28">
        <f t="shared" si="136"/>
        <v>2</v>
      </c>
      <c r="P193" s="28">
        <f t="shared" si="137"/>
        <v>0</v>
      </c>
      <c r="Q193" s="28">
        <f t="shared" si="115"/>
        <v>18</v>
      </c>
      <c r="R193" s="22">
        <f t="shared" si="116"/>
        <v>50.26705126528995</v>
      </c>
      <c r="S193" s="22">
        <f t="shared" si="117"/>
        <v>2.2454314352276672</v>
      </c>
      <c r="T193" s="22">
        <f t="shared" si="118"/>
        <v>34.017386032392807</v>
      </c>
      <c r="U193" s="22">
        <f t="shared" si="119"/>
        <v>2.9069000000000003</v>
      </c>
      <c r="V193" s="21">
        <f t="shared" si="131"/>
        <v>1.8455319385454543</v>
      </c>
      <c r="W193" s="21">
        <f t="shared" si="132"/>
        <v>0.77029705019999939</v>
      </c>
      <c r="X193" s="21">
        <f t="shared" si="124"/>
        <v>5.8272972882000014</v>
      </c>
      <c r="Y193" s="21">
        <f t="shared" si="125"/>
        <v>0</v>
      </c>
      <c r="Z193" s="221">
        <f t="shared" si="120"/>
        <v>3</v>
      </c>
      <c r="AA193" s="30">
        <f t="shared" si="108"/>
        <v>23.15158718367751</v>
      </c>
      <c r="AB193" s="30">
        <f t="shared" si="109"/>
        <v>2.4777671411930831</v>
      </c>
      <c r="AC193" s="30">
        <f t="shared" si="110"/>
        <v>4.9619534919017996</v>
      </c>
      <c r="AD193" s="30">
        <f t="shared" si="111"/>
        <v>0</v>
      </c>
      <c r="AE193" s="32">
        <f t="shared" si="121"/>
        <v>30.591307816772392</v>
      </c>
    </row>
    <row r="194" spans="1:31" x14ac:dyDescent="0.35">
      <c r="A194" s="48">
        <v>1535</v>
      </c>
      <c r="B194" s="58">
        <f>SUMIF([2]!Table2_23[ETA],'IAB Model'!A194,[2]!Table2_23[FIS PAX])</f>
        <v>0</v>
      </c>
      <c r="C194" s="44">
        <f t="shared" si="122"/>
        <v>0</v>
      </c>
      <c r="D194" s="52">
        <f t="shared" si="126"/>
        <v>0</v>
      </c>
      <c r="E194" s="26">
        <f t="shared" si="112"/>
        <v>0</v>
      </c>
      <c r="F194" s="26">
        <f t="shared" si="113"/>
        <v>0</v>
      </c>
      <c r="G194" s="26">
        <f t="shared" si="114"/>
        <v>0</v>
      </c>
      <c r="H194" s="26">
        <f t="shared" si="123"/>
        <v>0</v>
      </c>
      <c r="I194" s="27">
        <f t="shared" si="133"/>
        <v>0</v>
      </c>
      <c r="J194" s="27">
        <f t="shared" si="133"/>
        <v>0</v>
      </c>
      <c r="K194" s="27">
        <f t="shared" si="133"/>
        <v>0</v>
      </c>
      <c r="L194" s="27">
        <f t="shared" si="133"/>
        <v>0</v>
      </c>
      <c r="M194" s="28">
        <f t="shared" si="134"/>
        <v>11</v>
      </c>
      <c r="N194" s="29">
        <f t="shared" si="135"/>
        <v>5</v>
      </c>
      <c r="O194" s="28">
        <f t="shared" si="136"/>
        <v>2</v>
      </c>
      <c r="P194" s="28">
        <f t="shared" si="137"/>
        <v>0</v>
      </c>
      <c r="Q194" s="28">
        <f t="shared" si="115"/>
        <v>18</v>
      </c>
      <c r="R194" s="22">
        <f t="shared" si="116"/>
        <v>27.115464081612441</v>
      </c>
      <c r="S194" s="22">
        <f t="shared" si="117"/>
        <v>0</v>
      </c>
      <c r="T194" s="22">
        <f t="shared" si="118"/>
        <v>29.055432540491008</v>
      </c>
      <c r="U194" s="22">
        <f t="shared" si="119"/>
        <v>2.9069000000000003</v>
      </c>
      <c r="V194" s="21">
        <f t="shared" si="131"/>
        <v>0.99553193854545452</v>
      </c>
      <c r="W194" s="21">
        <f t="shared" si="132"/>
        <v>0</v>
      </c>
      <c r="X194" s="21">
        <f t="shared" si="124"/>
        <v>4.9772972882000017</v>
      </c>
      <c r="Y194" s="21">
        <f t="shared" si="125"/>
        <v>0</v>
      </c>
      <c r="Z194" s="221">
        <f t="shared" si="120"/>
        <v>2</v>
      </c>
      <c r="AA194" s="30">
        <f t="shared" si="108"/>
        <v>23.15158718367751</v>
      </c>
      <c r="AB194" s="30">
        <f t="shared" si="109"/>
        <v>0</v>
      </c>
      <c r="AC194" s="30">
        <f t="shared" si="110"/>
        <v>4.9619534919017996</v>
      </c>
      <c r="AD194" s="30">
        <f t="shared" si="111"/>
        <v>0</v>
      </c>
      <c r="AE194" s="32">
        <f t="shared" si="121"/>
        <v>28.113540675579308</v>
      </c>
    </row>
    <row r="195" spans="1:31" x14ac:dyDescent="0.35">
      <c r="A195" s="48">
        <v>1536</v>
      </c>
      <c r="B195" s="58">
        <f>SUMIF([2]!Table2_23[ETA],'IAB Model'!A195,[2]!Table2_23[FIS PAX])</f>
        <v>0</v>
      </c>
      <c r="C195" s="44">
        <f t="shared" si="122"/>
        <v>0</v>
      </c>
      <c r="D195" s="52">
        <f t="shared" si="126"/>
        <v>0</v>
      </c>
      <c r="E195" s="26">
        <f t="shared" si="112"/>
        <v>0</v>
      </c>
      <c r="F195" s="26">
        <f t="shared" si="113"/>
        <v>0</v>
      </c>
      <c r="G195" s="26">
        <f t="shared" si="114"/>
        <v>0</v>
      </c>
      <c r="H195" s="26">
        <f t="shared" si="123"/>
        <v>0</v>
      </c>
      <c r="I195" s="27">
        <f t="shared" si="133"/>
        <v>0</v>
      </c>
      <c r="J195" s="27">
        <f t="shared" si="133"/>
        <v>0</v>
      </c>
      <c r="K195" s="27">
        <f t="shared" si="133"/>
        <v>0</v>
      </c>
      <c r="L195" s="27">
        <f t="shared" si="133"/>
        <v>0</v>
      </c>
      <c r="M195" s="28">
        <f t="shared" si="134"/>
        <v>11</v>
      </c>
      <c r="N195" s="29">
        <f t="shared" si="135"/>
        <v>5</v>
      </c>
      <c r="O195" s="28">
        <f t="shared" si="136"/>
        <v>2</v>
      </c>
      <c r="P195" s="28">
        <f t="shared" si="137"/>
        <v>0</v>
      </c>
      <c r="Q195" s="28">
        <f t="shared" si="115"/>
        <v>18</v>
      </c>
      <c r="R195" s="22">
        <f t="shared" si="116"/>
        <v>3.9638768979349308</v>
      </c>
      <c r="S195" s="22">
        <f t="shared" si="117"/>
        <v>0</v>
      </c>
      <c r="T195" s="22">
        <f t="shared" si="118"/>
        <v>24.093479048589209</v>
      </c>
      <c r="U195" s="22">
        <f t="shared" si="119"/>
        <v>2.9069000000000003</v>
      </c>
      <c r="V195" s="21">
        <f t="shared" si="131"/>
        <v>0.14553193854545463</v>
      </c>
      <c r="W195" s="21">
        <f t="shared" si="132"/>
        <v>0</v>
      </c>
      <c r="X195" s="21">
        <f t="shared" si="124"/>
        <v>4.1272972882000012</v>
      </c>
      <c r="Y195" s="21">
        <f t="shared" si="125"/>
        <v>0</v>
      </c>
      <c r="Z195" s="221">
        <f t="shared" si="120"/>
        <v>1</v>
      </c>
      <c r="AA195" s="30">
        <f t="shared" si="108"/>
        <v>23.15158718367751</v>
      </c>
      <c r="AB195" s="30">
        <f t="shared" si="109"/>
        <v>0</v>
      </c>
      <c r="AC195" s="30">
        <f t="shared" si="110"/>
        <v>4.9619534919017996</v>
      </c>
      <c r="AD195" s="30">
        <f t="shared" si="111"/>
        <v>0</v>
      </c>
      <c r="AE195" s="32">
        <f t="shared" si="121"/>
        <v>28.113540675579308</v>
      </c>
    </row>
    <row r="196" spans="1:31" x14ac:dyDescent="0.35">
      <c r="A196" s="48">
        <v>1537</v>
      </c>
      <c r="B196" s="58">
        <f>SUMIF([2]!Table2_23[ETA],'IAB Model'!A196,[2]!Table2_23[FIS PAX])</f>
        <v>0</v>
      </c>
      <c r="C196" s="44">
        <f t="shared" si="122"/>
        <v>0</v>
      </c>
      <c r="D196" s="52">
        <f t="shared" si="126"/>
        <v>0</v>
      </c>
      <c r="E196" s="26">
        <f t="shared" si="112"/>
        <v>0</v>
      </c>
      <c r="F196" s="26">
        <f t="shared" si="113"/>
        <v>0</v>
      </c>
      <c r="G196" s="26">
        <f t="shared" si="114"/>
        <v>0</v>
      </c>
      <c r="H196" s="26">
        <f t="shared" si="123"/>
        <v>0</v>
      </c>
      <c r="I196" s="27">
        <f t="shared" si="133"/>
        <v>0</v>
      </c>
      <c r="J196" s="27">
        <f t="shared" si="133"/>
        <v>0</v>
      </c>
      <c r="K196" s="27">
        <f t="shared" si="133"/>
        <v>0</v>
      </c>
      <c r="L196" s="27">
        <f t="shared" si="133"/>
        <v>0</v>
      </c>
      <c r="M196" s="28">
        <f t="shared" si="134"/>
        <v>11</v>
      </c>
      <c r="N196" s="29">
        <f t="shared" si="135"/>
        <v>5</v>
      </c>
      <c r="O196" s="28">
        <f t="shared" si="136"/>
        <v>2</v>
      </c>
      <c r="P196" s="28">
        <f t="shared" si="137"/>
        <v>0</v>
      </c>
      <c r="Q196" s="28">
        <f t="shared" si="115"/>
        <v>18</v>
      </c>
      <c r="R196" s="22">
        <f t="shared" si="116"/>
        <v>0</v>
      </c>
      <c r="S196" s="22">
        <f t="shared" si="117"/>
        <v>0</v>
      </c>
      <c r="T196" s="22">
        <f t="shared" si="118"/>
        <v>19.131525556687411</v>
      </c>
      <c r="U196" s="22">
        <f t="shared" si="119"/>
        <v>2.9069000000000003</v>
      </c>
      <c r="V196" s="21">
        <f t="shared" si="131"/>
        <v>0</v>
      </c>
      <c r="W196" s="21">
        <f t="shared" si="132"/>
        <v>0</v>
      </c>
      <c r="X196" s="21">
        <f t="shared" si="124"/>
        <v>3.277297288200002</v>
      </c>
      <c r="Y196" s="21">
        <f t="shared" si="125"/>
        <v>0</v>
      </c>
      <c r="Z196" s="221">
        <f t="shared" si="120"/>
        <v>1</v>
      </c>
      <c r="AA196" s="30">
        <f t="shared" si="108"/>
        <v>0</v>
      </c>
      <c r="AB196" s="30">
        <f t="shared" si="109"/>
        <v>0</v>
      </c>
      <c r="AC196" s="30">
        <f t="shared" si="110"/>
        <v>4.9619534919017996</v>
      </c>
      <c r="AD196" s="30">
        <f t="shared" si="111"/>
        <v>0</v>
      </c>
      <c r="AE196" s="32">
        <f t="shared" si="121"/>
        <v>4.9619534919017996</v>
      </c>
    </row>
    <row r="197" spans="1:31" x14ac:dyDescent="0.35">
      <c r="A197" s="48">
        <v>1538</v>
      </c>
      <c r="B197" s="58">
        <f>SUMIF([2]!Table2_23[ETA],'IAB Model'!A197,[2]!Table2_23[FIS PAX])</f>
        <v>0</v>
      </c>
      <c r="C197" s="44">
        <f t="shared" si="122"/>
        <v>0</v>
      </c>
      <c r="D197" s="52">
        <f t="shared" si="126"/>
        <v>0</v>
      </c>
      <c r="E197" s="26">
        <f t="shared" si="112"/>
        <v>0</v>
      </c>
      <c r="F197" s="26">
        <f t="shared" si="113"/>
        <v>0</v>
      </c>
      <c r="G197" s="26">
        <f t="shared" si="114"/>
        <v>0</v>
      </c>
      <c r="H197" s="26">
        <f t="shared" si="123"/>
        <v>0</v>
      </c>
      <c r="I197" s="27">
        <f t="shared" si="133"/>
        <v>0</v>
      </c>
      <c r="J197" s="27">
        <f t="shared" si="133"/>
        <v>0</v>
      </c>
      <c r="K197" s="27">
        <f t="shared" si="133"/>
        <v>0</v>
      </c>
      <c r="L197" s="27">
        <f t="shared" si="133"/>
        <v>0</v>
      </c>
      <c r="M197" s="28">
        <f t="shared" si="134"/>
        <v>11</v>
      </c>
      <c r="N197" s="29">
        <f t="shared" si="135"/>
        <v>5</v>
      </c>
      <c r="O197" s="28">
        <f t="shared" si="136"/>
        <v>2</v>
      </c>
      <c r="P197" s="28">
        <f t="shared" si="137"/>
        <v>0</v>
      </c>
      <c r="Q197" s="28">
        <f t="shared" si="115"/>
        <v>18</v>
      </c>
      <c r="R197" s="22">
        <f t="shared" si="116"/>
        <v>0</v>
      </c>
      <c r="S197" s="22">
        <f t="shared" si="117"/>
        <v>0</v>
      </c>
      <c r="T197" s="22">
        <f t="shared" si="118"/>
        <v>14.169572064785612</v>
      </c>
      <c r="U197" s="22">
        <f t="shared" si="119"/>
        <v>2.9069000000000003</v>
      </c>
      <c r="V197" s="21">
        <f t="shared" si="131"/>
        <v>0</v>
      </c>
      <c r="W197" s="21">
        <f t="shared" si="132"/>
        <v>0</v>
      </c>
      <c r="X197" s="21">
        <f t="shared" si="124"/>
        <v>2.4272972882000019</v>
      </c>
      <c r="Y197" s="21">
        <f t="shared" si="125"/>
        <v>0</v>
      </c>
      <c r="Z197" s="221">
        <f t="shared" si="120"/>
        <v>1</v>
      </c>
      <c r="AA197" s="30">
        <f t="shared" si="108"/>
        <v>0</v>
      </c>
      <c r="AB197" s="30">
        <f t="shared" si="109"/>
        <v>0</v>
      </c>
      <c r="AC197" s="30">
        <f t="shared" si="110"/>
        <v>4.9619534919017996</v>
      </c>
      <c r="AD197" s="30">
        <f t="shared" si="111"/>
        <v>0</v>
      </c>
      <c r="AE197" s="32">
        <f t="shared" si="121"/>
        <v>4.9619534919017996</v>
      </c>
    </row>
    <row r="198" spans="1:31" x14ac:dyDescent="0.35">
      <c r="A198" s="48">
        <v>1539</v>
      </c>
      <c r="B198" s="58">
        <f>SUMIF([2]!Table2_23[ETA],'IAB Model'!A198,[2]!Table2_23[FIS PAX])</f>
        <v>185</v>
      </c>
      <c r="C198" s="44">
        <f t="shared" si="122"/>
        <v>0</v>
      </c>
      <c r="D198" s="52">
        <f t="shared" si="126"/>
        <v>0</v>
      </c>
      <c r="E198" s="26">
        <f t="shared" si="112"/>
        <v>0</v>
      </c>
      <c r="F198" s="26">
        <f t="shared" si="113"/>
        <v>0</v>
      </c>
      <c r="G198" s="26">
        <f t="shared" si="114"/>
        <v>0</v>
      </c>
      <c r="H198" s="26">
        <f t="shared" si="123"/>
        <v>0</v>
      </c>
      <c r="I198" s="27">
        <f t="shared" si="133"/>
        <v>0</v>
      </c>
      <c r="J198" s="27">
        <f t="shared" si="133"/>
        <v>0</v>
      </c>
      <c r="K198" s="27">
        <f t="shared" si="133"/>
        <v>0</v>
      </c>
      <c r="L198" s="27">
        <f t="shared" si="133"/>
        <v>0</v>
      </c>
      <c r="M198" s="28">
        <f t="shared" si="134"/>
        <v>11</v>
      </c>
      <c r="N198" s="29">
        <f t="shared" si="135"/>
        <v>5</v>
      </c>
      <c r="O198" s="28">
        <f t="shared" si="136"/>
        <v>2</v>
      </c>
      <c r="P198" s="28">
        <f t="shared" si="137"/>
        <v>0</v>
      </c>
      <c r="Q198" s="28">
        <f t="shared" si="115"/>
        <v>18</v>
      </c>
      <c r="R198" s="22">
        <f t="shared" si="116"/>
        <v>0</v>
      </c>
      <c r="S198" s="22">
        <f t="shared" si="117"/>
        <v>0</v>
      </c>
      <c r="T198" s="22">
        <f t="shared" si="118"/>
        <v>9.2076185728838134</v>
      </c>
      <c r="U198" s="22">
        <f t="shared" si="119"/>
        <v>2.9069000000000003</v>
      </c>
      <c r="V198" s="21">
        <f t="shared" si="131"/>
        <v>0</v>
      </c>
      <c r="W198" s="21">
        <f t="shared" si="132"/>
        <v>0</v>
      </c>
      <c r="X198" s="21">
        <f t="shared" si="124"/>
        <v>1.5772972882000023</v>
      </c>
      <c r="Y198" s="21">
        <f t="shared" si="125"/>
        <v>0</v>
      </c>
      <c r="Z198" s="221">
        <f t="shared" si="120"/>
        <v>1</v>
      </c>
      <c r="AA198" s="30">
        <f t="shared" si="108"/>
        <v>0</v>
      </c>
      <c r="AB198" s="30">
        <f t="shared" si="109"/>
        <v>0</v>
      </c>
      <c r="AC198" s="30">
        <f t="shared" si="110"/>
        <v>4.9619534919017996</v>
      </c>
      <c r="AD198" s="30">
        <f t="shared" si="111"/>
        <v>0</v>
      </c>
      <c r="AE198" s="32">
        <f t="shared" si="121"/>
        <v>4.9619534919017996</v>
      </c>
    </row>
    <row r="199" spans="1:31" x14ac:dyDescent="0.35">
      <c r="A199" s="48">
        <v>1540</v>
      </c>
      <c r="B199" s="58">
        <f>SUMIF([2]!Table2_23[ETA],'IAB Model'!A199,[2]!Table2_23[FIS PAX])</f>
        <v>0</v>
      </c>
      <c r="C199" s="44">
        <f t="shared" si="122"/>
        <v>18</v>
      </c>
      <c r="D199" s="52">
        <f t="shared" si="126"/>
        <v>167</v>
      </c>
      <c r="E199" s="26">
        <f t="shared" si="112"/>
        <v>8.2691999999999997</v>
      </c>
      <c r="F199" s="26">
        <f t="shared" si="113"/>
        <v>5.3369999999999997</v>
      </c>
      <c r="G199" s="26">
        <f t="shared" si="114"/>
        <v>3.1175999999999999</v>
      </c>
      <c r="H199" s="26">
        <f t="shared" si="123"/>
        <v>1.2762</v>
      </c>
      <c r="I199" s="27">
        <f t="shared" ref="I199:L214" si="138">E184</f>
        <v>0</v>
      </c>
      <c r="J199" s="27">
        <f t="shared" si="138"/>
        <v>0</v>
      </c>
      <c r="K199" s="27">
        <f t="shared" si="138"/>
        <v>0</v>
      </c>
      <c r="L199" s="27">
        <f t="shared" si="138"/>
        <v>0</v>
      </c>
      <c r="M199" s="28">
        <f t="shared" si="134"/>
        <v>11</v>
      </c>
      <c r="N199" s="29">
        <f t="shared" si="135"/>
        <v>5</v>
      </c>
      <c r="O199" s="28">
        <f t="shared" si="136"/>
        <v>2</v>
      </c>
      <c r="P199" s="28">
        <f t="shared" si="137"/>
        <v>0</v>
      </c>
      <c r="Q199" s="28">
        <f t="shared" si="115"/>
        <v>18</v>
      </c>
      <c r="R199" s="22">
        <f t="shared" si="116"/>
        <v>0</v>
      </c>
      <c r="S199" s="22">
        <f t="shared" si="117"/>
        <v>0</v>
      </c>
      <c r="T199" s="22">
        <f t="shared" si="118"/>
        <v>4.2456650809820138</v>
      </c>
      <c r="U199" s="22">
        <f t="shared" si="119"/>
        <v>2.9069000000000003</v>
      </c>
      <c r="V199" s="21">
        <f t="shared" si="131"/>
        <v>0</v>
      </c>
      <c r="W199" s="21">
        <f t="shared" si="132"/>
        <v>0</v>
      </c>
      <c r="X199" s="21">
        <f t="shared" si="124"/>
        <v>0.72729728820000239</v>
      </c>
      <c r="Y199" s="21">
        <f t="shared" si="125"/>
        <v>0</v>
      </c>
      <c r="Z199" s="221">
        <f t="shared" si="120"/>
        <v>1</v>
      </c>
      <c r="AA199" s="30">
        <f t="shared" si="108"/>
        <v>0</v>
      </c>
      <c r="AB199" s="30">
        <f t="shared" si="109"/>
        <v>0</v>
      </c>
      <c r="AC199" s="30">
        <f t="shared" si="110"/>
        <v>4.9619534919017996</v>
      </c>
      <c r="AD199" s="30">
        <f t="shared" si="111"/>
        <v>0</v>
      </c>
      <c r="AE199" s="32">
        <f t="shared" si="121"/>
        <v>4.9619534919017996</v>
      </c>
    </row>
    <row r="200" spans="1:31" x14ac:dyDescent="0.35">
      <c r="A200" s="48">
        <v>1541</v>
      </c>
      <c r="B200" s="58">
        <f>SUMIF([2]!Table2_23[ETA],'IAB Model'!A200,[2]!Table2_23[FIS PAX])</f>
        <v>0</v>
      </c>
      <c r="C200" s="44">
        <f t="shared" si="122"/>
        <v>18</v>
      </c>
      <c r="D200" s="52">
        <f t="shared" si="126"/>
        <v>149</v>
      </c>
      <c r="E200" s="26">
        <f t="shared" si="112"/>
        <v>8.2691999999999997</v>
      </c>
      <c r="F200" s="26">
        <f t="shared" si="113"/>
        <v>5.3369999999999997</v>
      </c>
      <c r="G200" s="26">
        <f t="shared" si="114"/>
        <v>3.1175999999999999</v>
      </c>
      <c r="H200" s="26">
        <f t="shared" si="123"/>
        <v>1.2762</v>
      </c>
      <c r="I200" s="27">
        <f t="shared" si="138"/>
        <v>0</v>
      </c>
      <c r="J200" s="27">
        <f t="shared" si="138"/>
        <v>0</v>
      </c>
      <c r="K200" s="27">
        <f t="shared" si="138"/>
        <v>0</v>
      </c>
      <c r="L200" s="27">
        <f t="shared" si="138"/>
        <v>0</v>
      </c>
      <c r="M200" s="28">
        <f t="shared" si="134"/>
        <v>11</v>
      </c>
      <c r="N200" s="29">
        <f t="shared" si="135"/>
        <v>5</v>
      </c>
      <c r="O200" s="28">
        <f t="shared" si="136"/>
        <v>2</v>
      </c>
      <c r="P200" s="28">
        <f t="shared" si="137"/>
        <v>0</v>
      </c>
      <c r="Q200" s="28">
        <f t="shared" si="115"/>
        <v>18</v>
      </c>
      <c r="R200" s="22">
        <f t="shared" si="116"/>
        <v>0</v>
      </c>
      <c r="S200" s="22">
        <f t="shared" si="117"/>
        <v>0</v>
      </c>
      <c r="T200" s="22">
        <f t="shared" si="118"/>
        <v>0</v>
      </c>
      <c r="U200" s="22">
        <f t="shared" si="119"/>
        <v>2.9069000000000003</v>
      </c>
      <c r="V200" s="21">
        <f t="shared" si="131"/>
        <v>0</v>
      </c>
      <c r="W200" s="21">
        <f t="shared" si="132"/>
        <v>0</v>
      </c>
      <c r="X200" s="21">
        <f t="shared" si="124"/>
        <v>0</v>
      </c>
      <c r="Y200" s="21">
        <f t="shared" si="125"/>
        <v>0</v>
      </c>
      <c r="Z200" s="221">
        <f t="shared" si="120"/>
        <v>0</v>
      </c>
      <c r="AA200" s="30">
        <f t="shared" si="108"/>
        <v>0</v>
      </c>
      <c r="AB200" s="30">
        <f t="shared" si="109"/>
        <v>0</v>
      </c>
      <c r="AC200" s="30">
        <f t="shared" si="110"/>
        <v>0</v>
      </c>
      <c r="AD200" s="30">
        <f t="shared" si="111"/>
        <v>0</v>
      </c>
      <c r="AE200" s="32">
        <f t="shared" si="121"/>
        <v>0</v>
      </c>
    </row>
    <row r="201" spans="1:31" x14ac:dyDescent="0.35">
      <c r="A201" s="48">
        <v>1542</v>
      </c>
      <c r="B201" s="58">
        <f>SUMIF([2]!Table2_23[ETA],'IAB Model'!A201,[2]!Table2_23[FIS PAX])</f>
        <v>0</v>
      </c>
      <c r="C201" s="44">
        <f t="shared" si="122"/>
        <v>18</v>
      </c>
      <c r="D201" s="52">
        <f t="shared" si="126"/>
        <v>131</v>
      </c>
      <c r="E201" s="26">
        <f t="shared" si="112"/>
        <v>8.2691999999999997</v>
      </c>
      <c r="F201" s="26">
        <f t="shared" si="113"/>
        <v>5.3369999999999997</v>
      </c>
      <c r="G201" s="26">
        <f t="shared" si="114"/>
        <v>3.1175999999999999</v>
      </c>
      <c r="H201" s="26">
        <f t="shared" si="123"/>
        <v>1.2762</v>
      </c>
      <c r="I201" s="27">
        <f t="shared" si="138"/>
        <v>0</v>
      </c>
      <c r="J201" s="27">
        <f t="shared" si="138"/>
        <v>0</v>
      </c>
      <c r="K201" s="27">
        <f t="shared" si="138"/>
        <v>0</v>
      </c>
      <c r="L201" s="27">
        <f t="shared" si="138"/>
        <v>0</v>
      </c>
      <c r="M201" s="28">
        <f t="shared" si="134"/>
        <v>11</v>
      </c>
      <c r="N201" s="29">
        <f t="shared" si="135"/>
        <v>5</v>
      </c>
      <c r="O201" s="28">
        <f t="shared" si="136"/>
        <v>2</v>
      </c>
      <c r="P201" s="28">
        <f t="shared" si="137"/>
        <v>0</v>
      </c>
      <c r="Q201" s="28">
        <f t="shared" si="115"/>
        <v>18</v>
      </c>
      <c r="R201" s="22">
        <f t="shared" si="116"/>
        <v>0</v>
      </c>
      <c r="S201" s="22">
        <f t="shared" si="117"/>
        <v>0</v>
      </c>
      <c r="T201" s="22">
        <f t="shared" si="118"/>
        <v>0</v>
      </c>
      <c r="U201" s="22">
        <f t="shared" si="119"/>
        <v>2.9069000000000003</v>
      </c>
      <c r="V201" s="21">
        <f t="shared" si="131"/>
        <v>0</v>
      </c>
      <c r="W201" s="21">
        <f t="shared" si="132"/>
        <v>0</v>
      </c>
      <c r="X201" s="21">
        <f t="shared" si="124"/>
        <v>0</v>
      </c>
      <c r="Y201" s="21">
        <f t="shared" si="125"/>
        <v>0</v>
      </c>
      <c r="Z201" s="221">
        <f t="shared" si="120"/>
        <v>0</v>
      </c>
      <c r="AA201" s="30">
        <f t="shared" si="108"/>
        <v>0</v>
      </c>
      <c r="AB201" s="30">
        <f t="shared" si="109"/>
        <v>0</v>
      </c>
      <c r="AC201" s="30">
        <f t="shared" si="110"/>
        <v>0</v>
      </c>
      <c r="AD201" s="30">
        <f t="shared" si="111"/>
        <v>0</v>
      </c>
      <c r="AE201" s="32">
        <f t="shared" si="121"/>
        <v>0</v>
      </c>
    </row>
    <row r="202" spans="1:31" x14ac:dyDescent="0.35">
      <c r="A202" s="48">
        <v>1543</v>
      </c>
      <c r="B202" s="58">
        <f>SUMIF([2]!Table2_23[ETA],'IAB Model'!A202,[2]!Table2_23[FIS PAX])</f>
        <v>0</v>
      </c>
      <c r="C202" s="44">
        <f t="shared" si="122"/>
        <v>18</v>
      </c>
      <c r="D202" s="52">
        <f t="shared" si="126"/>
        <v>113</v>
      </c>
      <c r="E202" s="26">
        <f t="shared" si="112"/>
        <v>8.2691999999999997</v>
      </c>
      <c r="F202" s="26">
        <f t="shared" si="113"/>
        <v>5.3369999999999997</v>
      </c>
      <c r="G202" s="26">
        <f t="shared" si="114"/>
        <v>3.1175999999999999</v>
      </c>
      <c r="H202" s="26">
        <f t="shared" si="123"/>
        <v>1.2762</v>
      </c>
      <c r="I202" s="27">
        <f t="shared" si="138"/>
        <v>0</v>
      </c>
      <c r="J202" s="27">
        <f t="shared" si="138"/>
        <v>0</v>
      </c>
      <c r="K202" s="27">
        <f t="shared" si="138"/>
        <v>0</v>
      </c>
      <c r="L202" s="27">
        <f t="shared" si="138"/>
        <v>0</v>
      </c>
      <c r="M202" s="28">
        <f t="shared" si="134"/>
        <v>11</v>
      </c>
      <c r="N202" s="29">
        <f t="shared" si="135"/>
        <v>5</v>
      </c>
      <c r="O202" s="28">
        <f t="shared" si="136"/>
        <v>2</v>
      </c>
      <c r="P202" s="28">
        <f t="shared" si="137"/>
        <v>0</v>
      </c>
      <c r="Q202" s="28">
        <f t="shared" si="115"/>
        <v>18</v>
      </c>
      <c r="R202" s="22">
        <f t="shared" si="116"/>
        <v>0</v>
      </c>
      <c r="S202" s="22">
        <f t="shared" si="117"/>
        <v>0</v>
      </c>
      <c r="T202" s="22">
        <f t="shared" si="118"/>
        <v>0</v>
      </c>
      <c r="U202" s="22">
        <f t="shared" si="119"/>
        <v>2.9069000000000003</v>
      </c>
      <c r="V202" s="21">
        <f t="shared" si="131"/>
        <v>0</v>
      </c>
      <c r="W202" s="21">
        <f t="shared" si="132"/>
        <v>0</v>
      </c>
      <c r="X202" s="21">
        <f t="shared" si="124"/>
        <v>0</v>
      </c>
      <c r="Y202" s="21">
        <f t="shared" si="125"/>
        <v>0</v>
      </c>
      <c r="Z202" s="221">
        <f t="shared" si="120"/>
        <v>0</v>
      </c>
      <c r="AA202" s="30">
        <f t="shared" si="108"/>
        <v>0</v>
      </c>
      <c r="AB202" s="30">
        <f t="shared" si="109"/>
        <v>0</v>
      </c>
      <c r="AC202" s="30">
        <f t="shared" si="110"/>
        <v>0</v>
      </c>
      <c r="AD202" s="30">
        <f t="shared" si="111"/>
        <v>0</v>
      </c>
      <c r="AE202" s="32">
        <f t="shared" si="121"/>
        <v>0</v>
      </c>
    </row>
    <row r="203" spans="1:31" x14ac:dyDescent="0.35">
      <c r="A203" s="48">
        <v>1544</v>
      </c>
      <c r="B203" s="58">
        <f>SUMIF([2]!Table2_23[ETA],'IAB Model'!A203,[2]!Table2_23[FIS PAX])</f>
        <v>0</v>
      </c>
      <c r="C203" s="44">
        <f t="shared" si="122"/>
        <v>18</v>
      </c>
      <c r="D203" s="52">
        <f t="shared" si="126"/>
        <v>95</v>
      </c>
      <c r="E203" s="26">
        <f t="shared" si="112"/>
        <v>8.2691999999999997</v>
      </c>
      <c r="F203" s="26">
        <f t="shared" si="113"/>
        <v>5.3369999999999997</v>
      </c>
      <c r="G203" s="26">
        <f t="shared" si="114"/>
        <v>3.1175999999999999</v>
      </c>
      <c r="H203" s="26">
        <f t="shared" si="123"/>
        <v>1.2762</v>
      </c>
      <c r="I203" s="27">
        <f t="shared" si="138"/>
        <v>0</v>
      </c>
      <c r="J203" s="27">
        <f t="shared" si="138"/>
        <v>0</v>
      </c>
      <c r="K203" s="27">
        <f t="shared" si="138"/>
        <v>0</v>
      </c>
      <c r="L203" s="27">
        <f t="shared" si="138"/>
        <v>0</v>
      </c>
      <c r="M203" s="28">
        <f t="shared" si="134"/>
        <v>11</v>
      </c>
      <c r="N203" s="29">
        <f t="shared" si="135"/>
        <v>5</v>
      </c>
      <c r="O203" s="28">
        <f t="shared" si="136"/>
        <v>2</v>
      </c>
      <c r="P203" s="28">
        <f t="shared" si="137"/>
        <v>0</v>
      </c>
      <c r="Q203" s="28">
        <f t="shared" si="115"/>
        <v>18</v>
      </c>
      <c r="R203" s="22">
        <f t="shared" si="116"/>
        <v>0</v>
      </c>
      <c r="S203" s="22">
        <f t="shared" si="117"/>
        <v>0</v>
      </c>
      <c r="T203" s="22">
        <f t="shared" si="118"/>
        <v>0</v>
      </c>
      <c r="U203" s="22">
        <f t="shared" si="119"/>
        <v>2.9069000000000003</v>
      </c>
      <c r="V203" s="21">
        <f t="shared" si="131"/>
        <v>0</v>
      </c>
      <c r="W203" s="21">
        <f t="shared" si="132"/>
        <v>0</v>
      </c>
      <c r="X203" s="21">
        <f t="shared" si="124"/>
        <v>0</v>
      </c>
      <c r="Y203" s="21">
        <f t="shared" si="125"/>
        <v>0</v>
      </c>
      <c r="Z203" s="221">
        <f t="shared" si="120"/>
        <v>0</v>
      </c>
      <c r="AA203" s="30">
        <f t="shared" si="108"/>
        <v>0</v>
      </c>
      <c r="AB203" s="30">
        <f t="shared" si="109"/>
        <v>0</v>
      </c>
      <c r="AC203" s="30">
        <f t="shared" si="110"/>
        <v>0</v>
      </c>
      <c r="AD203" s="30">
        <f t="shared" si="111"/>
        <v>0</v>
      </c>
      <c r="AE203" s="32">
        <f t="shared" si="121"/>
        <v>0</v>
      </c>
    </row>
    <row r="204" spans="1:31" x14ac:dyDescent="0.35">
      <c r="A204" s="48">
        <v>1545</v>
      </c>
      <c r="B204" s="58">
        <f>SUMIF([2]!Table2_23[ETA],'IAB Model'!A204,[2]!Table2_23[FIS PAX])</f>
        <v>0</v>
      </c>
      <c r="C204" s="44">
        <f t="shared" si="122"/>
        <v>18</v>
      </c>
      <c r="D204" s="52">
        <f t="shared" si="126"/>
        <v>77</v>
      </c>
      <c r="E204" s="26">
        <f t="shared" si="112"/>
        <v>8.2691999999999997</v>
      </c>
      <c r="F204" s="26">
        <f t="shared" si="113"/>
        <v>5.3369999999999997</v>
      </c>
      <c r="G204" s="26">
        <f t="shared" si="114"/>
        <v>3.1175999999999999</v>
      </c>
      <c r="H204" s="26">
        <f t="shared" si="123"/>
        <v>1.2762</v>
      </c>
      <c r="I204" s="27">
        <f t="shared" si="138"/>
        <v>0</v>
      </c>
      <c r="J204" s="27">
        <f t="shared" si="138"/>
        <v>0</v>
      </c>
      <c r="K204" s="27">
        <f t="shared" si="138"/>
        <v>0</v>
      </c>
      <c r="L204" s="27">
        <f t="shared" si="138"/>
        <v>0</v>
      </c>
      <c r="M204" s="28">
        <f t="shared" si="134"/>
        <v>11</v>
      </c>
      <c r="N204" s="29">
        <f t="shared" si="135"/>
        <v>5</v>
      </c>
      <c r="O204" s="28">
        <f t="shared" si="136"/>
        <v>2</v>
      </c>
      <c r="P204" s="28">
        <f t="shared" si="137"/>
        <v>0</v>
      </c>
      <c r="Q204" s="28">
        <f t="shared" si="115"/>
        <v>18</v>
      </c>
      <c r="R204" s="22">
        <f t="shared" si="116"/>
        <v>0</v>
      </c>
      <c r="S204" s="22">
        <f t="shared" si="117"/>
        <v>0</v>
      </c>
      <c r="T204" s="22">
        <f t="shared" si="118"/>
        <v>0</v>
      </c>
      <c r="U204" s="22">
        <f t="shared" si="119"/>
        <v>2.9069000000000003</v>
      </c>
      <c r="V204" s="21">
        <f t="shared" si="131"/>
        <v>0</v>
      </c>
      <c r="W204" s="21">
        <f t="shared" si="132"/>
        <v>0</v>
      </c>
      <c r="X204" s="21">
        <f t="shared" si="124"/>
        <v>0</v>
      </c>
      <c r="Y204" s="21">
        <f t="shared" si="125"/>
        <v>0</v>
      </c>
      <c r="Z204" s="221">
        <f t="shared" si="120"/>
        <v>0</v>
      </c>
      <c r="AA204" s="30">
        <f t="shared" si="108"/>
        <v>0</v>
      </c>
      <c r="AB204" s="30">
        <f t="shared" si="109"/>
        <v>0</v>
      </c>
      <c r="AC204" s="30">
        <f t="shared" si="110"/>
        <v>0</v>
      </c>
      <c r="AD204" s="30">
        <f t="shared" si="111"/>
        <v>0</v>
      </c>
      <c r="AE204" s="32">
        <f t="shared" si="121"/>
        <v>0</v>
      </c>
    </row>
    <row r="205" spans="1:31" x14ac:dyDescent="0.35">
      <c r="A205" s="48">
        <v>1546</v>
      </c>
      <c r="B205" s="58">
        <f>SUMIF([2]!Table2_23[ETA],'IAB Model'!A205,[2]!Table2_23[FIS PAX])</f>
        <v>123</v>
      </c>
      <c r="C205" s="44">
        <f t="shared" si="122"/>
        <v>18</v>
      </c>
      <c r="D205" s="52">
        <f t="shared" si="126"/>
        <v>59</v>
      </c>
      <c r="E205" s="26">
        <f t="shared" si="112"/>
        <v>8.2691999999999997</v>
      </c>
      <c r="F205" s="26">
        <f t="shared" si="113"/>
        <v>5.3369999999999997</v>
      </c>
      <c r="G205" s="26">
        <f t="shared" si="114"/>
        <v>3.1175999999999999</v>
      </c>
      <c r="H205" s="26">
        <f t="shared" si="123"/>
        <v>1.2762</v>
      </c>
      <c r="I205" s="27">
        <f t="shared" si="138"/>
        <v>0</v>
      </c>
      <c r="J205" s="27">
        <f t="shared" si="138"/>
        <v>0</v>
      </c>
      <c r="K205" s="27">
        <f t="shared" si="138"/>
        <v>0</v>
      </c>
      <c r="L205" s="27">
        <f t="shared" si="138"/>
        <v>0</v>
      </c>
      <c r="M205" s="28">
        <f>IF(R204=0,0,$Q$17)</f>
        <v>0</v>
      </c>
      <c r="N205" s="29">
        <f>$U$17-M205-O205-P205</f>
        <v>17</v>
      </c>
      <c r="O205" s="28">
        <f>IF(T204=0,0,$S$17)</f>
        <v>0</v>
      </c>
      <c r="P205" s="28">
        <f>IF(U204=0,0,$T$17)</f>
        <v>1</v>
      </c>
      <c r="Q205" s="28">
        <f t="shared" si="115"/>
        <v>18</v>
      </c>
      <c r="R205" s="22">
        <f t="shared" si="116"/>
        <v>0</v>
      </c>
      <c r="S205" s="22">
        <f t="shared" si="117"/>
        <v>0</v>
      </c>
      <c r="T205" s="22">
        <f t="shared" si="118"/>
        <v>0</v>
      </c>
      <c r="U205" s="22">
        <f t="shared" si="119"/>
        <v>1.0705669626403449</v>
      </c>
      <c r="V205" s="21">
        <f t="shared" si="131"/>
        <v>0</v>
      </c>
      <c r="W205" s="21">
        <f t="shared" si="132"/>
        <v>0</v>
      </c>
      <c r="X205" s="21">
        <f t="shared" si="124"/>
        <v>0</v>
      </c>
      <c r="Y205" s="21">
        <f t="shared" si="125"/>
        <v>0.49554296510000018</v>
      </c>
      <c r="Z205" s="221">
        <f t="shared" si="120"/>
        <v>1</v>
      </c>
      <c r="AA205" s="30">
        <f t="shared" si="108"/>
        <v>0</v>
      </c>
      <c r="AB205" s="30">
        <f t="shared" si="109"/>
        <v>0</v>
      </c>
      <c r="AC205" s="30">
        <f t="shared" si="110"/>
        <v>0</v>
      </c>
      <c r="AD205" s="30">
        <f t="shared" si="111"/>
        <v>1.8363330373596554</v>
      </c>
      <c r="AE205" s="32">
        <f t="shared" si="121"/>
        <v>1.8363330373596554</v>
      </c>
    </row>
    <row r="206" spans="1:31" x14ac:dyDescent="0.35">
      <c r="A206" s="48">
        <v>1547</v>
      </c>
      <c r="B206" s="58">
        <f>SUMIF([2]!Table2_23[ETA],'IAB Model'!A206,[2]!Table2_23[FIS PAX])</f>
        <v>0</v>
      </c>
      <c r="C206" s="44">
        <f t="shared" si="122"/>
        <v>18</v>
      </c>
      <c r="D206" s="52">
        <f t="shared" si="126"/>
        <v>164</v>
      </c>
      <c r="E206" s="26">
        <f t="shared" si="112"/>
        <v>8.2691999999999997</v>
      </c>
      <c r="F206" s="26">
        <f t="shared" si="113"/>
        <v>5.3369999999999997</v>
      </c>
      <c r="G206" s="26">
        <f t="shared" si="114"/>
        <v>3.1175999999999999</v>
      </c>
      <c r="H206" s="26">
        <f t="shared" si="123"/>
        <v>1.2762</v>
      </c>
      <c r="I206" s="27">
        <f t="shared" si="138"/>
        <v>0</v>
      </c>
      <c r="J206" s="27">
        <f t="shared" si="138"/>
        <v>0</v>
      </c>
      <c r="K206" s="27">
        <f t="shared" si="138"/>
        <v>0</v>
      </c>
      <c r="L206" s="27">
        <f t="shared" si="138"/>
        <v>0</v>
      </c>
      <c r="M206" s="28">
        <f>$M$205</f>
        <v>0</v>
      </c>
      <c r="N206" s="29">
        <f>$N$205</f>
        <v>17</v>
      </c>
      <c r="O206" s="28">
        <f>$O$205</f>
        <v>0</v>
      </c>
      <c r="P206" s="28">
        <f>$P$205</f>
        <v>1</v>
      </c>
      <c r="Q206" s="28">
        <f t="shared" si="115"/>
        <v>18</v>
      </c>
      <c r="R206" s="22">
        <f t="shared" si="116"/>
        <v>0</v>
      </c>
      <c r="S206" s="22">
        <f t="shared" si="117"/>
        <v>0</v>
      </c>
      <c r="T206" s="22">
        <f t="shared" si="118"/>
        <v>0</v>
      </c>
      <c r="U206" s="22">
        <f t="shared" si="119"/>
        <v>0</v>
      </c>
      <c r="V206" s="21">
        <f t="shared" si="131"/>
        <v>0</v>
      </c>
      <c r="W206" s="21">
        <f t="shared" si="132"/>
        <v>0</v>
      </c>
      <c r="X206" s="21">
        <f t="shared" si="124"/>
        <v>0</v>
      </c>
      <c r="Y206" s="21">
        <f t="shared" si="125"/>
        <v>0</v>
      </c>
      <c r="Z206" s="221">
        <f t="shared" si="120"/>
        <v>0</v>
      </c>
      <c r="AA206" s="30">
        <f t="shared" si="108"/>
        <v>0</v>
      </c>
      <c r="AB206" s="30">
        <f t="shared" si="109"/>
        <v>0</v>
      </c>
      <c r="AC206" s="30">
        <f t="shared" si="110"/>
        <v>0</v>
      </c>
      <c r="AD206" s="30">
        <f t="shared" si="111"/>
        <v>0</v>
      </c>
      <c r="AE206" s="32">
        <f t="shared" si="121"/>
        <v>0</v>
      </c>
    </row>
    <row r="207" spans="1:31" x14ac:dyDescent="0.35">
      <c r="A207" s="48">
        <v>1548</v>
      </c>
      <c r="B207" s="58">
        <f>SUMIF([2]!Table2_23[ETA],'IAB Model'!A207,[2]!Table2_23[FIS PAX])</f>
        <v>0</v>
      </c>
      <c r="C207" s="44">
        <f t="shared" si="122"/>
        <v>18</v>
      </c>
      <c r="D207" s="52">
        <f t="shared" si="126"/>
        <v>146</v>
      </c>
      <c r="E207" s="26">
        <f t="shared" si="112"/>
        <v>8.2691999999999997</v>
      </c>
      <c r="F207" s="26">
        <f t="shared" si="113"/>
        <v>5.3369999999999997</v>
      </c>
      <c r="G207" s="26">
        <f t="shared" si="114"/>
        <v>3.1175999999999999</v>
      </c>
      <c r="H207" s="26">
        <f t="shared" si="123"/>
        <v>1.2762</v>
      </c>
      <c r="I207" s="27">
        <f t="shared" si="138"/>
        <v>0</v>
      </c>
      <c r="J207" s="27">
        <f t="shared" si="138"/>
        <v>0</v>
      </c>
      <c r="K207" s="27">
        <f t="shared" si="138"/>
        <v>0</v>
      </c>
      <c r="L207" s="27">
        <f t="shared" si="138"/>
        <v>0</v>
      </c>
      <c r="M207" s="28">
        <f t="shared" ref="M207:M219" si="139">$M$205</f>
        <v>0</v>
      </c>
      <c r="N207" s="29">
        <f t="shared" ref="N207:N219" si="140">$N$205</f>
        <v>17</v>
      </c>
      <c r="O207" s="28">
        <f t="shared" ref="O207:O219" si="141">$O$205</f>
        <v>0</v>
      </c>
      <c r="P207" s="28">
        <f t="shared" ref="P207:P219" si="142">$P$205</f>
        <v>1</v>
      </c>
      <c r="Q207" s="28">
        <f t="shared" si="115"/>
        <v>18</v>
      </c>
      <c r="R207" s="22">
        <f t="shared" si="116"/>
        <v>0</v>
      </c>
      <c r="S207" s="22">
        <f t="shared" si="117"/>
        <v>0</v>
      </c>
      <c r="T207" s="22">
        <f t="shared" si="118"/>
        <v>0</v>
      </c>
      <c r="U207" s="22">
        <f t="shared" si="119"/>
        <v>0</v>
      </c>
      <c r="V207" s="21">
        <f t="shared" si="131"/>
        <v>0</v>
      </c>
      <c r="W207" s="21">
        <f t="shared" si="132"/>
        <v>0</v>
      </c>
      <c r="X207" s="21">
        <f t="shared" si="124"/>
        <v>0</v>
      </c>
      <c r="Y207" s="21">
        <f t="shared" si="125"/>
        <v>0</v>
      </c>
      <c r="Z207" s="221">
        <f t="shared" si="120"/>
        <v>0</v>
      </c>
      <c r="AA207" s="30">
        <f t="shared" si="108"/>
        <v>0</v>
      </c>
      <c r="AB207" s="30">
        <f t="shared" si="109"/>
        <v>0</v>
      </c>
      <c r="AC207" s="30">
        <f t="shared" si="110"/>
        <v>0</v>
      </c>
      <c r="AD207" s="30">
        <f t="shared" si="111"/>
        <v>0</v>
      </c>
      <c r="AE207" s="32">
        <f t="shared" si="121"/>
        <v>0</v>
      </c>
    </row>
    <row r="208" spans="1:31" x14ac:dyDescent="0.35">
      <c r="A208" s="48">
        <v>1549</v>
      </c>
      <c r="B208" s="58">
        <f>SUMIF([2]!Table2_23[ETA],'IAB Model'!A208,[2]!Table2_23[FIS PAX])</f>
        <v>0</v>
      </c>
      <c r="C208" s="44">
        <f t="shared" si="122"/>
        <v>18</v>
      </c>
      <c r="D208" s="52">
        <f t="shared" si="126"/>
        <v>128</v>
      </c>
      <c r="E208" s="26">
        <f t="shared" si="112"/>
        <v>8.2691999999999997</v>
      </c>
      <c r="F208" s="26">
        <f t="shared" si="113"/>
        <v>5.3369999999999997</v>
      </c>
      <c r="G208" s="26">
        <f t="shared" si="114"/>
        <v>3.1175999999999999</v>
      </c>
      <c r="H208" s="26">
        <f t="shared" si="123"/>
        <v>1.2762</v>
      </c>
      <c r="I208" s="27">
        <f t="shared" si="138"/>
        <v>0</v>
      </c>
      <c r="J208" s="27">
        <f t="shared" si="138"/>
        <v>0</v>
      </c>
      <c r="K208" s="27">
        <f t="shared" si="138"/>
        <v>0</v>
      </c>
      <c r="L208" s="27">
        <f t="shared" si="138"/>
        <v>0</v>
      </c>
      <c r="M208" s="28">
        <f t="shared" si="139"/>
        <v>0</v>
      </c>
      <c r="N208" s="29">
        <f t="shared" si="140"/>
        <v>17</v>
      </c>
      <c r="O208" s="28">
        <f t="shared" si="141"/>
        <v>0</v>
      </c>
      <c r="P208" s="28">
        <f t="shared" si="142"/>
        <v>1</v>
      </c>
      <c r="Q208" s="28">
        <f t="shared" si="115"/>
        <v>18</v>
      </c>
      <c r="R208" s="22">
        <f t="shared" si="116"/>
        <v>0</v>
      </c>
      <c r="S208" s="22">
        <f t="shared" si="117"/>
        <v>0</v>
      </c>
      <c r="T208" s="22">
        <f t="shared" si="118"/>
        <v>0</v>
      </c>
      <c r="U208" s="22">
        <f t="shared" si="119"/>
        <v>0</v>
      </c>
      <c r="V208" s="21">
        <f t="shared" si="131"/>
        <v>0</v>
      </c>
      <c r="W208" s="21">
        <f t="shared" si="132"/>
        <v>0</v>
      </c>
      <c r="X208" s="21">
        <f t="shared" si="124"/>
        <v>0</v>
      </c>
      <c r="Y208" s="21">
        <f t="shared" si="125"/>
        <v>0</v>
      </c>
      <c r="Z208" s="221">
        <f t="shared" si="120"/>
        <v>0</v>
      </c>
      <c r="AA208" s="30">
        <f t="shared" si="108"/>
        <v>0</v>
      </c>
      <c r="AB208" s="30">
        <f t="shared" si="109"/>
        <v>0</v>
      </c>
      <c r="AC208" s="30">
        <f t="shared" si="110"/>
        <v>0</v>
      </c>
      <c r="AD208" s="30">
        <f t="shared" si="111"/>
        <v>0</v>
      </c>
      <c r="AE208" s="32">
        <f t="shared" si="121"/>
        <v>0</v>
      </c>
    </row>
    <row r="209" spans="1:31" x14ac:dyDescent="0.35">
      <c r="A209" s="48">
        <v>1550</v>
      </c>
      <c r="B209" s="58">
        <f>SUMIF([2]!Table2_23[ETA],'IAB Model'!A209,[2]!Table2_23[FIS PAX])</f>
        <v>17</v>
      </c>
      <c r="C209" s="44">
        <f t="shared" si="122"/>
        <v>18</v>
      </c>
      <c r="D209" s="52">
        <f t="shared" si="126"/>
        <v>110</v>
      </c>
      <c r="E209" s="26">
        <f t="shared" si="112"/>
        <v>8.2691999999999997</v>
      </c>
      <c r="F209" s="26">
        <f t="shared" si="113"/>
        <v>5.3369999999999997</v>
      </c>
      <c r="G209" s="26">
        <f t="shared" si="114"/>
        <v>3.1175999999999999</v>
      </c>
      <c r="H209" s="26">
        <f t="shared" si="123"/>
        <v>1.2762</v>
      </c>
      <c r="I209" s="27">
        <f t="shared" si="138"/>
        <v>0</v>
      </c>
      <c r="J209" s="27">
        <f t="shared" si="138"/>
        <v>0</v>
      </c>
      <c r="K209" s="27">
        <f t="shared" si="138"/>
        <v>0</v>
      </c>
      <c r="L209" s="27">
        <f t="shared" si="138"/>
        <v>0</v>
      </c>
      <c r="M209" s="28">
        <f t="shared" si="139"/>
        <v>0</v>
      </c>
      <c r="N209" s="29">
        <f t="shared" si="140"/>
        <v>17</v>
      </c>
      <c r="O209" s="28">
        <f t="shared" si="141"/>
        <v>0</v>
      </c>
      <c r="P209" s="28">
        <f t="shared" si="142"/>
        <v>1</v>
      </c>
      <c r="Q209" s="28">
        <f t="shared" si="115"/>
        <v>18</v>
      </c>
      <c r="R209" s="22">
        <f t="shared" si="116"/>
        <v>0</v>
      </c>
      <c r="S209" s="22">
        <f t="shared" si="117"/>
        <v>0</v>
      </c>
      <c r="T209" s="22">
        <f t="shared" si="118"/>
        <v>0</v>
      </c>
      <c r="U209" s="22">
        <f t="shared" si="119"/>
        <v>0</v>
      </c>
      <c r="V209" s="21">
        <f t="shared" si="131"/>
        <v>0</v>
      </c>
      <c r="W209" s="21">
        <f t="shared" si="132"/>
        <v>0</v>
      </c>
      <c r="X209" s="21">
        <f t="shared" si="124"/>
        <v>0</v>
      </c>
      <c r="Y209" s="21">
        <f t="shared" si="125"/>
        <v>0</v>
      </c>
      <c r="Z209" s="221">
        <f t="shared" si="120"/>
        <v>0</v>
      </c>
      <c r="AA209" s="30">
        <f t="shared" si="108"/>
        <v>0</v>
      </c>
      <c r="AB209" s="30">
        <f t="shared" si="109"/>
        <v>0</v>
      </c>
      <c r="AC209" s="30">
        <f t="shared" si="110"/>
        <v>0</v>
      </c>
      <c r="AD209" s="30">
        <f t="shared" si="111"/>
        <v>0</v>
      </c>
      <c r="AE209" s="32">
        <f t="shared" si="121"/>
        <v>0</v>
      </c>
    </row>
    <row r="210" spans="1:31" x14ac:dyDescent="0.35">
      <c r="A210" s="48">
        <v>1551</v>
      </c>
      <c r="B210" s="58">
        <f>SUMIF([2]!Table2_23[ETA],'IAB Model'!A210,[2]!Table2_23[FIS PAX])</f>
        <v>0</v>
      </c>
      <c r="C210" s="44">
        <f t="shared" si="122"/>
        <v>1</v>
      </c>
      <c r="D210" s="52">
        <f t="shared" si="126"/>
        <v>109</v>
      </c>
      <c r="E210" s="26">
        <f t="shared" si="112"/>
        <v>0.45939999999999998</v>
      </c>
      <c r="F210" s="26">
        <f t="shared" si="113"/>
        <v>0.29649999999999999</v>
      </c>
      <c r="G210" s="26">
        <f t="shared" si="114"/>
        <v>0.17319999999999999</v>
      </c>
      <c r="H210" s="26">
        <f t="shared" si="123"/>
        <v>7.0900000000000005E-2</v>
      </c>
      <c r="I210" s="27">
        <f t="shared" si="138"/>
        <v>0</v>
      </c>
      <c r="J210" s="27">
        <f t="shared" si="138"/>
        <v>0</v>
      </c>
      <c r="K210" s="27">
        <f t="shared" si="138"/>
        <v>0</v>
      </c>
      <c r="L210" s="27">
        <f t="shared" si="138"/>
        <v>0</v>
      </c>
      <c r="M210" s="28">
        <f t="shared" si="139"/>
        <v>0</v>
      </c>
      <c r="N210" s="29">
        <f t="shared" si="140"/>
        <v>17</v>
      </c>
      <c r="O210" s="28">
        <f t="shared" si="141"/>
        <v>0</v>
      </c>
      <c r="P210" s="28">
        <f t="shared" si="142"/>
        <v>1</v>
      </c>
      <c r="Q210" s="28">
        <f t="shared" si="115"/>
        <v>18</v>
      </c>
      <c r="R210" s="22">
        <f t="shared" si="116"/>
        <v>0</v>
      </c>
      <c r="S210" s="22">
        <f t="shared" si="117"/>
        <v>0</v>
      </c>
      <c r="T210" s="22">
        <f t="shared" si="118"/>
        <v>0</v>
      </c>
      <c r="U210" s="22">
        <f t="shared" si="119"/>
        <v>0</v>
      </c>
      <c r="V210" s="21">
        <f t="shared" si="131"/>
        <v>0</v>
      </c>
      <c r="W210" s="21">
        <f t="shared" si="132"/>
        <v>0</v>
      </c>
      <c r="X210" s="21">
        <f t="shared" si="124"/>
        <v>0</v>
      </c>
      <c r="Y210" s="21">
        <f t="shared" si="125"/>
        <v>0</v>
      </c>
      <c r="Z210" s="221">
        <f t="shared" si="120"/>
        <v>0</v>
      </c>
      <c r="AA210" s="30">
        <f t="shared" si="108"/>
        <v>0</v>
      </c>
      <c r="AB210" s="30">
        <f t="shared" si="109"/>
        <v>0</v>
      </c>
      <c r="AC210" s="30">
        <f t="shared" si="110"/>
        <v>0</v>
      </c>
      <c r="AD210" s="30">
        <f t="shared" si="111"/>
        <v>0</v>
      </c>
      <c r="AE210" s="32">
        <f t="shared" si="121"/>
        <v>0</v>
      </c>
    </row>
    <row r="211" spans="1:31" x14ac:dyDescent="0.35">
      <c r="A211" s="48">
        <v>1552</v>
      </c>
      <c r="B211" s="58">
        <f>SUMIF([2]!Table2_23[ETA],'IAB Model'!A211,[2]!Table2_23[FIS PAX])</f>
        <v>0</v>
      </c>
      <c r="C211" s="44">
        <f t="shared" si="122"/>
        <v>18</v>
      </c>
      <c r="D211" s="52">
        <f t="shared" si="126"/>
        <v>91</v>
      </c>
      <c r="E211" s="26">
        <f t="shared" si="112"/>
        <v>8.2691999999999997</v>
      </c>
      <c r="F211" s="26">
        <f t="shared" si="113"/>
        <v>5.3369999999999997</v>
      </c>
      <c r="G211" s="26">
        <f t="shared" si="114"/>
        <v>3.1175999999999999</v>
      </c>
      <c r="H211" s="26">
        <f t="shared" si="123"/>
        <v>1.2762</v>
      </c>
      <c r="I211" s="27">
        <f t="shared" si="138"/>
        <v>0</v>
      </c>
      <c r="J211" s="27">
        <f t="shared" si="138"/>
        <v>0</v>
      </c>
      <c r="K211" s="27">
        <f t="shared" si="138"/>
        <v>0</v>
      </c>
      <c r="L211" s="27">
        <f t="shared" si="138"/>
        <v>0</v>
      </c>
      <c r="M211" s="28">
        <f t="shared" si="139"/>
        <v>0</v>
      </c>
      <c r="N211" s="29">
        <f t="shared" si="140"/>
        <v>17</v>
      </c>
      <c r="O211" s="28">
        <f t="shared" si="141"/>
        <v>0</v>
      </c>
      <c r="P211" s="28">
        <f t="shared" si="142"/>
        <v>1</v>
      </c>
      <c r="Q211" s="28">
        <f t="shared" si="115"/>
        <v>18</v>
      </c>
      <c r="R211" s="22">
        <f t="shared" si="116"/>
        <v>0</v>
      </c>
      <c r="S211" s="22">
        <f t="shared" si="117"/>
        <v>0</v>
      </c>
      <c r="T211" s="22">
        <f t="shared" si="118"/>
        <v>0</v>
      </c>
      <c r="U211" s="22">
        <f t="shared" si="119"/>
        <v>0</v>
      </c>
      <c r="V211" s="21">
        <f t="shared" si="131"/>
        <v>0</v>
      </c>
      <c r="W211" s="21">
        <f t="shared" si="132"/>
        <v>0</v>
      </c>
      <c r="X211" s="21">
        <f t="shared" si="124"/>
        <v>0</v>
      </c>
      <c r="Y211" s="21">
        <f t="shared" si="125"/>
        <v>0</v>
      </c>
      <c r="Z211" s="221">
        <f t="shared" si="120"/>
        <v>0</v>
      </c>
      <c r="AA211" s="30">
        <f t="shared" si="108"/>
        <v>0</v>
      </c>
      <c r="AB211" s="30">
        <f t="shared" si="109"/>
        <v>0</v>
      </c>
      <c r="AC211" s="30">
        <f t="shared" si="110"/>
        <v>0</v>
      </c>
      <c r="AD211" s="30">
        <f t="shared" si="111"/>
        <v>0</v>
      </c>
      <c r="AE211" s="32">
        <f t="shared" si="121"/>
        <v>0</v>
      </c>
    </row>
    <row r="212" spans="1:31" x14ac:dyDescent="0.35">
      <c r="A212" s="48">
        <v>1553</v>
      </c>
      <c r="B212" s="58">
        <f>SUMIF([2]!Table2_23[ETA],'IAB Model'!A212,[2]!Table2_23[FIS PAX])</f>
        <v>0</v>
      </c>
      <c r="C212" s="44">
        <f t="shared" si="122"/>
        <v>18</v>
      </c>
      <c r="D212" s="52">
        <f t="shared" si="126"/>
        <v>73</v>
      </c>
      <c r="E212" s="26">
        <f t="shared" si="112"/>
        <v>8.2691999999999997</v>
      </c>
      <c r="F212" s="26">
        <f t="shared" si="113"/>
        <v>5.3369999999999997</v>
      </c>
      <c r="G212" s="26">
        <f t="shared" si="114"/>
        <v>3.1175999999999999</v>
      </c>
      <c r="H212" s="26">
        <f t="shared" si="123"/>
        <v>1.2762</v>
      </c>
      <c r="I212" s="27">
        <f t="shared" si="138"/>
        <v>0</v>
      </c>
      <c r="J212" s="27">
        <f t="shared" si="138"/>
        <v>0</v>
      </c>
      <c r="K212" s="27">
        <f t="shared" si="138"/>
        <v>0</v>
      </c>
      <c r="L212" s="27">
        <f t="shared" si="138"/>
        <v>0</v>
      </c>
      <c r="M212" s="28">
        <f t="shared" si="139"/>
        <v>0</v>
      </c>
      <c r="N212" s="29">
        <f t="shared" si="140"/>
        <v>17</v>
      </c>
      <c r="O212" s="28">
        <f t="shared" si="141"/>
        <v>0</v>
      </c>
      <c r="P212" s="28">
        <f t="shared" si="142"/>
        <v>1</v>
      </c>
      <c r="Q212" s="28">
        <f t="shared" si="115"/>
        <v>18</v>
      </c>
      <c r="R212" s="22">
        <f t="shared" si="116"/>
        <v>0</v>
      </c>
      <c r="S212" s="22">
        <f t="shared" si="117"/>
        <v>0</v>
      </c>
      <c r="T212" s="22">
        <f t="shared" si="118"/>
        <v>0</v>
      </c>
      <c r="U212" s="22">
        <f t="shared" si="119"/>
        <v>0</v>
      </c>
      <c r="V212" s="21">
        <f t="shared" si="131"/>
        <v>0</v>
      </c>
      <c r="W212" s="21">
        <f t="shared" si="132"/>
        <v>0</v>
      </c>
      <c r="X212" s="21">
        <f t="shared" si="124"/>
        <v>0</v>
      </c>
      <c r="Y212" s="21">
        <f t="shared" si="125"/>
        <v>0</v>
      </c>
      <c r="Z212" s="221">
        <f t="shared" si="120"/>
        <v>0</v>
      </c>
      <c r="AA212" s="30">
        <f t="shared" si="108"/>
        <v>0</v>
      </c>
      <c r="AB212" s="30">
        <f t="shared" si="109"/>
        <v>0</v>
      </c>
      <c r="AC212" s="30">
        <f t="shared" si="110"/>
        <v>0</v>
      </c>
      <c r="AD212" s="30">
        <f t="shared" si="111"/>
        <v>0</v>
      </c>
      <c r="AE212" s="32">
        <f t="shared" si="121"/>
        <v>0</v>
      </c>
    </row>
    <row r="213" spans="1:31" x14ac:dyDescent="0.35">
      <c r="A213" s="48">
        <v>1554</v>
      </c>
      <c r="B213" s="58">
        <f>SUMIF([2]!Table2_23[ETA],'IAB Model'!A213,[2]!Table2_23[FIS PAX])</f>
        <v>169</v>
      </c>
      <c r="C213" s="44">
        <f t="shared" si="122"/>
        <v>18</v>
      </c>
      <c r="D213" s="52">
        <f t="shared" si="126"/>
        <v>55</v>
      </c>
      <c r="E213" s="26">
        <f t="shared" si="112"/>
        <v>8.2691999999999997</v>
      </c>
      <c r="F213" s="26">
        <f t="shared" si="113"/>
        <v>5.3369999999999997</v>
      </c>
      <c r="G213" s="26">
        <f t="shared" si="114"/>
        <v>3.1175999999999999</v>
      </c>
      <c r="H213" s="26">
        <f t="shared" si="123"/>
        <v>1.2762</v>
      </c>
      <c r="I213" s="27">
        <f t="shared" si="138"/>
        <v>0</v>
      </c>
      <c r="J213" s="27">
        <f t="shared" si="138"/>
        <v>0</v>
      </c>
      <c r="K213" s="27">
        <f t="shared" si="138"/>
        <v>0</v>
      </c>
      <c r="L213" s="27">
        <f t="shared" si="138"/>
        <v>0</v>
      </c>
      <c r="M213" s="28">
        <f t="shared" si="139"/>
        <v>0</v>
      </c>
      <c r="N213" s="29">
        <f t="shared" si="140"/>
        <v>17</v>
      </c>
      <c r="O213" s="28">
        <f t="shared" si="141"/>
        <v>0</v>
      </c>
      <c r="P213" s="28">
        <f t="shared" si="142"/>
        <v>1</v>
      </c>
      <c r="Q213" s="28">
        <f t="shared" si="115"/>
        <v>18</v>
      </c>
      <c r="R213" s="22">
        <f t="shared" si="116"/>
        <v>0</v>
      </c>
      <c r="S213" s="22">
        <f t="shared" si="117"/>
        <v>0</v>
      </c>
      <c r="T213" s="22">
        <f t="shared" si="118"/>
        <v>0</v>
      </c>
      <c r="U213" s="22">
        <f t="shared" si="119"/>
        <v>0</v>
      </c>
      <c r="V213" s="21">
        <f t="shared" si="131"/>
        <v>0</v>
      </c>
      <c r="W213" s="21">
        <f t="shared" si="132"/>
        <v>0</v>
      </c>
      <c r="X213" s="21">
        <f t="shared" si="124"/>
        <v>0</v>
      </c>
      <c r="Y213" s="21">
        <f t="shared" si="125"/>
        <v>0</v>
      </c>
      <c r="Z213" s="221">
        <f t="shared" si="120"/>
        <v>0</v>
      </c>
      <c r="AA213" s="30">
        <f t="shared" si="108"/>
        <v>0</v>
      </c>
      <c r="AB213" s="30">
        <f t="shared" si="109"/>
        <v>0</v>
      </c>
      <c r="AC213" s="30">
        <f t="shared" si="110"/>
        <v>0</v>
      </c>
      <c r="AD213" s="30">
        <f t="shared" si="111"/>
        <v>0</v>
      </c>
      <c r="AE213" s="32">
        <f t="shared" si="121"/>
        <v>0</v>
      </c>
    </row>
    <row r="214" spans="1:31" x14ac:dyDescent="0.35">
      <c r="A214" s="48">
        <v>1555</v>
      </c>
      <c r="B214" s="58">
        <f>SUMIF([2]!Table2_23[ETA],'IAB Model'!A214,[2]!Table2_23[FIS PAX])</f>
        <v>0</v>
      </c>
      <c r="C214" s="44">
        <f t="shared" si="122"/>
        <v>18</v>
      </c>
      <c r="D214" s="52">
        <f t="shared" si="126"/>
        <v>206</v>
      </c>
      <c r="E214" s="26">
        <f t="shared" si="112"/>
        <v>8.2691999999999997</v>
      </c>
      <c r="F214" s="26">
        <f t="shared" si="113"/>
        <v>5.3369999999999997</v>
      </c>
      <c r="G214" s="26">
        <f t="shared" si="114"/>
        <v>3.1175999999999999</v>
      </c>
      <c r="H214" s="26">
        <f t="shared" si="123"/>
        <v>1.2762</v>
      </c>
      <c r="I214" s="27">
        <f t="shared" si="138"/>
        <v>8.2691999999999997</v>
      </c>
      <c r="J214" s="27">
        <f t="shared" si="138"/>
        <v>5.3369999999999997</v>
      </c>
      <c r="K214" s="27">
        <f t="shared" si="138"/>
        <v>3.1175999999999999</v>
      </c>
      <c r="L214" s="27">
        <f t="shared" si="138"/>
        <v>1.2762</v>
      </c>
      <c r="M214" s="28">
        <f t="shared" si="139"/>
        <v>0</v>
      </c>
      <c r="N214" s="29">
        <f t="shared" si="140"/>
        <v>17</v>
      </c>
      <c r="O214" s="28">
        <f t="shared" si="141"/>
        <v>0</v>
      </c>
      <c r="P214" s="28">
        <f t="shared" si="142"/>
        <v>1</v>
      </c>
      <c r="Q214" s="28">
        <f t="shared" si="115"/>
        <v>18</v>
      </c>
      <c r="R214" s="22">
        <f t="shared" si="116"/>
        <v>8.2691999999999997</v>
      </c>
      <c r="S214" s="22">
        <f t="shared" si="117"/>
        <v>0</v>
      </c>
      <c r="T214" s="22">
        <f t="shared" si="118"/>
        <v>3.1175999999999999</v>
      </c>
      <c r="U214" s="22">
        <f t="shared" si="119"/>
        <v>0</v>
      </c>
      <c r="V214" s="21">
        <f t="shared" si="131"/>
        <v>0</v>
      </c>
      <c r="W214" s="21">
        <f t="shared" si="132"/>
        <v>0</v>
      </c>
      <c r="X214" s="21">
        <f t="shared" si="124"/>
        <v>0</v>
      </c>
      <c r="Y214" s="21">
        <f t="shared" si="125"/>
        <v>0</v>
      </c>
      <c r="Z214" s="221">
        <f t="shared" si="120"/>
        <v>0</v>
      </c>
      <c r="AA214" s="30">
        <f t="shared" si="108"/>
        <v>0</v>
      </c>
      <c r="AB214" s="30">
        <f t="shared" si="109"/>
        <v>0</v>
      </c>
      <c r="AC214" s="30">
        <f t="shared" si="110"/>
        <v>0</v>
      </c>
      <c r="AD214" s="30">
        <f t="shared" si="111"/>
        <v>0</v>
      </c>
      <c r="AE214" s="32">
        <f t="shared" si="121"/>
        <v>0</v>
      </c>
    </row>
    <row r="215" spans="1:31" x14ac:dyDescent="0.35">
      <c r="A215" s="48">
        <v>1556</v>
      </c>
      <c r="B215" s="58">
        <f>SUMIF([2]!Table2_23[ETA],'IAB Model'!A215,[2]!Table2_23[FIS PAX])</f>
        <v>148</v>
      </c>
      <c r="C215" s="44">
        <f t="shared" si="122"/>
        <v>18</v>
      </c>
      <c r="D215" s="52">
        <f t="shared" si="126"/>
        <v>188</v>
      </c>
      <c r="E215" s="26">
        <f t="shared" si="112"/>
        <v>8.2691999999999997</v>
      </c>
      <c r="F215" s="26">
        <f t="shared" si="113"/>
        <v>5.3369999999999997</v>
      </c>
      <c r="G215" s="26">
        <f t="shared" si="114"/>
        <v>3.1175999999999999</v>
      </c>
      <c r="H215" s="26">
        <f t="shared" si="123"/>
        <v>1.2762</v>
      </c>
      <c r="I215" s="27">
        <f t="shared" ref="I215:L230" si="143">E200</f>
        <v>8.2691999999999997</v>
      </c>
      <c r="J215" s="27">
        <f t="shared" si="143"/>
        <v>5.3369999999999997</v>
      </c>
      <c r="K215" s="27">
        <f t="shared" si="143"/>
        <v>3.1175999999999999</v>
      </c>
      <c r="L215" s="27">
        <f t="shared" si="143"/>
        <v>1.2762</v>
      </c>
      <c r="M215" s="28">
        <f t="shared" si="139"/>
        <v>0</v>
      </c>
      <c r="N215" s="29">
        <f t="shared" si="140"/>
        <v>17</v>
      </c>
      <c r="O215" s="28">
        <f t="shared" si="141"/>
        <v>0</v>
      </c>
      <c r="P215" s="28">
        <f t="shared" si="142"/>
        <v>1</v>
      </c>
      <c r="Q215" s="28">
        <f t="shared" si="115"/>
        <v>18</v>
      </c>
      <c r="R215" s="22">
        <f t="shared" si="116"/>
        <v>16.538399999999999</v>
      </c>
      <c r="S215" s="22">
        <f t="shared" si="117"/>
        <v>0</v>
      </c>
      <c r="T215" s="22">
        <f t="shared" si="118"/>
        <v>6.2351999999999999</v>
      </c>
      <c r="U215" s="22">
        <f t="shared" si="119"/>
        <v>0</v>
      </c>
      <c r="V215" s="21">
        <f t="shared" si="131"/>
        <v>0</v>
      </c>
      <c r="W215" s="21">
        <f t="shared" si="132"/>
        <v>0</v>
      </c>
      <c r="X215" s="21">
        <f t="shared" si="124"/>
        <v>0</v>
      </c>
      <c r="Y215" s="21">
        <f t="shared" si="125"/>
        <v>0</v>
      </c>
      <c r="Z215" s="221">
        <f t="shared" si="120"/>
        <v>0</v>
      </c>
      <c r="AA215" s="30">
        <f t="shared" si="108"/>
        <v>0</v>
      </c>
      <c r="AB215" s="30">
        <f t="shared" si="109"/>
        <v>0</v>
      </c>
      <c r="AC215" s="30">
        <f t="shared" si="110"/>
        <v>0</v>
      </c>
      <c r="AD215" s="30">
        <f t="shared" si="111"/>
        <v>0</v>
      </c>
      <c r="AE215" s="32">
        <f t="shared" si="121"/>
        <v>0</v>
      </c>
    </row>
    <row r="216" spans="1:31" x14ac:dyDescent="0.35">
      <c r="A216" s="48">
        <v>1557</v>
      </c>
      <c r="B216" s="58">
        <f>SUMIF([2]!Table2_23[ETA],'IAB Model'!A216,[2]!Table2_23[FIS PAX])</f>
        <v>0</v>
      </c>
      <c r="C216" s="44">
        <f t="shared" si="122"/>
        <v>18</v>
      </c>
      <c r="D216" s="52">
        <f t="shared" si="126"/>
        <v>318</v>
      </c>
      <c r="E216" s="26">
        <f t="shared" si="112"/>
        <v>8.2691999999999997</v>
      </c>
      <c r="F216" s="26">
        <f t="shared" si="113"/>
        <v>5.3369999999999997</v>
      </c>
      <c r="G216" s="26">
        <f t="shared" si="114"/>
        <v>3.1175999999999999</v>
      </c>
      <c r="H216" s="26">
        <f t="shared" si="123"/>
        <v>1.2762</v>
      </c>
      <c r="I216" s="27">
        <f t="shared" si="143"/>
        <v>8.2691999999999997</v>
      </c>
      <c r="J216" s="27">
        <f t="shared" si="143"/>
        <v>5.3369999999999997</v>
      </c>
      <c r="K216" s="27">
        <f t="shared" si="143"/>
        <v>3.1175999999999999</v>
      </c>
      <c r="L216" s="27">
        <f t="shared" si="143"/>
        <v>1.2762</v>
      </c>
      <c r="M216" s="28">
        <f t="shared" si="139"/>
        <v>0</v>
      </c>
      <c r="N216" s="29">
        <f t="shared" si="140"/>
        <v>17</v>
      </c>
      <c r="O216" s="28">
        <f t="shared" si="141"/>
        <v>0</v>
      </c>
      <c r="P216" s="28">
        <f t="shared" si="142"/>
        <v>1</v>
      </c>
      <c r="Q216" s="28">
        <f t="shared" si="115"/>
        <v>18</v>
      </c>
      <c r="R216" s="22">
        <f t="shared" si="116"/>
        <v>24.807600000000001</v>
      </c>
      <c r="S216" s="22">
        <f t="shared" si="117"/>
        <v>0</v>
      </c>
      <c r="T216" s="22">
        <f t="shared" si="118"/>
        <v>9.3528000000000002</v>
      </c>
      <c r="U216" s="22">
        <f t="shared" si="119"/>
        <v>0</v>
      </c>
      <c r="V216" s="21">
        <f t="shared" si="131"/>
        <v>0</v>
      </c>
      <c r="W216" s="21">
        <f t="shared" si="132"/>
        <v>0</v>
      </c>
      <c r="X216" s="21">
        <f t="shared" si="124"/>
        <v>0</v>
      </c>
      <c r="Y216" s="21">
        <f t="shared" si="125"/>
        <v>0</v>
      </c>
      <c r="Z216" s="221">
        <f t="shared" si="120"/>
        <v>0</v>
      </c>
      <c r="AA216" s="30">
        <f t="shared" si="108"/>
        <v>0</v>
      </c>
      <c r="AB216" s="30">
        <f t="shared" si="109"/>
        <v>0</v>
      </c>
      <c r="AC216" s="30">
        <f t="shared" si="110"/>
        <v>0</v>
      </c>
      <c r="AD216" s="30">
        <f t="shared" si="111"/>
        <v>0</v>
      </c>
      <c r="AE216" s="32">
        <f t="shared" si="121"/>
        <v>0</v>
      </c>
    </row>
    <row r="217" spans="1:31" x14ac:dyDescent="0.35">
      <c r="A217" s="48">
        <v>1558</v>
      </c>
      <c r="B217" s="58">
        <f>SUMIF([2]!Table2_23[ETA],'IAB Model'!A217,[2]!Table2_23[FIS PAX])</f>
        <v>0</v>
      </c>
      <c r="C217" s="44">
        <f t="shared" si="122"/>
        <v>18</v>
      </c>
      <c r="D217" s="52">
        <f t="shared" si="126"/>
        <v>300</v>
      </c>
      <c r="E217" s="26">
        <f t="shared" si="112"/>
        <v>8.2691999999999997</v>
      </c>
      <c r="F217" s="26">
        <f t="shared" si="113"/>
        <v>5.3369999999999997</v>
      </c>
      <c r="G217" s="26">
        <f t="shared" si="114"/>
        <v>3.1175999999999999</v>
      </c>
      <c r="H217" s="26">
        <f t="shared" si="123"/>
        <v>1.2762</v>
      </c>
      <c r="I217" s="27">
        <f t="shared" si="143"/>
        <v>8.2691999999999997</v>
      </c>
      <c r="J217" s="27">
        <f t="shared" si="143"/>
        <v>5.3369999999999997</v>
      </c>
      <c r="K217" s="27">
        <f t="shared" si="143"/>
        <v>3.1175999999999999</v>
      </c>
      <c r="L217" s="27">
        <f t="shared" si="143"/>
        <v>1.2762</v>
      </c>
      <c r="M217" s="28">
        <f t="shared" si="139"/>
        <v>0</v>
      </c>
      <c r="N217" s="29">
        <f t="shared" si="140"/>
        <v>17</v>
      </c>
      <c r="O217" s="28">
        <f t="shared" si="141"/>
        <v>0</v>
      </c>
      <c r="P217" s="28">
        <f t="shared" si="142"/>
        <v>1</v>
      </c>
      <c r="Q217" s="28">
        <f t="shared" si="115"/>
        <v>18</v>
      </c>
      <c r="R217" s="22">
        <f t="shared" si="116"/>
        <v>33.076799999999999</v>
      </c>
      <c r="S217" s="22">
        <f t="shared" si="117"/>
        <v>0</v>
      </c>
      <c r="T217" s="22">
        <f t="shared" si="118"/>
        <v>12.4704</v>
      </c>
      <c r="U217" s="22">
        <f t="shared" si="119"/>
        <v>0</v>
      </c>
      <c r="V217" s="21">
        <f t="shared" si="131"/>
        <v>0</v>
      </c>
      <c r="W217" s="21">
        <f t="shared" si="132"/>
        <v>0</v>
      </c>
      <c r="X217" s="21">
        <f t="shared" si="124"/>
        <v>0</v>
      </c>
      <c r="Y217" s="21">
        <f t="shared" si="125"/>
        <v>0</v>
      </c>
      <c r="Z217" s="221">
        <f t="shared" si="120"/>
        <v>0</v>
      </c>
      <c r="AA217" s="30">
        <f t="shared" si="108"/>
        <v>0</v>
      </c>
      <c r="AB217" s="30">
        <f t="shared" si="109"/>
        <v>0</v>
      </c>
      <c r="AC217" s="30">
        <f t="shared" si="110"/>
        <v>0</v>
      </c>
      <c r="AD217" s="30">
        <f t="shared" si="111"/>
        <v>0</v>
      </c>
      <c r="AE217" s="32">
        <f t="shared" si="121"/>
        <v>0</v>
      </c>
    </row>
    <row r="218" spans="1:31" x14ac:dyDescent="0.35">
      <c r="A218" s="48">
        <v>1559</v>
      </c>
      <c r="B218" s="58">
        <f>SUMIF([2]!Table2_23[ETA],'IAB Model'!A218,[2]!Table2_23[FIS PAX])</f>
        <v>52</v>
      </c>
      <c r="C218" s="44">
        <f t="shared" si="122"/>
        <v>18</v>
      </c>
      <c r="D218" s="52">
        <f t="shared" si="126"/>
        <v>282</v>
      </c>
      <c r="E218" s="26">
        <f t="shared" si="112"/>
        <v>8.2691999999999997</v>
      </c>
      <c r="F218" s="26">
        <f t="shared" si="113"/>
        <v>5.3369999999999997</v>
      </c>
      <c r="G218" s="26">
        <f t="shared" si="114"/>
        <v>3.1175999999999999</v>
      </c>
      <c r="H218" s="26">
        <f t="shared" si="123"/>
        <v>1.2762</v>
      </c>
      <c r="I218" s="27">
        <f t="shared" si="143"/>
        <v>8.2691999999999997</v>
      </c>
      <c r="J218" s="27">
        <f t="shared" si="143"/>
        <v>5.3369999999999997</v>
      </c>
      <c r="K218" s="27">
        <f t="shared" si="143"/>
        <v>3.1175999999999999</v>
      </c>
      <c r="L218" s="27">
        <f t="shared" si="143"/>
        <v>1.2762</v>
      </c>
      <c r="M218" s="28">
        <f t="shared" si="139"/>
        <v>0</v>
      </c>
      <c r="N218" s="29">
        <f t="shared" si="140"/>
        <v>17</v>
      </c>
      <c r="O218" s="28">
        <f t="shared" si="141"/>
        <v>0</v>
      </c>
      <c r="P218" s="28">
        <f t="shared" si="142"/>
        <v>1</v>
      </c>
      <c r="Q218" s="28">
        <f t="shared" si="115"/>
        <v>18</v>
      </c>
      <c r="R218" s="22">
        <f t="shared" si="116"/>
        <v>41.345999999999997</v>
      </c>
      <c r="S218" s="22">
        <f t="shared" si="117"/>
        <v>0</v>
      </c>
      <c r="T218" s="22">
        <f t="shared" si="118"/>
        <v>15.587999999999999</v>
      </c>
      <c r="U218" s="22">
        <f t="shared" si="119"/>
        <v>0</v>
      </c>
      <c r="V218" s="21">
        <f t="shared" si="131"/>
        <v>0</v>
      </c>
      <c r="W218" s="21">
        <f t="shared" si="132"/>
        <v>0</v>
      </c>
      <c r="X218" s="21">
        <f t="shared" si="124"/>
        <v>0</v>
      </c>
      <c r="Y218" s="21">
        <f t="shared" si="125"/>
        <v>0</v>
      </c>
      <c r="Z218" s="221">
        <f t="shared" si="120"/>
        <v>0</v>
      </c>
      <c r="AA218" s="30">
        <f t="shared" si="108"/>
        <v>0</v>
      </c>
      <c r="AB218" s="30">
        <f t="shared" si="109"/>
        <v>0</v>
      </c>
      <c r="AC218" s="30">
        <f t="shared" si="110"/>
        <v>0</v>
      </c>
      <c r="AD218" s="30">
        <f t="shared" si="111"/>
        <v>0</v>
      </c>
      <c r="AE218" s="32">
        <f t="shared" si="121"/>
        <v>0</v>
      </c>
    </row>
    <row r="219" spans="1:31" x14ac:dyDescent="0.35">
      <c r="A219" s="48">
        <v>1600</v>
      </c>
      <c r="B219" s="58">
        <f>SUMIF([2]!Table2_23[ETA],'IAB Model'!A219,[2]!Table2_23[FIS PAX])</f>
        <v>106</v>
      </c>
      <c r="C219" s="44">
        <f t="shared" si="122"/>
        <v>18</v>
      </c>
      <c r="D219" s="52">
        <f t="shared" si="126"/>
        <v>316</v>
      </c>
      <c r="E219" s="26">
        <f t="shared" si="112"/>
        <v>8.2691999999999997</v>
      </c>
      <c r="F219" s="26">
        <f t="shared" si="113"/>
        <v>5.3369999999999997</v>
      </c>
      <c r="G219" s="26">
        <f t="shared" si="114"/>
        <v>3.1175999999999999</v>
      </c>
      <c r="H219" s="26">
        <f t="shared" si="123"/>
        <v>1.2762</v>
      </c>
      <c r="I219" s="27">
        <f t="shared" si="143"/>
        <v>8.2691999999999997</v>
      </c>
      <c r="J219" s="27">
        <f t="shared" si="143"/>
        <v>5.3369999999999997</v>
      </c>
      <c r="K219" s="27">
        <f t="shared" si="143"/>
        <v>3.1175999999999999</v>
      </c>
      <c r="L219" s="27">
        <f t="shared" si="143"/>
        <v>1.2762</v>
      </c>
      <c r="M219" s="28">
        <f t="shared" si="139"/>
        <v>0</v>
      </c>
      <c r="N219" s="29">
        <f t="shared" si="140"/>
        <v>17</v>
      </c>
      <c r="O219" s="28">
        <f t="shared" si="141"/>
        <v>0</v>
      </c>
      <c r="P219" s="28">
        <f t="shared" si="142"/>
        <v>1</v>
      </c>
      <c r="Q219" s="28">
        <f t="shared" si="115"/>
        <v>18</v>
      </c>
      <c r="R219" s="22">
        <f t="shared" si="116"/>
        <v>49.615199999999994</v>
      </c>
      <c r="S219" s="22">
        <f t="shared" si="117"/>
        <v>0</v>
      </c>
      <c r="T219" s="22">
        <f t="shared" si="118"/>
        <v>18.7056</v>
      </c>
      <c r="U219" s="22">
        <f t="shared" si="119"/>
        <v>0</v>
      </c>
      <c r="V219" s="21">
        <f t="shared" si="131"/>
        <v>0</v>
      </c>
      <c r="W219" s="21">
        <f t="shared" si="132"/>
        <v>0</v>
      </c>
      <c r="X219" s="21">
        <f t="shared" si="124"/>
        <v>0</v>
      </c>
      <c r="Y219" s="21">
        <f t="shared" si="125"/>
        <v>0</v>
      </c>
      <c r="Z219" s="221">
        <f t="shared" si="120"/>
        <v>0</v>
      </c>
      <c r="AA219" s="30">
        <f t="shared" si="108"/>
        <v>0</v>
      </c>
      <c r="AB219" s="30">
        <f t="shared" si="109"/>
        <v>0</v>
      </c>
      <c r="AC219" s="30">
        <f t="shared" si="110"/>
        <v>0</v>
      </c>
      <c r="AD219" s="30">
        <f t="shared" si="111"/>
        <v>0</v>
      </c>
      <c r="AE219" s="32">
        <f t="shared" si="121"/>
        <v>0</v>
      </c>
    </row>
    <row r="220" spans="1:31" x14ac:dyDescent="0.35">
      <c r="A220" s="48">
        <v>1601</v>
      </c>
      <c r="B220" s="58">
        <f>SUMIF([2]!Table2_23[ETA],'IAB Model'!A220,[2]!Table2_23[FIS PAX])</f>
        <v>0</v>
      </c>
      <c r="C220" s="44">
        <f t="shared" si="122"/>
        <v>18</v>
      </c>
      <c r="D220" s="52">
        <f t="shared" si="126"/>
        <v>404</v>
      </c>
      <c r="E220" s="26">
        <f t="shared" si="112"/>
        <v>8.2691999999999997</v>
      </c>
      <c r="F220" s="26">
        <f t="shared" si="113"/>
        <v>5.3369999999999997</v>
      </c>
      <c r="G220" s="26">
        <f t="shared" si="114"/>
        <v>3.1175999999999999</v>
      </c>
      <c r="H220" s="26">
        <f t="shared" si="123"/>
        <v>1.2762</v>
      </c>
      <c r="I220" s="27">
        <f t="shared" si="143"/>
        <v>8.2691999999999997</v>
      </c>
      <c r="J220" s="27">
        <f t="shared" si="143"/>
        <v>5.3369999999999997</v>
      </c>
      <c r="K220" s="27">
        <f t="shared" si="143"/>
        <v>3.1175999999999999</v>
      </c>
      <c r="L220" s="27">
        <f t="shared" si="143"/>
        <v>1.2762</v>
      </c>
      <c r="M220" s="28">
        <f>IF(R219=0,0,$Q$18)</f>
        <v>11</v>
      </c>
      <c r="N220" s="29">
        <f>$U$18-M220-O220-P220</f>
        <v>5</v>
      </c>
      <c r="O220" s="28">
        <f>IF(T219=0,0,$S$18)</f>
        <v>2</v>
      </c>
      <c r="P220" s="28">
        <f>IF(U219=0,0,$T$18)</f>
        <v>0</v>
      </c>
      <c r="Q220" s="28">
        <f t="shared" si="115"/>
        <v>18</v>
      </c>
      <c r="R220" s="22">
        <f t="shared" si="116"/>
        <v>34.732812816322486</v>
      </c>
      <c r="S220" s="22">
        <f t="shared" si="117"/>
        <v>2.8592328588069167</v>
      </c>
      <c r="T220" s="22">
        <f t="shared" si="118"/>
        <v>16.861246508098201</v>
      </c>
      <c r="U220" s="22">
        <f t="shared" si="119"/>
        <v>1.2762</v>
      </c>
      <c r="V220" s="21">
        <f t="shared" si="131"/>
        <v>1.2751994349090907</v>
      </c>
      <c r="W220" s="21">
        <f t="shared" si="132"/>
        <v>0.9808621195999998</v>
      </c>
      <c r="X220" s="21">
        <f t="shared" si="124"/>
        <v>2.8883905412000002</v>
      </c>
      <c r="Y220" s="21">
        <f t="shared" si="125"/>
        <v>0</v>
      </c>
      <c r="Z220" s="221">
        <f t="shared" si="120"/>
        <v>2</v>
      </c>
      <c r="AA220" s="30">
        <f t="shared" si="108"/>
        <v>23.15158718367751</v>
      </c>
      <c r="AB220" s="30">
        <f t="shared" si="109"/>
        <v>2.4777671411930831</v>
      </c>
      <c r="AC220" s="30">
        <f t="shared" si="110"/>
        <v>4.9619534919017996</v>
      </c>
      <c r="AD220" s="30">
        <f t="shared" si="111"/>
        <v>0</v>
      </c>
      <c r="AE220" s="32">
        <f t="shared" si="121"/>
        <v>30.591307816772392</v>
      </c>
    </row>
    <row r="221" spans="1:31" x14ac:dyDescent="0.35">
      <c r="A221" s="48">
        <v>1602</v>
      </c>
      <c r="B221" s="58">
        <f>SUMIF([2]!Table2_23[ETA],'IAB Model'!A221,[2]!Table2_23[FIS PAX])</f>
        <v>0</v>
      </c>
      <c r="C221" s="44">
        <f t="shared" si="122"/>
        <v>18</v>
      </c>
      <c r="D221" s="52">
        <f t="shared" si="126"/>
        <v>386</v>
      </c>
      <c r="E221" s="26">
        <f t="shared" si="112"/>
        <v>8.2691999999999997</v>
      </c>
      <c r="F221" s="26">
        <f t="shared" si="113"/>
        <v>5.3369999999999997</v>
      </c>
      <c r="G221" s="26">
        <f t="shared" si="114"/>
        <v>3.1175999999999999</v>
      </c>
      <c r="H221" s="26">
        <f t="shared" si="123"/>
        <v>1.2762</v>
      </c>
      <c r="I221" s="27">
        <f t="shared" si="143"/>
        <v>8.2691999999999997</v>
      </c>
      <c r="J221" s="27">
        <f t="shared" si="143"/>
        <v>5.3369999999999997</v>
      </c>
      <c r="K221" s="27">
        <f t="shared" si="143"/>
        <v>3.1175999999999999</v>
      </c>
      <c r="L221" s="27">
        <f t="shared" si="143"/>
        <v>1.2762</v>
      </c>
      <c r="M221" s="28">
        <f>$M$220</f>
        <v>11</v>
      </c>
      <c r="N221" s="29">
        <f>$N$220</f>
        <v>5</v>
      </c>
      <c r="O221" s="28">
        <f>$O$220</f>
        <v>2</v>
      </c>
      <c r="P221" s="28">
        <f>$P$220</f>
        <v>0</v>
      </c>
      <c r="Q221" s="28">
        <f t="shared" si="115"/>
        <v>18</v>
      </c>
      <c r="R221" s="22">
        <f t="shared" si="116"/>
        <v>19.850425632644978</v>
      </c>
      <c r="S221" s="22">
        <f t="shared" si="117"/>
        <v>5.7184657176138334</v>
      </c>
      <c r="T221" s="22">
        <f t="shared" si="118"/>
        <v>15.016893016196402</v>
      </c>
      <c r="U221" s="22">
        <f t="shared" si="119"/>
        <v>2.5524</v>
      </c>
      <c r="V221" s="21">
        <f t="shared" si="131"/>
        <v>0.72879935418181818</v>
      </c>
      <c r="W221" s="21">
        <f t="shared" si="132"/>
        <v>1.9617242391999996</v>
      </c>
      <c r="X221" s="21">
        <f t="shared" si="124"/>
        <v>2.5724463328000002</v>
      </c>
      <c r="Y221" s="21">
        <f t="shared" si="125"/>
        <v>0</v>
      </c>
      <c r="Z221" s="221">
        <f t="shared" si="120"/>
        <v>2</v>
      </c>
      <c r="AA221" s="30">
        <f t="shared" si="108"/>
        <v>23.15158718367751</v>
      </c>
      <c r="AB221" s="30">
        <f t="shared" si="109"/>
        <v>2.4777671411930831</v>
      </c>
      <c r="AC221" s="30">
        <f t="shared" si="110"/>
        <v>4.9619534919017996</v>
      </c>
      <c r="AD221" s="30">
        <f t="shared" si="111"/>
        <v>0</v>
      </c>
      <c r="AE221" s="32">
        <f t="shared" si="121"/>
        <v>30.591307816772392</v>
      </c>
    </row>
    <row r="222" spans="1:31" x14ac:dyDescent="0.35">
      <c r="A222" s="48">
        <v>1603</v>
      </c>
      <c r="B222" s="58">
        <f>SUMIF([2]!Table2_23[ETA],'IAB Model'!A222,[2]!Table2_23[FIS PAX])</f>
        <v>0</v>
      </c>
      <c r="C222" s="44">
        <f t="shared" si="122"/>
        <v>18</v>
      </c>
      <c r="D222" s="52">
        <f t="shared" si="126"/>
        <v>368</v>
      </c>
      <c r="E222" s="26">
        <f t="shared" si="112"/>
        <v>8.2691999999999997</v>
      </c>
      <c r="F222" s="26">
        <f t="shared" si="113"/>
        <v>5.3369999999999997</v>
      </c>
      <c r="G222" s="26">
        <f t="shared" si="114"/>
        <v>3.1175999999999999</v>
      </c>
      <c r="H222" s="26">
        <f t="shared" si="123"/>
        <v>1.2762</v>
      </c>
      <c r="I222" s="27">
        <f t="shared" si="143"/>
        <v>8.2691999999999997</v>
      </c>
      <c r="J222" s="27">
        <f t="shared" si="143"/>
        <v>5.3369999999999997</v>
      </c>
      <c r="K222" s="27">
        <f t="shared" si="143"/>
        <v>3.1175999999999999</v>
      </c>
      <c r="L222" s="27">
        <f t="shared" si="143"/>
        <v>1.2762</v>
      </c>
      <c r="M222" s="28">
        <f t="shared" ref="M222:M234" si="144">$M$220</f>
        <v>11</v>
      </c>
      <c r="N222" s="29">
        <f t="shared" ref="N222:N234" si="145">$N$220</f>
        <v>5</v>
      </c>
      <c r="O222" s="28">
        <f t="shared" ref="O222:O234" si="146">$O$220</f>
        <v>2</v>
      </c>
      <c r="P222" s="28">
        <f t="shared" ref="P222:P234" si="147">$P$220</f>
        <v>0</v>
      </c>
      <c r="Q222" s="28">
        <f t="shared" si="115"/>
        <v>18</v>
      </c>
      <c r="R222" s="22">
        <f t="shared" si="116"/>
        <v>4.9680384489674676</v>
      </c>
      <c r="S222" s="22">
        <f t="shared" si="117"/>
        <v>8.577698576420751</v>
      </c>
      <c r="T222" s="22">
        <f t="shared" si="118"/>
        <v>13.172539524294603</v>
      </c>
      <c r="U222" s="22">
        <f t="shared" si="119"/>
        <v>3.8285999999999998</v>
      </c>
      <c r="V222" s="21">
        <f t="shared" si="131"/>
        <v>0.18239927345454557</v>
      </c>
      <c r="W222" s="21">
        <f t="shared" si="132"/>
        <v>2.9425863587999999</v>
      </c>
      <c r="X222" s="21">
        <f t="shared" si="124"/>
        <v>2.2565021244000003</v>
      </c>
      <c r="Y222" s="21">
        <f t="shared" si="125"/>
        <v>0</v>
      </c>
      <c r="Z222" s="221">
        <f t="shared" si="120"/>
        <v>2</v>
      </c>
      <c r="AA222" s="30">
        <f t="shared" si="108"/>
        <v>23.15158718367751</v>
      </c>
      <c r="AB222" s="30">
        <f t="shared" si="109"/>
        <v>2.4777671411930831</v>
      </c>
      <c r="AC222" s="30">
        <f t="shared" si="110"/>
        <v>4.9619534919017996</v>
      </c>
      <c r="AD222" s="30">
        <f t="shared" si="111"/>
        <v>0</v>
      </c>
      <c r="AE222" s="32">
        <f t="shared" si="121"/>
        <v>30.591307816772392</v>
      </c>
    </row>
    <row r="223" spans="1:31" x14ac:dyDescent="0.35">
      <c r="A223" s="48">
        <v>1604</v>
      </c>
      <c r="B223" s="58">
        <f>SUMIF([2]!Table2_23[ETA],'IAB Model'!A223,[2]!Table2_23[FIS PAX])</f>
        <v>0</v>
      </c>
      <c r="C223" s="44">
        <f t="shared" si="122"/>
        <v>18</v>
      </c>
      <c r="D223" s="52">
        <f t="shared" si="126"/>
        <v>350</v>
      </c>
      <c r="E223" s="26">
        <f t="shared" si="112"/>
        <v>8.2691999999999997</v>
      </c>
      <c r="F223" s="26">
        <f t="shared" si="113"/>
        <v>5.3369999999999997</v>
      </c>
      <c r="G223" s="26">
        <f t="shared" si="114"/>
        <v>3.1175999999999999</v>
      </c>
      <c r="H223" s="26">
        <f t="shared" si="123"/>
        <v>1.2762</v>
      </c>
      <c r="I223" s="27">
        <f t="shared" si="143"/>
        <v>8.2691999999999997</v>
      </c>
      <c r="J223" s="27">
        <f t="shared" si="143"/>
        <v>5.3369999999999997</v>
      </c>
      <c r="K223" s="27">
        <f t="shared" si="143"/>
        <v>3.1175999999999999</v>
      </c>
      <c r="L223" s="27">
        <f t="shared" si="143"/>
        <v>1.2762</v>
      </c>
      <c r="M223" s="28">
        <f t="shared" si="144"/>
        <v>11</v>
      </c>
      <c r="N223" s="29">
        <f t="shared" si="145"/>
        <v>5</v>
      </c>
      <c r="O223" s="28">
        <f t="shared" si="146"/>
        <v>2</v>
      </c>
      <c r="P223" s="28">
        <f t="shared" si="147"/>
        <v>0</v>
      </c>
      <c r="Q223" s="28">
        <f t="shared" si="115"/>
        <v>18</v>
      </c>
      <c r="R223" s="22">
        <f t="shared" si="116"/>
        <v>0</v>
      </c>
      <c r="S223" s="22">
        <f t="shared" si="117"/>
        <v>11.436931435227667</v>
      </c>
      <c r="T223" s="22">
        <f t="shared" si="118"/>
        <v>11.328186032392804</v>
      </c>
      <c r="U223" s="22">
        <f t="shared" si="119"/>
        <v>5.1048</v>
      </c>
      <c r="V223" s="21">
        <f t="shared" si="131"/>
        <v>0</v>
      </c>
      <c r="W223" s="21">
        <f t="shared" si="132"/>
        <v>3.9234484783999992</v>
      </c>
      <c r="X223" s="21">
        <f t="shared" si="124"/>
        <v>1.9405579160000006</v>
      </c>
      <c r="Y223" s="21">
        <f t="shared" si="125"/>
        <v>0</v>
      </c>
      <c r="Z223" s="221">
        <f t="shared" si="120"/>
        <v>2</v>
      </c>
      <c r="AA223" s="30">
        <f t="shared" si="108"/>
        <v>0</v>
      </c>
      <c r="AB223" s="30">
        <f t="shared" si="109"/>
        <v>2.4777671411930831</v>
      </c>
      <c r="AC223" s="30">
        <f t="shared" si="110"/>
        <v>4.9619534919017996</v>
      </c>
      <c r="AD223" s="30">
        <f t="shared" si="111"/>
        <v>0</v>
      </c>
      <c r="AE223" s="32">
        <f t="shared" si="121"/>
        <v>7.4397206330948826</v>
      </c>
    </row>
    <row r="224" spans="1:31" x14ac:dyDescent="0.35">
      <c r="A224" s="48">
        <v>1605</v>
      </c>
      <c r="B224" s="58">
        <f>SUMIF([2]!Table2_23[ETA],'IAB Model'!A224,[2]!Table2_23[FIS PAX])</f>
        <v>0</v>
      </c>
      <c r="C224" s="44">
        <f t="shared" si="122"/>
        <v>18</v>
      </c>
      <c r="D224" s="52">
        <f t="shared" si="126"/>
        <v>332</v>
      </c>
      <c r="E224" s="26">
        <f t="shared" si="112"/>
        <v>8.2691999999999997</v>
      </c>
      <c r="F224" s="26">
        <f t="shared" si="113"/>
        <v>5.3369999999999997</v>
      </c>
      <c r="G224" s="26">
        <f t="shared" si="114"/>
        <v>3.1175999999999999</v>
      </c>
      <c r="H224" s="26">
        <f t="shared" si="123"/>
        <v>1.2762</v>
      </c>
      <c r="I224" s="27">
        <f t="shared" si="143"/>
        <v>8.2691999999999997</v>
      </c>
      <c r="J224" s="27">
        <f t="shared" si="143"/>
        <v>5.3369999999999997</v>
      </c>
      <c r="K224" s="27">
        <f t="shared" si="143"/>
        <v>3.1175999999999999</v>
      </c>
      <c r="L224" s="27">
        <f t="shared" si="143"/>
        <v>1.2762</v>
      </c>
      <c r="M224" s="28">
        <f t="shared" si="144"/>
        <v>11</v>
      </c>
      <c r="N224" s="29">
        <f t="shared" si="145"/>
        <v>5</v>
      </c>
      <c r="O224" s="28">
        <f t="shared" si="146"/>
        <v>2</v>
      </c>
      <c r="P224" s="28">
        <f t="shared" si="147"/>
        <v>0</v>
      </c>
      <c r="Q224" s="28">
        <f t="shared" si="115"/>
        <v>18</v>
      </c>
      <c r="R224" s="22">
        <f t="shared" si="116"/>
        <v>0</v>
      </c>
      <c r="S224" s="22">
        <f t="shared" si="117"/>
        <v>14.296164294034583</v>
      </c>
      <c r="T224" s="22">
        <f t="shared" si="118"/>
        <v>9.4838325404910044</v>
      </c>
      <c r="U224" s="22">
        <f t="shared" si="119"/>
        <v>6.3810000000000002</v>
      </c>
      <c r="V224" s="21">
        <f t="shared" si="131"/>
        <v>0</v>
      </c>
      <c r="W224" s="21">
        <f t="shared" si="132"/>
        <v>4.9043105979999986</v>
      </c>
      <c r="X224" s="21">
        <f t="shared" si="124"/>
        <v>1.6246137076000007</v>
      </c>
      <c r="Y224" s="21">
        <f t="shared" si="125"/>
        <v>0</v>
      </c>
      <c r="Z224" s="221">
        <f t="shared" si="120"/>
        <v>2</v>
      </c>
      <c r="AA224" s="30">
        <f t="shared" si="108"/>
        <v>0</v>
      </c>
      <c r="AB224" s="30">
        <f t="shared" si="109"/>
        <v>2.4777671411930831</v>
      </c>
      <c r="AC224" s="30">
        <f t="shared" si="110"/>
        <v>4.9619534919017996</v>
      </c>
      <c r="AD224" s="30">
        <f t="shared" si="111"/>
        <v>0</v>
      </c>
      <c r="AE224" s="32">
        <f t="shared" si="121"/>
        <v>7.4397206330948826</v>
      </c>
    </row>
    <row r="225" spans="1:31" x14ac:dyDescent="0.35">
      <c r="A225" s="48">
        <v>1606</v>
      </c>
      <c r="B225" s="58">
        <f>SUMIF([2]!Table2_23[ETA],'IAB Model'!A225,[2]!Table2_23[FIS PAX])</f>
        <v>0</v>
      </c>
      <c r="C225" s="44">
        <f t="shared" si="122"/>
        <v>18</v>
      </c>
      <c r="D225" s="52">
        <f t="shared" si="126"/>
        <v>314</v>
      </c>
      <c r="E225" s="26">
        <f t="shared" si="112"/>
        <v>8.2691999999999997</v>
      </c>
      <c r="F225" s="26">
        <f t="shared" si="113"/>
        <v>5.3369999999999997</v>
      </c>
      <c r="G225" s="26">
        <f t="shared" si="114"/>
        <v>3.1175999999999999</v>
      </c>
      <c r="H225" s="26">
        <f t="shared" si="123"/>
        <v>1.2762</v>
      </c>
      <c r="I225" s="27">
        <f t="shared" si="143"/>
        <v>0.45939999999999998</v>
      </c>
      <c r="J225" s="27">
        <f t="shared" si="143"/>
        <v>0.29649999999999999</v>
      </c>
      <c r="K225" s="27">
        <f t="shared" si="143"/>
        <v>0.17319999999999999</v>
      </c>
      <c r="L225" s="27">
        <f t="shared" si="143"/>
        <v>7.0900000000000005E-2</v>
      </c>
      <c r="M225" s="28">
        <f t="shared" si="144"/>
        <v>11</v>
      </c>
      <c r="N225" s="29">
        <f t="shared" si="145"/>
        <v>5</v>
      </c>
      <c r="O225" s="28">
        <f t="shared" si="146"/>
        <v>2</v>
      </c>
      <c r="P225" s="28">
        <f t="shared" si="147"/>
        <v>0</v>
      </c>
      <c r="Q225" s="28">
        <f t="shared" si="115"/>
        <v>18</v>
      </c>
      <c r="R225" s="22">
        <f t="shared" si="116"/>
        <v>0</v>
      </c>
      <c r="S225" s="22">
        <f t="shared" si="117"/>
        <v>12.114897152841499</v>
      </c>
      <c r="T225" s="22">
        <f t="shared" si="118"/>
        <v>4.6950790485892044</v>
      </c>
      <c r="U225" s="22">
        <f t="shared" si="119"/>
        <v>6.4519000000000002</v>
      </c>
      <c r="V225" s="21">
        <f t="shared" si="131"/>
        <v>0</v>
      </c>
      <c r="W225" s="21">
        <f t="shared" si="132"/>
        <v>4.1560251601999978</v>
      </c>
      <c r="X225" s="21">
        <f t="shared" si="124"/>
        <v>0.80428347380000076</v>
      </c>
      <c r="Y225" s="21">
        <f t="shared" si="125"/>
        <v>0</v>
      </c>
      <c r="Z225" s="221">
        <f t="shared" si="120"/>
        <v>2</v>
      </c>
      <c r="AA225" s="30">
        <f t="shared" si="108"/>
        <v>0</v>
      </c>
      <c r="AB225" s="30">
        <f t="shared" si="109"/>
        <v>2.4777671411930831</v>
      </c>
      <c r="AC225" s="30">
        <f t="shared" si="110"/>
        <v>4.9619534919017996</v>
      </c>
      <c r="AD225" s="30">
        <f t="shared" si="111"/>
        <v>0</v>
      </c>
      <c r="AE225" s="32">
        <f t="shared" si="121"/>
        <v>7.4397206330948826</v>
      </c>
    </row>
    <row r="226" spans="1:31" x14ac:dyDescent="0.35">
      <c r="A226" s="48">
        <v>1607</v>
      </c>
      <c r="B226" s="58">
        <f>SUMIF([2]!Table2_23[ETA],'IAB Model'!A226,[2]!Table2_23[FIS PAX])</f>
        <v>0</v>
      </c>
      <c r="C226" s="44">
        <f t="shared" si="122"/>
        <v>18</v>
      </c>
      <c r="D226" s="52">
        <f t="shared" si="126"/>
        <v>296</v>
      </c>
      <c r="E226" s="26">
        <f t="shared" si="112"/>
        <v>8.2691999999999997</v>
      </c>
      <c r="F226" s="26">
        <f t="shared" si="113"/>
        <v>5.3369999999999997</v>
      </c>
      <c r="G226" s="26">
        <f t="shared" si="114"/>
        <v>3.1175999999999999</v>
      </c>
      <c r="H226" s="26">
        <f t="shared" si="123"/>
        <v>1.2762</v>
      </c>
      <c r="I226" s="27">
        <f t="shared" si="143"/>
        <v>8.2691999999999997</v>
      </c>
      <c r="J226" s="27">
        <f t="shared" si="143"/>
        <v>5.3369999999999997</v>
      </c>
      <c r="K226" s="27">
        <f t="shared" si="143"/>
        <v>3.1175999999999999</v>
      </c>
      <c r="L226" s="27">
        <f t="shared" si="143"/>
        <v>1.2762</v>
      </c>
      <c r="M226" s="28">
        <f t="shared" si="144"/>
        <v>11</v>
      </c>
      <c r="N226" s="29">
        <f t="shared" si="145"/>
        <v>5</v>
      </c>
      <c r="O226" s="28">
        <f t="shared" si="146"/>
        <v>2</v>
      </c>
      <c r="P226" s="28">
        <f t="shared" si="147"/>
        <v>0</v>
      </c>
      <c r="Q226" s="28">
        <f t="shared" si="115"/>
        <v>18</v>
      </c>
      <c r="R226" s="22">
        <f t="shared" si="116"/>
        <v>0</v>
      </c>
      <c r="S226" s="22">
        <f t="shared" si="117"/>
        <v>14.974130011648416</v>
      </c>
      <c r="T226" s="22">
        <f t="shared" si="118"/>
        <v>2.8507255566874048</v>
      </c>
      <c r="U226" s="22">
        <f t="shared" si="119"/>
        <v>7.7281000000000004</v>
      </c>
      <c r="V226" s="21">
        <f t="shared" si="131"/>
        <v>0</v>
      </c>
      <c r="W226" s="21">
        <f t="shared" si="132"/>
        <v>5.136887279799998</v>
      </c>
      <c r="X226" s="21">
        <f t="shared" si="124"/>
        <v>0.48833926540000083</v>
      </c>
      <c r="Y226" s="21">
        <f t="shared" si="125"/>
        <v>0</v>
      </c>
      <c r="Z226" s="221">
        <f t="shared" si="120"/>
        <v>2</v>
      </c>
      <c r="AA226" s="30">
        <f t="shared" si="108"/>
        <v>0</v>
      </c>
      <c r="AB226" s="30">
        <f t="shared" si="109"/>
        <v>2.4777671411930831</v>
      </c>
      <c r="AC226" s="30">
        <f t="shared" si="110"/>
        <v>4.9619534919017996</v>
      </c>
      <c r="AD226" s="30">
        <f t="shared" si="111"/>
        <v>0</v>
      </c>
      <c r="AE226" s="32">
        <f t="shared" si="121"/>
        <v>7.4397206330948826</v>
      </c>
    </row>
    <row r="227" spans="1:31" x14ac:dyDescent="0.35">
      <c r="A227" s="48">
        <v>1608</v>
      </c>
      <c r="B227" s="58">
        <f>SUMIF([2]!Table2_23[ETA],'IAB Model'!A227,[2]!Table2_23[FIS PAX])</f>
        <v>0</v>
      </c>
      <c r="C227" s="44">
        <f t="shared" si="122"/>
        <v>18</v>
      </c>
      <c r="D227" s="52">
        <f t="shared" si="126"/>
        <v>278</v>
      </c>
      <c r="E227" s="26">
        <f t="shared" si="112"/>
        <v>8.2691999999999997</v>
      </c>
      <c r="F227" s="26">
        <f t="shared" si="113"/>
        <v>5.3369999999999997</v>
      </c>
      <c r="G227" s="26">
        <f t="shared" si="114"/>
        <v>3.1175999999999999</v>
      </c>
      <c r="H227" s="26">
        <f t="shared" si="123"/>
        <v>1.2762</v>
      </c>
      <c r="I227" s="27">
        <f t="shared" si="143"/>
        <v>8.2691999999999997</v>
      </c>
      <c r="J227" s="27">
        <f t="shared" si="143"/>
        <v>5.3369999999999997</v>
      </c>
      <c r="K227" s="27">
        <f t="shared" si="143"/>
        <v>3.1175999999999999</v>
      </c>
      <c r="L227" s="27">
        <f t="shared" si="143"/>
        <v>1.2762</v>
      </c>
      <c r="M227" s="28">
        <f t="shared" si="144"/>
        <v>11</v>
      </c>
      <c r="N227" s="29">
        <f t="shared" si="145"/>
        <v>5</v>
      </c>
      <c r="O227" s="28">
        <f t="shared" si="146"/>
        <v>2</v>
      </c>
      <c r="P227" s="28">
        <f t="shared" si="147"/>
        <v>0</v>
      </c>
      <c r="Q227" s="28">
        <f t="shared" si="115"/>
        <v>18</v>
      </c>
      <c r="R227" s="22">
        <f t="shared" si="116"/>
        <v>0</v>
      </c>
      <c r="S227" s="22">
        <f t="shared" si="117"/>
        <v>17.833362870455332</v>
      </c>
      <c r="T227" s="22">
        <f t="shared" si="118"/>
        <v>1.0063720647856051</v>
      </c>
      <c r="U227" s="22">
        <f t="shared" si="119"/>
        <v>9.0043000000000006</v>
      </c>
      <c r="V227" s="21">
        <f t="shared" si="131"/>
        <v>0</v>
      </c>
      <c r="W227" s="21">
        <f t="shared" si="132"/>
        <v>6.1177493993999974</v>
      </c>
      <c r="X227" s="21">
        <f t="shared" si="124"/>
        <v>0.17239505700000091</v>
      </c>
      <c r="Y227" s="21">
        <f t="shared" si="125"/>
        <v>0</v>
      </c>
      <c r="Z227" s="221">
        <f t="shared" si="120"/>
        <v>2</v>
      </c>
      <c r="AA227" s="30">
        <f t="shared" si="108"/>
        <v>0</v>
      </c>
      <c r="AB227" s="30">
        <f t="shared" si="109"/>
        <v>2.4777671411930831</v>
      </c>
      <c r="AC227" s="30">
        <f t="shared" si="110"/>
        <v>4.9619534919017996</v>
      </c>
      <c r="AD227" s="30">
        <f t="shared" si="111"/>
        <v>0</v>
      </c>
      <c r="AE227" s="32">
        <f t="shared" si="121"/>
        <v>7.4397206330948826</v>
      </c>
    </row>
    <row r="228" spans="1:31" x14ac:dyDescent="0.35">
      <c r="A228" s="48">
        <v>1609</v>
      </c>
      <c r="B228" s="58">
        <f>SUMIF([2]!Table2_23[ETA],'IAB Model'!A228,[2]!Table2_23[FIS PAX])</f>
        <v>0</v>
      </c>
      <c r="C228" s="44">
        <f t="shared" si="122"/>
        <v>18</v>
      </c>
      <c r="D228" s="52">
        <f t="shared" si="126"/>
        <v>260</v>
      </c>
      <c r="E228" s="26">
        <f t="shared" si="112"/>
        <v>8.2691999999999997</v>
      </c>
      <c r="F228" s="26">
        <f t="shared" si="113"/>
        <v>5.3369999999999997</v>
      </c>
      <c r="G228" s="26">
        <f t="shared" si="114"/>
        <v>3.1175999999999999</v>
      </c>
      <c r="H228" s="26">
        <f t="shared" si="123"/>
        <v>1.2762</v>
      </c>
      <c r="I228" s="27">
        <f t="shared" si="143"/>
        <v>8.2691999999999997</v>
      </c>
      <c r="J228" s="27">
        <f t="shared" si="143"/>
        <v>5.3369999999999997</v>
      </c>
      <c r="K228" s="27">
        <f t="shared" si="143"/>
        <v>3.1175999999999999</v>
      </c>
      <c r="L228" s="27">
        <f t="shared" si="143"/>
        <v>1.2762</v>
      </c>
      <c r="M228" s="28">
        <f t="shared" si="144"/>
        <v>11</v>
      </c>
      <c r="N228" s="29">
        <f t="shared" si="145"/>
        <v>5</v>
      </c>
      <c r="O228" s="28">
        <f t="shared" si="146"/>
        <v>2</v>
      </c>
      <c r="P228" s="28">
        <f t="shared" si="147"/>
        <v>0</v>
      </c>
      <c r="Q228" s="28">
        <f t="shared" si="115"/>
        <v>18</v>
      </c>
      <c r="R228" s="22">
        <f t="shared" si="116"/>
        <v>0</v>
      </c>
      <c r="S228" s="22">
        <f t="shared" si="117"/>
        <v>20.692595729262248</v>
      </c>
      <c r="T228" s="22">
        <f t="shared" si="118"/>
        <v>0</v>
      </c>
      <c r="U228" s="22">
        <f t="shared" si="119"/>
        <v>10.2805</v>
      </c>
      <c r="V228" s="21">
        <f t="shared" si="131"/>
        <v>0</v>
      </c>
      <c r="W228" s="21">
        <f t="shared" si="132"/>
        <v>7.0986115189999976</v>
      </c>
      <c r="X228" s="21">
        <f t="shared" si="124"/>
        <v>0</v>
      </c>
      <c r="Y228" s="21">
        <f t="shared" si="125"/>
        <v>0</v>
      </c>
      <c r="Z228" s="221">
        <f t="shared" si="120"/>
        <v>3</v>
      </c>
      <c r="AA228" s="30">
        <f t="shared" si="108"/>
        <v>0</v>
      </c>
      <c r="AB228" s="30">
        <f t="shared" si="109"/>
        <v>2.4777671411930831</v>
      </c>
      <c r="AC228" s="30">
        <f t="shared" si="110"/>
        <v>0</v>
      </c>
      <c r="AD228" s="30">
        <f t="shared" si="111"/>
        <v>0</v>
      </c>
      <c r="AE228" s="32">
        <f t="shared" si="121"/>
        <v>2.4777671411930831</v>
      </c>
    </row>
    <row r="229" spans="1:31" x14ac:dyDescent="0.35">
      <c r="A229" s="48">
        <v>1610</v>
      </c>
      <c r="B229" s="58">
        <f>SUMIF([2]!Table2_23[ETA],'IAB Model'!A229,[2]!Table2_23[FIS PAX])</f>
        <v>0</v>
      </c>
      <c r="C229" s="44">
        <f t="shared" si="122"/>
        <v>18</v>
      </c>
      <c r="D229" s="52">
        <f t="shared" si="126"/>
        <v>242</v>
      </c>
      <c r="E229" s="26">
        <f t="shared" si="112"/>
        <v>8.2691999999999997</v>
      </c>
      <c r="F229" s="26">
        <f t="shared" si="113"/>
        <v>5.3369999999999997</v>
      </c>
      <c r="G229" s="26">
        <f t="shared" si="114"/>
        <v>3.1175999999999999</v>
      </c>
      <c r="H229" s="26">
        <f t="shared" si="123"/>
        <v>1.2762</v>
      </c>
      <c r="I229" s="27">
        <f t="shared" si="143"/>
        <v>8.2691999999999997</v>
      </c>
      <c r="J229" s="27">
        <f t="shared" si="143"/>
        <v>5.3369999999999997</v>
      </c>
      <c r="K229" s="27">
        <f t="shared" si="143"/>
        <v>3.1175999999999999</v>
      </c>
      <c r="L229" s="27">
        <f t="shared" si="143"/>
        <v>1.2762</v>
      </c>
      <c r="M229" s="28">
        <f t="shared" si="144"/>
        <v>11</v>
      </c>
      <c r="N229" s="29">
        <f t="shared" si="145"/>
        <v>5</v>
      </c>
      <c r="O229" s="28">
        <f t="shared" si="146"/>
        <v>2</v>
      </c>
      <c r="P229" s="28">
        <f t="shared" si="147"/>
        <v>0</v>
      </c>
      <c r="Q229" s="28">
        <f t="shared" si="115"/>
        <v>18</v>
      </c>
      <c r="R229" s="22">
        <f t="shared" si="116"/>
        <v>0</v>
      </c>
      <c r="S229" s="22">
        <f t="shared" si="117"/>
        <v>23.551828588069164</v>
      </c>
      <c r="T229" s="22">
        <f t="shared" si="118"/>
        <v>0</v>
      </c>
      <c r="U229" s="22">
        <f t="shared" si="119"/>
        <v>11.556699999999999</v>
      </c>
      <c r="V229" s="21">
        <f t="shared" si="131"/>
        <v>0</v>
      </c>
      <c r="W229" s="21">
        <f t="shared" si="132"/>
        <v>8.0794736385999961</v>
      </c>
      <c r="X229" s="21">
        <f t="shared" si="124"/>
        <v>0</v>
      </c>
      <c r="Y229" s="21">
        <f t="shared" si="125"/>
        <v>0</v>
      </c>
      <c r="Z229" s="221">
        <f t="shared" si="120"/>
        <v>3</v>
      </c>
      <c r="AA229" s="30">
        <f t="shared" si="108"/>
        <v>0</v>
      </c>
      <c r="AB229" s="30">
        <f t="shared" si="109"/>
        <v>2.4777671411930831</v>
      </c>
      <c r="AC229" s="30">
        <f t="shared" si="110"/>
        <v>0</v>
      </c>
      <c r="AD229" s="30">
        <f t="shared" si="111"/>
        <v>0</v>
      </c>
      <c r="AE229" s="32">
        <f t="shared" si="121"/>
        <v>2.4777671411930831</v>
      </c>
    </row>
    <row r="230" spans="1:31" x14ac:dyDescent="0.35">
      <c r="A230" s="48">
        <v>1611</v>
      </c>
      <c r="B230" s="58">
        <f>SUMIF([2]!Table2_23[ETA],'IAB Model'!A230,[2]!Table2_23[FIS PAX])</f>
        <v>0</v>
      </c>
      <c r="C230" s="44">
        <f t="shared" si="122"/>
        <v>18</v>
      </c>
      <c r="D230" s="52">
        <f t="shared" si="126"/>
        <v>224</v>
      </c>
      <c r="E230" s="26">
        <f t="shared" si="112"/>
        <v>8.2691999999999997</v>
      </c>
      <c r="F230" s="26">
        <f t="shared" si="113"/>
        <v>5.3369999999999997</v>
      </c>
      <c r="G230" s="26">
        <f t="shared" si="114"/>
        <v>3.1175999999999999</v>
      </c>
      <c r="H230" s="26">
        <f t="shared" si="123"/>
        <v>1.2762</v>
      </c>
      <c r="I230" s="27">
        <f t="shared" si="143"/>
        <v>8.2691999999999997</v>
      </c>
      <c r="J230" s="27">
        <f t="shared" si="143"/>
        <v>5.3369999999999997</v>
      </c>
      <c r="K230" s="27">
        <f t="shared" si="143"/>
        <v>3.1175999999999999</v>
      </c>
      <c r="L230" s="27">
        <f t="shared" si="143"/>
        <v>1.2762</v>
      </c>
      <c r="M230" s="28">
        <f t="shared" si="144"/>
        <v>11</v>
      </c>
      <c r="N230" s="29">
        <f t="shared" si="145"/>
        <v>5</v>
      </c>
      <c r="O230" s="28">
        <f t="shared" si="146"/>
        <v>2</v>
      </c>
      <c r="P230" s="28">
        <f t="shared" si="147"/>
        <v>0</v>
      </c>
      <c r="Q230" s="28">
        <f t="shared" si="115"/>
        <v>18</v>
      </c>
      <c r="R230" s="22">
        <f t="shared" si="116"/>
        <v>0</v>
      </c>
      <c r="S230" s="22">
        <f t="shared" si="117"/>
        <v>26.411061446876079</v>
      </c>
      <c r="T230" s="22">
        <f t="shared" si="118"/>
        <v>0</v>
      </c>
      <c r="U230" s="22">
        <f t="shared" si="119"/>
        <v>12.832899999999999</v>
      </c>
      <c r="V230" s="21">
        <f t="shared" si="131"/>
        <v>0</v>
      </c>
      <c r="W230" s="21">
        <f t="shared" si="132"/>
        <v>9.0603357581999955</v>
      </c>
      <c r="X230" s="21">
        <f t="shared" si="124"/>
        <v>0</v>
      </c>
      <c r="Y230" s="21">
        <f t="shared" si="125"/>
        <v>0</v>
      </c>
      <c r="Z230" s="221">
        <f t="shared" si="120"/>
        <v>3</v>
      </c>
      <c r="AA230" s="30">
        <f t="shared" si="108"/>
        <v>0</v>
      </c>
      <c r="AB230" s="30">
        <f t="shared" si="109"/>
        <v>2.4777671411930831</v>
      </c>
      <c r="AC230" s="30">
        <f t="shared" si="110"/>
        <v>0</v>
      </c>
      <c r="AD230" s="30">
        <f t="shared" si="111"/>
        <v>0</v>
      </c>
      <c r="AE230" s="32">
        <f t="shared" si="121"/>
        <v>2.4777671411930831</v>
      </c>
    </row>
    <row r="231" spans="1:31" x14ac:dyDescent="0.35">
      <c r="A231" s="48">
        <v>1612</v>
      </c>
      <c r="B231" s="58">
        <f>SUMIF([2]!Table2_23[ETA],'IAB Model'!A231,[2]!Table2_23[FIS PAX])</f>
        <v>0</v>
      </c>
      <c r="C231" s="44">
        <f t="shared" si="122"/>
        <v>18</v>
      </c>
      <c r="D231" s="52">
        <f t="shared" si="126"/>
        <v>206</v>
      </c>
      <c r="E231" s="26">
        <f t="shared" si="112"/>
        <v>8.2691999999999997</v>
      </c>
      <c r="F231" s="26">
        <f t="shared" si="113"/>
        <v>5.3369999999999997</v>
      </c>
      <c r="G231" s="26">
        <f t="shared" si="114"/>
        <v>3.1175999999999999</v>
      </c>
      <c r="H231" s="26">
        <f t="shared" si="123"/>
        <v>1.2762</v>
      </c>
      <c r="I231" s="27">
        <f t="shared" ref="I231:L246" si="148">E216</f>
        <v>8.2691999999999997</v>
      </c>
      <c r="J231" s="27">
        <f t="shared" si="148"/>
        <v>5.3369999999999997</v>
      </c>
      <c r="K231" s="27">
        <f t="shared" si="148"/>
        <v>3.1175999999999999</v>
      </c>
      <c r="L231" s="27">
        <f t="shared" si="148"/>
        <v>1.2762</v>
      </c>
      <c r="M231" s="28">
        <f t="shared" si="144"/>
        <v>11</v>
      </c>
      <c r="N231" s="29">
        <f t="shared" si="145"/>
        <v>5</v>
      </c>
      <c r="O231" s="28">
        <f t="shared" si="146"/>
        <v>2</v>
      </c>
      <c r="P231" s="28">
        <f t="shared" si="147"/>
        <v>0</v>
      </c>
      <c r="Q231" s="28">
        <f t="shared" si="115"/>
        <v>18</v>
      </c>
      <c r="R231" s="22">
        <f t="shared" si="116"/>
        <v>0</v>
      </c>
      <c r="S231" s="22">
        <f t="shared" si="117"/>
        <v>29.270294305682995</v>
      </c>
      <c r="T231" s="22">
        <f t="shared" si="118"/>
        <v>0</v>
      </c>
      <c r="U231" s="22">
        <f t="shared" si="119"/>
        <v>14.109099999999998</v>
      </c>
      <c r="V231" s="21">
        <f t="shared" si="131"/>
        <v>0</v>
      </c>
      <c r="W231" s="21">
        <f t="shared" si="132"/>
        <v>10.041197877799995</v>
      </c>
      <c r="X231" s="21">
        <f t="shared" si="124"/>
        <v>0</v>
      </c>
      <c r="Y231" s="21">
        <f t="shared" si="125"/>
        <v>0</v>
      </c>
      <c r="Z231" s="221">
        <f t="shared" si="120"/>
        <v>3</v>
      </c>
      <c r="AA231" s="30">
        <f t="shared" ref="AA231:AA294" si="149">IF(R231&lt;&gt;0,($J$30*M231*$L$33),0)</f>
        <v>0</v>
      </c>
      <c r="AB231" s="30">
        <f t="shared" ref="AB231:AB294" si="150">IF(W231&lt;&gt;0,($J$31*N231*$L$33),0)</f>
        <v>2.4777671411930831</v>
      </c>
      <c r="AC231" s="30">
        <f t="shared" ref="AC231:AC294" si="151">IF(X231&lt;&gt;0,($J$32*O231*$L$33),0)</f>
        <v>0</v>
      </c>
      <c r="AD231" s="30">
        <f t="shared" ref="AD231:AD294" si="152">IF(Y231&lt;&gt;0,($J$33*P231*$L$33),0)</f>
        <v>0</v>
      </c>
      <c r="AE231" s="32">
        <f t="shared" si="121"/>
        <v>2.4777671411930831</v>
      </c>
    </row>
    <row r="232" spans="1:31" x14ac:dyDescent="0.35">
      <c r="A232" s="48">
        <v>1613</v>
      </c>
      <c r="B232" s="58">
        <f>SUMIF([2]!Table2_23[ETA],'IAB Model'!A232,[2]!Table2_23[FIS PAX])</f>
        <v>0</v>
      </c>
      <c r="C232" s="44">
        <f t="shared" si="122"/>
        <v>18</v>
      </c>
      <c r="D232" s="52">
        <f t="shared" si="126"/>
        <v>188</v>
      </c>
      <c r="E232" s="26">
        <f t="shared" ref="E232:E295" si="153">$C$30*C232</f>
        <v>8.2691999999999997</v>
      </c>
      <c r="F232" s="26">
        <f t="shared" ref="F232:F295" si="154">$C$31*C232</f>
        <v>5.3369999999999997</v>
      </c>
      <c r="G232" s="26">
        <f t="shared" ref="G232:G295" si="155">$C$32*C232</f>
        <v>3.1175999999999999</v>
      </c>
      <c r="H232" s="26">
        <f t="shared" si="123"/>
        <v>1.2762</v>
      </c>
      <c r="I232" s="27">
        <f t="shared" si="148"/>
        <v>8.2691999999999997</v>
      </c>
      <c r="J232" s="27">
        <f t="shared" si="148"/>
        <v>5.3369999999999997</v>
      </c>
      <c r="K232" s="27">
        <f t="shared" si="148"/>
        <v>3.1175999999999999</v>
      </c>
      <c r="L232" s="27">
        <f t="shared" si="148"/>
        <v>1.2762</v>
      </c>
      <c r="M232" s="28">
        <f t="shared" si="144"/>
        <v>11</v>
      </c>
      <c r="N232" s="29">
        <f t="shared" si="145"/>
        <v>5</v>
      </c>
      <c r="O232" s="28">
        <f t="shared" si="146"/>
        <v>2</v>
      </c>
      <c r="P232" s="28">
        <f t="shared" si="147"/>
        <v>0</v>
      </c>
      <c r="Q232" s="28">
        <f t="shared" ref="Q232:Q295" si="156">SUM(M232:P232)</f>
        <v>18</v>
      </c>
      <c r="R232" s="22">
        <f t="shared" ref="R232:R295" si="157">MAX(R231-($J$30*M232*$L$33)+I232,0)</f>
        <v>0</v>
      </c>
      <c r="S232" s="22">
        <f t="shared" ref="S232:S295" si="158">IF(U232&lt;&gt;0,(MAX(S231-($J$31*N232*$L$33)+J232,0)),(MAX(S231-($J$31*(N232+P232)*$L$33)+J232,0)))</f>
        <v>32.129527164489915</v>
      </c>
      <c r="T232" s="22">
        <f t="shared" ref="T232:T295" si="159">MAX(T231-($J$32*O232*$L$33)+K232,0)</f>
        <v>0</v>
      </c>
      <c r="U232" s="22">
        <f t="shared" ref="U232:U295" si="160">MAX(U231-($J$33*P232*$L$33)+L232,0)</f>
        <v>15.385299999999997</v>
      </c>
      <c r="V232" s="21">
        <f t="shared" si="131"/>
        <v>0</v>
      </c>
      <c r="W232" s="21">
        <f t="shared" si="132"/>
        <v>11.022059997399996</v>
      </c>
      <c r="X232" s="21">
        <f t="shared" si="124"/>
        <v>0</v>
      </c>
      <c r="Y232" s="21">
        <f t="shared" si="125"/>
        <v>0</v>
      </c>
      <c r="Z232" s="221">
        <f t="shared" ref="Z232:Z295" si="161">ROUNDUP(SUM(V232*$C$30,W232*$C$31,X232*$C$32,Y232*$C$33),0)</f>
        <v>4</v>
      </c>
      <c r="AA232" s="30">
        <f t="shared" si="149"/>
        <v>0</v>
      </c>
      <c r="AB232" s="30">
        <f t="shared" si="150"/>
        <v>2.4777671411930831</v>
      </c>
      <c r="AC232" s="30">
        <f t="shared" si="151"/>
        <v>0</v>
      </c>
      <c r="AD232" s="30">
        <f t="shared" si="152"/>
        <v>0</v>
      </c>
      <c r="AE232" s="32">
        <f t="shared" ref="AE232:AE295" si="162">SUM(AA232:AD232)</f>
        <v>2.4777671411930831</v>
      </c>
    </row>
    <row r="233" spans="1:31" x14ac:dyDescent="0.35">
      <c r="A233" s="48">
        <v>1614</v>
      </c>
      <c r="B233" s="58">
        <f>SUMIF([2]!Table2_23[ETA],'IAB Model'!A233,[2]!Table2_23[FIS PAX])</f>
        <v>0</v>
      </c>
      <c r="C233" s="44">
        <f t="shared" ref="C233:C296" si="163">IF((D232-D233)&gt;-1,(D232-D233),18)</f>
        <v>18</v>
      </c>
      <c r="D233" s="52">
        <f t="shared" si="126"/>
        <v>170</v>
      </c>
      <c r="E233" s="26">
        <f t="shared" si="153"/>
        <v>8.2691999999999997</v>
      </c>
      <c r="F233" s="26">
        <f t="shared" si="154"/>
        <v>5.3369999999999997</v>
      </c>
      <c r="G233" s="26">
        <f t="shared" si="155"/>
        <v>3.1175999999999999</v>
      </c>
      <c r="H233" s="26">
        <f t="shared" ref="H233:H296" si="164">$C$33*C233</f>
        <v>1.2762</v>
      </c>
      <c r="I233" s="27">
        <f t="shared" si="148"/>
        <v>8.2691999999999997</v>
      </c>
      <c r="J233" s="27">
        <f t="shared" si="148"/>
        <v>5.3369999999999997</v>
      </c>
      <c r="K233" s="27">
        <f t="shared" si="148"/>
        <v>3.1175999999999999</v>
      </c>
      <c r="L233" s="27">
        <f t="shared" si="148"/>
        <v>1.2762</v>
      </c>
      <c r="M233" s="28">
        <f t="shared" si="144"/>
        <v>11</v>
      </c>
      <c r="N233" s="29">
        <f t="shared" si="145"/>
        <v>5</v>
      </c>
      <c r="O233" s="28">
        <f t="shared" si="146"/>
        <v>2</v>
      </c>
      <c r="P233" s="28">
        <f t="shared" si="147"/>
        <v>0</v>
      </c>
      <c r="Q233" s="28">
        <f t="shared" si="156"/>
        <v>18</v>
      </c>
      <c r="R233" s="22">
        <f t="shared" si="157"/>
        <v>0</v>
      </c>
      <c r="S233" s="22">
        <f t="shared" si="158"/>
        <v>34.988760023296834</v>
      </c>
      <c r="T233" s="22">
        <f t="shared" si="159"/>
        <v>0</v>
      </c>
      <c r="U233" s="22">
        <f t="shared" si="160"/>
        <v>16.661499999999997</v>
      </c>
      <c r="V233" s="21">
        <f t="shared" si="131"/>
        <v>0</v>
      </c>
      <c r="W233" s="21">
        <f t="shared" si="132"/>
        <v>12.002922116999997</v>
      </c>
      <c r="X233" s="21">
        <f t="shared" ref="X233:X296" si="165">IFERROR(T233*($I$32/O233),0)</f>
        <v>0</v>
      </c>
      <c r="Y233" s="21">
        <f t="shared" ref="Y233:Y296" si="166">IFERROR(U233*($I$33/P233),0)</f>
        <v>0</v>
      </c>
      <c r="Z233" s="221">
        <f t="shared" si="161"/>
        <v>4</v>
      </c>
      <c r="AA233" s="30">
        <f t="shared" si="149"/>
        <v>0</v>
      </c>
      <c r="AB233" s="30">
        <f t="shared" si="150"/>
        <v>2.4777671411930831</v>
      </c>
      <c r="AC233" s="30">
        <f t="shared" si="151"/>
        <v>0</v>
      </c>
      <c r="AD233" s="30">
        <f t="shared" si="152"/>
        <v>0</v>
      </c>
      <c r="AE233" s="32">
        <f t="shared" si="162"/>
        <v>2.4777671411930831</v>
      </c>
    </row>
    <row r="234" spans="1:31" x14ac:dyDescent="0.35">
      <c r="A234" s="48">
        <v>1615</v>
      </c>
      <c r="B234" s="58">
        <f>SUMIF([2]!Table2_23[ETA],'IAB Model'!A234,[2]!Table2_23[FIS PAX])</f>
        <v>0</v>
      </c>
      <c r="C234" s="44">
        <f t="shared" si="163"/>
        <v>18</v>
      </c>
      <c r="D234" s="52">
        <f t="shared" ref="D234:D297" si="167">MAX(D233-$E$31+B233,0)</f>
        <v>152</v>
      </c>
      <c r="E234" s="26">
        <f t="shared" si="153"/>
        <v>8.2691999999999997</v>
      </c>
      <c r="F234" s="26">
        <f t="shared" si="154"/>
        <v>5.3369999999999997</v>
      </c>
      <c r="G234" s="26">
        <f t="shared" si="155"/>
        <v>3.1175999999999999</v>
      </c>
      <c r="H234" s="26">
        <f t="shared" si="164"/>
        <v>1.2762</v>
      </c>
      <c r="I234" s="27">
        <f t="shared" si="148"/>
        <v>8.2691999999999997</v>
      </c>
      <c r="J234" s="27">
        <f t="shared" si="148"/>
        <v>5.3369999999999997</v>
      </c>
      <c r="K234" s="27">
        <f t="shared" si="148"/>
        <v>3.1175999999999999</v>
      </c>
      <c r="L234" s="27">
        <f t="shared" si="148"/>
        <v>1.2762</v>
      </c>
      <c r="M234" s="28">
        <f t="shared" si="144"/>
        <v>11</v>
      </c>
      <c r="N234" s="29">
        <f t="shared" si="145"/>
        <v>5</v>
      </c>
      <c r="O234" s="28">
        <f t="shared" si="146"/>
        <v>2</v>
      </c>
      <c r="P234" s="28">
        <f t="shared" si="147"/>
        <v>0</v>
      </c>
      <c r="Q234" s="28">
        <f t="shared" si="156"/>
        <v>18</v>
      </c>
      <c r="R234" s="22">
        <f t="shared" si="157"/>
        <v>0</v>
      </c>
      <c r="S234" s="22">
        <f t="shared" si="158"/>
        <v>37.847992882103753</v>
      </c>
      <c r="T234" s="22">
        <f t="shared" si="159"/>
        <v>0</v>
      </c>
      <c r="U234" s="22">
        <f t="shared" si="160"/>
        <v>17.937699999999996</v>
      </c>
      <c r="V234" s="21">
        <f t="shared" si="131"/>
        <v>0</v>
      </c>
      <c r="W234" s="21">
        <f t="shared" si="132"/>
        <v>12.983784236599998</v>
      </c>
      <c r="X234" s="21">
        <f t="shared" si="165"/>
        <v>0</v>
      </c>
      <c r="Y234" s="21">
        <f t="shared" si="166"/>
        <v>0</v>
      </c>
      <c r="Z234" s="221">
        <f t="shared" si="161"/>
        <v>4</v>
      </c>
      <c r="AA234" s="30">
        <f t="shared" si="149"/>
        <v>0</v>
      </c>
      <c r="AB234" s="30">
        <f t="shared" si="150"/>
        <v>2.4777671411930831</v>
      </c>
      <c r="AC234" s="30">
        <f t="shared" si="151"/>
        <v>0</v>
      </c>
      <c r="AD234" s="30">
        <f t="shared" si="152"/>
        <v>0</v>
      </c>
      <c r="AE234" s="32">
        <f t="shared" si="162"/>
        <v>2.4777671411930831</v>
      </c>
    </row>
    <row r="235" spans="1:31" x14ac:dyDescent="0.35">
      <c r="A235" s="48">
        <v>1616</v>
      </c>
      <c r="B235" s="58">
        <f>SUMIF([2]!Table2_23[ETA],'IAB Model'!A235,[2]!Table2_23[FIS PAX])</f>
        <v>0</v>
      </c>
      <c r="C235" s="44">
        <f t="shared" si="163"/>
        <v>18</v>
      </c>
      <c r="D235" s="52">
        <f t="shared" si="167"/>
        <v>134</v>
      </c>
      <c r="E235" s="26">
        <f t="shared" si="153"/>
        <v>8.2691999999999997</v>
      </c>
      <c r="F235" s="26">
        <f t="shared" si="154"/>
        <v>5.3369999999999997</v>
      </c>
      <c r="G235" s="26">
        <f t="shared" si="155"/>
        <v>3.1175999999999999</v>
      </c>
      <c r="H235" s="26">
        <f t="shared" si="164"/>
        <v>1.2762</v>
      </c>
      <c r="I235" s="27">
        <f t="shared" si="148"/>
        <v>8.2691999999999997</v>
      </c>
      <c r="J235" s="27">
        <f t="shared" si="148"/>
        <v>5.3369999999999997</v>
      </c>
      <c r="K235" s="27">
        <f t="shared" si="148"/>
        <v>3.1175999999999999</v>
      </c>
      <c r="L235" s="27">
        <f t="shared" si="148"/>
        <v>1.2762</v>
      </c>
      <c r="M235" s="28">
        <f>IF(R234=0,0,$Q$19)</f>
        <v>0</v>
      </c>
      <c r="N235" s="29">
        <f>$U$19-M235-O235-P235</f>
        <v>17</v>
      </c>
      <c r="O235" s="28">
        <f>IF(T234=0,0,$S$19)</f>
        <v>0</v>
      </c>
      <c r="P235" s="28">
        <f>IF(U234=0,0,$T$19)</f>
        <v>1</v>
      </c>
      <c r="Q235" s="28">
        <f t="shared" si="156"/>
        <v>18</v>
      </c>
      <c r="R235" s="22">
        <f t="shared" si="157"/>
        <v>8.2691999999999997</v>
      </c>
      <c r="S235" s="22">
        <f t="shared" si="158"/>
        <v>34.760584602047274</v>
      </c>
      <c r="T235" s="22">
        <f t="shared" si="159"/>
        <v>3.1175999999999999</v>
      </c>
      <c r="U235" s="22">
        <f t="shared" si="160"/>
        <v>17.377566962640341</v>
      </c>
      <c r="V235" s="21">
        <f t="shared" si="131"/>
        <v>0</v>
      </c>
      <c r="W235" s="21">
        <f t="shared" si="132"/>
        <v>3.5072489282941173</v>
      </c>
      <c r="X235" s="21">
        <f t="shared" si="165"/>
        <v>0</v>
      </c>
      <c r="Y235" s="21">
        <f t="shared" si="166"/>
        <v>8.0437108180999974</v>
      </c>
      <c r="Z235" s="221">
        <f t="shared" si="161"/>
        <v>2</v>
      </c>
      <c r="AA235" s="30">
        <f t="shared" si="149"/>
        <v>0</v>
      </c>
      <c r="AB235" s="30">
        <f t="shared" si="150"/>
        <v>8.4244082800564826</v>
      </c>
      <c r="AC235" s="30">
        <f t="shared" si="151"/>
        <v>0</v>
      </c>
      <c r="AD235" s="30">
        <f t="shared" si="152"/>
        <v>1.8363330373596554</v>
      </c>
      <c r="AE235" s="32">
        <f t="shared" si="162"/>
        <v>10.260741317416137</v>
      </c>
    </row>
    <row r="236" spans="1:31" x14ac:dyDescent="0.35">
      <c r="A236" s="48">
        <v>1617</v>
      </c>
      <c r="B236" s="58">
        <f>SUMIF([2]!Table2_23[ETA],'IAB Model'!A236,[2]!Table2_23[FIS PAX])</f>
        <v>0</v>
      </c>
      <c r="C236" s="44">
        <f t="shared" si="163"/>
        <v>18</v>
      </c>
      <c r="D236" s="52">
        <f t="shared" si="167"/>
        <v>116</v>
      </c>
      <c r="E236" s="26">
        <f t="shared" si="153"/>
        <v>8.2691999999999997</v>
      </c>
      <c r="F236" s="26">
        <f t="shared" si="154"/>
        <v>5.3369999999999997</v>
      </c>
      <c r="G236" s="26">
        <f t="shared" si="155"/>
        <v>3.1175999999999999</v>
      </c>
      <c r="H236" s="26">
        <f t="shared" si="164"/>
        <v>1.2762</v>
      </c>
      <c r="I236" s="27">
        <f t="shared" si="148"/>
        <v>8.2691999999999997</v>
      </c>
      <c r="J236" s="27">
        <f t="shared" si="148"/>
        <v>5.3369999999999997</v>
      </c>
      <c r="K236" s="27">
        <f t="shared" si="148"/>
        <v>3.1175999999999999</v>
      </c>
      <c r="L236" s="27">
        <f t="shared" si="148"/>
        <v>1.2762</v>
      </c>
      <c r="M236" s="28">
        <f>$M$235</f>
        <v>0</v>
      </c>
      <c r="N236" s="29">
        <f>$N$235</f>
        <v>17</v>
      </c>
      <c r="O236" s="28">
        <f>$O$235</f>
        <v>0</v>
      </c>
      <c r="P236" s="28">
        <f>$P$235</f>
        <v>1</v>
      </c>
      <c r="Q236" s="28">
        <f t="shared" si="156"/>
        <v>18</v>
      </c>
      <c r="R236" s="22">
        <f t="shared" si="157"/>
        <v>16.538399999999999</v>
      </c>
      <c r="S236" s="22">
        <f t="shared" si="158"/>
        <v>31.673176321990791</v>
      </c>
      <c r="T236" s="22">
        <f t="shared" si="159"/>
        <v>6.2351999999999999</v>
      </c>
      <c r="U236" s="22">
        <f t="shared" si="160"/>
        <v>16.817433925280685</v>
      </c>
      <c r="V236" s="21">
        <f t="shared" si="131"/>
        <v>0</v>
      </c>
      <c r="W236" s="21">
        <f t="shared" si="132"/>
        <v>3.1957377869999997</v>
      </c>
      <c r="X236" s="21">
        <f t="shared" si="165"/>
        <v>0</v>
      </c>
      <c r="Y236" s="21">
        <f t="shared" si="166"/>
        <v>7.7844369978999977</v>
      </c>
      <c r="Z236" s="221">
        <f t="shared" si="161"/>
        <v>2</v>
      </c>
      <c r="AA236" s="30">
        <f t="shared" si="149"/>
        <v>0</v>
      </c>
      <c r="AB236" s="30">
        <f t="shared" si="150"/>
        <v>8.4244082800564826</v>
      </c>
      <c r="AC236" s="30">
        <f t="shared" si="151"/>
        <v>0</v>
      </c>
      <c r="AD236" s="30">
        <f t="shared" si="152"/>
        <v>1.8363330373596554</v>
      </c>
      <c r="AE236" s="32">
        <f t="shared" si="162"/>
        <v>10.260741317416137</v>
      </c>
    </row>
    <row r="237" spans="1:31" x14ac:dyDescent="0.35">
      <c r="A237" s="48">
        <v>1618</v>
      </c>
      <c r="B237" s="58">
        <f>SUMIF([2]!Table2_23[ETA],'IAB Model'!A237,[2]!Table2_23[FIS PAX])</f>
        <v>0</v>
      </c>
      <c r="C237" s="44">
        <f t="shared" si="163"/>
        <v>18</v>
      </c>
      <c r="D237" s="52">
        <f t="shared" si="167"/>
        <v>98</v>
      </c>
      <c r="E237" s="26">
        <f t="shared" si="153"/>
        <v>8.2691999999999997</v>
      </c>
      <c r="F237" s="26">
        <f t="shared" si="154"/>
        <v>5.3369999999999997</v>
      </c>
      <c r="G237" s="26">
        <f t="shared" si="155"/>
        <v>3.1175999999999999</v>
      </c>
      <c r="H237" s="26">
        <f t="shared" si="164"/>
        <v>1.2762</v>
      </c>
      <c r="I237" s="27">
        <f t="shared" si="148"/>
        <v>8.2691999999999997</v>
      </c>
      <c r="J237" s="27">
        <f t="shared" si="148"/>
        <v>5.3369999999999997</v>
      </c>
      <c r="K237" s="27">
        <f t="shared" si="148"/>
        <v>3.1175999999999999</v>
      </c>
      <c r="L237" s="27">
        <f t="shared" si="148"/>
        <v>1.2762</v>
      </c>
      <c r="M237" s="28">
        <f t="shared" ref="M237:M249" si="168">$M$235</f>
        <v>0</v>
      </c>
      <c r="N237" s="29">
        <f t="shared" ref="N237:N249" si="169">$N$235</f>
        <v>17</v>
      </c>
      <c r="O237" s="28">
        <f t="shared" ref="O237:O249" si="170">$O$235</f>
        <v>0</v>
      </c>
      <c r="P237" s="28">
        <f t="shared" ref="P237:P249" si="171">$P$235</f>
        <v>1</v>
      </c>
      <c r="Q237" s="28">
        <f t="shared" si="156"/>
        <v>18</v>
      </c>
      <c r="R237" s="22">
        <f t="shared" si="157"/>
        <v>24.807600000000001</v>
      </c>
      <c r="S237" s="22">
        <f t="shared" si="158"/>
        <v>28.585768041934308</v>
      </c>
      <c r="T237" s="22">
        <f t="shared" si="159"/>
        <v>9.3528000000000002</v>
      </c>
      <c r="U237" s="22">
        <f t="shared" si="160"/>
        <v>16.25730088792103</v>
      </c>
      <c r="V237" s="21">
        <f t="shared" si="131"/>
        <v>0</v>
      </c>
      <c r="W237" s="21">
        <f t="shared" si="132"/>
        <v>2.8842266457058816</v>
      </c>
      <c r="X237" s="21">
        <f t="shared" si="165"/>
        <v>0</v>
      </c>
      <c r="Y237" s="21">
        <f t="shared" si="166"/>
        <v>7.5251631776999979</v>
      </c>
      <c r="Z237" s="221">
        <f t="shared" si="161"/>
        <v>2</v>
      </c>
      <c r="AA237" s="30">
        <f t="shared" si="149"/>
        <v>0</v>
      </c>
      <c r="AB237" s="30">
        <f t="shared" si="150"/>
        <v>8.4244082800564826</v>
      </c>
      <c r="AC237" s="30">
        <f t="shared" si="151"/>
        <v>0</v>
      </c>
      <c r="AD237" s="30">
        <f t="shared" si="152"/>
        <v>1.8363330373596554</v>
      </c>
      <c r="AE237" s="32">
        <f t="shared" si="162"/>
        <v>10.260741317416137</v>
      </c>
    </row>
    <row r="238" spans="1:31" x14ac:dyDescent="0.35">
      <c r="A238" s="48">
        <v>1619</v>
      </c>
      <c r="B238" s="58">
        <f>SUMIF([2]!Table2_23[ETA],'IAB Model'!A238,[2]!Table2_23[FIS PAX])</f>
        <v>0</v>
      </c>
      <c r="C238" s="44">
        <f t="shared" si="163"/>
        <v>18</v>
      </c>
      <c r="D238" s="52">
        <f t="shared" si="167"/>
        <v>80</v>
      </c>
      <c r="E238" s="26">
        <f t="shared" si="153"/>
        <v>8.2691999999999997</v>
      </c>
      <c r="F238" s="26">
        <f t="shared" si="154"/>
        <v>5.3369999999999997</v>
      </c>
      <c r="G238" s="26">
        <f t="shared" si="155"/>
        <v>3.1175999999999999</v>
      </c>
      <c r="H238" s="26">
        <f t="shared" si="164"/>
        <v>1.2762</v>
      </c>
      <c r="I238" s="27">
        <f t="shared" si="148"/>
        <v>8.2691999999999997</v>
      </c>
      <c r="J238" s="27">
        <f t="shared" si="148"/>
        <v>5.3369999999999997</v>
      </c>
      <c r="K238" s="27">
        <f t="shared" si="148"/>
        <v>3.1175999999999999</v>
      </c>
      <c r="L238" s="27">
        <f t="shared" si="148"/>
        <v>1.2762</v>
      </c>
      <c r="M238" s="28">
        <f t="shared" si="168"/>
        <v>0</v>
      </c>
      <c r="N238" s="29">
        <f t="shared" si="169"/>
        <v>17</v>
      </c>
      <c r="O238" s="28">
        <f t="shared" si="170"/>
        <v>0</v>
      </c>
      <c r="P238" s="28">
        <f t="shared" si="171"/>
        <v>1</v>
      </c>
      <c r="Q238" s="28">
        <f t="shared" si="156"/>
        <v>18</v>
      </c>
      <c r="R238" s="22">
        <f t="shared" si="157"/>
        <v>33.076799999999999</v>
      </c>
      <c r="S238" s="22">
        <f t="shared" si="158"/>
        <v>25.498359761877825</v>
      </c>
      <c r="T238" s="22">
        <f t="shared" si="159"/>
        <v>12.4704</v>
      </c>
      <c r="U238" s="22">
        <f t="shared" si="160"/>
        <v>15.697167850561375</v>
      </c>
      <c r="V238" s="21">
        <f t="shared" si="131"/>
        <v>0</v>
      </c>
      <c r="W238" s="21">
        <f t="shared" si="132"/>
        <v>2.572715504411764</v>
      </c>
      <c r="X238" s="21">
        <f t="shared" si="165"/>
        <v>0</v>
      </c>
      <c r="Y238" s="21">
        <f t="shared" si="166"/>
        <v>7.2658893574999981</v>
      </c>
      <c r="Z238" s="221">
        <f t="shared" si="161"/>
        <v>2</v>
      </c>
      <c r="AA238" s="30">
        <f t="shared" si="149"/>
        <v>0</v>
      </c>
      <c r="AB238" s="30">
        <f t="shared" si="150"/>
        <v>8.4244082800564826</v>
      </c>
      <c r="AC238" s="30">
        <f t="shared" si="151"/>
        <v>0</v>
      </c>
      <c r="AD238" s="30">
        <f t="shared" si="152"/>
        <v>1.8363330373596554</v>
      </c>
      <c r="AE238" s="32">
        <f t="shared" si="162"/>
        <v>10.260741317416137</v>
      </c>
    </row>
    <row r="239" spans="1:31" x14ac:dyDescent="0.35">
      <c r="A239" s="48">
        <v>1620</v>
      </c>
      <c r="B239" s="58">
        <f>SUMIF([2]!Table2_23[ETA],'IAB Model'!A239,[2]!Table2_23[FIS PAX])</f>
        <v>0</v>
      </c>
      <c r="C239" s="44">
        <f t="shared" si="163"/>
        <v>18</v>
      </c>
      <c r="D239" s="52">
        <f t="shared" si="167"/>
        <v>62</v>
      </c>
      <c r="E239" s="26">
        <f t="shared" si="153"/>
        <v>8.2691999999999997</v>
      </c>
      <c r="F239" s="26">
        <f t="shared" si="154"/>
        <v>5.3369999999999997</v>
      </c>
      <c r="G239" s="26">
        <f t="shared" si="155"/>
        <v>3.1175999999999999</v>
      </c>
      <c r="H239" s="26">
        <f t="shared" si="164"/>
        <v>1.2762</v>
      </c>
      <c r="I239" s="27">
        <f t="shared" si="148"/>
        <v>8.2691999999999997</v>
      </c>
      <c r="J239" s="27">
        <f t="shared" si="148"/>
        <v>5.3369999999999997</v>
      </c>
      <c r="K239" s="27">
        <f t="shared" si="148"/>
        <v>3.1175999999999999</v>
      </c>
      <c r="L239" s="27">
        <f t="shared" si="148"/>
        <v>1.2762</v>
      </c>
      <c r="M239" s="28">
        <f t="shared" si="168"/>
        <v>0</v>
      </c>
      <c r="N239" s="29">
        <f t="shared" si="169"/>
        <v>17</v>
      </c>
      <c r="O239" s="28">
        <f t="shared" si="170"/>
        <v>0</v>
      </c>
      <c r="P239" s="28">
        <f t="shared" si="171"/>
        <v>1</v>
      </c>
      <c r="Q239" s="28">
        <f t="shared" si="156"/>
        <v>18</v>
      </c>
      <c r="R239" s="22">
        <f t="shared" si="157"/>
        <v>41.345999999999997</v>
      </c>
      <c r="S239" s="22">
        <f t="shared" si="158"/>
        <v>22.410951481821343</v>
      </c>
      <c r="T239" s="22">
        <f t="shared" si="159"/>
        <v>15.587999999999999</v>
      </c>
      <c r="U239" s="22">
        <f t="shared" si="160"/>
        <v>15.137034813201719</v>
      </c>
      <c r="V239" s="21">
        <f t="shared" si="131"/>
        <v>0</v>
      </c>
      <c r="W239" s="21">
        <f t="shared" si="132"/>
        <v>2.2612043631176459</v>
      </c>
      <c r="X239" s="21">
        <f t="shared" si="165"/>
        <v>0</v>
      </c>
      <c r="Y239" s="21">
        <f t="shared" si="166"/>
        <v>7.0066155372999983</v>
      </c>
      <c r="Z239" s="221">
        <f t="shared" si="161"/>
        <v>2</v>
      </c>
      <c r="AA239" s="30">
        <f t="shared" si="149"/>
        <v>0</v>
      </c>
      <c r="AB239" s="30">
        <f t="shared" si="150"/>
        <v>8.4244082800564826</v>
      </c>
      <c r="AC239" s="30">
        <f t="shared" si="151"/>
        <v>0</v>
      </c>
      <c r="AD239" s="30">
        <f t="shared" si="152"/>
        <v>1.8363330373596554</v>
      </c>
      <c r="AE239" s="32">
        <f t="shared" si="162"/>
        <v>10.260741317416137</v>
      </c>
    </row>
    <row r="240" spans="1:31" x14ac:dyDescent="0.35">
      <c r="A240" s="48">
        <v>1621</v>
      </c>
      <c r="B240" s="58">
        <f>SUMIF([2]!Table2_23[ETA],'IAB Model'!A240,[2]!Table2_23[FIS PAX])</f>
        <v>0</v>
      </c>
      <c r="C240" s="44">
        <f t="shared" si="163"/>
        <v>18</v>
      </c>
      <c r="D240" s="52">
        <f t="shared" si="167"/>
        <v>44</v>
      </c>
      <c r="E240" s="26">
        <f t="shared" si="153"/>
        <v>8.2691999999999997</v>
      </c>
      <c r="F240" s="26">
        <f t="shared" si="154"/>
        <v>5.3369999999999997</v>
      </c>
      <c r="G240" s="26">
        <f t="shared" si="155"/>
        <v>3.1175999999999999</v>
      </c>
      <c r="H240" s="26">
        <f t="shared" si="164"/>
        <v>1.2762</v>
      </c>
      <c r="I240" s="27">
        <f t="shared" si="148"/>
        <v>8.2691999999999997</v>
      </c>
      <c r="J240" s="27">
        <f t="shared" si="148"/>
        <v>5.3369999999999997</v>
      </c>
      <c r="K240" s="27">
        <f t="shared" si="148"/>
        <v>3.1175999999999999</v>
      </c>
      <c r="L240" s="27">
        <f t="shared" si="148"/>
        <v>1.2762</v>
      </c>
      <c r="M240" s="28">
        <f t="shared" si="168"/>
        <v>0</v>
      </c>
      <c r="N240" s="29">
        <f t="shared" si="169"/>
        <v>17</v>
      </c>
      <c r="O240" s="28">
        <f t="shared" si="170"/>
        <v>0</v>
      </c>
      <c r="P240" s="28">
        <f t="shared" si="171"/>
        <v>1</v>
      </c>
      <c r="Q240" s="28">
        <f t="shared" si="156"/>
        <v>18</v>
      </c>
      <c r="R240" s="22">
        <f t="shared" si="157"/>
        <v>49.615199999999994</v>
      </c>
      <c r="S240" s="22">
        <f t="shared" si="158"/>
        <v>19.32354320176486</v>
      </c>
      <c r="T240" s="22">
        <f t="shared" si="159"/>
        <v>18.7056</v>
      </c>
      <c r="U240" s="22">
        <f t="shared" si="160"/>
        <v>14.576901775842064</v>
      </c>
      <c r="V240" s="21">
        <f t="shared" si="131"/>
        <v>0</v>
      </c>
      <c r="W240" s="21">
        <f t="shared" si="132"/>
        <v>1.9496932218235283</v>
      </c>
      <c r="X240" s="21">
        <f t="shared" si="165"/>
        <v>0</v>
      </c>
      <c r="Y240" s="21">
        <f t="shared" si="166"/>
        <v>6.7473417170999985</v>
      </c>
      <c r="Z240" s="221">
        <f t="shared" si="161"/>
        <v>2</v>
      </c>
      <c r="AA240" s="30">
        <f t="shared" si="149"/>
        <v>0</v>
      </c>
      <c r="AB240" s="30">
        <f t="shared" si="150"/>
        <v>8.4244082800564826</v>
      </c>
      <c r="AC240" s="30">
        <f t="shared" si="151"/>
        <v>0</v>
      </c>
      <c r="AD240" s="30">
        <f t="shared" si="152"/>
        <v>1.8363330373596554</v>
      </c>
      <c r="AE240" s="32">
        <f t="shared" si="162"/>
        <v>10.260741317416137</v>
      </c>
    </row>
    <row r="241" spans="1:31" x14ac:dyDescent="0.35">
      <c r="A241" s="48">
        <v>1622</v>
      </c>
      <c r="B241" s="58">
        <f>SUMIF([2]!Table2_23[ETA],'IAB Model'!A241,[2]!Table2_23[FIS PAX])</f>
        <v>0</v>
      </c>
      <c r="C241" s="44">
        <f t="shared" si="163"/>
        <v>18</v>
      </c>
      <c r="D241" s="52">
        <f t="shared" si="167"/>
        <v>26</v>
      </c>
      <c r="E241" s="26">
        <f t="shared" si="153"/>
        <v>8.2691999999999997</v>
      </c>
      <c r="F241" s="26">
        <f t="shared" si="154"/>
        <v>5.3369999999999997</v>
      </c>
      <c r="G241" s="26">
        <f t="shared" si="155"/>
        <v>3.1175999999999999</v>
      </c>
      <c r="H241" s="26">
        <f t="shared" si="164"/>
        <v>1.2762</v>
      </c>
      <c r="I241" s="27">
        <f t="shared" si="148"/>
        <v>8.2691999999999997</v>
      </c>
      <c r="J241" s="27">
        <f t="shared" si="148"/>
        <v>5.3369999999999997</v>
      </c>
      <c r="K241" s="27">
        <f t="shared" si="148"/>
        <v>3.1175999999999999</v>
      </c>
      <c r="L241" s="27">
        <f t="shared" si="148"/>
        <v>1.2762</v>
      </c>
      <c r="M241" s="28">
        <f t="shared" si="168"/>
        <v>0</v>
      </c>
      <c r="N241" s="29">
        <f t="shared" si="169"/>
        <v>17</v>
      </c>
      <c r="O241" s="28">
        <f t="shared" si="170"/>
        <v>0</v>
      </c>
      <c r="P241" s="28">
        <f t="shared" si="171"/>
        <v>1</v>
      </c>
      <c r="Q241" s="28">
        <f t="shared" si="156"/>
        <v>18</v>
      </c>
      <c r="R241" s="22">
        <f t="shared" si="157"/>
        <v>57.884399999999992</v>
      </c>
      <c r="S241" s="22">
        <f t="shared" si="158"/>
        <v>16.236134921708377</v>
      </c>
      <c r="T241" s="22">
        <f t="shared" si="159"/>
        <v>21.8232</v>
      </c>
      <c r="U241" s="22">
        <f t="shared" si="160"/>
        <v>14.016768738482408</v>
      </c>
      <c r="V241" s="21">
        <f t="shared" si="131"/>
        <v>0</v>
      </c>
      <c r="W241" s="21">
        <f t="shared" si="132"/>
        <v>1.6381820805294105</v>
      </c>
      <c r="X241" s="21">
        <f t="shared" si="165"/>
        <v>0</v>
      </c>
      <c r="Y241" s="21">
        <f t="shared" si="166"/>
        <v>6.4880678968999987</v>
      </c>
      <c r="Z241" s="221">
        <f t="shared" si="161"/>
        <v>1</v>
      </c>
      <c r="AA241" s="30">
        <f t="shared" si="149"/>
        <v>0</v>
      </c>
      <c r="AB241" s="30">
        <f t="shared" si="150"/>
        <v>8.4244082800564826</v>
      </c>
      <c r="AC241" s="30">
        <f t="shared" si="151"/>
        <v>0</v>
      </c>
      <c r="AD241" s="30">
        <f t="shared" si="152"/>
        <v>1.8363330373596554</v>
      </c>
      <c r="AE241" s="32">
        <f t="shared" si="162"/>
        <v>10.260741317416137</v>
      </c>
    </row>
    <row r="242" spans="1:31" x14ac:dyDescent="0.35">
      <c r="A242" s="48">
        <v>1623</v>
      </c>
      <c r="B242" s="58">
        <f>SUMIF([2]!Table2_23[ETA],'IAB Model'!A242,[2]!Table2_23[FIS PAX])</f>
        <v>0</v>
      </c>
      <c r="C242" s="44">
        <f t="shared" si="163"/>
        <v>18</v>
      </c>
      <c r="D242" s="52">
        <f t="shared" si="167"/>
        <v>8</v>
      </c>
      <c r="E242" s="26">
        <f t="shared" si="153"/>
        <v>8.2691999999999997</v>
      </c>
      <c r="F242" s="26">
        <f t="shared" si="154"/>
        <v>5.3369999999999997</v>
      </c>
      <c r="G242" s="26">
        <f t="shared" si="155"/>
        <v>3.1175999999999999</v>
      </c>
      <c r="H242" s="26">
        <f t="shared" si="164"/>
        <v>1.2762</v>
      </c>
      <c r="I242" s="27">
        <f t="shared" si="148"/>
        <v>8.2691999999999997</v>
      </c>
      <c r="J242" s="27">
        <f t="shared" si="148"/>
        <v>5.3369999999999997</v>
      </c>
      <c r="K242" s="27">
        <f t="shared" si="148"/>
        <v>3.1175999999999999</v>
      </c>
      <c r="L242" s="27">
        <f t="shared" si="148"/>
        <v>1.2762</v>
      </c>
      <c r="M242" s="28">
        <f t="shared" si="168"/>
        <v>0</v>
      </c>
      <c r="N242" s="29">
        <f t="shared" si="169"/>
        <v>17</v>
      </c>
      <c r="O242" s="28">
        <f t="shared" si="170"/>
        <v>0</v>
      </c>
      <c r="P242" s="28">
        <f t="shared" si="171"/>
        <v>1</v>
      </c>
      <c r="Q242" s="28">
        <f t="shared" si="156"/>
        <v>18</v>
      </c>
      <c r="R242" s="22">
        <f t="shared" si="157"/>
        <v>66.153599999999997</v>
      </c>
      <c r="S242" s="22">
        <f t="shared" si="158"/>
        <v>13.148726641651894</v>
      </c>
      <c r="T242" s="22">
        <f t="shared" si="159"/>
        <v>24.940799999999999</v>
      </c>
      <c r="U242" s="22">
        <f t="shared" si="160"/>
        <v>13.456635701122753</v>
      </c>
      <c r="V242" s="21">
        <f t="shared" si="131"/>
        <v>0</v>
      </c>
      <c r="W242" s="21">
        <f t="shared" si="132"/>
        <v>1.3266709392352929</v>
      </c>
      <c r="X242" s="21">
        <f t="shared" si="165"/>
        <v>0</v>
      </c>
      <c r="Y242" s="21">
        <f t="shared" si="166"/>
        <v>6.228794076699999</v>
      </c>
      <c r="Z242" s="221">
        <f t="shared" si="161"/>
        <v>1</v>
      </c>
      <c r="AA242" s="30">
        <f t="shared" si="149"/>
        <v>0</v>
      </c>
      <c r="AB242" s="30">
        <f t="shared" si="150"/>
        <v>8.4244082800564826</v>
      </c>
      <c r="AC242" s="30">
        <f t="shared" si="151"/>
        <v>0</v>
      </c>
      <c r="AD242" s="30">
        <f t="shared" si="152"/>
        <v>1.8363330373596554</v>
      </c>
      <c r="AE242" s="32">
        <f t="shared" si="162"/>
        <v>10.260741317416137</v>
      </c>
    </row>
    <row r="243" spans="1:31" x14ac:dyDescent="0.35">
      <c r="A243" s="48">
        <v>1624</v>
      </c>
      <c r="B243" s="58">
        <f>SUMIF([2]!Table2_23[ETA],'IAB Model'!A243,[2]!Table2_23[FIS PAX])</f>
        <v>0</v>
      </c>
      <c r="C243" s="44">
        <f t="shared" si="163"/>
        <v>8</v>
      </c>
      <c r="D243" s="52">
        <f t="shared" si="167"/>
        <v>0</v>
      </c>
      <c r="E243" s="26">
        <f t="shared" si="153"/>
        <v>3.6751999999999998</v>
      </c>
      <c r="F243" s="26">
        <f t="shared" si="154"/>
        <v>2.3719999999999999</v>
      </c>
      <c r="G243" s="26">
        <f t="shared" si="155"/>
        <v>1.3855999999999999</v>
      </c>
      <c r="H243" s="26">
        <f t="shared" si="164"/>
        <v>0.56720000000000004</v>
      </c>
      <c r="I243" s="27">
        <f t="shared" si="148"/>
        <v>8.2691999999999997</v>
      </c>
      <c r="J243" s="27">
        <f t="shared" si="148"/>
        <v>5.3369999999999997</v>
      </c>
      <c r="K243" s="27">
        <f t="shared" si="148"/>
        <v>3.1175999999999999</v>
      </c>
      <c r="L243" s="27">
        <f t="shared" si="148"/>
        <v>1.2762</v>
      </c>
      <c r="M243" s="28">
        <f t="shared" si="168"/>
        <v>0</v>
      </c>
      <c r="N243" s="29">
        <f t="shared" si="169"/>
        <v>17</v>
      </c>
      <c r="O243" s="28">
        <f t="shared" si="170"/>
        <v>0</v>
      </c>
      <c r="P243" s="28">
        <f t="shared" si="171"/>
        <v>1</v>
      </c>
      <c r="Q243" s="28">
        <f t="shared" si="156"/>
        <v>18</v>
      </c>
      <c r="R243" s="22">
        <f t="shared" si="157"/>
        <v>74.422799999999995</v>
      </c>
      <c r="S243" s="22">
        <f t="shared" si="158"/>
        <v>10.061318361595411</v>
      </c>
      <c r="T243" s="22">
        <f t="shared" si="159"/>
        <v>28.058399999999999</v>
      </c>
      <c r="U243" s="22">
        <f t="shared" si="160"/>
        <v>12.896502663763098</v>
      </c>
      <c r="V243" s="21">
        <f t="shared" si="131"/>
        <v>0</v>
      </c>
      <c r="W243" s="21">
        <f t="shared" si="132"/>
        <v>1.0151597979411751</v>
      </c>
      <c r="X243" s="21">
        <f t="shared" si="165"/>
        <v>0</v>
      </c>
      <c r="Y243" s="21">
        <f t="shared" si="166"/>
        <v>5.9695202564999983</v>
      </c>
      <c r="Z243" s="221">
        <f t="shared" si="161"/>
        <v>1</v>
      </c>
      <c r="AA243" s="30">
        <f t="shared" si="149"/>
        <v>0</v>
      </c>
      <c r="AB243" s="30">
        <f t="shared" si="150"/>
        <v>8.4244082800564826</v>
      </c>
      <c r="AC243" s="30">
        <f t="shared" si="151"/>
        <v>0</v>
      </c>
      <c r="AD243" s="30">
        <f t="shared" si="152"/>
        <v>1.8363330373596554</v>
      </c>
      <c r="AE243" s="32">
        <f t="shared" si="162"/>
        <v>10.260741317416137</v>
      </c>
    </row>
    <row r="244" spans="1:31" x14ac:dyDescent="0.35">
      <c r="A244" s="48">
        <v>1625</v>
      </c>
      <c r="B244" s="58">
        <f>SUMIF([2]!Table2_23[ETA],'IAB Model'!A244,[2]!Table2_23[FIS PAX])</f>
        <v>0</v>
      </c>
      <c r="C244" s="44">
        <f t="shared" si="163"/>
        <v>0</v>
      </c>
      <c r="D244" s="52">
        <f t="shared" si="167"/>
        <v>0</v>
      </c>
      <c r="E244" s="26">
        <f t="shared" si="153"/>
        <v>0</v>
      </c>
      <c r="F244" s="26">
        <f t="shared" si="154"/>
        <v>0</v>
      </c>
      <c r="G244" s="26">
        <f t="shared" si="155"/>
        <v>0</v>
      </c>
      <c r="H244" s="26">
        <f t="shared" si="164"/>
        <v>0</v>
      </c>
      <c r="I244" s="27">
        <f t="shared" si="148"/>
        <v>8.2691999999999997</v>
      </c>
      <c r="J244" s="27">
        <f t="shared" si="148"/>
        <v>5.3369999999999997</v>
      </c>
      <c r="K244" s="27">
        <f t="shared" si="148"/>
        <v>3.1175999999999999</v>
      </c>
      <c r="L244" s="27">
        <f t="shared" si="148"/>
        <v>1.2762</v>
      </c>
      <c r="M244" s="28">
        <f t="shared" si="168"/>
        <v>0</v>
      </c>
      <c r="N244" s="29">
        <f t="shared" si="169"/>
        <v>17</v>
      </c>
      <c r="O244" s="28">
        <f t="shared" si="170"/>
        <v>0</v>
      </c>
      <c r="P244" s="28">
        <f t="shared" si="171"/>
        <v>1</v>
      </c>
      <c r="Q244" s="28">
        <f t="shared" si="156"/>
        <v>18</v>
      </c>
      <c r="R244" s="22">
        <f t="shared" si="157"/>
        <v>82.691999999999993</v>
      </c>
      <c r="S244" s="22">
        <f t="shared" si="158"/>
        <v>6.9739100815389286</v>
      </c>
      <c r="T244" s="22">
        <f t="shared" si="159"/>
        <v>31.175999999999998</v>
      </c>
      <c r="U244" s="22">
        <f t="shared" si="160"/>
        <v>12.336369626403442</v>
      </c>
      <c r="V244" s="21">
        <f t="shared" ref="V244:V307" si="172">IFERROR(R244*($I$30/M244),0)</f>
        <v>0</v>
      </c>
      <c r="W244" s="21">
        <f t="shared" si="132"/>
        <v>0.70364865664705722</v>
      </c>
      <c r="X244" s="21">
        <f t="shared" si="165"/>
        <v>0</v>
      </c>
      <c r="Y244" s="21">
        <f t="shared" si="166"/>
        <v>5.7102464362999985</v>
      </c>
      <c r="Z244" s="221">
        <f t="shared" si="161"/>
        <v>1</v>
      </c>
      <c r="AA244" s="30">
        <f t="shared" si="149"/>
        <v>0</v>
      </c>
      <c r="AB244" s="30">
        <f t="shared" si="150"/>
        <v>8.4244082800564826</v>
      </c>
      <c r="AC244" s="30">
        <f t="shared" si="151"/>
        <v>0</v>
      </c>
      <c r="AD244" s="30">
        <f t="shared" si="152"/>
        <v>1.8363330373596554</v>
      </c>
      <c r="AE244" s="32">
        <f t="shared" si="162"/>
        <v>10.260741317416137</v>
      </c>
    </row>
    <row r="245" spans="1:31" x14ac:dyDescent="0.35">
      <c r="A245" s="48">
        <v>1626</v>
      </c>
      <c r="B245" s="58">
        <f>SUMIF([2]!Table2_23[ETA],'IAB Model'!A245,[2]!Table2_23[FIS PAX])</f>
        <v>0</v>
      </c>
      <c r="C245" s="44">
        <f t="shared" si="163"/>
        <v>0</v>
      </c>
      <c r="D245" s="52">
        <f t="shared" si="167"/>
        <v>0</v>
      </c>
      <c r="E245" s="26">
        <f t="shared" si="153"/>
        <v>0</v>
      </c>
      <c r="F245" s="26">
        <f t="shared" si="154"/>
        <v>0</v>
      </c>
      <c r="G245" s="26">
        <f t="shared" si="155"/>
        <v>0</v>
      </c>
      <c r="H245" s="26">
        <f t="shared" si="164"/>
        <v>0</v>
      </c>
      <c r="I245" s="27">
        <f t="shared" si="148"/>
        <v>8.2691999999999997</v>
      </c>
      <c r="J245" s="27">
        <f t="shared" si="148"/>
        <v>5.3369999999999997</v>
      </c>
      <c r="K245" s="27">
        <f t="shared" si="148"/>
        <v>3.1175999999999999</v>
      </c>
      <c r="L245" s="27">
        <f t="shared" si="148"/>
        <v>1.2762</v>
      </c>
      <c r="M245" s="28">
        <f t="shared" si="168"/>
        <v>0</v>
      </c>
      <c r="N245" s="29">
        <f t="shared" si="169"/>
        <v>17</v>
      </c>
      <c r="O245" s="28">
        <f t="shared" si="170"/>
        <v>0</v>
      </c>
      <c r="P245" s="28">
        <f t="shared" si="171"/>
        <v>1</v>
      </c>
      <c r="Q245" s="28">
        <f t="shared" si="156"/>
        <v>18</v>
      </c>
      <c r="R245" s="22">
        <f t="shared" si="157"/>
        <v>90.961199999999991</v>
      </c>
      <c r="S245" s="22">
        <f t="shared" si="158"/>
        <v>3.8865018014824457</v>
      </c>
      <c r="T245" s="22">
        <f t="shared" si="159"/>
        <v>34.293599999999998</v>
      </c>
      <c r="U245" s="22">
        <f t="shared" si="160"/>
        <v>11.776236589043787</v>
      </c>
      <c r="V245" s="21">
        <f t="shared" si="172"/>
        <v>0</v>
      </c>
      <c r="W245" s="21">
        <f t="shared" ref="W245:W308" si="173">IFERROR(S245*($I$31/N245),0)</f>
        <v>0.39213751535293945</v>
      </c>
      <c r="X245" s="21">
        <f t="shared" si="165"/>
        <v>0</v>
      </c>
      <c r="Y245" s="21">
        <f t="shared" si="166"/>
        <v>5.4509726160999987</v>
      </c>
      <c r="Z245" s="221">
        <f t="shared" si="161"/>
        <v>1</v>
      </c>
      <c r="AA245" s="30">
        <f t="shared" si="149"/>
        <v>0</v>
      </c>
      <c r="AB245" s="30">
        <f t="shared" si="150"/>
        <v>8.4244082800564826</v>
      </c>
      <c r="AC245" s="30">
        <f t="shared" si="151"/>
        <v>0</v>
      </c>
      <c r="AD245" s="30">
        <f t="shared" si="152"/>
        <v>1.8363330373596554</v>
      </c>
      <c r="AE245" s="32">
        <f t="shared" si="162"/>
        <v>10.260741317416137</v>
      </c>
    </row>
    <row r="246" spans="1:31" x14ac:dyDescent="0.35">
      <c r="A246" s="48">
        <v>1627</v>
      </c>
      <c r="B246" s="58">
        <f>SUMIF([2]!Table2_23[ETA],'IAB Model'!A246,[2]!Table2_23[FIS PAX])</f>
        <v>0</v>
      </c>
      <c r="C246" s="44">
        <f t="shared" si="163"/>
        <v>0</v>
      </c>
      <c r="D246" s="52">
        <f t="shared" si="167"/>
        <v>0</v>
      </c>
      <c r="E246" s="26">
        <f t="shared" si="153"/>
        <v>0</v>
      </c>
      <c r="F246" s="26">
        <f t="shared" si="154"/>
        <v>0</v>
      </c>
      <c r="G246" s="26">
        <f t="shared" si="155"/>
        <v>0</v>
      </c>
      <c r="H246" s="26">
        <f t="shared" si="164"/>
        <v>0</v>
      </c>
      <c r="I246" s="27">
        <f t="shared" si="148"/>
        <v>8.2691999999999997</v>
      </c>
      <c r="J246" s="27">
        <f t="shared" si="148"/>
        <v>5.3369999999999997</v>
      </c>
      <c r="K246" s="27">
        <f t="shared" si="148"/>
        <v>3.1175999999999999</v>
      </c>
      <c r="L246" s="27">
        <f t="shared" si="148"/>
        <v>1.2762</v>
      </c>
      <c r="M246" s="28">
        <f t="shared" si="168"/>
        <v>0</v>
      </c>
      <c r="N246" s="29">
        <f t="shared" si="169"/>
        <v>17</v>
      </c>
      <c r="O246" s="28">
        <f t="shared" si="170"/>
        <v>0</v>
      </c>
      <c r="P246" s="28">
        <f t="shared" si="171"/>
        <v>1</v>
      </c>
      <c r="Q246" s="28">
        <f t="shared" si="156"/>
        <v>18</v>
      </c>
      <c r="R246" s="22">
        <f t="shared" si="157"/>
        <v>99.230399999999989</v>
      </c>
      <c r="S246" s="22">
        <f t="shared" si="158"/>
        <v>0.7990935214259629</v>
      </c>
      <c r="T246" s="22">
        <f t="shared" si="159"/>
        <v>37.411200000000001</v>
      </c>
      <c r="U246" s="22">
        <f t="shared" si="160"/>
        <v>11.216103551684132</v>
      </c>
      <c r="V246" s="21">
        <f t="shared" si="172"/>
        <v>0</v>
      </c>
      <c r="W246" s="21">
        <f t="shared" si="173"/>
        <v>8.0626374058821684E-2</v>
      </c>
      <c r="X246" s="21">
        <f t="shared" si="165"/>
        <v>0</v>
      </c>
      <c r="Y246" s="21">
        <f t="shared" si="166"/>
        <v>5.1916987958999989</v>
      </c>
      <c r="Z246" s="221">
        <f t="shared" si="161"/>
        <v>1</v>
      </c>
      <c r="AA246" s="30">
        <f t="shared" si="149"/>
        <v>0</v>
      </c>
      <c r="AB246" s="30">
        <f t="shared" si="150"/>
        <v>8.4244082800564826</v>
      </c>
      <c r="AC246" s="30">
        <f t="shared" si="151"/>
        <v>0</v>
      </c>
      <c r="AD246" s="30">
        <f t="shared" si="152"/>
        <v>1.8363330373596554</v>
      </c>
      <c r="AE246" s="32">
        <f t="shared" si="162"/>
        <v>10.260741317416137</v>
      </c>
    </row>
    <row r="247" spans="1:31" x14ac:dyDescent="0.35">
      <c r="A247" s="48">
        <v>1628</v>
      </c>
      <c r="B247" s="58">
        <f>SUMIF([2]!Table2_23[ETA],'IAB Model'!A247,[2]!Table2_23[FIS PAX])</f>
        <v>139</v>
      </c>
      <c r="C247" s="44">
        <f t="shared" si="163"/>
        <v>0</v>
      </c>
      <c r="D247" s="52">
        <f t="shared" si="167"/>
        <v>0</v>
      </c>
      <c r="E247" s="26">
        <f t="shared" si="153"/>
        <v>0</v>
      </c>
      <c r="F247" s="26">
        <f t="shared" si="154"/>
        <v>0</v>
      </c>
      <c r="G247" s="26">
        <f t="shared" si="155"/>
        <v>0</v>
      </c>
      <c r="H247" s="26">
        <f t="shared" si="164"/>
        <v>0</v>
      </c>
      <c r="I247" s="27">
        <f t="shared" ref="I247:L262" si="174">E232</f>
        <v>8.2691999999999997</v>
      </c>
      <c r="J247" s="27">
        <f t="shared" si="174"/>
        <v>5.3369999999999997</v>
      </c>
      <c r="K247" s="27">
        <f t="shared" si="174"/>
        <v>3.1175999999999999</v>
      </c>
      <c r="L247" s="27">
        <f t="shared" si="174"/>
        <v>1.2762</v>
      </c>
      <c r="M247" s="28">
        <f t="shared" si="168"/>
        <v>0</v>
      </c>
      <c r="N247" s="29">
        <f t="shared" si="169"/>
        <v>17</v>
      </c>
      <c r="O247" s="28">
        <f t="shared" si="170"/>
        <v>0</v>
      </c>
      <c r="P247" s="28">
        <f t="shared" si="171"/>
        <v>1</v>
      </c>
      <c r="Q247" s="28">
        <f t="shared" si="156"/>
        <v>18</v>
      </c>
      <c r="R247" s="22">
        <f t="shared" si="157"/>
        <v>107.49959999999999</v>
      </c>
      <c r="S247" s="22">
        <f t="shared" si="158"/>
        <v>0</v>
      </c>
      <c r="T247" s="22">
        <f t="shared" si="159"/>
        <v>40.528800000000004</v>
      </c>
      <c r="U247" s="22">
        <f t="shared" si="160"/>
        <v>10.655970514324476</v>
      </c>
      <c r="V247" s="21">
        <f t="shared" si="172"/>
        <v>0</v>
      </c>
      <c r="W247" s="21">
        <f t="shared" si="173"/>
        <v>0</v>
      </c>
      <c r="X247" s="21">
        <f t="shared" si="165"/>
        <v>0</v>
      </c>
      <c r="Y247" s="21">
        <f t="shared" si="166"/>
        <v>4.9324249756999992</v>
      </c>
      <c r="Z247" s="221">
        <f t="shared" si="161"/>
        <v>1</v>
      </c>
      <c r="AA247" s="30">
        <f t="shared" si="149"/>
        <v>0</v>
      </c>
      <c r="AB247" s="30">
        <f t="shared" si="150"/>
        <v>0</v>
      </c>
      <c r="AC247" s="30">
        <f t="shared" si="151"/>
        <v>0</v>
      </c>
      <c r="AD247" s="30">
        <f t="shared" si="152"/>
        <v>1.8363330373596554</v>
      </c>
      <c r="AE247" s="32">
        <f t="shared" si="162"/>
        <v>1.8363330373596554</v>
      </c>
    </row>
    <row r="248" spans="1:31" x14ac:dyDescent="0.35">
      <c r="A248" s="48">
        <v>1629</v>
      </c>
      <c r="B248" s="58">
        <f>SUMIF([2]!Table2_23[ETA],'IAB Model'!A248,[2]!Table2_23[FIS PAX])</f>
        <v>0</v>
      </c>
      <c r="C248" s="44">
        <f t="shared" si="163"/>
        <v>18</v>
      </c>
      <c r="D248" s="52">
        <f t="shared" si="167"/>
        <v>121</v>
      </c>
      <c r="E248" s="26">
        <f t="shared" si="153"/>
        <v>8.2691999999999997</v>
      </c>
      <c r="F248" s="26">
        <f t="shared" si="154"/>
        <v>5.3369999999999997</v>
      </c>
      <c r="G248" s="26">
        <f t="shared" si="155"/>
        <v>3.1175999999999999</v>
      </c>
      <c r="H248" s="26">
        <f t="shared" si="164"/>
        <v>1.2762</v>
      </c>
      <c r="I248" s="27">
        <f t="shared" si="174"/>
        <v>8.2691999999999997</v>
      </c>
      <c r="J248" s="27">
        <f t="shared" si="174"/>
        <v>5.3369999999999997</v>
      </c>
      <c r="K248" s="27">
        <f t="shared" si="174"/>
        <v>3.1175999999999999</v>
      </c>
      <c r="L248" s="27">
        <f t="shared" si="174"/>
        <v>1.2762</v>
      </c>
      <c r="M248" s="28">
        <f t="shared" si="168"/>
        <v>0</v>
      </c>
      <c r="N248" s="29">
        <f t="shared" si="169"/>
        <v>17</v>
      </c>
      <c r="O248" s="28">
        <f t="shared" si="170"/>
        <v>0</v>
      </c>
      <c r="P248" s="28">
        <f t="shared" si="171"/>
        <v>1</v>
      </c>
      <c r="Q248" s="28">
        <f t="shared" si="156"/>
        <v>18</v>
      </c>
      <c r="R248" s="22">
        <f t="shared" si="157"/>
        <v>115.76879999999998</v>
      </c>
      <c r="S248" s="22">
        <f t="shared" si="158"/>
        <v>0</v>
      </c>
      <c r="T248" s="22">
        <f t="shared" si="159"/>
        <v>43.646400000000007</v>
      </c>
      <c r="U248" s="22">
        <f t="shared" si="160"/>
        <v>10.095837476964821</v>
      </c>
      <c r="V248" s="21">
        <f t="shared" si="172"/>
        <v>0</v>
      </c>
      <c r="W248" s="21">
        <f t="shared" si="173"/>
        <v>0</v>
      </c>
      <c r="X248" s="21">
        <f t="shared" si="165"/>
        <v>0</v>
      </c>
      <c r="Y248" s="21">
        <f t="shared" si="166"/>
        <v>4.6731511554999994</v>
      </c>
      <c r="Z248" s="221">
        <f t="shared" si="161"/>
        <v>1</v>
      </c>
      <c r="AA248" s="30">
        <f t="shared" si="149"/>
        <v>0</v>
      </c>
      <c r="AB248" s="30">
        <f t="shared" si="150"/>
        <v>0</v>
      </c>
      <c r="AC248" s="30">
        <f t="shared" si="151"/>
        <v>0</v>
      </c>
      <c r="AD248" s="30">
        <f t="shared" si="152"/>
        <v>1.8363330373596554</v>
      </c>
      <c r="AE248" s="32">
        <f t="shared" si="162"/>
        <v>1.8363330373596554</v>
      </c>
    </row>
    <row r="249" spans="1:31" x14ac:dyDescent="0.35">
      <c r="A249" s="48">
        <v>1630</v>
      </c>
      <c r="B249" s="58">
        <f>SUMIF([2]!Table2_23[ETA],'IAB Model'!A249,[2]!Table2_23[FIS PAX])</f>
        <v>0</v>
      </c>
      <c r="C249" s="44">
        <f t="shared" si="163"/>
        <v>18</v>
      </c>
      <c r="D249" s="52">
        <f t="shared" si="167"/>
        <v>103</v>
      </c>
      <c r="E249" s="26">
        <f t="shared" si="153"/>
        <v>8.2691999999999997</v>
      </c>
      <c r="F249" s="26">
        <f t="shared" si="154"/>
        <v>5.3369999999999997</v>
      </c>
      <c r="G249" s="26">
        <f t="shared" si="155"/>
        <v>3.1175999999999999</v>
      </c>
      <c r="H249" s="26">
        <f t="shared" si="164"/>
        <v>1.2762</v>
      </c>
      <c r="I249" s="27">
        <f t="shared" si="174"/>
        <v>8.2691999999999997</v>
      </c>
      <c r="J249" s="27">
        <f t="shared" si="174"/>
        <v>5.3369999999999997</v>
      </c>
      <c r="K249" s="27">
        <f t="shared" si="174"/>
        <v>3.1175999999999999</v>
      </c>
      <c r="L249" s="27">
        <f t="shared" si="174"/>
        <v>1.2762</v>
      </c>
      <c r="M249" s="28">
        <f t="shared" si="168"/>
        <v>0</v>
      </c>
      <c r="N249" s="29">
        <f t="shared" si="169"/>
        <v>17</v>
      </c>
      <c r="O249" s="28">
        <f t="shared" si="170"/>
        <v>0</v>
      </c>
      <c r="P249" s="28">
        <f t="shared" si="171"/>
        <v>1</v>
      </c>
      <c r="Q249" s="28">
        <f t="shared" si="156"/>
        <v>18</v>
      </c>
      <c r="R249" s="22">
        <f t="shared" si="157"/>
        <v>124.03799999999998</v>
      </c>
      <c r="S249" s="22">
        <f t="shared" si="158"/>
        <v>0</v>
      </c>
      <c r="T249" s="22">
        <f t="shared" si="159"/>
        <v>46.76400000000001</v>
      </c>
      <c r="U249" s="22">
        <f t="shared" si="160"/>
        <v>9.5357044396051656</v>
      </c>
      <c r="V249" s="21">
        <f t="shared" si="172"/>
        <v>0</v>
      </c>
      <c r="W249" s="21">
        <f t="shared" si="173"/>
        <v>0</v>
      </c>
      <c r="X249" s="21">
        <f t="shared" si="165"/>
        <v>0</v>
      </c>
      <c r="Y249" s="21">
        <f t="shared" si="166"/>
        <v>4.4138773352999996</v>
      </c>
      <c r="Z249" s="221">
        <f t="shared" si="161"/>
        <v>1</v>
      </c>
      <c r="AA249" s="30">
        <f t="shared" si="149"/>
        <v>0</v>
      </c>
      <c r="AB249" s="30">
        <f t="shared" si="150"/>
        <v>0</v>
      </c>
      <c r="AC249" s="30">
        <f t="shared" si="151"/>
        <v>0</v>
      </c>
      <c r="AD249" s="30">
        <f t="shared" si="152"/>
        <v>1.8363330373596554</v>
      </c>
      <c r="AE249" s="32">
        <f t="shared" si="162"/>
        <v>1.8363330373596554</v>
      </c>
    </row>
    <row r="250" spans="1:31" x14ac:dyDescent="0.35">
      <c r="A250" s="48">
        <v>1631</v>
      </c>
      <c r="B250" s="58">
        <f>SUMIF([2]!Table2_23[ETA],'IAB Model'!A250,[2]!Table2_23[FIS PAX])</f>
        <v>0</v>
      </c>
      <c r="C250" s="44">
        <f t="shared" si="163"/>
        <v>18</v>
      </c>
      <c r="D250" s="52">
        <f t="shared" si="167"/>
        <v>85</v>
      </c>
      <c r="E250" s="26">
        <f t="shared" si="153"/>
        <v>8.2691999999999997</v>
      </c>
      <c r="F250" s="26">
        <f t="shared" si="154"/>
        <v>5.3369999999999997</v>
      </c>
      <c r="G250" s="26">
        <f t="shared" si="155"/>
        <v>3.1175999999999999</v>
      </c>
      <c r="H250" s="26">
        <f t="shared" si="164"/>
        <v>1.2762</v>
      </c>
      <c r="I250" s="27">
        <f t="shared" si="174"/>
        <v>8.2691999999999997</v>
      </c>
      <c r="J250" s="27">
        <f t="shared" si="174"/>
        <v>5.3369999999999997</v>
      </c>
      <c r="K250" s="27">
        <f t="shared" si="174"/>
        <v>3.1175999999999999</v>
      </c>
      <c r="L250" s="27">
        <f t="shared" si="174"/>
        <v>1.2762</v>
      </c>
      <c r="M250" s="28">
        <f>IF(R249=0,0,$Q$20)</f>
        <v>11</v>
      </c>
      <c r="N250" s="29">
        <f>$U$20-M250-O250-P250</f>
        <v>4</v>
      </c>
      <c r="O250" s="28">
        <f>IF(T249=0,0,$S$20)</f>
        <v>2</v>
      </c>
      <c r="P250" s="28">
        <f>IF(U249=0,0,$T$20)</f>
        <v>1</v>
      </c>
      <c r="Q250" s="28">
        <f t="shared" si="156"/>
        <v>18</v>
      </c>
      <c r="R250" s="22">
        <f t="shared" si="157"/>
        <v>109.15561281632247</v>
      </c>
      <c r="S250" s="22">
        <f t="shared" si="158"/>
        <v>3.3547862870455334</v>
      </c>
      <c r="T250" s="22">
        <f t="shared" si="159"/>
        <v>44.919646508098211</v>
      </c>
      <c r="U250" s="22">
        <f t="shared" si="160"/>
        <v>8.9755714022455102</v>
      </c>
      <c r="V250" s="21">
        <f t="shared" si="172"/>
        <v>4.0075987083636351</v>
      </c>
      <c r="W250" s="21">
        <f t="shared" si="173"/>
        <v>1.4385776494999998</v>
      </c>
      <c r="X250" s="21">
        <f t="shared" si="165"/>
        <v>7.6948926656000021</v>
      </c>
      <c r="Y250" s="21">
        <f t="shared" si="166"/>
        <v>4.1546035150999998</v>
      </c>
      <c r="Z250" s="221">
        <f t="shared" si="161"/>
        <v>4</v>
      </c>
      <c r="AA250" s="30">
        <f t="shared" si="149"/>
        <v>23.15158718367751</v>
      </c>
      <c r="AB250" s="30">
        <f t="shared" si="150"/>
        <v>1.9822137129544664</v>
      </c>
      <c r="AC250" s="30">
        <f t="shared" si="151"/>
        <v>4.9619534919017996</v>
      </c>
      <c r="AD250" s="30">
        <f t="shared" si="152"/>
        <v>1.8363330373596554</v>
      </c>
      <c r="AE250" s="32">
        <f t="shared" si="162"/>
        <v>31.932087425893428</v>
      </c>
    </row>
    <row r="251" spans="1:31" x14ac:dyDescent="0.35">
      <c r="A251" s="48">
        <v>1632</v>
      </c>
      <c r="B251" s="58">
        <f>SUMIF([2]!Table2_23[ETA],'IAB Model'!A251,[2]!Table2_23[FIS PAX])</f>
        <v>0</v>
      </c>
      <c r="C251" s="44">
        <f t="shared" si="163"/>
        <v>18</v>
      </c>
      <c r="D251" s="52">
        <f t="shared" si="167"/>
        <v>67</v>
      </c>
      <c r="E251" s="26">
        <f t="shared" si="153"/>
        <v>8.2691999999999997</v>
      </c>
      <c r="F251" s="26">
        <f t="shared" si="154"/>
        <v>5.3369999999999997</v>
      </c>
      <c r="G251" s="26">
        <f t="shared" si="155"/>
        <v>3.1175999999999999</v>
      </c>
      <c r="H251" s="26">
        <f t="shared" si="164"/>
        <v>1.2762</v>
      </c>
      <c r="I251" s="27">
        <f t="shared" si="174"/>
        <v>8.2691999999999997</v>
      </c>
      <c r="J251" s="27">
        <f t="shared" si="174"/>
        <v>5.3369999999999997</v>
      </c>
      <c r="K251" s="27">
        <f t="shared" si="174"/>
        <v>3.1175999999999999</v>
      </c>
      <c r="L251" s="27">
        <f t="shared" si="174"/>
        <v>1.2762</v>
      </c>
      <c r="M251" s="28">
        <f>$M$250</f>
        <v>11</v>
      </c>
      <c r="N251" s="29">
        <f>$N$250</f>
        <v>4</v>
      </c>
      <c r="O251" s="28">
        <f>$O$250</f>
        <v>2</v>
      </c>
      <c r="P251" s="28">
        <f>$P$250</f>
        <v>1</v>
      </c>
      <c r="Q251" s="28">
        <f t="shared" si="156"/>
        <v>18</v>
      </c>
      <c r="R251" s="22">
        <f t="shared" si="157"/>
        <v>94.273225632644966</v>
      </c>
      <c r="S251" s="22">
        <f t="shared" si="158"/>
        <v>6.7095725740910668</v>
      </c>
      <c r="T251" s="22">
        <f t="shared" si="159"/>
        <v>43.075293016196412</v>
      </c>
      <c r="U251" s="22">
        <f t="shared" si="160"/>
        <v>8.4154383648858548</v>
      </c>
      <c r="V251" s="21">
        <f t="shared" si="172"/>
        <v>3.4611986276363629</v>
      </c>
      <c r="W251" s="21">
        <f t="shared" si="173"/>
        <v>2.8771552989999996</v>
      </c>
      <c r="X251" s="21">
        <f t="shared" si="165"/>
        <v>7.3789484572000017</v>
      </c>
      <c r="Y251" s="21">
        <f t="shared" si="166"/>
        <v>3.8953296948999996</v>
      </c>
      <c r="Z251" s="221">
        <f t="shared" si="161"/>
        <v>4</v>
      </c>
      <c r="AA251" s="30">
        <f t="shared" si="149"/>
        <v>23.15158718367751</v>
      </c>
      <c r="AB251" s="30">
        <f t="shared" si="150"/>
        <v>1.9822137129544664</v>
      </c>
      <c r="AC251" s="30">
        <f t="shared" si="151"/>
        <v>4.9619534919017996</v>
      </c>
      <c r="AD251" s="30">
        <f t="shared" si="152"/>
        <v>1.8363330373596554</v>
      </c>
      <c r="AE251" s="32">
        <f t="shared" si="162"/>
        <v>31.932087425893428</v>
      </c>
    </row>
    <row r="252" spans="1:31" x14ac:dyDescent="0.35">
      <c r="A252" s="48">
        <v>1633</v>
      </c>
      <c r="B252" s="58">
        <f>SUMIF([2]!Table2_23[ETA],'IAB Model'!A252,[2]!Table2_23[FIS PAX])</f>
        <v>0</v>
      </c>
      <c r="C252" s="44">
        <f t="shared" si="163"/>
        <v>18</v>
      </c>
      <c r="D252" s="52">
        <f t="shared" si="167"/>
        <v>49</v>
      </c>
      <c r="E252" s="26">
        <f t="shared" si="153"/>
        <v>8.2691999999999997</v>
      </c>
      <c r="F252" s="26">
        <f t="shared" si="154"/>
        <v>5.3369999999999997</v>
      </c>
      <c r="G252" s="26">
        <f t="shared" si="155"/>
        <v>3.1175999999999999</v>
      </c>
      <c r="H252" s="26">
        <f t="shared" si="164"/>
        <v>1.2762</v>
      </c>
      <c r="I252" s="27">
        <f t="shared" si="174"/>
        <v>8.2691999999999997</v>
      </c>
      <c r="J252" s="27">
        <f t="shared" si="174"/>
        <v>5.3369999999999997</v>
      </c>
      <c r="K252" s="27">
        <f t="shared" si="174"/>
        <v>3.1175999999999999</v>
      </c>
      <c r="L252" s="27">
        <f t="shared" si="174"/>
        <v>1.2762</v>
      </c>
      <c r="M252" s="28">
        <f t="shared" ref="M252:M264" si="175">$M$250</f>
        <v>11</v>
      </c>
      <c r="N252" s="29">
        <f t="shared" ref="N252:N264" si="176">$N$250</f>
        <v>4</v>
      </c>
      <c r="O252" s="28">
        <f t="shared" ref="O252:O264" si="177">$O$250</f>
        <v>2</v>
      </c>
      <c r="P252" s="28">
        <f t="shared" ref="P252:P264" si="178">$P$250</f>
        <v>1</v>
      </c>
      <c r="Q252" s="28">
        <f t="shared" si="156"/>
        <v>18</v>
      </c>
      <c r="R252" s="22">
        <f t="shared" si="157"/>
        <v>79.390838448967457</v>
      </c>
      <c r="S252" s="22">
        <f t="shared" si="158"/>
        <v>10.064358861136601</v>
      </c>
      <c r="T252" s="22">
        <f t="shared" si="159"/>
        <v>41.230939524294612</v>
      </c>
      <c r="U252" s="22">
        <f t="shared" si="160"/>
        <v>7.8553053275261995</v>
      </c>
      <c r="V252" s="21">
        <f t="shared" si="172"/>
        <v>2.9147985469090902</v>
      </c>
      <c r="W252" s="21">
        <f t="shared" si="173"/>
        <v>4.3157329485</v>
      </c>
      <c r="X252" s="21">
        <f t="shared" si="165"/>
        <v>7.0630042488000022</v>
      </c>
      <c r="Y252" s="21">
        <f t="shared" si="166"/>
        <v>3.6360558746999994</v>
      </c>
      <c r="Z252" s="221">
        <f t="shared" si="161"/>
        <v>5</v>
      </c>
      <c r="AA252" s="30">
        <f t="shared" si="149"/>
        <v>23.15158718367751</v>
      </c>
      <c r="AB252" s="30">
        <f t="shared" si="150"/>
        <v>1.9822137129544664</v>
      </c>
      <c r="AC252" s="30">
        <f t="shared" si="151"/>
        <v>4.9619534919017996</v>
      </c>
      <c r="AD252" s="30">
        <f t="shared" si="152"/>
        <v>1.8363330373596554</v>
      </c>
      <c r="AE252" s="32">
        <f t="shared" si="162"/>
        <v>31.932087425893428</v>
      </c>
    </row>
    <row r="253" spans="1:31" x14ac:dyDescent="0.35">
      <c r="A253" s="48">
        <v>1634</v>
      </c>
      <c r="B253" s="58">
        <f>SUMIF([2]!Table2_23[ETA],'IAB Model'!A253,[2]!Table2_23[FIS PAX])</f>
        <v>0</v>
      </c>
      <c r="C253" s="44">
        <f t="shared" si="163"/>
        <v>18</v>
      </c>
      <c r="D253" s="52">
        <f t="shared" si="167"/>
        <v>31</v>
      </c>
      <c r="E253" s="26">
        <f t="shared" si="153"/>
        <v>8.2691999999999997</v>
      </c>
      <c r="F253" s="26">
        <f t="shared" si="154"/>
        <v>5.3369999999999997</v>
      </c>
      <c r="G253" s="26">
        <f t="shared" si="155"/>
        <v>3.1175999999999999</v>
      </c>
      <c r="H253" s="26">
        <f t="shared" si="164"/>
        <v>1.2762</v>
      </c>
      <c r="I253" s="27">
        <f t="shared" si="174"/>
        <v>8.2691999999999997</v>
      </c>
      <c r="J253" s="27">
        <f t="shared" si="174"/>
        <v>5.3369999999999997</v>
      </c>
      <c r="K253" s="27">
        <f t="shared" si="174"/>
        <v>3.1175999999999999</v>
      </c>
      <c r="L253" s="27">
        <f t="shared" si="174"/>
        <v>1.2762</v>
      </c>
      <c r="M253" s="28">
        <f t="shared" si="175"/>
        <v>11</v>
      </c>
      <c r="N253" s="29">
        <f t="shared" si="176"/>
        <v>4</v>
      </c>
      <c r="O253" s="28">
        <f t="shared" si="177"/>
        <v>2</v>
      </c>
      <c r="P253" s="28">
        <f t="shared" si="178"/>
        <v>1</v>
      </c>
      <c r="Q253" s="28">
        <f t="shared" si="156"/>
        <v>18</v>
      </c>
      <c r="R253" s="22">
        <f t="shared" si="157"/>
        <v>64.508451265289949</v>
      </c>
      <c r="S253" s="22">
        <f t="shared" si="158"/>
        <v>13.419145148182134</v>
      </c>
      <c r="T253" s="22">
        <f t="shared" si="159"/>
        <v>39.386586032392813</v>
      </c>
      <c r="U253" s="22">
        <f t="shared" si="160"/>
        <v>7.2951722901665441</v>
      </c>
      <c r="V253" s="21">
        <f t="shared" si="172"/>
        <v>2.368398466181818</v>
      </c>
      <c r="W253" s="21">
        <f t="shared" si="173"/>
        <v>5.7543105979999991</v>
      </c>
      <c r="X253" s="21">
        <f t="shared" si="165"/>
        <v>6.7470600404000018</v>
      </c>
      <c r="Y253" s="21">
        <f t="shared" si="166"/>
        <v>3.3767820544999996</v>
      </c>
      <c r="Z253" s="221">
        <f t="shared" si="161"/>
        <v>5</v>
      </c>
      <c r="AA253" s="30">
        <f t="shared" si="149"/>
        <v>23.15158718367751</v>
      </c>
      <c r="AB253" s="30">
        <f t="shared" si="150"/>
        <v>1.9822137129544664</v>
      </c>
      <c r="AC253" s="30">
        <f t="shared" si="151"/>
        <v>4.9619534919017996</v>
      </c>
      <c r="AD253" s="30">
        <f t="shared" si="152"/>
        <v>1.8363330373596554</v>
      </c>
      <c r="AE253" s="32">
        <f t="shared" si="162"/>
        <v>31.932087425893428</v>
      </c>
    </row>
    <row r="254" spans="1:31" x14ac:dyDescent="0.35">
      <c r="A254" s="48">
        <v>1635</v>
      </c>
      <c r="B254" s="58">
        <f>SUMIF([2]!Table2_23[ETA],'IAB Model'!A254,[2]!Table2_23[FIS PAX])</f>
        <v>0</v>
      </c>
      <c r="C254" s="44">
        <f t="shared" si="163"/>
        <v>18</v>
      </c>
      <c r="D254" s="52">
        <f t="shared" si="167"/>
        <v>13</v>
      </c>
      <c r="E254" s="26">
        <f t="shared" si="153"/>
        <v>8.2691999999999997</v>
      </c>
      <c r="F254" s="26">
        <f t="shared" si="154"/>
        <v>5.3369999999999997</v>
      </c>
      <c r="G254" s="26">
        <f t="shared" si="155"/>
        <v>3.1175999999999999</v>
      </c>
      <c r="H254" s="26">
        <f t="shared" si="164"/>
        <v>1.2762</v>
      </c>
      <c r="I254" s="27">
        <f t="shared" si="174"/>
        <v>8.2691999999999997</v>
      </c>
      <c r="J254" s="27">
        <f t="shared" si="174"/>
        <v>5.3369999999999997</v>
      </c>
      <c r="K254" s="27">
        <f t="shared" si="174"/>
        <v>3.1175999999999999</v>
      </c>
      <c r="L254" s="27">
        <f t="shared" si="174"/>
        <v>1.2762</v>
      </c>
      <c r="M254" s="28">
        <f t="shared" si="175"/>
        <v>11</v>
      </c>
      <c r="N254" s="29">
        <f t="shared" si="176"/>
        <v>4</v>
      </c>
      <c r="O254" s="28">
        <f t="shared" si="177"/>
        <v>2</v>
      </c>
      <c r="P254" s="28">
        <f t="shared" si="178"/>
        <v>1</v>
      </c>
      <c r="Q254" s="28">
        <f t="shared" si="156"/>
        <v>18</v>
      </c>
      <c r="R254" s="22">
        <f t="shared" si="157"/>
        <v>49.626064081612441</v>
      </c>
      <c r="S254" s="22">
        <f t="shared" si="158"/>
        <v>16.773931435227666</v>
      </c>
      <c r="T254" s="22">
        <f t="shared" si="159"/>
        <v>37.542232540491014</v>
      </c>
      <c r="U254" s="22">
        <f t="shared" si="160"/>
        <v>6.7350392528068888</v>
      </c>
      <c r="V254" s="21">
        <f t="shared" si="172"/>
        <v>1.8219983854545454</v>
      </c>
      <c r="W254" s="21">
        <f t="shared" si="173"/>
        <v>7.1928882474999991</v>
      </c>
      <c r="X254" s="21">
        <f t="shared" si="165"/>
        <v>6.4311158320000024</v>
      </c>
      <c r="Y254" s="21">
        <f t="shared" si="166"/>
        <v>3.1175082342999998</v>
      </c>
      <c r="Z254" s="221">
        <f t="shared" si="161"/>
        <v>5</v>
      </c>
      <c r="AA254" s="30">
        <f t="shared" si="149"/>
        <v>23.15158718367751</v>
      </c>
      <c r="AB254" s="30">
        <f t="shared" si="150"/>
        <v>1.9822137129544664</v>
      </c>
      <c r="AC254" s="30">
        <f t="shared" si="151"/>
        <v>4.9619534919017996</v>
      </c>
      <c r="AD254" s="30">
        <f t="shared" si="152"/>
        <v>1.8363330373596554</v>
      </c>
      <c r="AE254" s="32">
        <f t="shared" si="162"/>
        <v>31.932087425893428</v>
      </c>
    </row>
    <row r="255" spans="1:31" x14ac:dyDescent="0.35">
      <c r="A255" s="48">
        <v>1636</v>
      </c>
      <c r="B255" s="58">
        <f>SUMIF([2]!Table2_23[ETA],'IAB Model'!A255,[2]!Table2_23[FIS PAX])</f>
        <v>0</v>
      </c>
      <c r="C255" s="44">
        <f t="shared" si="163"/>
        <v>13</v>
      </c>
      <c r="D255" s="52">
        <f t="shared" si="167"/>
        <v>0</v>
      </c>
      <c r="E255" s="26">
        <f t="shared" si="153"/>
        <v>5.9722</v>
      </c>
      <c r="F255" s="26">
        <f t="shared" si="154"/>
        <v>3.8544999999999998</v>
      </c>
      <c r="G255" s="26">
        <f t="shared" si="155"/>
        <v>2.2515999999999998</v>
      </c>
      <c r="H255" s="26">
        <f t="shared" si="164"/>
        <v>0.92170000000000007</v>
      </c>
      <c r="I255" s="27">
        <f t="shared" si="174"/>
        <v>8.2691999999999997</v>
      </c>
      <c r="J255" s="27">
        <f t="shared" si="174"/>
        <v>5.3369999999999997</v>
      </c>
      <c r="K255" s="27">
        <f t="shared" si="174"/>
        <v>3.1175999999999999</v>
      </c>
      <c r="L255" s="27">
        <f t="shared" si="174"/>
        <v>1.2762</v>
      </c>
      <c r="M255" s="28">
        <f t="shared" si="175"/>
        <v>11</v>
      </c>
      <c r="N255" s="29">
        <f t="shared" si="176"/>
        <v>4</v>
      </c>
      <c r="O255" s="28">
        <f t="shared" si="177"/>
        <v>2</v>
      </c>
      <c r="P255" s="28">
        <f t="shared" si="178"/>
        <v>1</v>
      </c>
      <c r="Q255" s="28">
        <f t="shared" si="156"/>
        <v>18</v>
      </c>
      <c r="R255" s="22">
        <f t="shared" si="157"/>
        <v>34.743676897934932</v>
      </c>
      <c r="S255" s="22">
        <f t="shared" si="158"/>
        <v>20.128717722273201</v>
      </c>
      <c r="T255" s="22">
        <f t="shared" si="159"/>
        <v>35.697879048589215</v>
      </c>
      <c r="U255" s="22">
        <f t="shared" si="160"/>
        <v>6.1749062154472334</v>
      </c>
      <c r="V255" s="21">
        <f t="shared" si="172"/>
        <v>1.2755983047272728</v>
      </c>
      <c r="W255" s="21">
        <f t="shared" si="173"/>
        <v>8.631465897</v>
      </c>
      <c r="X255" s="21">
        <f t="shared" si="165"/>
        <v>6.1151716236000029</v>
      </c>
      <c r="Y255" s="21">
        <f t="shared" si="166"/>
        <v>2.8582344141</v>
      </c>
      <c r="Z255" s="221">
        <f t="shared" si="161"/>
        <v>5</v>
      </c>
      <c r="AA255" s="30">
        <f t="shared" si="149"/>
        <v>23.15158718367751</v>
      </c>
      <c r="AB255" s="30">
        <f t="shared" si="150"/>
        <v>1.9822137129544664</v>
      </c>
      <c r="AC255" s="30">
        <f t="shared" si="151"/>
        <v>4.9619534919017996</v>
      </c>
      <c r="AD255" s="30">
        <f t="shared" si="152"/>
        <v>1.8363330373596554</v>
      </c>
      <c r="AE255" s="32">
        <f t="shared" si="162"/>
        <v>31.932087425893428</v>
      </c>
    </row>
    <row r="256" spans="1:31" x14ac:dyDescent="0.35">
      <c r="A256" s="48">
        <v>1637</v>
      </c>
      <c r="B256" s="58">
        <f>SUMIF([2]!Table2_23[ETA],'IAB Model'!A256,[2]!Table2_23[FIS PAX])</f>
        <v>0</v>
      </c>
      <c r="C256" s="44">
        <f t="shared" si="163"/>
        <v>0</v>
      </c>
      <c r="D256" s="52">
        <f t="shared" si="167"/>
        <v>0</v>
      </c>
      <c r="E256" s="26">
        <f t="shared" si="153"/>
        <v>0</v>
      </c>
      <c r="F256" s="26">
        <f t="shared" si="154"/>
        <v>0</v>
      </c>
      <c r="G256" s="26">
        <f t="shared" si="155"/>
        <v>0</v>
      </c>
      <c r="H256" s="26">
        <f t="shared" si="164"/>
        <v>0</v>
      </c>
      <c r="I256" s="27">
        <f t="shared" si="174"/>
        <v>8.2691999999999997</v>
      </c>
      <c r="J256" s="27">
        <f t="shared" si="174"/>
        <v>5.3369999999999997</v>
      </c>
      <c r="K256" s="27">
        <f t="shared" si="174"/>
        <v>3.1175999999999999</v>
      </c>
      <c r="L256" s="27">
        <f t="shared" si="174"/>
        <v>1.2762</v>
      </c>
      <c r="M256" s="28">
        <f t="shared" si="175"/>
        <v>11</v>
      </c>
      <c r="N256" s="29">
        <f t="shared" si="176"/>
        <v>4</v>
      </c>
      <c r="O256" s="28">
        <f t="shared" si="177"/>
        <v>2</v>
      </c>
      <c r="P256" s="28">
        <f t="shared" si="178"/>
        <v>1</v>
      </c>
      <c r="Q256" s="28">
        <f t="shared" si="156"/>
        <v>18</v>
      </c>
      <c r="R256" s="22">
        <f t="shared" si="157"/>
        <v>19.861289714257424</v>
      </c>
      <c r="S256" s="22">
        <f t="shared" si="158"/>
        <v>23.483504009318736</v>
      </c>
      <c r="T256" s="22">
        <f t="shared" si="159"/>
        <v>33.853525556687416</v>
      </c>
      <c r="U256" s="22">
        <f t="shared" si="160"/>
        <v>5.614773178087578</v>
      </c>
      <c r="V256" s="21">
        <f t="shared" si="172"/>
        <v>0.72919822400000023</v>
      </c>
      <c r="W256" s="21">
        <f t="shared" si="173"/>
        <v>10.070043546500001</v>
      </c>
      <c r="X256" s="21">
        <f t="shared" si="165"/>
        <v>5.7992274152000025</v>
      </c>
      <c r="Y256" s="21">
        <f t="shared" si="166"/>
        <v>2.5989605938999998</v>
      </c>
      <c r="Z256" s="221">
        <f t="shared" si="161"/>
        <v>5</v>
      </c>
      <c r="AA256" s="30">
        <f t="shared" si="149"/>
        <v>23.15158718367751</v>
      </c>
      <c r="AB256" s="30">
        <f t="shared" si="150"/>
        <v>1.9822137129544664</v>
      </c>
      <c r="AC256" s="30">
        <f t="shared" si="151"/>
        <v>4.9619534919017996</v>
      </c>
      <c r="AD256" s="30">
        <f t="shared" si="152"/>
        <v>1.8363330373596554</v>
      </c>
      <c r="AE256" s="32">
        <f t="shared" si="162"/>
        <v>31.932087425893428</v>
      </c>
    </row>
    <row r="257" spans="1:31" x14ac:dyDescent="0.35">
      <c r="A257" s="48">
        <v>1638</v>
      </c>
      <c r="B257" s="58">
        <f>SUMIF([2]!Table2_23[ETA],'IAB Model'!A257,[2]!Table2_23[FIS PAX])</f>
        <v>0</v>
      </c>
      <c r="C257" s="44">
        <f t="shared" si="163"/>
        <v>0</v>
      </c>
      <c r="D257" s="52">
        <f t="shared" si="167"/>
        <v>0</v>
      </c>
      <c r="E257" s="26">
        <f t="shared" si="153"/>
        <v>0</v>
      </c>
      <c r="F257" s="26">
        <f t="shared" si="154"/>
        <v>0</v>
      </c>
      <c r="G257" s="26">
        <f t="shared" si="155"/>
        <v>0</v>
      </c>
      <c r="H257" s="26">
        <f t="shared" si="164"/>
        <v>0</v>
      </c>
      <c r="I257" s="27">
        <f t="shared" si="174"/>
        <v>8.2691999999999997</v>
      </c>
      <c r="J257" s="27">
        <f t="shared" si="174"/>
        <v>5.3369999999999997</v>
      </c>
      <c r="K257" s="27">
        <f t="shared" si="174"/>
        <v>3.1175999999999999</v>
      </c>
      <c r="L257" s="27">
        <f t="shared" si="174"/>
        <v>1.2762</v>
      </c>
      <c r="M257" s="28">
        <f t="shared" si="175"/>
        <v>11</v>
      </c>
      <c r="N257" s="29">
        <f t="shared" si="176"/>
        <v>4</v>
      </c>
      <c r="O257" s="28">
        <f t="shared" si="177"/>
        <v>2</v>
      </c>
      <c r="P257" s="28">
        <f t="shared" si="178"/>
        <v>1</v>
      </c>
      <c r="Q257" s="28">
        <f t="shared" si="156"/>
        <v>18</v>
      </c>
      <c r="R257" s="22">
        <f t="shared" si="157"/>
        <v>4.9789025305799139</v>
      </c>
      <c r="S257" s="22">
        <f t="shared" si="158"/>
        <v>26.838290296364271</v>
      </c>
      <c r="T257" s="22">
        <f t="shared" si="159"/>
        <v>32.009172064785616</v>
      </c>
      <c r="U257" s="22">
        <f t="shared" si="160"/>
        <v>5.0546401407279227</v>
      </c>
      <c r="V257" s="21">
        <f t="shared" si="172"/>
        <v>0.18279814327272761</v>
      </c>
      <c r="W257" s="21">
        <f t="shared" si="173"/>
        <v>11.508621196</v>
      </c>
      <c r="X257" s="21">
        <f t="shared" si="165"/>
        <v>5.483283206800003</v>
      </c>
      <c r="Y257" s="21">
        <f t="shared" si="166"/>
        <v>2.3396867737</v>
      </c>
      <c r="Z257" s="221">
        <f t="shared" si="161"/>
        <v>5</v>
      </c>
      <c r="AA257" s="30">
        <f t="shared" si="149"/>
        <v>23.15158718367751</v>
      </c>
      <c r="AB257" s="30">
        <f t="shared" si="150"/>
        <v>1.9822137129544664</v>
      </c>
      <c r="AC257" s="30">
        <f t="shared" si="151"/>
        <v>4.9619534919017996</v>
      </c>
      <c r="AD257" s="30">
        <f t="shared" si="152"/>
        <v>1.8363330373596554</v>
      </c>
      <c r="AE257" s="32">
        <f t="shared" si="162"/>
        <v>31.932087425893428</v>
      </c>
    </row>
    <row r="258" spans="1:31" x14ac:dyDescent="0.35">
      <c r="A258" s="48">
        <v>1639</v>
      </c>
      <c r="B258" s="58">
        <f>SUMIF([2]!Table2_23[ETA],'IAB Model'!A258,[2]!Table2_23[FIS PAX])</f>
        <v>0</v>
      </c>
      <c r="C258" s="44">
        <f t="shared" si="163"/>
        <v>0</v>
      </c>
      <c r="D258" s="52">
        <f t="shared" si="167"/>
        <v>0</v>
      </c>
      <c r="E258" s="26">
        <f t="shared" si="153"/>
        <v>0</v>
      </c>
      <c r="F258" s="26">
        <f t="shared" si="154"/>
        <v>0</v>
      </c>
      <c r="G258" s="26">
        <f t="shared" si="155"/>
        <v>0</v>
      </c>
      <c r="H258" s="26">
        <f t="shared" si="164"/>
        <v>0</v>
      </c>
      <c r="I258" s="27">
        <f t="shared" si="174"/>
        <v>3.6751999999999998</v>
      </c>
      <c r="J258" s="27">
        <f t="shared" si="174"/>
        <v>2.3719999999999999</v>
      </c>
      <c r="K258" s="27">
        <f t="shared" si="174"/>
        <v>1.3855999999999999</v>
      </c>
      <c r="L258" s="27">
        <f t="shared" si="174"/>
        <v>0.56720000000000004</v>
      </c>
      <c r="M258" s="28">
        <f t="shared" si="175"/>
        <v>11</v>
      </c>
      <c r="N258" s="29">
        <f t="shared" si="176"/>
        <v>4</v>
      </c>
      <c r="O258" s="28">
        <f t="shared" si="177"/>
        <v>2</v>
      </c>
      <c r="P258" s="28">
        <f t="shared" si="178"/>
        <v>1</v>
      </c>
      <c r="Q258" s="28">
        <f t="shared" si="156"/>
        <v>18</v>
      </c>
      <c r="R258" s="22">
        <f t="shared" si="157"/>
        <v>0</v>
      </c>
      <c r="S258" s="22">
        <f t="shared" si="158"/>
        <v>27.228076583409806</v>
      </c>
      <c r="T258" s="22">
        <f t="shared" si="159"/>
        <v>28.432818572883818</v>
      </c>
      <c r="U258" s="22">
        <f t="shared" si="160"/>
        <v>3.7855071033682672</v>
      </c>
      <c r="V258" s="21">
        <f t="shared" si="172"/>
        <v>0</v>
      </c>
      <c r="W258" s="21">
        <f t="shared" si="173"/>
        <v>11.675766818000001</v>
      </c>
      <c r="X258" s="21">
        <f t="shared" si="165"/>
        <v>4.870641336400003</v>
      </c>
      <c r="Y258" s="21">
        <f t="shared" si="166"/>
        <v>1.7522317425</v>
      </c>
      <c r="Z258" s="221">
        <f t="shared" si="161"/>
        <v>5</v>
      </c>
      <c r="AA258" s="30">
        <f t="shared" si="149"/>
        <v>0</v>
      </c>
      <c r="AB258" s="30">
        <f t="shared" si="150"/>
        <v>1.9822137129544664</v>
      </c>
      <c r="AC258" s="30">
        <f t="shared" si="151"/>
        <v>4.9619534919017996</v>
      </c>
      <c r="AD258" s="30">
        <f t="shared" si="152"/>
        <v>1.8363330373596554</v>
      </c>
      <c r="AE258" s="32">
        <f t="shared" si="162"/>
        <v>8.7805002422159202</v>
      </c>
    </row>
    <row r="259" spans="1:31" x14ac:dyDescent="0.35">
      <c r="A259" s="48">
        <v>1640</v>
      </c>
      <c r="B259" s="58">
        <f>SUMIF([2]!Table2_23[ETA],'IAB Model'!A259,[2]!Table2_23[FIS PAX])</f>
        <v>0</v>
      </c>
      <c r="C259" s="44">
        <f t="shared" si="163"/>
        <v>0</v>
      </c>
      <c r="D259" s="52">
        <f t="shared" si="167"/>
        <v>0</v>
      </c>
      <c r="E259" s="26">
        <f t="shared" si="153"/>
        <v>0</v>
      </c>
      <c r="F259" s="26">
        <f t="shared" si="154"/>
        <v>0</v>
      </c>
      <c r="G259" s="26">
        <f t="shared" si="155"/>
        <v>0</v>
      </c>
      <c r="H259" s="26">
        <f t="shared" si="164"/>
        <v>0</v>
      </c>
      <c r="I259" s="27">
        <f t="shared" si="174"/>
        <v>0</v>
      </c>
      <c r="J259" s="27">
        <f t="shared" si="174"/>
        <v>0</v>
      </c>
      <c r="K259" s="27">
        <f t="shared" si="174"/>
        <v>0</v>
      </c>
      <c r="L259" s="27">
        <f t="shared" si="174"/>
        <v>0</v>
      </c>
      <c r="M259" s="28">
        <f t="shared" si="175"/>
        <v>11</v>
      </c>
      <c r="N259" s="29">
        <f t="shared" si="176"/>
        <v>4</v>
      </c>
      <c r="O259" s="28">
        <f t="shared" si="177"/>
        <v>2</v>
      </c>
      <c r="P259" s="28">
        <f t="shared" si="178"/>
        <v>1</v>
      </c>
      <c r="Q259" s="28">
        <f t="shared" si="156"/>
        <v>18</v>
      </c>
      <c r="R259" s="22">
        <f t="shared" si="157"/>
        <v>0</v>
      </c>
      <c r="S259" s="22">
        <f t="shared" si="158"/>
        <v>25.24586287045534</v>
      </c>
      <c r="T259" s="22">
        <f t="shared" si="159"/>
        <v>23.470865080982019</v>
      </c>
      <c r="U259" s="22">
        <f t="shared" si="160"/>
        <v>1.9491740660086119</v>
      </c>
      <c r="V259" s="21">
        <f t="shared" si="172"/>
        <v>0</v>
      </c>
      <c r="W259" s="21">
        <f t="shared" si="173"/>
        <v>10.825766818000002</v>
      </c>
      <c r="X259" s="21">
        <f t="shared" si="165"/>
        <v>4.0206413364000033</v>
      </c>
      <c r="Y259" s="21">
        <f t="shared" si="166"/>
        <v>0.90223174250000027</v>
      </c>
      <c r="Z259" s="221">
        <f t="shared" si="161"/>
        <v>4</v>
      </c>
      <c r="AA259" s="30">
        <f t="shared" si="149"/>
        <v>0</v>
      </c>
      <c r="AB259" s="30">
        <f t="shared" si="150"/>
        <v>1.9822137129544664</v>
      </c>
      <c r="AC259" s="30">
        <f t="shared" si="151"/>
        <v>4.9619534919017996</v>
      </c>
      <c r="AD259" s="30">
        <f t="shared" si="152"/>
        <v>1.8363330373596554</v>
      </c>
      <c r="AE259" s="32">
        <f t="shared" si="162"/>
        <v>8.7805002422159202</v>
      </c>
    </row>
    <row r="260" spans="1:31" x14ac:dyDescent="0.35">
      <c r="A260" s="48">
        <v>1641</v>
      </c>
      <c r="B260" s="58">
        <f>SUMIF([2]!Table2_23[ETA],'IAB Model'!A260,[2]!Table2_23[FIS PAX])</f>
        <v>0</v>
      </c>
      <c r="C260" s="44">
        <f t="shared" si="163"/>
        <v>0</v>
      </c>
      <c r="D260" s="52">
        <f t="shared" si="167"/>
        <v>0</v>
      </c>
      <c r="E260" s="26">
        <f t="shared" si="153"/>
        <v>0</v>
      </c>
      <c r="F260" s="26">
        <f t="shared" si="154"/>
        <v>0</v>
      </c>
      <c r="G260" s="26">
        <f t="shared" si="155"/>
        <v>0</v>
      </c>
      <c r="H260" s="26">
        <f t="shared" si="164"/>
        <v>0</v>
      </c>
      <c r="I260" s="27">
        <f t="shared" si="174"/>
        <v>0</v>
      </c>
      <c r="J260" s="27">
        <f t="shared" si="174"/>
        <v>0</v>
      </c>
      <c r="K260" s="27">
        <f t="shared" si="174"/>
        <v>0</v>
      </c>
      <c r="L260" s="27">
        <f t="shared" si="174"/>
        <v>0</v>
      </c>
      <c r="M260" s="28">
        <f t="shared" si="175"/>
        <v>11</v>
      </c>
      <c r="N260" s="29">
        <f t="shared" si="176"/>
        <v>4</v>
      </c>
      <c r="O260" s="28">
        <f t="shared" si="177"/>
        <v>2</v>
      </c>
      <c r="P260" s="28">
        <f t="shared" si="178"/>
        <v>1</v>
      </c>
      <c r="Q260" s="28">
        <f t="shared" si="156"/>
        <v>18</v>
      </c>
      <c r="R260" s="22">
        <f t="shared" si="157"/>
        <v>0</v>
      </c>
      <c r="S260" s="22">
        <f t="shared" si="158"/>
        <v>23.263649157500875</v>
      </c>
      <c r="T260" s="22">
        <f t="shared" si="159"/>
        <v>18.50891158908022</v>
      </c>
      <c r="U260" s="22">
        <f t="shared" si="160"/>
        <v>0.11284102864895651</v>
      </c>
      <c r="V260" s="21">
        <f t="shared" si="172"/>
        <v>0</v>
      </c>
      <c r="W260" s="21">
        <f t="shared" si="173"/>
        <v>9.9757668180000021</v>
      </c>
      <c r="X260" s="21">
        <f t="shared" si="165"/>
        <v>3.1706413364000037</v>
      </c>
      <c r="Y260" s="21">
        <f t="shared" si="166"/>
        <v>5.2231742500000337E-2</v>
      </c>
      <c r="Z260" s="221">
        <f t="shared" si="161"/>
        <v>4</v>
      </c>
      <c r="AA260" s="30">
        <f t="shared" si="149"/>
        <v>0</v>
      </c>
      <c r="AB260" s="30">
        <f t="shared" si="150"/>
        <v>1.9822137129544664</v>
      </c>
      <c r="AC260" s="30">
        <f t="shared" si="151"/>
        <v>4.9619534919017996</v>
      </c>
      <c r="AD260" s="30">
        <f t="shared" si="152"/>
        <v>1.8363330373596554</v>
      </c>
      <c r="AE260" s="32">
        <f t="shared" si="162"/>
        <v>8.7805002422159202</v>
      </c>
    </row>
    <row r="261" spans="1:31" x14ac:dyDescent="0.35">
      <c r="A261" s="48">
        <v>1642</v>
      </c>
      <c r="B261" s="58">
        <f>SUMIF([2]!Table2_23[ETA],'IAB Model'!A261,[2]!Table2_23[FIS PAX])</f>
        <v>0</v>
      </c>
      <c r="C261" s="44">
        <f t="shared" si="163"/>
        <v>0</v>
      </c>
      <c r="D261" s="52">
        <f t="shared" si="167"/>
        <v>0</v>
      </c>
      <c r="E261" s="26">
        <f t="shared" si="153"/>
        <v>0</v>
      </c>
      <c r="F261" s="26">
        <f t="shared" si="154"/>
        <v>0</v>
      </c>
      <c r="G261" s="26">
        <f t="shared" si="155"/>
        <v>0</v>
      </c>
      <c r="H261" s="26">
        <f t="shared" si="164"/>
        <v>0</v>
      </c>
      <c r="I261" s="27">
        <f t="shared" si="174"/>
        <v>0</v>
      </c>
      <c r="J261" s="27">
        <f t="shared" si="174"/>
        <v>0</v>
      </c>
      <c r="K261" s="27">
        <f t="shared" si="174"/>
        <v>0</v>
      </c>
      <c r="L261" s="27">
        <f t="shared" si="174"/>
        <v>0</v>
      </c>
      <c r="M261" s="28">
        <f t="shared" si="175"/>
        <v>11</v>
      </c>
      <c r="N261" s="29">
        <f t="shared" si="176"/>
        <v>4</v>
      </c>
      <c r="O261" s="28">
        <f t="shared" si="177"/>
        <v>2</v>
      </c>
      <c r="P261" s="28">
        <f t="shared" si="178"/>
        <v>1</v>
      </c>
      <c r="Q261" s="28">
        <f t="shared" si="156"/>
        <v>18</v>
      </c>
      <c r="R261" s="22">
        <f t="shared" si="157"/>
        <v>0</v>
      </c>
      <c r="S261" s="22">
        <f t="shared" si="158"/>
        <v>20.785882016307792</v>
      </c>
      <c r="T261" s="22">
        <f t="shared" si="159"/>
        <v>13.546958097178422</v>
      </c>
      <c r="U261" s="22">
        <f t="shared" si="160"/>
        <v>0</v>
      </c>
      <c r="V261" s="21">
        <f t="shared" si="172"/>
        <v>0</v>
      </c>
      <c r="W261" s="21">
        <f t="shared" si="173"/>
        <v>8.9132668180000021</v>
      </c>
      <c r="X261" s="21">
        <f t="shared" si="165"/>
        <v>2.3206413364000036</v>
      </c>
      <c r="Y261" s="21">
        <f t="shared" si="166"/>
        <v>0</v>
      </c>
      <c r="Z261" s="221">
        <f t="shared" si="161"/>
        <v>4</v>
      </c>
      <c r="AA261" s="30">
        <f t="shared" si="149"/>
        <v>0</v>
      </c>
      <c r="AB261" s="30">
        <f t="shared" si="150"/>
        <v>1.9822137129544664</v>
      </c>
      <c r="AC261" s="30">
        <f t="shared" si="151"/>
        <v>4.9619534919017996</v>
      </c>
      <c r="AD261" s="30">
        <f t="shared" si="152"/>
        <v>0</v>
      </c>
      <c r="AE261" s="32">
        <f t="shared" si="162"/>
        <v>6.9441672048562655</v>
      </c>
    </row>
    <row r="262" spans="1:31" x14ac:dyDescent="0.35">
      <c r="A262" s="48">
        <v>1643</v>
      </c>
      <c r="B262" s="58">
        <f>SUMIF([2]!Table2_23[ETA],'IAB Model'!A262,[2]!Table2_23[FIS PAX])</f>
        <v>0</v>
      </c>
      <c r="C262" s="44">
        <f t="shared" si="163"/>
        <v>0</v>
      </c>
      <c r="D262" s="52">
        <f t="shared" si="167"/>
        <v>0</v>
      </c>
      <c r="E262" s="26">
        <f t="shared" si="153"/>
        <v>0</v>
      </c>
      <c r="F262" s="26">
        <f t="shared" si="154"/>
        <v>0</v>
      </c>
      <c r="G262" s="26">
        <f t="shared" si="155"/>
        <v>0</v>
      </c>
      <c r="H262" s="26">
        <f t="shared" si="164"/>
        <v>0</v>
      </c>
      <c r="I262" s="27">
        <f t="shared" si="174"/>
        <v>0</v>
      </c>
      <c r="J262" s="27">
        <f t="shared" si="174"/>
        <v>0</v>
      </c>
      <c r="K262" s="27">
        <f t="shared" si="174"/>
        <v>0</v>
      </c>
      <c r="L262" s="27">
        <f t="shared" si="174"/>
        <v>0</v>
      </c>
      <c r="M262" s="28">
        <f t="shared" si="175"/>
        <v>11</v>
      </c>
      <c r="N262" s="29">
        <f t="shared" si="176"/>
        <v>4</v>
      </c>
      <c r="O262" s="28">
        <f t="shared" si="177"/>
        <v>2</v>
      </c>
      <c r="P262" s="28">
        <f t="shared" si="178"/>
        <v>1</v>
      </c>
      <c r="Q262" s="28">
        <f t="shared" si="156"/>
        <v>18</v>
      </c>
      <c r="R262" s="22">
        <f t="shared" si="157"/>
        <v>0</v>
      </c>
      <c r="S262" s="22">
        <f t="shared" si="158"/>
        <v>18.308114875114708</v>
      </c>
      <c r="T262" s="22">
        <f t="shared" si="159"/>
        <v>8.5850046052766231</v>
      </c>
      <c r="U262" s="22">
        <f t="shared" si="160"/>
        <v>0</v>
      </c>
      <c r="V262" s="21">
        <f t="shared" si="172"/>
        <v>0</v>
      </c>
      <c r="W262" s="21">
        <f t="shared" si="173"/>
        <v>7.8507668180000012</v>
      </c>
      <c r="X262" s="21">
        <f t="shared" si="165"/>
        <v>1.4706413364000039</v>
      </c>
      <c r="Y262" s="21">
        <f t="shared" si="166"/>
        <v>0</v>
      </c>
      <c r="Z262" s="221">
        <f t="shared" si="161"/>
        <v>3</v>
      </c>
      <c r="AA262" s="30">
        <f t="shared" si="149"/>
        <v>0</v>
      </c>
      <c r="AB262" s="30">
        <f t="shared" si="150"/>
        <v>1.9822137129544664</v>
      </c>
      <c r="AC262" s="30">
        <f t="shared" si="151"/>
        <v>4.9619534919017996</v>
      </c>
      <c r="AD262" s="30">
        <f t="shared" si="152"/>
        <v>0</v>
      </c>
      <c r="AE262" s="32">
        <f t="shared" si="162"/>
        <v>6.9441672048562655</v>
      </c>
    </row>
    <row r="263" spans="1:31" x14ac:dyDescent="0.35">
      <c r="A263" s="48">
        <v>1644</v>
      </c>
      <c r="B263" s="58">
        <f>SUMIF([2]!Table2_23[ETA],'IAB Model'!A263,[2]!Table2_23[FIS PAX])</f>
        <v>0</v>
      </c>
      <c r="C263" s="44">
        <f t="shared" si="163"/>
        <v>0</v>
      </c>
      <c r="D263" s="52">
        <f t="shared" si="167"/>
        <v>0</v>
      </c>
      <c r="E263" s="26">
        <f t="shared" si="153"/>
        <v>0</v>
      </c>
      <c r="F263" s="26">
        <f t="shared" si="154"/>
        <v>0</v>
      </c>
      <c r="G263" s="26">
        <f t="shared" si="155"/>
        <v>0</v>
      </c>
      <c r="H263" s="26">
        <f t="shared" si="164"/>
        <v>0</v>
      </c>
      <c r="I263" s="27">
        <f t="shared" ref="I263:L278" si="179">E248</f>
        <v>8.2691999999999997</v>
      </c>
      <c r="J263" s="27">
        <f t="shared" si="179"/>
        <v>5.3369999999999997</v>
      </c>
      <c r="K263" s="27">
        <f t="shared" si="179"/>
        <v>3.1175999999999999</v>
      </c>
      <c r="L263" s="27">
        <f t="shared" si="179"/>
        <v>1.2762</v>
      </c>
      <c r="M263" s="28">
        <f t="shared" si="175"/>
        <v>11</v>
      </c>
      <c r="N263" s="29">
        <f t="shared" si="176"/>
        <v>4</v>
      </c>
      <c r="O263" s="28">
        <f t="shared" si="177"/>
        <v>2</v>
      </c>
      <c r="P263" s="28">
        <f t="shared" si="178"/>
        <v>1</v>
      </c>
      <c r="Q263" s="28">
        <f t="shared" si="156"/>
        <v>18</v>
      </c>
      <c r="R263" s="22">
        <f t="shared" si="157"/>
        <v>0</v>
      </c>
      <c r="S263" s="22">
        <f t="shared" si="158"/>
        <v>21.167347733921623</v>
      </c>
      <c r="T263" s="22">
        <f t="shared" si="159"/>
        <v>6.7406511133748239</v>
      </c>
      <c r="U263" s="22">
        <f t="shared" si="160"/>
        <v>0</v>
      </c>
      <c r="V263" s="21">
        <f t="shared" si="172"/>
        <v>0</v>
      </c>
      <c r="W263" s="21">
        <f t="shared" si="173"/>
        <v>9.0768444675000008</v>
      </c>
      <c r="X263" s="21">
        <f t="shared" si="165"/>
        <v>1.1546971280000042</v>
      </c>
      <c r="Y263" s="21">
        <f t="shared" si="166"/>
        <v>0</v>
      </c>
      <c r="Z263" s="221">
        <f t="shared" si="161"/>
        <v>3</v>
      </c>
      <c r="AA263" s="30">
        <f t="shared" si="149"/>
        <v>0</v>
      </c>
      <c r="AB263" s="30">
        <f t="shared" si="150"/>
        <v>1.9822137129544664</v>
      </c>
      <c r="AC263" s="30">
        <f t="shared" si="151"/>
        <v>4.9619534919017996</v>
      </c>
      <c r="AD263" s="30">
        <f t="shared" si="152"/>
        <v>0</v>
      </c>
      <c r="AE263" s="32">
        <f t="shared" si="162"/>
        <v>6.9441672048562655</v>
      </c>
    </row>
    <row r="264" spans="1:31" x14ac:dyDescent="0.35">
      <c r="A264" s="48">
        <v>1645</v>
      </c>
      <c r="B264" s="58">
        <f>SUMIF([2]!Table2_23[ETA],'IAB Model'!A264,[2]!Table2_23[FIS PAX])</f>
        <v>0</v>
      </c>
      <c r="C264" s="44">
        <f t="shared" si="163"/>
        <v>0</v>
      </c>
      <c r="D264" s="52">
        <f t="shared" si="167"/>
        <v>0</v>
      </c>
      <c r="E264" s="26">
        <f t="shared" si="153"/>
        <v>0</v>
      </c>
      <c r="F264" s="26">
        <f t="shared" si="154"/>
        <v>0</v>
      </c>
      <c r="G264" s="26">
        <f t="shared" si="155"/>
        <v>0</v>
      </c>
      <c r="H264" s="26">
        <f t="shared" si="164"/>
        <v>0</v>
      </c>
      <c r="I264" s="27">
        <f t="shared" si="179"/>
        <v>8.2691999999999997</v>
      </c>
      <c r="J264" s="27">
        <f t="shared" si="179"/>
        <v>5.3369999999999997</v>
      </c>
      <c r="K264" s="27">
        <f t="shared" si="179"/>
        <v>3.1175999999999999</v>
      </c>
      <c r="L264" s="27">
        <f t="shared" si="179"/>
        <v>1.2762</v>
      </c>
      <c r="M264" s="28">
        <f t="shared" si="175"/>
        <v>11</v>
      </c>
      <c r="N264" s="29">
        <f t="shared" si="176"/>
        <v>4</v>
      </c>
      <c r="O264" s="28">
        <f t="shared" si="177"/>
        <v>2</v>
      </c>
      <c r="P264" s="28">
        <f t="shared" si="178"/>
        <v>1</v>
      </c>
      <c r="Q264" s="28">
        <f t="shared" si="156"/>
        <v>18</v>
      </c>
      <c r="R264" s="22">
        <f t="shared" si="157"/>
        <v>0</v>
      </c>
      <c r="S264" s="22">
        <f t="shared" si="158"/>
        <v>24.026580592728539</v>
      </c>
      <c r="T264" s="22">
        <f t="shared" si="159"/>
        <v>4.8962976214730247</v>
      </c>
      <c r="U264" s="22">
        <f t="shared" si="160"/>
        <v>0</v>
      </c>
      <c r="V264" s="21">
        <f t="shared" si="172"/>
        <v>0</v>
      </c>
      <c r="W264" s="21">
        <f t="shared" si="173"/>
        <v>10.302922117</v>
      </c>
      <c r="X264" s="21">
        <f t="shared" si="165"/>
        <v>0.83875291960000431</v>
      </c>
      <c r="Y264" s="21">
        <f t="shared" si="166"/>
        <v>0</v>
      </c>
      <c r="Z264" s="221">
        <f t="shared" si="161"/>
        <v>4</v>
      </c>
      <c r="AA264" s="30">
        <f t="shared" si="149"/>
        <v>0</v>
      </c>
      <c r="AB264" s="30">
        <f t="shared" si="150"/>
        <v>1.9822137129544664</v>
      </c>
      <c r="AC264" s="30">
        <f t="shared" si="151"/>
        <v>4.9619534919017996</v>
      </c>
      <c r="AD264" s="30">
        <f t="shared" si="152"/>
        <v>0</v>
      </c>
      <c r="AE264" s="32">
        <f t="shared" si="162"/>
        <v>6.9441672048562655</v>
      </c>
    </row>
    <row r="265" spans="1:31" x14ac:dyDescent="0.35">
      <c r="A265" s="48">
        <v>1646</v>
      </c>
      <c r="B265" s="58">
        <f>SUMIF([2]!Table2_23[ETA],'IAB Model'!A265,[2]!Table2_23[FIS PAX])</f>
        <v>0</v>
      </c>
      <c r="C265" s="44">
        <f t="shared" si="163"/>
        <v>0</v>
      </c>
      <c r="D265" s="52">
        <f t="shared" si="167"/>
        <v>0</v>
      </c>
      <c r="E265" s="26">
        <f t="shared" si="153"/>
        <v>0</v>
      </c>
      <c r="F265" s="26">
        <f t="shared" si="154"/>
        <v>0</v>
      </c>
      <c r="G265" s="26">
        <f t="shared" si="155"/>
        <v>0</v>
      </c>
      <c r="H265" s="26">
        <f t="shared" si="164"/>
        <v>0</v>
      </c>
      <c r="I265" s="27">
        <f t="shared" si="179"/>
        <v>8.2691999999999997</v>
      </c>
      <c r="J265" s="27">
        <f t="shared" si="179"/>
        <v>5.3369999999999997</v>
      </c>
      <c r="K265" s="27">
        <f t="shared" si="179"/>
        <v>3.1175999999999999</v>
      </c>
      <c r="L265" s="27">
        <f t="shared" si="179"/>
        <v>1.2762</v>
      </c>
      <c r="M265" s="28">
        <f>IF(R264=0,0,$Q$21)</f>
        <v>0</v>
      </c>
      <c r="N265" s="29">
        <f>$U$21-M265-O265-P265</f>
        <v>16</v>
      </c>
      <c r="O265" s="28">
        <f>IF(T264=0,0,$S$21)</f>
        <v>2</v>
      </c>
      <c r="P265" s="28">
        <f>IF(U264=0,0,$T$21)</f>
        <v>0</v>
      </c>
      <c r="Q265" s="28">
        <f t="shared" si="156"/>
        <v>18</v>
      </c>
      <c r="R265" s="22">
        <f t="shared" si="157"/>
        <v>8.2691999999999997</v>
      </c>
      <c r="S265" s="22">
        <f t="shared" si="158"/>
        <v>21.434725740910675</v>
      </c>
      <c r="T265" s="22">
        <f t="shared" si="159"/>
        <v>3.0519441295712251</v>
      </c>
      <c r="U265" s="22">
        <f t="shared" si="160"/>
        <v>1.2762</v>
      </c>
      <c r="V265" s="21">
        <f t="shared" si="172"/>
        <v>0</v>
      </c>
      <c r="W265" s="21">
        <f t="shared" si="173"/>
        <v>2.2978749416249999</v>
      </c>
      <c r="X265" s="21">
        <f t="shared" si="165"/>
        <v>0.52280871120000438</v>
      </c>
      <c r="Y265" s="21">
        <f t="shared" si="166"/>
        <v>0</v>
      </c>
      <c r="Z265" s="221">
        <f t="shared" si="161"/>
        <v>1</v>
      </c>
      <c r="AA265" s="30">
        <f t="shared" si="149"/>
        <v>0</v>
      </c>
      <c r="AB265" s="30">
        <f t="shared" si="150"/>
        <v>7.9288548518178654</v>
      </c>
      <c r="AC265" s="30">
        <f t="shared" si="151"/>
        <v>4.9619534919017996</v>
      </c>
      <c r="AD265" s="30">
        <f t="shared" si="152"/>
        <v>0</v>
      </c>
      <c r="AE265" s="32">
        <f t="shared" si="162"/>
        <v>12.890808343719666</v>
      </c>
    </row>
    <row r="266" spans="1:31" x14ac:dyDescent="0.35">
      <c r="A266" s="48">
        <v>1647</v>
      </c>
      <c r="B266" s="58">
        <f>SUMIF([2]!Table2_23[ETA],'IAB Model'!A266,[2]!Table2_23[FIS PAX])</f>
        <v>0</v>
      </c>
      <c r="C266" s="44">
        <f t="shared" si="163"/>
        <v>0</v>
      </c>
      <c r="D266" s="52">
        <f t="shared" si="167"/>
        <v>0</v>
      </c>
      <c r="E266" s="26">
        <f t="shared" si="153"/>
        <v>0</v>
      </c>
      <c r="F266" s="26">
        <f t="shared" si="154"/>
        <v>0</v>
      </c>
      <c r="G266" s="26">
        <f t="shared" si="155"/>
        <v>0</v>
      </c>
      <c r="H266" s="26">
        <f t="shared" si="164"/>
        <v>0</v>
      </c>
      <c r="I266" s="27">
        <f t="shared" si="179"/>
        <v>8.2691999999999997</v>
      </c>
      <c r="J266" s="27">
        <f t="shared" si="179"/>
        <v>5.3369999999999997</v>
      </c>
      <c r="K266" s="27">
        <f t="shared" si="179"/>
        <v>3.1175999999999999</v>
      </c>
      <c r="L266" s="27">
        <f t="shared" si="179"/>
        <v>1.2762</v>
      </c>
      <c r="M266" s="28">
        <f>$M$265</f>
        <v>0</v>
      </c>
      <c r="N266" s="29">
        <f>$N$265</f>
        <v>16</v>
      </c>
      <c r="O266" s="28">
        <f>$O$265</f>
        <v>2</v>
      </c>
      <c r="P266" s="28">
        <f>$P$265</f>
        <v>0</v>
      </c>
      <c r="Q266" s="28">
        <f t="shared" si="156"/>
        <v>18</v>
      </c>
      <c r="R266" s="22">
        <f t="shared" si="157"/>
        <v>16.538399999999999</v>
      </c>
      <c r="S266" s="22">
        <f t="shared" si="158"/>
        <v>18.842870889092808</v>
      </c>
      <c r="T266" s="22">
        <f t="shared" si="159"/>
        <v>1.2075906376694254</v>
      </c>
      <c r="U266" s="22">
        <f t="shared" si="160"/>
        <v>2.5524</v>
      </c>
      <c r="V266" s="21">
        <f t="shared" si="172"/>
        <v>0</v>
      </c>
      <c r="W266" s="21">
        <f t="shared" si="173"/>
        <v>2.0200193539999995</v>
      </c>
      <c r="X266" s="21">
        <f t="shared" si="165"/>
        <v>0.2068645028000044</v>
      </c>
      <c r="Y266" s="21">
        <f t="shared" si="166"/>
        <v>0</v>
      </c>
      <c r="Z266" s="221">
        <f t="shared" si="161"/>
        <v>1</v>
      </c>
      <c r="AA266" s="30">
        <f t="shared" si="149"/>
        <v>0</v>
      </c>
      <c r="AB266" s="30">
        <f t="shared" si="150"/>
        <v>7.9288548518178654</v>
      </c>
      <c r="AC266" s="30">
        <f t="shared" si="151"/>
        <v>4.9619534919017996</v>
      </c>
      <c r="AD266" s="30">
        <f t="shared" si="152"/>
        <v>0</v>
      </c>
      <c r="AE266" s="32">
        <f t="shared" si="162"/>
        <v>12.890808343719666</v>
      </c>
    </row>
    <row r="267" spans="1:31" x14ac:dyDescent="0.35">
      <c r="A267" s="48">
        <v>1648</v>
      </c>
      <c r="B267" s="58">
        <f>SUMIF([2]!Table2_23[ETA],'IAB Model'!A267,[2]!Table2_23[FIS PAX])</f>
        <v>0</v>
      </c>
      <c r="C267" s="44">
        <f t="shared" si="163"/>
        <v>0</v>
      </c>
      <c r="D267" s="52">
        <f t="shared" si="167"/>
        <v>0</v>
      </c>
      <c r="E267" s="26">
        <f t="shared" si="153"/>
        <v>0</v>
      </c>
      <c r="F267" s="26">
        <f t="shared" si="154"/>
        <v>0</v>
      </c>
      <c r="G267" s="26">
        <f t="shared" si="155"/>
        <v>0</v>
      </c>
      <c r="H267" s="26">
        <f t="shared" si="164"/>
        <v>0</v>
      </c>
      <c r="I267" s="27">
        <f t="shared" si="179"/>
        <v>8.2691999999999997</v>
      </c>
      <c r="J267" s="27">
        <f t="shared" si="179"/>
        <v>5.3369999999999997</v>
      </c>
      <c r="K267" s="27">
        <f t="shared" si="179"/>
        <v>3.1175999999999999</v>
      </c>
      <c r="L267" s="27">
        <f t="shared" si="179"/>
        <v>1.2762</v>
      </c>
      <c r="M267" s="28">
        <f t="shared" ref="M267:M279" si="180">$M$265</f>
        <v>0</v>
      </c>
      <c r="N267" s="29">
        <f t="shared" ref="N267:N279" si="181">$N$265</f>
        <v>16</v>
      </c>
      <c r="O267" s="28">
        <f t="shared" ref="O267:O279" si="182">$O$265</f>
        <v>2</v>
      </c>
      <c r="P267" s="28">
        <f t="shared" ref="P267:P279" si="183">$P$265</f>
        <v>0</v>
      </c>
      <c r="Q267" s="28">
        <f t="shared" si="156"/>
        <v>18</v>
      </c>
      <c r="R267" s="22">
        <f t="shared" si="157"/>
        <v>24.807600000000001</v>
      </c>
      <c r="S267" s="22">
        <f t="shared" si="158"/>
        <v>16.251016037274944</v>
      </c>
      <c r="T267" s="22">
        <f t="shared" si="159"/>
        <v>0</v>
      </c>
      <c r="U267" s="22">
        <f t="shared" si="160"/>
        <v>3.8285999999999998</v>
      </c>
      <c r="V267" s="21">
        <f t="shared" si="172"/>
        <v>0</v>
      </c>
      <c r="W267" s="21">
        <f t="shared" si="173"/>
        <v>1.7421637663749998</v>
      </c>
      <c r="X267" s="21">
        <f t="shared" si="165"/>
        <v>0</v>
      </c>
      <c r="Y267" s="21">
        <f t="shared" si="166"/>
        <v>0</v>
      </c>
      <c r="Z267" s="221">
        <f t="shared" si="161"/>
        <v>1</v>
      </c>
      <c r="AA267" s="30">
        <f t="shared" si="149"/>
        <v>0</v>
      </c>
      <c r="AB267" s="30">
        <f t="shared" si="150"/>
        <v>7.9288548518178654</v>
      </c>
      <c r="AC267" s="30">
        <f t="shared" si="151"/>
        <v>0</v>
      </c>
      <c r="AD267" s="30">
        <f t="shared" si="152"/>
        <v>0</v>
      </c>
      <c r="AE267" s="32">
        <f t="shared" si="162"/>
        <v>7.9288548518178654</v>
      </c>
    </row>
    <row r="268" spans="1:31" x14ac:dyDescent="0.35">
      <c r="A268" s="48">
        <v>1649</v>
      </c>
      <c r="B268" s="58">
        <f>SUMIF([2]!Table2_23[ETA],'IAB Model'!A268,[2]!Table2_23[FIS PAX])</f>
        <v>0</v>
      </c>
      <c r="C268" s="44">
        <f t="shared" si="163"/>
        <v>0</v>
      </c>
      <c r="D268" s="52">
        <f t="shared" si="167"/>
        <v>0</v>
      </c>
      <c r="E268" s="26">
        <f t="shared" si="153"/>
        <v>0</v>
      </c>
      <c r="F268" s="26">
        <f t="shared" si="154"/>
        <v>0</v>
      </c>
      <c r="G268" s="26">
        <f t="shared" si="155"/>
        <v>0</v>
      </c>
      <c r="H268" s="26">
        <f t="shared" si="164"/>
        <v>0</v>
      </c>
      <c r="I268" s="27">
        <f t="shared" si="179"/>
        <v>8.2691999999999997</v>
      </c>
      <c r="J268" s="27">
        <f t="shared" si="179"/>
        <v>5.3369999999999997</v>
      </c>
      <c r="K268" s="27">
        <f t="shared" si="179"/>
        <v>3.1175999999999999</v>
      </c>
      <c r="L268" s="27">
        <f t="shared" si="179"/>
        <v>1.2762</v>
      </c>
      <c r="M268" s="28">
        <f t="shared" si="180"/>
        <v>0</v>
      </c>
      <c r="N268" s="29">
        <f t="shared" si="181"/>
        <v>16</v>
      </c>
      <c r="O268" s="28">
        <f t="shared" si="182"/>
        <v>2</v>
      </c>
      <c r="P268" s="28">
        <f t="shared" si="183"/>
        <v>0</v>
      </c>
      <c r="Q268" s="28">
        <f t="shared" si="156"/>
        <v>18</v>
      </c>
      <c r="R268" s="22">
        <f t="shared" si="157"/>
        <v>33.076799999999999</v>
      </c>
      <c r="S268" s="22">
        <f t="shared" si="158"/>
        <v>13.659161185457078</v>
      </c>
      <c r="T268" s="22">
        <f t="shared" si="159"/>
        <v>0</v>
      </c>
      <c r="U268" s="22">
        <f t="shared" si="160"/>
        <v>5.1048</v>
      </c>
      <c r="V268" s="21">
        <f t="shared" si="172"/>
        <v>0</v>
      </c>
      <c r="W268" s="21">
        <f t="shared" si="173"/>
        <v>1.4643081787499999</v>
      </c>
      <c r="X268" s="21">
        <f t="shared" si="165"/>
        <v>0</v>
      </c>
      <c r="Y268" s="21">
        <f t="shared" si="166"/>
        <v>0</v>
      </c>
      <c r="Z268" s="221">
        <f t="shared" si="161"/>
        <v>1</v>
      </c>
      <c r="AA268" s="30">
        <f t="shared" si="149"/>
        <v>0</v>
      </c>
      <c r="AB268" s="30">
        <f t="shared" si="150"/>
        <v>7.9288548518178654</v>
      </c>
      <c r="AC268" s="30">
        <f t="shared" si="151"/>
        <v>0</v>
      </c>
      <c r="AD268" s="30">
        <f t="shared" si="152"/>
        <v>0</v>
      </c>
      <c r="AE268" s="32">
        <f t="shared" si="162"/>
        <v>7.9288548518178654</v>
      </c>
    </row>
    <row r="269" spans="1:31" x14ac:dyDescent="0.35">
      <c r="A269" s="48">
        <v>1650</v>
      </c>
      <c r="B269" s="58">
        <f>SUMIF([2]!Table2_23[ETA],'IAB Model'!A269,[2]!Table2_23[FIS PAX])</f>
        <v>0</v>
      </c>
      <c r="C269" s="44">
        <f t="shared" si="163"/>
        <v>0</v>
      </c>
      <c r="D269" s="52">
        <f t="shared" si="167"/>
        <v>0</v>
      </c>
      <c r="E269" s="26">
        <f t="shared" si="153"/>
        <v>0</v>
      </c>
      <c r="F269" s="26">
        <f t="shared" si="154"/>
        <v>0</v>
      </c>
      <c r="G269" s="26">
        <f t="shared" si="155"/>
        <v>0</v>
      </c>
      <c r="H269" s="26">
        <f t="shared" si="164"/>
        <v>0</v>
      </c>
      <c r="I269" s="27">
        <f t="shared" si="179"/>
        <v>8.2691999999999997</v>
      </c>
      <c r="J269" s="27">
        <f t="shared" si="179"/>
        <v>5.3369999999999997</v>
      </c>
      <c r="K269" s="27">
        <f t="shared" si="179"/>
        <v>3.1175999999999999</v>
      </c>
      <c r="L269" s="27">
        <f t="shared" si="179"/>
        <v>1.2762</v>
      </c>
      <c r="M269" s="28">
        <f t="shared" si="180"/>
        <v>0</v>
      </c>
      <c r="N269" s="29">
        <f t="shared" si="181"/>
        <v>16</v>
      </c>
      <c r="O269" s="28">
        <f t="shared" si="182"/>
        <v>2</v>
      </c>
      <c r="P269" s="28">
        <f t="shared" si="183"/>
        <v>0</v>
      </c>
      <c r="Q269" s="28">
        <f t="shared" si="156"/>
        <v>18</v>
      </c>
      <c r="R269" s="22">
        <f t="shared" si="157"/>
        <v>41.345999999999997</v>
      </c>
      <c r="S269" s="22">
        <f t="shared" si="158"/>
        <v>11.067306333639213</v>
      </c>
      <c r="T269" s="22">
        <f t="shared" si="159"/>
        <v>0</v>
      </c>
      <c r="U269" s="22">
        <f t="shared" si="160"/>
        <v>6.3810000000000002</v>
      </c>
      <c r="V269" s="21">
        <f t="shared" si="172"/>
        <v>0</v>
      </c>
      <c r="W269" s="21">
        <f t="shared" si="173"/>
        <v>1.1864525911249997</v>
      </c>
      <c r="X269" s="21">
        <f t="shared" si="165"/>
        <v>0</v>
      </c>
      <c r="Y269" s="21">
        <f t="shared" si="166"/>
        <v>0</v>
      </c>
      <c r="Z269" s="221">
        <f t="shared" si="161"/>
        <v>1</v>
      </c>
      <c r="AA269" s="30">
        <f t="shared" si="149"/>
        <v>0</v>
      </c>
      <c r="AB269" s="30">
        <f t="shared" si="150"/>
        <v>7.9288548518178654</v>
      </c>
      <c r="AC269" s="30">
        <f t="shared" si="151"/>
        <v>0</v>
      </c>
      <c r="AD269" s="30">
        <f t="shared" si="152"/>
        <v>0</v>
      </c>
      <c r="AE269" s="32">
        <f t="shared" si="162"/>
        <v>7.9288548518178654</v>
      </c>
    </row>
    <row r="270" spans="1:31" x14ac:dyDescent="0.35">
      <c r="A270" s="48">
        <v>1651</v>
      </c>
      <c r="B270" s="58">
        <f>SUMIF([2]!Table2_23[ETA],'IAB Model'!A270,[2]!Table2_23[FIS PAX])</f>
        <v>0</v>
      </c>
      <c r="C270" s="44">
        <f t="shared" si="163"/>
        <v>0</v>
      </c>
      <c r="D270" s="52">
        <f t="shared" si="167"/>
        <v>0</v>
      </c>
      <c r="E270" s="26">
        <f t="shared" si="153"/>
        <v>0</v>
      </c>
      <c r="F270" s="26">
        <f t="shared" si="154"/>
        <v>0</v>
      </c>
      <c r="G270" s="26">
        <f t="shared" si="155"/>
        <v>0</v>
      </c>
      <c r="H270" s="26">
        <f t="shared" si="164"/>
        <v>0</v>
      </c>
      <c r="I270" s="27">
        <f t="shared" si="179"/>
        <v>5.9722</v>
      </c>
      <c r="J270" s="27">
        <f t="shared" si="179"/>
        <v>3.8544999999999998</v>
      </c>
      <c r="K270" s="27">
        <f t="shared" si="179"/>
        <v>2.2515999999999998</v>
      </c>
      <c r="L270" s="27">
        <f t="shared" si="179"/>
        <v>0.92170000000000007</v>
      </c>
      <c r="M270" s="28">
        <f t="shared" si="180"/>
        <v>0</v>
      </c>
      <c r="N270" s="29">
        <f t="shared" si="181"/>
        <v>16</v>
      </c>
      <c r="O270" s="28">
        <f t="shared" si="182"/>
        <v>2</v>
      </c>
      <c r="P270" s="28">
        <f t="shared" si="183"/>
        <v>0</v>
      </c>
      <c r="Q270" s="28">
        <f t="shared" si="156"/>
        <v>18</v>
      </c>
      <c r="R270" s="22">
        <f t="shared" si="157"/>
        <v>47.318199999999997</v>
      </c>
      <c r="S270" s="22">
        <f t="shared" si="158"/>
        <v>6.992951481821347</v>
      </c>
      <c r="T270" s="22">
        <f t="shared" si="159"/>
        <v>0</v>
      </c>
      <c r="U270" s="22">
        <f t="shared" si="160"/>
        <v>7.3027000000000006</v>
      </c>
      <c r="V270" s="21">
        <f t="shared" si="172"/>
        <v>0</v>
      </c>
      <c r="W270" s="21">
        <f t="shared" si="173"/>
        <v>0.74966800006249956</v>
      </c>
      <c r="X270" s="21">
        <f t="shared" si="165"/>
        <v>0</v>
      </c>
      <c r="Y270" s="21">
        <f t="shared" si="166"/>
        <v>0</v>
      </c>
      <c r="Z270" s="221">
        <f t="shared" si="161"/>
        <v>1</v>
      </c>
      <c r="AA270" s="30">
        <f t="shared" si="149"/>
        <v>0</v>
      </c>
      <c r="AB270" s="30">
        <f t="shared" si="150"/>
        <v>7.9288548518178654</v>
      </c>
      <c r="AC270" s="30">
        <f t="shared" si="151"/>
        <v>0</v>
      </c>
      <c r="AD270" s="30">
        <f t="shared" si="152"/>
        <v>0</v>
      </c>
      <c r="AE270" s="32">
        <f t="shared" si="162"/>
        <v>7.9288548518178654</v>
      </c>
    </row>
    <row r="271" spans="1:31" x14ac:dyDescent="0.35">
      <c r="A271" s="48">
        <v>1652</v>
      </c>
      <c r="B271" s="58">
        <f>SUMIF([2]!Table2_23[ETA],'IAB Model'!A271,[2]!Table2_23[FIS PAX])</f>
        <v>62</v>
      </c>
      <c r="C271" s="44">
        <f t="shared" si="163"/>
        <v>0</v>
      </c>
      <c r="D271" s="52">
        <f t="shared" si="167"/>
        <v>0</v>
      </c>
      <c r="E271" s="26">
        <f t="shared" si="153"/>
        <v>0</v>
      </c>
      <c r="F271" s="26">
        <f t="shared" si="154"/>
        <v>0</v>
      </c>
      <c r="G271" s="26">
        <f t="shared" si="155"/>
        <v>0</v>
      </c>
      <c r="H271" s="26">
        <f t="shared" si="164"/>
        <v>0</v>
      </c>
      <c r="I271" s="27">
        <f t="shared" si="179"/>
        <v>0</v>
      </c>
      <c r="J271" s="27">
        <f t="shared" si="179"/>
        <v>0</v>
      </c>
      <c r="K271" s="27">
        <f t="shared" si="179"/>
        <v>0</v>
      </c>
      <c r="L271" s="27">
        <f t="shared" si="179"/>
        <v>0</v>
      </c>
      <c r="M271" s="28">
        <f t="shared" si="180"/>
        <v>0</v>
      </c>
      <c r="N271" s="29">
        <f t="shared" si="181"/>
        <v>16</v>
      </c>
      <c r="O271" s="28">
        <f t="shared" si="182"/>
        <v>2</v>
      </c>
      <c r="P271" s="28">
        <f t="shared" si="183"/>
        <v>0</v>
      </c>
      <c r="Q271" s="28">
        <f t="shared" si="156"/>
        <v>18</v>
      </c>
      <c r="R271" s="22">
        <f t="shared" si="157"/>
        <v>47.318199999999997</v>
      </c>
      <c r="S271" s="22">
        <f t="shared" si="158"/>
        <v>0</v>
      </c>
      <c r="T271" s="22">
        <f t="shared" si="159"/>
        <v>0</v>
      </c>
      <c r="U271" s="22">
        <f t="shared" si="160"/>
        <v>7.3027000000000006</v>
      </c>
      <c r="V271" s="21">
        <f t="shared" si="172"/>
        <v>0</v>
      </c>
      <c r="W271" s="21">
        <f t="shared" si="173"/>
        <v>0</v>
      </c>
      <c r="X271" s="21">
        <f t="shared" si="165"/>
        <v>0</v>
      </c>
      <c r="Y271" s="21">
        <f t="shared" si="166"/>
        <v>0</v>
      </c>
      <c r="Z271" s="221">
        <f t="shared" si="161"/>
        <v>0</v>
      </c>
      <c r="AA271" s="30">
        <f t="shared" si="149"/>
        <v>0</v>
      </c>
      <c r="AB271" s="30">
        <f t="shared" si="150"/>
        <v>0</v>
      </c>
      <c r="AC271" s="30">
        <f t="shared" si="151"/>
        <v>0</v>
      </c>
      <c r="AD271" s="30">
        <f t="shared" si="152"/>
        <v>0</v>
      </c>
      <c r="AE271" s="32">
        <f t="shared" si="162"/>
        <v>0</v>
      </c>
    </row>
    <row r="272" spans="1:31" x14ac:dyDescent="0.35">
      <c r="A272" s="48">
        <v>1653</v>
      </c>
      <c r="B272" s="58">
        <f>SUMIF([2]!Table2_23[ETA],'IAB Model'!A272,[2]!Table2_23[FIS PAX])</f>
        <v>0</v>
      </c>
      <c r="C272" s="44">
        <f t="shared" si="163"/>
        <v>18</v>
      </c>
      <c r="D272" s="52">
        <f t="shared" si="167"/>
        <v>44</v>
      </c>
      <c r="E272" s="26">
        <f t="shared" si="153"/>
        <v>8.2691999999999997</v>
      </c>
      <c r="F272" s="26">
        <f t="shared" si="154"/>
        <v>5.3369999999999997</v>
      </c>
      <c r="G272" s="26">
        <f t="shared" si="155"/>
        <v>3.1175999999999999</v>
      </c>
      <c r="H272" s="26">
        <f t="shared" si="164"/>
        <v>1.2762</v>
      </c>
      <c r="I272" s="27">
        <f t="shared" si="179"/>
        <v>0</v>
      </c>
      <c r="J272" s="27">
        <f t="shared" si="179"/>
        <v>0</v>
      </c>
      <c r="K272" s="27">
        <f t="shared" si="179"/>
        <v>0</v>
      </c>
      <c r="L272" s="27">
        <f t="shared" si="179"/>
        <v>0</v>
      </c>
      <c r="M272" s="28">
        <f t="shared" si="180"/>
        <v>0</v>
      </c>
      <c r="N272" s="29">
        <f t="shared" si="181"/>
        <v>16</v>
      </c>
      <c r="O272" s="28">
        <f t="shared" si="182"/>
        <v>2</v>
      </c>
      <c r="P272" s="28">
        <f t="shared" si="183"/>
        <v>0</v>
      </c>
      <c r="Q272" s="28">
        <f t="shared" si="156"/>
        <v>18</v>
      </c>
      <c r="R272" s="22">
        <f t="shared" si="157"/>
        <v>47.318199999999997</v>
      </c>
      <c r="S272" s="22">
        <f t="shared" si="158"/>
        <v>0</v>
      </c>
      <c r="T272" s="22">
        <f t="shared" si="159"/>
        <v>0</v>
      </c>
      <c r="U272" s="22">
        <f t="shared" si="160"/>
        <v>7.3027000000000006</v>
      </c>
      <c r="V272" s="21">
        <f t="shared" si="172"/>
        <v>0</v>
      </c>
      <c r="W272" s="21">
        <f t="shared" si="173"/>
        <v>0</v>
      </c>
      <c r="X272" s="21">
        <f t="shared" si="165"/>
        <v>0</v>
      </c>
      <c r="Y272" s="21">
        <f t="shared" si="166"/>
        <v>0</v>
      </c>
      <c r="Z272" s="221">
        <f t="shared" si="161"/>
        <v>0</v>
      </c>
      <c r="AA272" s="30">
        <f t="shared" si="149"/>
        <v>0</v>
      </c>
      <c r="AB272" s="30">
        <f t="shared" si="150"/>
        <v>0</v>
      </c>
      <c r="AC272" s="30">
        <f t="shared" si="151"/>
        <v>0</v>
      </c>
      <c r="AD272" s="30">
        <f t="shared" si="152"/>
        <v>0</v>
      </c>
      <c r="AE272" s="32">
        <f t="shared" si="162"/>
        <v>0</v>
      </c>
    </row>
    <row r="273" spans="1:31" x14ac:dyDescent="0.35">
      <c r="A273" s="48">
        <v>1654</v>
      </c>
      <c r="B273" s="58">
        <f>SUMIF([2]!Table2_23[ETA],'IAB Model'!A273,[2]!Table2_23[FIS PAX])</f>
        <v>104</v>
      </c>
      <c r="C273" s="44">
        <f t="shared" si="163"/>
        <v>18</v>
      </c>
      <c r="D273" s="52">
        <f t="shared" si="167"/>
        <v>26</v>
      </c>
      <c r="E273" s="26">
        <f t="shared" si="153"/>
        <v>8.2691999999999997</v>
      </c>
      <c r="F273" s="26">
        <f t="shared" si="154"/>
        <v>5.3369999999999997</v>
      </c>
      <c r="G273" s="26">
        <f t="shared" si="155"/>
        <v>3.1175999999999999</v>
      </c>
      <c r="H273" s="26">
        <f t="shared" si="164"/>
        <v>1.2762</v>
      </c>
      <c r="I273" s="27">
        <f t="shared" si="179"/>
        <v>0</v>
      </c>
      <c r="J273" s="27">
        <f t="shared" si="179"/>
        <v>0</v>
      </c>
      <c r="K273" s="27">
        <f t="shared" si="179"/>
        <v>0</v>
      </c>
      <c r="L273" s="27">
        <f t="shared" si="179"/>
        <v>0</v>
      </c>
      <c r="M273" s="28">
        <f t="shared" si="180"/>
        <v>0</v>
      </c>
      <c r="N273" s="29">
        <f t="shared" si="181"/>
        <v>16</v>
      </c>
      <c r="O273" s="28">
        <f t="shared" si="182"/>
        <v>2</v>
      </c>
      <c r="P273" s="28">
        <f t="shared" si="183"/>
        <v>0</v>
      </c>
      <c r="Q273" s="28">
        <f t="shared" si="156"/>
        <v>18</v>
      </c>
      <c r="R273" s="22">
        <f t="shared" si="157"/>
        <v>47.318199999999997</v>
      </c>
      <c r="S273" s="22">
        <f t="shared" si="158"/>
        <v>0</v>
      </c>
      <c r="T273" s="22">
        <f t="shared" si="159"/>
        <v>0</v>
      </c>
      <c r="U273" s="22">
        <f t="shared" si="160"/>
        <v>7.3027000000000006</v>
      </c>
      <c r="V273" s="21">
        <f t="shared" si="172"/>
        <v>0</v>
      </c>
      <c r="W273" s="21">
        <f t="shared" si="173"/>
        <v>0</v>
      </c>
      <c r="X273" s="21">
        <f t="shared" si="165"/>
        <v>0</v>
      </c>
      <c r="Y273" s="21">
        <f t="shared" si="166"/>
        <v>0</v>
      </c>
      <c r="Z273" s="221">
        <f t="shared" si="161"/>
        <v>0</v>
      </c>
      <c r="AA273" s="30">
        <f t="shared" si="149"/>
        <v>0</v>
      </c>
      <c r="AB273" s="30">
        <f t="shared" si="150"/>
        <v>0</v>
      </c>
      <c r="AC273" s="30">
        <f t="shared" si="151"/>
        <v>0</v>
      </c>
      <c r="AD273" s="30">
        <f t="shared" si="152"/>
        <v>0</v>
      </c>
      <c r="AE273" s="32">
        <f t="shared" si="162"/>
        <v>0</v>
      </c>
    </row>
    <row r="274" spans="1:31" x14ac:dyDescent="0.35">
      <c r="A274" s="48">
        <v>1655</v>
      </c>
      <c r="B274" s="58">
        <f>SUMIF([2]!Table2_23[ETA],'IAB Model'!A274,[2]!Table2_23[FIS PAX])</f>
        <v>0</v>
      </c>
      <c r="C274" s="44">
        <f t="shared" si="163"/>
        <v>18</v>
      </c>
      <c r="D274" s="52">
        <f t="shared" si="167"/>
        <v>112</v>
      </c>
      <c r="E274" s="26">
        <f t="shared" si="153"/>
        <v>8.2691999999999997</v>
      </c>
      <c r="F274" s="26">
        <f t="shared" si="154"/>
        <v>5.3369999999999997</v>
      </c>
      <c r="G274" s="26">
        <f t="shared" si="155"/>
        <v>3.1175999999999999</v>
      </c>
      <c r="H274" s="26">
        <f t="shared" si="164"/>
        <v>1.2762</v>
      </c>
      <c r="I274" s="27">
        <f t="shared" si="179"/>
        <v>0</v>
      </c>
      <c r="J274" s="27">
        <f t="shared" si="179"/>
        <v>0</v>
      </c>
      <c r="K274" s="27">
        <f t="shared" si="179"/>
        <v>0</v>
      </c>
      <c r="L274" s="27">
        <f t="shared" si="179"/>
        <v>0</v>
      </c>
      <c r="M274" s="28">
        <f t="shared" si="180"/>
        <v>0</v>
      </c>
      <c r="N274" s="29">
        <f>$N$265</f>
        <v>16</v>
      </c>
      <c r="O274" s="28">
        <f t="shared" si="182"/>
        <v>2</v>
      </c>
      <c r="P274" s="28">
        <f t="shared" si="183"/>
        <v>0</v>
      </c>
      <c r="Q274" s="28">
        <f t="shared" si="156"/>
        <v>18</v>
      </c>
      <c r="R274" s="22">
        <f t="shared" si="157"/>
        <v>47.318199999999997</v>
      </c>
      <c r="S274" s="22">
        <f t="shared" si="158"/>
        <v>0</v>
      </c>
      <c r="T274" s="22">
        <f t="shared" si="159"/>
        <v>0</v>
      </c>
      <c r="U274" s="22">
        <f t="shared" si="160"/>
        <v>7.3027000000000006</v>
      </c>
      <c r="V274" s="21">
        <f t="shared" si="172"/>
        <v>0</v>
      </c>
      <c r="W274" s="21">
        <f t="shared" si="173"/>
        <v>0</v>
      </c>
      <c r="X274" s="21">
        <f t="shared" si="165"/>
        <v>0</v>
      </c>
      <c r="Y274" s="21">
        <f t="shared" si="166"/>
        <v>0</v>
      </c>
      <c r="Z274" s="221">
        <f t="shared" si="161"/>
        <v>0</v>
      </c>
      <c r="AA274" s="30">
        <f t="shared" si="149"/>
        <v>0</v>
      </c>
      <c r="AB274" s="30">
        <f t="shared" si="150"/>
        <v>0</v>
      </c>
      <c r="AC274" s="30">
        <f t="shared" si="151"/>
        <v>0</v>
      </c>
      <c r="AD274" s="30">
        <f t="shared" si="152"/>
        <v>0</v>
      </c>
      <c r="AE274" s="32">
        <f t="shared" si="162"/>
        <v>0</v>
      </c>
    </row>
    <row r="275" spans="1:31" x14ac:dyDescent="0.35">
      <c r="A275" s="48">
        <v>1656</v>
      </c>
      <c r="B275" s="58">
        <f>SUMIF([2]!Table2_23[ETA],'IAB Model'!A275,[2]!Table2_23[FIS PAX])</f>
        <v>0</v>
      </c>
      <c r="C275" s="44">
        <f t="shared" si="163"/>
        <v>18</v>
      </c>
      <c r="D275" s="52">
        <f t="shared" si="167"/>
        <v>94</v>
      </c>
      <c r="E275" s="26">
        <f t="shared" si="153"/>
        <v>8.2691999999999997</v>
      </c>
      <c r="F275" s="26">
        <f t="shared" si="154"/>
        <v>5.3369999999999997</v>
      </c>
      <c r="G275" s="26">
        <f t="shared" si="155"/>
        <v>3.1175999999999999</v>
      </c>
      <c r="H275" s="26">
        <f t="shared" si="164"/>
        <v>1.2762</v>
      </c>
      <c r="I275" s="27">
        <f t="shared" si="179"/>
        <v>0</v>
      </c>
      <c r="J275" s="27">
        <f t="shared" si="179"/>
        <v>0</v>
      </c>
      <c r="K275" s="27">
        <f t="shared" si="179"/>
        <v>0</v>
      </c>
      <c r="L275" s="27">
        <f t="shared" si="179"/>
        <v>0</v>
      </c>
      <c r="M275" s="28">
        <f t="shared" si="180"/>
        <v>0</v>
      </c>
      <c r="N275" s="29">
        <f t="shared" si="181"/>
        <v>16</v>
      </c>
      <c r="O275" s="28">
        <f t="shared" si="182"/>
        <v>2</v>
      </c>
      <c r="P275" s="28">
        <f t="shared" si="183"/>
        <v>0</v>
      </c>
      <c r="Q275" s="28">
        <f t="shared" si="156"/>
        <v>18</v>
      </c>
      <c r="R275" s="22">
        <f t="shared" si="157"/>
        <v>47.318199999999997</v>
      </c>
      <c r="S275" s="22">
        <f t="shared" si="158"/>
        <v>0</v>
      </c>
      <c r="T275" s="22">
        <f t="shared" si="159"/>
        <v>0</v>
      </c>
      <c r="U275" s="22">
        <f t="shared" si="160"/>
        <v>7.3027000000000006</v>
      </c>
      <c r="V275" s="21">
        <f t="shared" si="172"/>
        <v>0</v>
      </c>
      <c r="W275" s="21">
        <f t="shared" si="173"/>
        <v>0</v>
      </c>
      <c r="X275" s="21">
        <f t="shared" si="165"/>
        <v>0</v>
      </c>
      <c r="Y275" s="21">
        <f t="shared" si="166"/>
        <v>0</v>
      </c>
      <c r="Z275" s="221">
        <f t="shared" si="161"/>
        <v>0</v>
      </c>
      <c r="AA275" s="30">
        <f t="shared" si="149"/>
        <v>0</v>
      </c>
      <c r="AB275" s="30">
        <f t="shared" si="150"/>
        <v>0</v>
      </c>
      <c r="AC275" s="30">
        <f t="shared" si="151"/>
        <v>0</v>
      </c>
      <c r="AD275" s="30">
        <f t="shared" si="152"/>
        <v>0</v>
      </c>
      <c r="AE275" s="32">
        <f t="shared" si="162"/>
        <v>0</v>
      </c>
    </row>
    <row r="276" spans="1:31" x14ac:dyDescent="0.35">
      <c r="A276" s="48">
        <v>1657</v>
      </c>
      <c r="B276" s="58">
        <f>SUMIF([2]!Table2_23[ETA],'IAB Model'!A276,[2]!Table2_23[FIS PAX])</f>
        <v>0</v>
      </c>
      <c r="C276" s="44">
        <f t="shared" si="163"/>
        <v>18</v>
      </c>
      <c r="D276" s="52">
        <f t="shared" si="167"/>
        <v>76</v>
      </c>
      <c r="E276" s="26">
        <f t="shared" si="153"/>
        <v>8.2691999999999997</v>
      </c>
      <c r="F276" s="26">
        <f t="shared" si="154"/>
        <v>5.3369999999999997</v>
      </c>
      <c r="G276" s="26">
        <f t="shared" si="155"/>
        <v>3.1175999999999999</v>
      </c>
      <c r="H276" s="26">
        <f t="shared" si="164"/>
        <v>1.2762</v>
      </c>
      <c r="I276" s="27">
        <f t="shared" si="179"/>
        <v>0</v>
      </c>
      <c r="J276" s="27">
        <f t="shared" si="179"/>
        <v>0</v>
      </c>
      <c r="K276" s="27">
        <f t="shared" si="179"/>
        <v>0</v>
      </c>
      <c r="L276" s="27">
        <f t="shared" si="179"/>
        <v>0</v>
      </c>
      <c r="M276" s="28">
        <f t="shared" si="180"/>
        <v>0</v>
      </c>
      <c r="N276" s="29">
        <f t="shared" si="181"/>
        <v>16</v>
      </c>
      <c r="O276" s="28">
        <f t="shared" si="182"/>
        <v>2</v>
      </c>
      <c r="P276" s="28">
        <f t="shared" si="183"/>
        <v>0</v>
      </c>
      <c r="Q276" s="28">
        <f t="shared" si="156"/>
        <v>18</v>
      </c>
      <c r="R276" s="22">
        <f t="shared" si="157"/>
        <v>47.318199999999997</v>
      </c>
      <c r="S276" s="22">
        <f t="shared" si="158"/>
        <v>0</v>
      </c>
      <c r="T276" s="22">
        <f t="shared" si="159"/>
        <v>0</v>
      </c>
      <c r="U276" s="22">
        <f t="shared" si="160"/>
        <v>7.3027000000000006</v>
      </c>
      <c r="V276" s="21">
        <f t="shared" si="172"/>
        <v>0</v>
      </c>
      <c r="W276" s="21">
        <f t="shared" si="173"/>
        <v>0</v>
      </c>
      <c r="X276" s="21">
        <f t="shared" si="165"/>
        <v>0</v>
      </c>
      <c r="Y276" s="21">
        <f t="shared" si="166"/>
        <v>0</v>
      </c>
      <c r="Z276" s="221">
        <f t="shared" si="161"/>
        <v>0</v>
      </c>
      <c r="AA276" s="30">
        <f t="shared" si="149"/>
        <v>0</v>
      </c>
      <c r="AB276" s="30">
        <f t="shared" si="150"/>
        <v>0</v>
      </c>
      <c r="AC276" s="30">
        <f t="shared" si="151"/>
        <v>0</v>
      </c>
      <c r="AD276" s="30">
        <f t="shared" si="152"/>
        <v>0</v>
      </c>
      <c r="AE276" s="32">
        <f t="shared" si="162"/>
        <v>0</v>
      </c>
    </row>
    <row r="277" spans="1:31" x14ac:dyDescent="0.35">
      <c r="A277" s="48">
        <v>1658</v>
      </c>
      <c r="B277" s="58">
        <f>SUMIF([2]!Table2_23[ETA],'IAB Model'!A277,[2]!Table2_23[FIS PAX])</f>
        <v>0</v>
      </c>
      <c r="C277" s="44">
        <f t="shared" si="163"/>
        <v>18</v>
      </c>
      <c r="D277" s="52">
        <f t="shared" si="167"/>
        <v>58</v>
      </c>
      <c r="E277" s="26">
        <f t="shared" si="153"/>
        <v>8.2691999999999997</v>
      </c>
      <c r="F277" s="26">
        <f t="shared" si="154"/>
        <v>5.3369999999999997</v>
      </c>
      <c r="G277" s="26">
        <f t="shared" si="155"/>
        <v>3.1175999999999999</v>
      </c>
      <c r="H277" s="26">
        <f t="shared" si="164"/>
        <v>1.2762</v>
      </c>
      <c r="I277" s="27">
        <f t="shared" si="179"/>
        <v>0</v>
      </c>
      <c r="J277" s="27">
        <f t="shared" si="179"/>
        <v>0</v>
      </c>
      <c r="K277" s="27">
        <f t="shared" si="179"/>
        <v>0</v>
      </c>
      <c r="L277" s="27">
        <f t="shared" si="179"/>
        <v>0</v>
      </c>
      <c r="M277" s="28">
        <f t="shared" si="180"/>
        <v>0</v>
      </c>
      <c r="N277" s="29">
        <f t="shared" si="181"/>
        <v>16</v>
      </c>
      <c r="O277" s="28">
        <f t="shared" si="182"/>
        <v>2</v>
      </c>
      <c r="P277" s="28">
        <f t="shared" si="183"/>
        <v>0</v>
      </c>
      <c r="Q277" s="28">
        <f t="shared" si="156"/>
        <v>18</v>
      </c>
      <c r="R277" s="22">
        <f t="shared" si="157"/>
        <v>47.318199999999997</v>
      </c>
      <c r="S277" s="22">
        <f t="shared" si="158"/>
        <v>0</v>
      </c>
      <c r="T277" s="22">
        <f t="shared" si="159"/>
        <v>0</v>
      </c>
      <c r="U277" s="22">
        <f t="shared" si="160"/>
        <v>7.3027000000000006</v>
      </c>
      <c r="V277" s="21">
        <f t="shared" si="172"/>
        <v>0</v>
      </c>
      <c r="W277" s="21">
        <f t="shared" si="173"/>
        <v>0</v>
      </c>
      <c r="X277" s="21">
        <f t="shared" si="165"/>
        <v>0</v>
      </c>
      <c r="Y277" s="21">
        <f t="shared" si="166"/>
        <v>0</v>
      </c>
      <c r="Z277" s="221">
        <f t="shared" si="161"/>
        <v>0</v>
      </c>
      <c r="AA277" s="30">
        <f t="shared" si="149"/>
        <v>0</v>
      </c>
      <c r="AB277" s="30">
        <f t="shared" si="150"/>
        <v>0</v>
      </c>
      <c r="AC277" s="30">
        <f t="shared" si="151"/>
        <v>0</v>
      </c>
      <c r="AD277" s="30">
        <f t="shared" si="152"/>
        <v>0</v>
      </c>
      <c r="AE277" s="32">
        <f t="shared" si="162"/>
        <v>0</v>
      </c>
    </row>
    <row r="278" spans="1:31" x14ac:dyDescent="0.35">
      <c r="A278" s="48">
        <v>1659</v>
      </c>
      <c r="B278" s="58">
        <f>SUMIF([2]!Table2_23[ETA],'IAB Model'!A278,[2]!Table2_23[FIS PAX])</f>
        <v>106</v>
      </c>
      <c r="C278" s="44">
        <f t="shared" si="163"/>
        <v>18</v>
      </c>
      <c r="D278" s="52">
        <f t="shared" si="167"/>
        <v>40</v>
      </c>
      <c r="E278" s="26">
        <f t="shared" si="153"/>
        <v>8.2691999999999997</v>
      </c>
      <c r="F278" s="26">
        <f t="shared" si="154"/>
        <v>5.3369999999999997</v>
      </c>
      <c r="G278" s="26">
        <f t="shared" si="155"/>
        <v>3.1175999999999999</v>
      </c>
      <c r="H278" s="26">
        <f t="shared" si="164"/>
        <v>1.2762</v>
      </c>
      <c r="I278" s="27">
        <f t="shared" si="179"/>
        <v>0</v>
      </c>
      <c r="J278" s="27">
        <f t="shared" si="179"/>
        <v>0</v>
      </c>
      <c r="K278" s="27">
        <f t="shared" si="179"/>
        <v>0</v>
      </c>
      <c r="L278" s="27">
        <f t="shared" si="179"/>
        <v>0</v>
      </c>
      <c r="M278" s="28">
        <f t="shared" si="180"/>
        <v>0</v>
      </c>
      <c r="N278" s="29">
        <f t="shared" si="181"/>
        <v>16</v>
      </c>
      <c r="O278" s="28">
        <f t="shared" si="182"/>
        <v>2</v>
      </c>
      <c r="P278" s="28">
        <f t="shared" si="183"/>
        <v>0</v>
      </c>
      <c r="Q278" s="28">
        <f t="shared" si="156"/>
        <v>18</v>
      </c>
      <c r="R278" s="22">
        <f t="shared" si="157"/>
        <v>47.318199999999997</v>
      </c>
      <c r="S278" s="22">
        <f t="shared" si="158"/>
        <v>0</v>
      </c>
      <c r="T278" s="22">
        <f t="shared" si="159"/>
        <v>0</v>
      </c>
      <c r="U278" s="22">
        <f t="shared" si="160"/>
        <v>7.3027000000000006</v>
      </c>
      <c r="V278" s="21">
        <f t="shared" si="172"/>
        <v>0</v>
      </c>
      <c r="W278" s="21">
        <f t="shared" si="173"/>
        <v>0</v>
      </c>
      <c r="X278" s="21">
        <f t="shared" si="165"/>
        <v>0</v>
      </c>
      <c r="Y278" s="21">
        <f t="shared" si="166"/>
        <v>0</v>
      </c>
      <c r="Z278" s="221">
        <f t="shared" si="161"/>
        <v>0</v>
      </c>
      <c r="AA278" s="30">
        <f t="shared" si="149"/>
        <v>0</v>
      </c>
      <c r="AB278" s="30">
        <f t="shared" si="150"/>
        <v>0</v>
      </c>
      <c r="AC278" s="30">
        <f t="shared" si="151"/>
        <v>0</v>
      </c>
      <c r="AD278" s="30">
        <f t="shared" si="152"/>
        <v>0</v>
      </c>
      <c r="AE278" s="32">
        <f t="shared" si="162"/>
        <v>0</v>
      </c>
    </row>
    <row r="279" spans="1:31" x14ac:dyDescent="0.35">
      <c r="A279" s="48">
        <v>1700</v>
      </c>
      <c r="B279" s="58">
        <f>SUMIF([2]!Table2_23[ETA],'IAB Model'!A279,[2]!Table2_23[FIS PAX])</f>
        <v>0</v>
      </c>
      <c r="C279" s="44">
        <f t="shared" si="163"/>
        <v>18</v>
      </c>
      <c r="D279" s="52">
        <f t="shared" si="167"/>
        <v>128</v>
      </c>
      <c r="E279" s="26">
        <f t="shared" si="153"/>
        <v>8.2691999999999997</v>
      </c>
      <c r="F279" s="26">
        <f t="shared" si="154"/>
        <v>5.3369999999999997</v>
      </c>
      <c r="G279" s="26">
        <f t="shared" si="155"/>
        <v>3.1175999999999999</v>
      </c>
      <c r="H279" s="26">
        <f t="shared" si="164"/>
        <v>1.2762</v>
      </c>
      <c r="I279" s="27">
        <f t="shared" ref="I279:L294" si="184">E264</f>
        <v>0</v>
      </c>
      <c r="J279" s="27">
        <f t="shared" si="184"/>
        <v>0</v>
      </c>
      <c r="K279" s="27">
        <f t="shared" si="184"/>
        <v>0</v>
      </c>
      <c r="L279" s="27">
        <f t="shared" si="184"/>
        <v>0</v>
      </c>
      <c r="M279" s="28">
        <f t="shared" si="180"/>
        <v>0</v>
      </c>
      <c r="N279" s="29">
        <f t="shared" si="181"/>
        <v>16</v>
      </c>
      <c r="O279" s="28">
        <f t="shared" si="182"/>
        <v>2</v>
      </c>
      <c r="P279" s="28">
        <f t="shared" si="183"/>
        <v>0</v>
      </c>
      <c r="Q279" s="28">
        <f t="shared" si="156"/>
        <v>18</v>
      </c>
      <c r="R279" s="22">
        <f t="shared" si="157"/>
        <v>47.318199999999997</v>
      </c>
      <c r="S279" s="22">
        <f t="shared" si="158"/>
        <v>0</v>
      </c>
      <c r="T279" s="22">
        <f t="shared" si="159"/>
        <v>0</v>
      </c>
      <c r="U279" s="22">
        <f t="shared" si="160"/>
        <v>7.3027000000000006</v>
      </c>
      <c r="V279" s="21">
        <f t="shared" si="172"/>
        <v>0</v>
      </c>
      <c r="W279" s="21">
        <f t="shared" si="173"/>
        <v>0</v>
      </c>
      <c r="X279" s="21">
        <f t="shared" si="165"/>
        <v>0</v>
      </c>
      <c r="Y279" s="21">
        <f t="shared" si="166"/>
        <v>0</v>
      </c>
      <c r="Z279" s="221">
        <f t="shared" si="161"/>
        <v>0</v>
      </c>
      <c r="AA279" s="30">
        <f t="shared" si="149"/>
        <v>0</v>
      </c>
      <c r="AB279" s="30">
        <f t="shared" si="150"/>
        <v>0</v>
      </c>
      <c r="AC279" s="30">
        <f t="shared" si="151"/>
        <v>0</v>
      </c>
      <c r="AD279" s="30">
        <f t="shared" si="152"/>
        <v>0</v>
      </c>
      <c r="AE279" s="32">
        <f t="shared" si="162"/>
        <v>0</v>
      </c>
    </row>
    <row r="280" spans="1:31" x14ac:dyDescent="0.35">
      <c r="A280" s="48">
        <v>1701</v>
      </c>
      <c r="B280" s="58">
        <f>SUMIF([2]!Table2_23[ETA],'IAB Model'!A280,[2]!Table2_23[FIS PAX])</f>
        <v>0</v>
      </c>
      <c r="C280" s="44">
        <f t="shared" si="163"/>
        <v>18</v>
      </c>
      <c r="D280" s="52">
        <f t="shared" si="167"/>
        <v>110</v>
      </c>
      <c r="E280" s="26">
        <f t="shared" si="153"/>
        <v>8.2691999999999997</v>
      </c>
      <c r="F280" s="26">
        <f t="shared" si="154"/>
        <v>5.3369999999999997</v>
      </c>
      <c r="G280" s="26">
        <f t="shared" si="155"/>
        <v>3.1175999999999999</v>
      </c>
      <c r="H280" s="26">
        <f t="shared" si="164"/>
        <v>1.2762</v>
      </c>
      <c r="I280" s="27">
        <f t="shared" si="184"/>
        <v>0</v>
      </c>
      <c r="J280" s="27">
        <f t="shared" si="184"/>
        <v>0</v>
      </c>
      <c r="K280" s="27">
        <f t="shared" si="184"/>
        <v>0</v>
      </c>
      <c r="L280" s="27">
        <f t="shared" si="184"/>
        <v>0</v>
      </c>
      <c r="M280" s="28">
        <f>IF(R279=0,0,$Q$22)</f>
        <v>11</v>
      </c>
      <c r="N280" s="29">
        <f>$U$22-M280-O280-P280</f>
        <v>6</v>
      </c>
      <c r="O280" s="28">
        <f>IF(T279=0,0,$S$22)</f>
        <v>0</v>
      </c>
      <c r="P280" s="28">
        <f>IF(U279=0,0,$T$22)</f>
        <v>1</v>
      </c>
      <c r="Q280" s="28">
        <f t="shared" si="156"/>
        <v>18</v>
      </c>
      <c r="R280" s="22">
        <f t="shared" si="157"/>
        <v>24.166612816322488</v>
      </c>
      <c r="S280" s="22">
        <f t="shared" si="158"/>
        <v>0</v>
      </c>
      <c r="T280" s="22">
        <f t="shared" si="159"/>
        <v>0</v>
      </c>
      <c r="U280" s="22">
        <f t="shared" si="160"/>
        <v>5.4663669626403451</v>
      </c>
      <c r="V280" s="21">
        <f t="shared" si="172"/>
        <v>0.88726620472727258</v>
      </c>
      <c r="W280" s="21">
        <f t="shared" si="173"/>
        <v>0</v>
      </c>
      <c r="X280" s="21">
        <f t="shared" si="165"/>
        <v>0</v>
      </c>
      <c r="Y280" s="21">
        <f t="shared" si="166"/>
        <v>2.5302664733000002</v>
      </c>
      <c r="Z280" s="221">
        <f t="shared" si="161"/>
        <v>1</v>
      </c>
      <c r="AA280" s="30">
        <f t="shared" si="149"/>
        <v>23.15158718367751</v>
      </c>
      <c r="AB280" s="30">
        <f t="shared" si="150"/>
        <v>0</v>
      </c>
      <c r="AC280" s="30">
        <f t="shared" si="151"/>
        <v>0</v>
      </c>
      <c r="AD280" s="30">
        <f t="shared" si="152"/>
        <v>1.8363330373596554</v>
      </c>
      <c r="AE280" s="32">
        <f t="shared" si="162"/>
        <v>24.987920221037164</v>
      </c>
    </row>
    <row r="281" spans="1:31" x14ac:dyDescent="0.35">
      <c r="A281" s="48">
        <v>1702</v>
      </c>
      <c r="B281" s="58">
        <f>SUMIF([2]!Table2_23[ETA],'IAB Model'!A281,[2]!Table2_23[FIS PAX])</f>
        <v>0</v>
      </c>
      <c r="C281" s="44">
        <f t="shared" si="163"/>
        <v>18</v>
      </c>
      <c r="D281" s="52">
        <f t="shared" si="167"/>
        <v>92</v>
      </c>
      <c r="E281" s="26">
        <f t="shared" si="153"/>
        <v>8.2691999999999997</v>
      </c>
      <c r="F281" s="26">
        <f t="shared" si="154"/>
        <v>5.3369999999999997</v>
      </c>
      <c r="G281" s="26">
        <f t="shared" si="155"/>
        <v>3.1175999999999999</v>
      </c>
      <c r="H281" s="26">
        <f t="shared" si="164"/>
        <v>1.2762</v>
      </c>
      <c r="I281" s="27">
        <f t="shared" si="184"/>
        <v>0</v>
      </c>
      <c r="J281" s="27">
        <f t="shared" si="184"/>
        <v>0</v>
      </c>
      <c r="K281" s="27">
        <f t="shared" si="184"/>
        <v>0</v>
      </c>
      <c r="L281" s="27">
        <f t="shared" si="184"/>
        <v>0</v>
      </c>
      <c r="M281" s="28">
        <f>$M$280</f>
        <v>11</v>
      </c>
      <c r="N281" s="29">
        <f>$N$280</f>
        <v>6</v>
      </c>
      <c r="O281" s="28">
        <f>$O$280</f>
        <v>0</v>
      </c>
      <c r="P281" s="28">
        <f>$P$280</f>
        <v>1</v>
      </c>
      <c r="Q281" s="28">
        <f t="shared" si="156"/>
        <v>18</v>
      </c>
      <c r="R281" s="22">
        <f t="shared" si="157"/>
        <v>1.0150256326449778</v>
      </c>
      <c r="S281" s="22">
        <f t="shared" si="158"/>
        <v>0</v>
      </c>
      <c r="T281" s="22">
        <f t="shared" si="159"/>
        <v>0</v>
      </c>
      <c r="U281" s="22">
        <f t="shared" si="160"/>
        <v>3.6300339252806895</v>
      </c>
      <c r="V281" s="21">
        <f t="shared" si="172"/>
        <v>3.7266204727272788E-2</v>
      </c>
      <c r="W281" s="21">
        <f t="shared" si="173"/>
        <v>0</v>
      </c>
      <c r="X281" s="21">
        <f t="shared" si="165"/>
        <v>0</v>
      </c>
      <c r="Y281" s="21">
        <f t="shared" si="166"/>
        <v>1.6802664733000001</v>
      </c>
      <c r="Z281" s="221">
        <f t="shared" si="161"/>
        <v>1</v>
      </c>
      <c r="AA281" s="30">
        <f t="shared" si="149"/>
        <v>23.15158718367751</v>
      </c>
      <c r="AB281" s="30">
        <f t="shared" si="150"/>
        <v>0</v>
      </c>
      <c r="AC281" s="30">
        <f t="shared" si="151"/>
        <v>0</v>
      </c>
      <c r="AD281" s="30">
        <f t="shared" si="152"/>
        <v>1.8363330373596554</v>
      </c>
      <c r="AE281" s="32">
        <f t="shared" si="162"/>
        <v>24.987920221037164</v>
      </c>
    </row>
    <row r="282" spans="1:31" x14ac:dyDescent="0.35">
      <c r="A282" s="48">
        <v>1703</v>
      </c>
      <c r="B282" s="58">
        <f>SUMIF([2]!Table2_23[ETA],'IAB Model'!A282,[2]!Table2_23[FIS PAX])</f>
        <v>0</v>
      </c>
      <c r="C282" s="44">
        <f t="shared" si="163"/>
        <v>18</v>
      </c>
      <c r="D282" s="52">
        <f t="shared" si="167"/>
        <v>74</v>
      </c>
      <c r="E282" s="26">
        <f t="shared" si="153"/>
        <v>8.2691999999999997</v>
      </c>
      <c r="F282" s="26">
        <f t="shared" si="154"/>
        <v>5.3369999999999997</v>
      </c>
      <c r="G282" s="26">
        <f t="shared" si="155"/>
        <v>3.1175999999999999</v>
      </c>
      <c r="H282" s="26">
        <f t="shared" si="164"/>
        <v>1.2762</v>
      </c>
      <c r="I282" s="27">
        <f t="shared" si="184"/>
        <v>0</v>
      </c>
      <c r="J282" s="27">
        <f t="shared" si="184"/>
        <v>0</v>
      </c>
      <c r="K282" s="27">
        <f t="shared" si="184"/>
        <v>0</v>
      </c>
      <c r="L282" s="27">
        <f t="shared" si="184"/>
        <v>0</v>
      </c>
      <c r="M282" s="28">
        <f t="shared" ref="M282:M294" si="185">$M$280</f>
        <v>11</v>
      </c>
      <c r="N282" s="29">
        <f t="shared" ref="N282:N294" si="186">$N$280</f>
        <v>6</v>
      </c>
      <c r="O282" s="28">
        <f t="shared" ref="O282:O294" si="187">$O$280</f>
        <v>0</v>
      </c>
      <c r="P282" s="28">
        <f t="shared" ref="P282:P294" si="188">$P$280</f>
        <v>1</v>
      </c>
      <c r="Q282" s="28">
        <f t="shared" si="156"/>
        <v>18</v>
      </c>
      <c r="R282" s="22">
        <f t="shared" si="157"/>
        <v>0</v>
      </c>
      <c r="S282" s="22">
        <f t="shared" si="158"/>
        <v>0</v>
      </c>
      <c r="T282" s="22">
        <f t="shared" si="159"/>
        <v>0</v>
      </c>
      <c r="U282" s="22">
        <f t="shared" si="160"/>
        <v>1.7937008879210341</v>
      </c>
      <c r="V282" s="21">
        <f t="shared" si="172"/>
        <v>0</v>
      </c>
      <c r="W282" s="21">
        <f t="shared" si="173"/>
        <v>0</v>
      </c>
      <c r="X282" s="21">
        <f t="shared" si="165"/>
        <v>0</v>
      </c>
      <c r="Y282" s="21">
        <f t="shared" si="166"/>
        <v>0.83026647330000036</v>
      </c>
      <c r="Z282" s="221">
        <f t="shared" si="161"/>
        <v>1</v>
      </c>
      <c r="AA282" s="30">
        <f t="shared" si="149"/>
        <v>0</v>
      </c>
      <c r="AB282" s="30">
        <f t="shared" si="150"/>
        <v>0</v>
      </c>
      <c r="AC282" s="30">
        <f t="shared" si="151"/>
        <v>0</v>
      </c>
      <c r="AD282" s="30">
        <f t="shared" si="152"/>
        <v>1.8363330373596554</v>
      </c>
      <c r="AE282" s="32">
        <f t="shared" si="162"/>
        <v>1.8363330373596554</v>
      </c>
    </row>
    <row r="283" spans="1:31" x14ac:dyDescent="0.35">
      <c r="A283" s="48">
        <v>1704</v>
      </c>
      <c r="B283" s="58">
        <f>SUMIF([2]!Table2_23[ETA],'IAB Model'!A283,[2]!Table2_23[FIS PAX])</f>
        <v>0</v>
      </c>
      <c r="C283" s="44">
        <f t="shared" si="163"/>
        <v>18</v>
      </c>
      <c r="D283" s="52">
        <f t="shared" si="167"/>
        <v>56</v>
      </c>
      <c r="E283" s="26">
        <f t="shared" si="153"/>
        <v>8.2691999999999997</v>
      </c>
      <c r="F283" s="26">
        <f t="shared" si="154"/>
        <v>5.3369999999999997</v>
      </c>
      <c r="G283" s="26">
        <f t="shared" si="155"/>
        <v>3.1175999999999999</v>
      </c>
      <c r="H283" s="26">
        <f t="shared" si="164"/>
        <v>1.2762</v>
      </c>
      <c r="I283" s="27">
        <f t="shared" si="184"/>
        <v>0</v>
      </c>
      <c r="J283" s="27">
        <f t="shared" si="184"/>
        <v>0</v>
      </c>
      <c r="K283" s="27">
        <f t="shared" si="184"/>
        <v>0</v>
      </c>
      <c r="L283" s="27">
        <f t="shared" si="184"/>
        <v>0</v>
      </c>
      <c r="M283" s="28">
        <f t="shared" si="185"/>
        <v>11</v>
      </c>
      <c r="N283" s="29">
        <f t="shared" si="186"/>
        <v>6</v>
      </c>
      <c r="O283" s="28">
        <f t="shared" si="187"/>
        <v>0</v>
      </c>
      <c r="P283" s="28">
        <f t="shared" si="188"/>
        <v>1</v>
      </c>
      <c r="Q283" s="28">
        <f t="shared" si="156"/>
        <v>18</v>
      </c>
      <c r="R283" s="22">
        <f t="shared" si="157"/>
        <v>0</v>
      </c>
      <c r="S283" s="22">
        <f t="shared" si="158"/>
        <v>0</v>
      </c>
      <c r="T283" s="22">
        <f t="shared" si="159"/>
        <v>0</v>
      </c>
      <c r="U283" s="22">
        <f t="shared" si="160"/>
        <v>0</v>
      </c>
      <c r="V283" s="21">
        <f t="shared" si="172"/>
        <v>0</v>
      </c>
      <c r="W283" s="21">
        <f t="shared" si="173"/>
        <v>0</v>
      </c>
      <c r="X283" s="21">
        <f t="shared" si="165"/>
        <v>0</v>
      </c>
      <c r="Y283" s="21">
        <f t="shared" si="166"/>
        <v>0</v>
      </c>
      <c r="Z283" s="221">
        <f t="shared" si="161"/>
        <v>0</v>
      </c>
      <c r="AA283" s="30">
        <f t="shared" si="149"/>
        <v>0</v>
      </c>
      <c r="AB283" s="30">
        <f t="shared" si="150"/>
        <v>0</v>
      </c>
      <c r="AC283" s="30">
        <f t="shared" si="151"/>
        <v>0</v>
      </c>
      <c r="AD283" s="30">
        <f t="shared" si="152"/>
        <v>0</v>
      </c>
      <c r="AE283" s="32">
        <f t="shared" si="162"/>
        <v>0</v>
      </c>
    </row>
    <row r="284" spans="1:31" x14ac:dyDescent="0.35">
      <c r="A284" s="48">
        <v>1705</v>
      </c>
      <c r="B284" s="58">
        <f>SUMIF([2]!Table2_23[ETA],'IAB Model'!A284,[2]!Table2_23[FIS PAX])</f>
        <v>0</v>
      </c>
      <c r="C284" s="44">
        <f t="shared" si="163"/>
        <v>18</v>
      </c>
      <c r="D284" s="52">
        <f t="shared" si="167"/>
        <v>38</v>
      </c>
      <c r="E284" s="26">
        <f t="shared" si="153"/>
        <v>8.2691999999999997</v>
      </c>
      <c r="F284" s="26">
        <f t="shared" si="154"/>
        <v>5.3369999999999997</v>
      </c>
      <c r="G284" s="26">
        <f t="shared" si="155"/>
        <v>3.1175999999999999</v>
      </c>
      <c r="H284" s="26">
        <f t="shared" si="164"/>
        <v>1.2762</v>
      </c>
      <c r="I284" s="27">
        <f t="shared" si="184"/>
        <v>0</v>
      </c>
      <c r="J284" s="27">
        <f t="shared" si="184"/>
        <v>0</v>
      </c>
      <c r="K284" s="27">
        <f t="shared" si="184"/>
        <v>0</v>
      </c>
      <c r="L284" s="27">
        <f t="shared" si="184"/>
        <v>0</v>
      </c>
      <c r="M284" s="28">
        <f t="shared" si="185"/>
        <v>11</v>
      </c>
      <c r="N284" s="29">
        <f t="shared" si="186"/>
        <v>6</v>
      </c>
      <c r="O284" s="28">
        <f t="shared" si="187"/>
        <v>0</v>
      </c>
      <c r="P284" s="28">
        <f t="shared" si="188"/>
        <v>1</v>
      </c>
      <c r="Q284" s="28">
        <f t="shared" si="156"/>
        <v>18</v>
      </c>
      <c r="R284" s="22">
        <f t="shared" si="157"/>
        <v>0</v>
      </c>
      <c r="S284" s="22">
        <f t="shared" si="158"/>
        <v>0</v>
      </c>
      <c r="T284" s="22">
        <f t="shared" si="159"/>
        <v>0</v>
      </c>
      <c r="U284" s="22">
        <f t="shared" si="160"/>
        <v>0</v>
      </c>
      <c r="V284" s="21">
        <f t="shared" si="172"/>
        <v>0</v>
      </c>
      <c r="W284" s="21">
        <f t="shared" si="173"/>
        <v>0</v>
      </c>
      <c r="X284" s="21">
        <f t="shared" si="165"/>
        <v>0</v>
      </c>
      <c r="Y284" s="21">
        <f t="shared" si="166"/>
        <v>0</v>
      </c>
      <c r="Z284" s="221">
        <f t="shared" si="161"/>
        <v>0</v>
      </c>
      <c r="AA284" s="30">
        <f t="shared" si="149"/>
        <v>0</v>
      </c>
      <c r="AB284" s="30">
        <f t="shared" si="150"/>
        <v>0</v>
      </c>
      <c r="AC284" s="30">
        <f t="shared" si="151"/>
        <v>0</v>
      </c>
      <c r="AD284" s="30">
        <f t="shared" si="152"/>
        <v>0</v>
      </c>
      <c r="AE284" s="32">
        <f t="shared" si="162"/>
        <v>0</v>
      </c>
    </row>
    <row r="285" spans="1:31" x14ac:dyDescent="0.35">
      <c r="A285" s="48">
        <v>1706</v>
      </c>
      <c r="B285" s="58">
        <f>SUMIF([2]!Table2_23[ETA],'IAB Model'!A285,[2]!Table2_23[FIS PAX])</f>
        <v>0</v>
      </c>
      <c r="C285" s="44">
        <f t="shared" si="163"/>
        <v>18</v>
      </c>
      <c r="D285" s="52">
        <f t="shared" si="167"/>
        <v>20</v>
      </c>
      <c r="E285" s="26">
        <f t="shared" si="153"/>
        <v>8.2691999999999997</v>
      </c>
      <c r="F285" s="26">
        <f t="shared" si="154"/>
        <v>5.3369999999999997</v>
      </c>
      <c r="G285" s="26">
        <f t="shared" si="155"/>
        <v>3.1175999999999999</v>
      </c>
      <c r="H285" s="26">
        <f t="shared" si="164"/>
        <v>1.2762</v>
      </c>
      <c r="I285" s="27">
        <f t="shared" si="184"/>
        <v>0</v>
      </c>
      <c r="J285" s="27">
        <f t="shared" si="184"/>
        <v>0</v>
      </c>
      <c r="K285" s="27">
        <f t="shared" si="184"/>
        <v>0</v>
      </c>
      <c r="L285" s="27">
        <f t="shared" si="184"/>
        <v>0</v>
      </c>
      <c r="M285" s="28">
        <f t="shared" si="185"/>
        <v>11</v>
      </c>
      <c r="N285" s="29">
        <f t="shared" si="186"/>
        <v>6</v>
      </c>
      <c r="O285" s="28">
        <f t="shared" si="187"/>
        <v>0</v>
      </c>
      <c r="P285" s="28">
        <f t="shared" si="188"/>
        <v>1</v>
      </c>
      <c r="Q285" s="28">
        <f t="shared" si="156"/>
        <v>18</v>
      </c>
      <c r="R285" s="22">
        <f t="shared" si="157"/>
        <v>0</v>
      </c>
      <c r="S285" s="22">
        <f t="shared" si="158"/>
        <v>0</v>
      </c>
      <c r="T285" s="22">
        <f t="shared" si="159"/>
        <v>0</v>
      </c>
      <c r="U285" s="22">
        <f t="shared" si="160"/>
        <v>0</v>
      </c>
      <c r="V285" s="21">
        <f t="shared" si="172"/>
        <v>0</v>
      </c>
      <c r="W285" s="21">
        <f t="shared" si="173"/>
        <v>0</v>
      </c>
      <c r="X285" s="21">
        <f t="shared" si="165"/>
        <v>0</v>
      </c>
      <c r="Y285" s="21">
        <f t="shared" si="166"/>
        <v>0</v>
      </c>
      <c r="Z285" s="221">
        <f t="shared" si="161"/>
        <v>0</v>
      </c>
      <c r="AA285" s="30">
        <f t="shared" si="149"/>
        <v>0</v>
      </c>
      <c r="AB285" s="30">
        <f t="shared" si="150"/>
        <v>0</v>
      </c>
      <c r="AC285" s="30">
        <f t="shared" si="151"/>
        <v>0</v>
      </c>
      <c r="AD285" s="30">
        <f t="shared" si="152"/>
        <v>0</v>
      </c>
      <c r="AE285" s="32">
        <f t="shared" si="162"/>
        <v>0</v>
      </c>
    </row>
    <row r="286" spans="1:31" x14ac:dyDescent="0.35">
      <c r="A286" s="48">
        <v>1707</v>
      </c>
      <c r="B286" s="58">
        <f>SUMIF([2]!Table2_23[ETA],'IAB Model'!A286,[2]!Table2_23[FIS PAX])</f>
        <v>0</v>
      </c>
      <c r="C286" s="44">
        <f t="shared" si="163"/>
        <v>18</v>
      </c>
      <c r="D286" s="52">
        <f t="shared" si="167"/>
        <v>2</v>
      </c>
      <c r="E286" s="26">
        <f t="shared" si="153"/>
        <v>8.2691999999999997</v>
      </c>
      <c r="F286" s="26">
        <f t="shared" si="154"/>
        <v>5.3369999999999997</v>
      </c>
      <c r="G286" s="26">
        <f t="shared" si="155"/>
        <v>3.1175999999999999</v>
      </c>
      <c r="H286" s="26">
        <f t="shared" si="164"/>
        <v>1.2762</v>
      </c>
      <c r="I286" s="27">
        <f t="shared" si="184"/>
        <v>0</v>
      </c>
      <c r="J286" s="27">
        <f t="shared" si="184"/>
        <v>0</v>
      </c>
      <c r="K286" s="27">
        <f t="shared" si="184"/>
        <v>0</v>
      </c>
      <c r="L286" s="27">
        <f t="shared" si="184"/>
        <v>0</v>
      </c>
      <c r="M286" s="28">
        <f t="shared" si="185"/>
        <v>11</v>
      </c>
      <c r="N286" s="29">
        <f t="shared" si="186"/>
        <v>6</v>
      </c>
      <c r="O286" s="28">
        <f t="shared" si="187"/>
        <v>0</v>
      </c>
      <c r="P286" s="28">
        <f t="shared" si="188"/>
        <v>1</v>
      </c>
      <c r="Q286" s="28">
        <f t="shared" si="156"/>
        <v>18</v>
      </c>
      <c r="R286" s="22">
        <f t="shared" si="157"/>
        <v>0</v>
      </c>
      <c r="S286" s="22">
        <f t="shared" si="158"/>
        <v>0</v>
      </c>
      <c r="T286" s="22">
        <f t="shared" si="159"/>
        <v>0</v>
      </c>
      <c r="U286" s="22">
        <f t="shared" si="160"/>
        <v>0</v>
      </c>
      <c r="V286" s="21">
        <f t="shared" si="172"/>
        <v>0</v>
      </c>
      <c r="W286" s="21">
        <f t="shared" si="173"/>
        <v>0</v>
      </c>
      <c r="X286" s="21">
        <f t="shared" si="165"/>
        <v>0</v>
      </c>
      <c r="Y286" s="21">
        <f t="shared" si="166"/>
        <v>0</v>
      </c>
      <c r="Z286" s="221">
        <f t="shared" si="161"/>
        <v>0</v>
      </c>
      <c r="AA286" s="30">
        <f t="shared" si="149"/>
        <v>0</v>
      </c>
      <c r="AB286" s="30">
        <f t="shared" si="150"/>
        <v>0</v>
      </c>
      <c r="AC286" s="30">
        <f t="shared" si="151"/>
        <v>0</v>
      </c>
      <c r="AD286" s="30">
        <f t="shared" si="152"/>
        <v>0</v>
      </c>
      <c r="AE286" s="32">
        <f t="shared" si="162"/>
        <v>0</v>
      </c>
    </row>
    <row r="287" spans="1:31" x14ac:dyDescent="0.35">
      <c r="A287" s="48">
        <v>1708</v>
      </c>
      <c r="B287" s="58">
        <f>SUMIF([2]!Table2_23[ETA],'IAB Model'!A287,[2]!Table2_23[FIS PAX])</f>
        <v>0</v>
      </c>
      <c r="C287" s="44">
        <f t="shared" si="163"/>
        <v>2</v>
      </c>
      <c r="D287" s="52">
        <f t="shared" si="167"/>
        <v>0</v>
      </c>
      <c r="E287" s="26">
        <f t="shared" si="153"/>
        <v>0.91879999999999995</v>
      </c>
      <c r="F287" s="26">
        <f t="shared" si="154"/>
        <v>0.59299999999999997</v>
      </c>
      <c r="G287" s="26">
        <f t="shared" si="155"/>
        <v>0.34639999999999999</v>
      </c>
      <c r="H287" s="26">
        <f t="shared" si="164"/>
        <v>0.14180000000000001</v>
      </c>
      <c r="I287" s="27">
        <f t="shared" si="184"/>
        <v>8.2691999999999997</v>
      </c>
      <c r="J287" s="27">
        <f t="shared" si="184"/>
        <v>5.3369999999999997</v>
      </c>
      <c r="K287" s="27">
        <f t="shared" si="184"/>
        <v>3.1175999999999999</v>
      </c>
      <c r="L287" s="27">
        <f t="shared" si="184"/>
        <v>1.2762</v>
      </c>
      <c r="M287" s="28">
        <f t="shared" si="185"/>
        <v>11</v>
      </c>
      <c r="N287" s="29">
        <f t="shared" si="186"/>
        <v>6</v>
      </c>
      <c r="O287" s="28">
        <f t="shared" si="187"/>
        <v>0</v>
      </c>
      <c r="P287" s="28">
        <f t="shared" si="188"/>
        <v>1</v>
      </c>
      <c r="Q287" s="28">
        <f t="shared" si="156"/>
        <v>18</v>
      </c>
      <c r="R287" s="22">
        <f t="shared" si="157"/>
        <v>0</v>
      </c>
      <c r="S287" s="22">
        <f t="shared" si="158"/>
        <v>1.8681260023296833</v>
      </c>
      <c r="T287" s="22">
        <f t="shared" si="159"/>
        <v>3.1175999999999999</v>
      </c>
      <c r="U287" s="22">
        <f t="shared" si="160"/>
        <v>0</v>
      </c>
      <c r="V287" s="21">
        <f t="shared" si="172"/>
        <v>0</v>
      </c>
      <c r="W287" s="21">
        <f t="shared" si="173"/>
        <v>0.53405176633333318</v>
      </c>
      <c r="X287" s="21">
        <f t="shared" si="165"/>
        <v>0</v>
      </c>
      <c r="Y287" s="21">
        <f t="shared" si="166"/>
        <v>0</v>
      </c>
      <c r="Z287" s="221">
        <f t="shared" si="161"/>
        <v>1</v>
      </c>
      <c r="AA287" s="30">
        <f t="shared" si="149"/>
        <v>0</v>
      </c>
      <c r="AB287" s="30">
        <f t="shared" si="150"/>
        <v>2.9733205694316993</v>
      </c>
      <c r="AC287" s="30">
        <f t="shared" si="151"/>
        <v>0</v>
      </c>
      <c r="AD287" s="30">
        <f t="shared" si="152"/>
        <v>0</v>
      </c>
      <c r="AE287" s="32">
        <f t="shared" si="162"/>
        <v>2.9733205694316993</v>
      </c>
    </row>
    <row r="288" spans="1:31" x14ac:dyDescent="0.35">
      <c r="A288" s="48">
        <v>1709</v>
      </c>
      <c r="B288" s="58">
        <f>SUMIF([2]!Table2_23[ETA],'IAB Model'!A288,[2]!Table2_23[FIS PAX])</f>
        <v>0</v>
      </c>
      <c r="C288" s="44">
        <f t="shared" si="163"/>
        <v>0</v>
      </c>
      <c r="D288" s="52">
        <f t="shared" si="167"/>
        <v>0</v>
      </c>
      <c r="E288" s="26">
        <f t="shared" si="153"/>
        <v>0</v>
      </c>
      <c r="F288" s="26">
        <f t="shared" si="154"/>
        <v>0</v>
      </c>
      <c r="G288" s="26">
        <f t="shared" si="155"/>
        <v>0</v>
      </c>
      <c r="H288" s="26">
        <f t="shared" si="164"/>
        <v>0</v>
      </c>
      <c r="I288" s="27">
        <f t="shared" si="184"/>
        <v>8.2691999999999997</v>
      </c>
      <c r="J288" s="27">
        <f t="shared" si="184"/>
        <v>5.3369999999999997</v>
      </c>
      <c r="K288" s="27">
        <f t="shared" si="184"/>
        <v>3.1175999999999999</v>
      </c>
      <c r="L288" s="27">
        <f t="shared" si="184"/>
        <v>1.2762</v>
      </c>
      <c r="M288" s="28">
        <f t="shared" si="185"/>
        <v>11</v>
      </c>
      <c r="N288" s="29">
        <f t="shared" si="186"/>
        <v>6</v>
      </c>
      <c r="O288" s="28">
        <f t="shared" si="187"/>
        <v>0</v>
      </c>
      <c r="P288" s="28">
        <f t="shared" si="188"/>
        <v>1</v>
      </c>
      <c r="Q288" s="28">
        <f t="shared" si="156"/>
        <v>18</v>
      </c>
      <c r="R288" s="22">
        <f t="shared" si="157"/>
        <v>0</v>
      </c>
      <c r="S288" s="22">
        <f t="shared" si="158"/>
        <v>3.7362520046593666</v>
      </c>
      <c r="T288" s="22">
        <f t="shared" si="159"/>
        <v>6.2351999999999999</v>
      </c>
      <c r="U288" s="22">
        <f t="shared" si="160"/>
        <v>0</v>
      </c>
      <c r="V288" s="21">
        <f t="shared" si="172"/>
        <v>0</v>
      </c>
      <c r="W288" s="21">
        <f t="shared" si="173"/>
        <v>1.0681035326666664</v>
      </c>
      <c r="X288" s="21">
        <f t="shared" si="165"/>
        <v>0</v>
      </c>
      <c r="Y288" s="21">
        <f t="shared" si="166"/>
        <v>0</v>
      </c>
      <c r="Z288" s="221">
        <f t="shared" si="161"/>
        <v>1</v>
      </c>
      <c r="AA288" s="30">
        <f t="shared" si="149"/>
        <v>0</v>
      </c>
      <c r="AB288" s="30">
        <f t="shared" si="150"/>
        <v>2.9733205694316993</v>
      </c>
      <c r="AC288" s="30">
        <f t="shared" si="151"/>
        <v>0</v>
      </c>
      <c r="AD288" s="30">
        <f t="shared" si="152"/>
        <v>0</v>
      </c>
      <c r="AE288" s="32">
        <f t="shared" si="162"/>
        <v>2.9733205694316993</v>
      </c>
    </row>
    <row r="289" spans="1:31" x14ac:dyDescent="0.35">
      <c r="A289" s="48">
        <v>1710</v>
      </c>
      <c r="B289" s="58">
        <f>SUMIF([2]!Table2_23[ETA],'IAB Model'!A289,[2]!Table2_23[FIS PAX])</f>
        <v>0</v>
      </c>
      <c r="C289" s="44">
        <f t="shared" si="163"/>
        <v>0</v>
      </c>
      <c r="D289" s="52">
        <f t="shared" si="167"/>
        <v>0</v>
      </c>
      <c r="E289" s="26">
        <f t="shared" si="153"/>
        <v>0</v>
      </c>
      <c r="F289" s="26">
        <f t="shared" si="154"/>
        <v>0</v>
      </c>
      <c r="G289" s="26">
        <f t="shared" si="155"/>
        <v>0</v>
      </c>
      <c r="H289" s="26">
        <f t="shared" si="164"/>
        <v>0</v>
      </c>
      <c r="I289" s="27">
        <f t="shared" si="184"/>
        <v>8.2691999999999997</v>
      </c>
      <c r="J289" s="27">
        <f t="shared" si="184"/>
        <v>5.3369999999999997</v>
      </c>
      <c r="K289" s="27">
        <f t="shared" si="184"/>
        <v>3.1175999999999999</v>
      </c>
      <c r="L289" s="27">
        <f t="shared" si="184"/>
        <v>1.2762</v>
      </c>
      <c r="M289" s="28">
        <f t="shared" si="185"/>
        <v>11</v>
      </c>
      <c r="N289" s="29">
        <f t="shared" si="186"/>
        <v>6</v>
      </c>
      <c r="O289" s="28">
        <f t="shared" si="187"/>
        <v>0</v>
      </c>
      <c r="P289" s="28">
        <f t="shared" si="188"/>
        <v>1</v>
      </c>
      <c r="Q289" s="28">
        <f t="shared" si="156"/>
        <v>18</v>
      </c>
      <c r="R289" s="22">
        <f t="shared" si="157"/>
        <v>0</v>
      </c>
      <c r="S289" s="22">
        <f t="shared" si="158"/>
        <v>5.6043780069890499</v>
      </c>
      <c r="T289" s="22">
        <f t="shared" si="159"/>
        <v>9.3528000000000002</v>
      </c>
      <c r="U289" s="22">
        <f t="shared" si="160"/>
        <v>0</v>
      </c>
      <c r="V289" s="21">
        <f t="shared" si="172"/>
        <v>0</v>
      </c>
      <c r="W289" s="21">
        <f t="shared" si="173"/>
        <v>1.6021552989999994</v>
      </c>
      <c r="X289" s="21">
        <f t="shared" si="165"/>
        <v>0</v>
      </c>
      <c r="Y289" s="21">
        <f t="shared" si="166"/>
        <v>0</v>
      </c>
      <c r="Z289" s="221">
        <f t="shared" si="161"/>
        <v>1</v>
      </c>
      <c r="AA289" s="30">
        <f t="shared" si="149"/>
        <v>0</v>
      </c>
      <c r="AB289" s="30">
        <f t="shared" si="150"/>
        <v>2.9733205694316993</v>
      </c>
      <c r="AC289" s="30">
        <f t="shared" si="151"/>
        <v>0</v>
      </c>
      <c r="AD289" s="30">
        <f t="shared" si="152"/>
        <v>0</v>
      </c>
      <c r="AE289" s="32">
        <f t="shared" si="162"/>
        <v>2.9733205694316993</v>
      </c>
    </row>
    <row r="290" spans="1:31" x14ac:dyDescent="0.35">
      <c r="A290" s="48">
        <v>1711</v>
      </c>
      <c r="B290" s="58">
        <f>SUMIF([2]!Table2_23[ETA],'IAB Model'!A290,[2]!Table2_23[FIS PAX])</f>
        <v>104</v>
      </c>
      <c r="C290" s="44">
        <f t="shared" si="163"/>
        <v>0</v>
      </c>
      <c r="D290" s="52">
        <f t="shared" si="167"/>
        <v>0</v>
      </c>
      <c r="E290" s="26">
        <f t="shared" si="153"/>
        <v>0</v>
      </c>
      <c r="F290" s="26">
        <f t="shared" si="154"/>
        <v>0</v>
      </c>
      <c r="G290" s="26">
        <f t="shared" si="155"/>
        <v>0</v>
      </c>
      <c r="H290" s="26">
        <f t="shared" si="164"/>
        <v>0</v>
      </c>
      <c r="I290" s="27">
        <f t="shared" si="184"/>
        <v>8.2691999999999997</v>
      </c>
      <c r="J290" s="27">
        <f t="shared" si="184"/>
        <v>5.3369999999999997</v>
      </c>
      <c r="K290" s="27">
        <f t="shared" si="184"/>
        <v>3.1175999999999999</v>
      </c>
      <c r="L290" s="27">
        <f t="shared" si="184"/>
        <v>1.2762</v>
      </c>
      <c r="M290" s="28">
        <f t="shared" si="185"/>
        <v>11</v>
      </c>
      <c r="N290" s="29">
        <f t="shared" si="186"/>
        <v>6</v>
      </c>
      <c r="O290" s="28">
        <f t="shared" si="187"/>
        <v>0</v>
      </c>
      <c r="P290" s="28">
        <f t="shared" si="188"/>
        <v>1</v>
      </c>
      <c r="Q290" s="28">
        <f t="shared" si="156"/>
        <v>18</v>
      </c>
      <c r="R290" s="22">
        <f t="shared" si="157"/>
        <v>0</v>
      </c>
      <c r="S290" s="22">
        <f t="shared" si="158"/>
        <v>7.4725040093187332</v>
      </c>
      <c r="T290" s="22">
        <f t="shared" si="159"/>
        <v>12.4704</v>
      </c>
      <c r="U290" s="22">
        <f t="shared" si="160"/>
        <v>0</v>
      </c>
      <c r="V290" s="21">
        <f t="shared" si="172"/>
        <v>0</v>
      </c>
      <c r="W290" s="21">
        <f t="shared" si="173"/>
        <v>2.1362070653333327</v>
      </c>
      <c r="X290" s="21">
        <f t="shared" si="165"/>
        <v>0</v>
      </c>
      <c r="Y290" s="21">
        <f t="shared" si="166"/>
        <v>0</v>
      </c>
      <c r="Z290" s="221">
        <f t="shared" si="161"/>
        <v>1</v>
      </c>
      <c r="AA290" s="30">
        <f t="shared" si="149"/>
        <v>0</v>
      </c>
      <c r="AB290" s="30">
        <f t="shared" si="150"/>
        <v>2.9733205694316993</v>
      </c>
      <c r="AC290" s="30">
        <f t="shared" si="151"/>
        <v>0</v>
      </c>
      <c r="AD290" s="30">
        <f t="shared" si="152"/>
        <v>0</v>
      </c>
      <c r="AE290" s="32">
        <f t="shared" si="162"/>
        <v>2.9733205694316993</v>
      </c>
    </row>
    <row r="291" spans="1:31" x14ac:dyDescent="0.35">
      <c r="A291" s="48">
        <v>1712</v>
      </c>
      <c r="B291" s="58">
        <f>SUMIF([2]!Table2_23[ETA],'IAB Model'!A291,[2]!Table2_23[FIS PAX])</f>
        <v>0</v>
      </c>
      <c r="C291" s="44">
        <f t="shared" si="163"/>
        <v>18</v>
      </c>
      <c r="D291" s="52">
        <f t="shared" si="167"/>
        <v>86</v>
      </c>
      <c r="E291" s="26">
        <f t="shared" si="153"/>
        <v>8.2691999999999997</v>
      </c>
      <c r="F291" s="26">
        <f t="shared" si="154"/>
        <v>5.3369999999999997</v>
      </c>
      <c r="G291" s="26">
        <f t="shared" si="155"/>
        <v>3.1175999999999999</v>
      </c>
      <c r="H291" s="26">
        <f t="shared" si="164"/>
        <v>1.2762</v>
      </c>
      <c r="I291" s="27">
        <f t="shared" si="184"/>
        <v>8.2691999999999997</v>
      </c>
      <c r="J291" s="27">
        <f t="shared" si="184"/>
        <v>5.3369999999999997</v>
      </c>
      <c r="K291" s="27">
        <f t="shared" si="184"/>
        <v>3.1175999999999999</v>
      </c>
      <c r="L291" s="27">
        <f t="shared" si="184"/>
        <v>1.2762</v>
      </c>
      <c r="M291" s="28">
        <f t="shared" si="185"/>
        <v>11</v>
      </c>
      <c r="N291" s="29">
        <f t="shared" si="186"/>
        <v>6</v>
      </c>
      <c r="O291" s="28">
        <f t="shared" si="187"/>
        <v>0</v>
      </c>
      <c r="P291" s="28">
        <f t="shared" si="188"/>
        <v>1</v>
      </c>
      <c r="Q291" s="28">
        <f t="shared" si="156"/>
        <v>18</v>
      </c>
      <c r="R291" s="22">
        <f t="shared" si="157"/>
        <v>0</v>
      </c>
      <c r="S291" s="22">
        <f t="shared" si="158"/>
        <v>9.3406300116484164</v>
      </c>
      <c r="T291" s="22">
        <f t="shared" si="159"/>
        <v>15.587999999999999</v>
      </c>
      <c r="U291" s="22">
        <f t="shared" si="160"/>
        <v>0</v>
      </c>
      <c r="V291" s="21">
        <f t="shared" si="172"/>
        <v>0</v>
      </c>
      <c r="W291" s="21">
        <f t="shared" si="173"/>
        <v>2.6702588316666658</v>
      </c>
      <c r="X291" s="21">
        <f t="shared" si="165"/>
        <v>0</v>
      </c>
      <c r="Y291" s="21">
        <f t="shared" si="166"/>
        <v>0</v>
      </c>
      <c r="Z291" s="221">
        <f t="shared" si="161"/>
        <v>1</v>
      </c>
      <c r="AA291" s="30">
        <f t="shared" si="149"/>
        <v>0</v>
      </c>
      <c r="AB291" s="30">
        <f t="shared" si="150"/>
        <v>2.9733205694316993</v>
      </c>
      <c r="AC291" s="30">
        <f t="shared" si="151"/>
        <v>0</v>
      </c>
      <c r="AD291" s="30">
        <f t="shared" si="152"/>
        <v>0</v>
      </c>
      <c r="AE291" s="32">
        <f t="shared" si="162"/>
        <v>2.9733205694316993</v>
      </c>
    </row>
    <row r="292" spans="1:31" x14ac:dyDescent="0.35">
      <c r="A292" s="48">
        <v>1713</v>
      </c>
      <c r="B292" s="58">
        <f>SUMIF([2]!Table2_23[ETA],'IAB Model'!A292,[2]!Table2_23[FIS PAX])</f>
        <v>0</v>
      </c>
      <c r="C292" s="44">
        <f t="shared" si="163"/>
        <v>18</v>
      </c>
      <c r="D292" s="52">
        <f t="shared" si="167"/>
        <v>68</v>
      </c>
      <c r="E292" s="26">
        <f t="shared" si="153"/>
        <v>8.2691999999999997</v>
      </c>
      <c r="F292" s="26">
        <f t="shared" si="154"/>
        <v>5.3369999999999997</v>
      </c>
      <c r="G292" s="26">
        <f t="shared" si="155"/>
        <v>3.1175999999999999</v>
      </c>
      <c r="H292" s="26">
        <f t="shared" si="164"/>
        <v>1.2762</v>
      </c>
      <c r="I292" s="27">
        <f t="shared" si="184"/>
        <v>8.2691999999999997</v>
      </c>
      <c r="J292" s="27">
        <f t="shared" si="184"/>
        <v>5.3369999999999997</v>
      </c>
      <c r="K292" s="27">
        <f t="shared" si="184"/>
        <v>3.1175999999999999</v>
      </c>
      <c r="L292" s="27">
        <f t="shared" si="184"/>
        <v>1.2762</v>
      </c>
      <c r="M292" s="28">
        <f t="shared" si="185"/>
        <v>11</v>
      </c>
      <c r="N292" s="29">
        <f t="shared" si="186"/>
        <v>6</v>
      </c>
      <c r="O292" s="28">
        <f t="shared" si="187"/>
        <v>0</v>
      </c>
      <c r="P292" s="28">
        <f t="shared" si="188"/>
        <v>1</v>
      </c>
      <c r="Q292" s="28">
        <f t="shared" si="156"/>
        <v>18</v>
      </c>
      <c r="R292" s="22">
        <f t="shared" si="157"/>
        <v>0</v>
      </c>
      <c r="S292" s="22">
        <f t="shared" si="158"/>
        <v>11.2087560139781</v>
      </c>
      <c r="T292" s="22">
        <f t="shared" si="159"/>
        <v>18.7056</v>
      </c>
      <c r="U292" s="22">
        <f t="shared" si="160"/>
        <v>0</v>
      </c>
      <c r="V292" s="21">
        <f t="shared" si="172"/>
        <v>0</v>
      </c>
      <c r="W292" s="21">
        <f t="shared" si="173"/>
        <v>3.2043105979999988</v>
      </c>
      <c r="X292" s="21">
        <f t="shared" si="165"/>
        <v>0</v>
      </c>
      <c r="Y292" s="21">
        <f t="shared" si="166"/>
        <v>0</v>
      </c>
      <c r="Z292" s="221">
        <f t="shared" si="161"/>
        <v>1</v>
      </c>
      <c r="AA292" s="30">
        <f t="shared" si="149"/>
        <v>0</v>
      </c>
      <c r="AB292" s="30">
        <f t="shared" si="150"/>
        <v>2.9733205694316993</v>
      </c>
      <c r="AC292" s="30">
        <f t="shared" si="151"/>
        <v>0</v>
      </c>
      <c r="AD292" s="30">
        <f t="shared" si="152"/>
        <v>0</v>
      </c>
      <c r="AE292" s="32">
        <f t="shared" si="162"/>
        <v>2.9733205694316993</v>
      </c>
    </row>
    <row r="293" spans="1:31" x14ac:dyDescent="0.35">
      <c r="A293" s="48">
        <v>1714</v>
      </c>
      <c r="B293" s="58">
        <f>SUMIF([2]!Table2_23[ETA],'IAB Model'!A293,[2]!Table2_23[FIS PAX])</f>
        <v>0</v>
      </c>
      <c r="C293" s="44">
        <f t="shared" si="163"/>
        <v>18</v>
      </c>
      <c r="D293" s="52">
        <f t="shared" si="167"/>
        <v>50</v>
      </c>
      <c r="E293" s="26">
        <f t="shared" si="153"/>
        <v>8.2691999999999997</v>
      </c>
      <c r="F293" s="26">
        <f t="shared" si="154"/>
        <v>5.3369999999999997</v>
      </c>
      <c r="G293" s="26">
        <f t="shared" si="155"/>
        <v>3.1175999999999999</v>
      </c>
      <c r="H293" s="26">
        <f t="shared" si="164"/>
        <v>1.2762</v>
      </c>
      <c r="I293" s="27">
        <f t="shared" si="184"/>
        <v>8.2691999999999997</v>
      </c>
      <c r="J293" s="27">
        <f t="shared" si="184"/>
        <v>5.3369999999999997</v>
      </c>
      <c r="K293" s="27">
        <f t="shared" si="184"/>
        <v>3.1175999999999999</v>
      </c>
      <c r="L293" s="27">
        <f t="shared" si="184"/>
        <v>1.2762</v>
      </c>
      <c r="M293" s="28">
        <f t="shared" si="185"/>
        <v>11</v>
      </c>
      <c r="N293" s="29">
        <f t="shared" si="186"/>
        <v>6</v>
      </c>
      <c r="O293" s="28">
        <f t="shared" si="187"/>
        <v>0</v>
      </c>
      <c r="P293" s="28">
        <f t="shared" si="188"/>
        <v>1</v>
      </c>
      <c r="Q293" s="28">
        <f t="shared" si="156"/>
        <v>18</v>
      </c>
      <c r="R293" s="22">
        <f t="shared" si="157"/>
        <v>0</v>
      </c>
      <c r="S293" s="22">
        <f t="shared" si="158"/>
        <v>13.076882016307783</v>
      </c>
      <c r="T293" s="22">
        <f t="shared" si="159"/>
        <v>21.8232</v>
      </c>
      <c r="U293" s="22">
        <f t="shared" si="160"/>
        <v>0</v>
      </c>
      <c r="V293" s="21">
        <f t="shared" si="172"/>
        <v>0</v>
      </c>
      <c r="W293" s="21">
        <f t="shared" si="173"/>
        <v>3.7383623643333319</v>
      </c>
      <c r="X293" s="21">
        <f t="shared" si="165"/>
        <v>0</v>
      </c>
      <c r="Y293" s="21">
        <f t="shared" si="166"/>
        <v>0</v>
      </c>
      <c r="Z293" s="221">
        <f t="shared" si="161"/>
        <v>2</v>
      </c>
      <c r="AA293" s="30">
        <f t="shared" si="149"/>
        <v>0</v>
      </c>
      <c r="AB293" s="30">
        <f t="shared" si="150"/>
        <v>2.9733205694316993</v>
      </c>
      <c r="AC293" s="30">
        <f t="shared" si="151"/>
        <v>0</v>
      </c>
      <c r="AD293" s="30">
        <f t="shared" si="152"/>
        <v>0</v>
      </c>
      <c r="AE293" s="32">
        <f t="shared" si="162"/>
        <v>2.9733205694316993</v>
      </c>
    </row>
    <row r="294" spans="1:31" x14ac:dyDescent="0.35">
      <c r="A294" s="48">
        <v>1715</v>
      </c>
      <c r="B294" s="58">
        <f>SUMIF([2]!Table2_23[ETA],'IAB Model'!A294,[2]!Table2_23[FIS PAX])</f>
        <v>0</v>
      </c>
      <c r="C294" s="44">
        <f t="shared" si="163"/>
        <v>18</v>
      </c>
      <c r="D294" s="52">
        <f t="shared" si="167"/>
        <v>32</v>
      </c>
      <c r="E294" s="26">
        <f t="shared" si="153"/>
        <v>8.2691999999999997</v>
      </c>
      <c r="F294" s="26">
        <f t="shared" si="154"/>
        <v>5.3369999999999997</v>
      </c>
      <c r="G294" s="26">
        <f t="shared" si="155"/>
        <v>3.1175999999999999</v>
      </c>
      <c r="H294" s="26">
        <f t="shared" si="164"/>
        <v>1.2762</v>
      </c>
      <c r="I294" s="27">
        <f t="shared" si="184"/>
        <v>8.2691999999999997</v>
      </c>
      <c r="J294" s="27">
        <f t="shared" si="184"/>
        <v>5.3369999999999997</v>
      </c>
      <c r="K294" s="27">
        <f t="shared" si="184"/>
        <v>3.1175999999999999</v>
      </c>
      <c r="L294" s="27">
        <f t="shared" si="184"/>
        <v>1.2762</v>
      </c>
      <c r="M294" s="28">
        <f t="shared" si="185"/>
        <v>11</v>
      </c>
      <c r="N294" s="29">
        <f t="shared" si="186"/>
        <v>6</v>
      </c>
      <c r="O294" s="28">
        <f t="shared" si="187"/>
        <v>0</v>
      </c>
      <c r="P294" s="28">
        <f t="shared" si="188"/>
        <v>1</v>
      </c>
      <c r="Q294" s="28">
        <f t="shared" si="156"/>
        <v>18</v>
      </c>
      <c r="R294" s="22">
        <f t="shared" si="157"/>
        <v>0</v>
      </c>
      <c r="S294" s="22">
        <f t="shared" si="158"/>
        <v>14.945008018637466</v>
      </c>
      <c r="T294" s="22">
        <f t="shared" si="159"/>
        <v>24.940799999999999</v>
      </c>
      <c r="U294" s="22">
        <f t="shared" si="160"/>
        <v>0</v>
      </c>
      <c r="V294" s="21">
        <f t="shared" si="172"/>
        <v>0</v>
      </c>
      <c r="W294" s="21">
        <f t="shared" si="173"/>
        <v>4.2724141306666654</v>
      </c>
      <c r="X294" s="21">
        <f t="shared" si="165"/>
        <v>0</v>
      </c>
      <c r="Y294" s="21">
        <f t="shared" si="166"/>
        <v>0</v>
      </c>
      <c r="Z294" s="221">
        <f t="shared" si="161"/>
        <v>2</v>
      </c>
      <c r="AA294" s="30">
        <f t="shared" si="149"/>
        <v>0</v>
      </c>
      <c r="AB294" s="30">
        <f t="shared" si="150"/>
        <v>2.9733205694316993</v>
      </c>
      <c r="AC294" s="30">
        <f t="shared" si="151"/>
        <v>0</v>
      </c>
      <c r="AD294" s="30">
        <f t="shared" si="152"/>
        <v>0</v>
      </c>
      <c r="AE294" s="32">
        <f t="shared" si="162"/>
        <v>2.9733205694316993</v>
      </c>
    </row>
    <row r="295" spans="1:31" x14ac:dyDescent="0.35">
      <c r="A295" s="48">
        <v>1716</v>
      </c>
      <c r="B295" s="58">
        <f>SUMIF([2]!Table2_23[ETA],'IAB Model'!A295,[2]!Table2_23[FIS PAX])</f>
        <v>0</v>
      </c>
      <c r="C295" s="44">
        <f t="shared" si="163"/>
        <v>18</v>
      </c>
      <c r="D295" s="52">
        <f t="shared" si="167"/>
        <v>14</v>
      </c>
      <c r="E295" s="26">
        <f t="shared" si="153"/>
        <v>8.2691999999999997</v>
      </c>
      <c r="F295" s="26">
        <f t="shared" si="154"/>
        <v>5.3369999999999997</v>
      </c>
      <c r="G295" s="26">
        <f t="shared" si="155"/>
        <v>3.1175999999999999</v>
      </c>
      <c r="H295" s="26">
        <f t="shared" si="164"/>
        <v>1.2762</v>
      </c>
      <c r="I295" s="27">
        <f t="shared" ref="I295:L310" si="189">E280</f>
        <v>8.2691999999999997</v>
      </c>
      <c r="J295" s="27">
        <f t="shared" si="189"/>
        <v>5.3369999999999997</v>
      </c>
      <c r="K295" s="27">
        <f t="shared" si="189"/>
        <v>3.1175999999999999</v>
      </c>
      <c r="L295" s="27">
        <f t="shared" si="189"/>
        <v>1.2762</v>
      </c>
      <c r="M295" s="28">
        <f>IF(R294=0,0,$Q$23)</f>
        <v>0</v>
      </c>
      <c r="N295" s="29">
        <f>$U$23-M295-O295-P295</f>
        <v>16</v>
      </c>
      <c r="O295" s="28">
        <f>IF(T294=0,0,$S$23)</f>
        <v>2</v>
      </c>
      <c r="P295" s="28">
        <f>IF(U294=0,0,$T$23)</f>
        <v>0</v>
      </c>
      <c r="Q295" s="28">
        <f t="shared" si="156"/>
        <v>18</v>
      </c>
      <c r="R295" s="22">
        <f t="shared" si="157"/>
        <v>8.2691999999999997</v>
      </c>
      <c r="S295" s="22">
        <f t="shared" si="158"/>
        <v>12.353153166819601</v>
      </c>
      <c r="T295" s="22">
        <f t="shared" si="159"/>
        <v>23.0964465080982</v>
      </c>
      <c r="U295" s="22">
        <f t="shared" si="160"/>
        <v>1.2762</v>
      </c>
      <c r="V295" s="21">
        <f t="shared" si="172"/>
        <v>0</v>
      </c>
      <c r="W295" s="21">
        <f t="shared" si="173"/>
        <v>1.3242997113749992</v>
      </c>
      <c r="X295" s="21">
        <f t="shared" si="165"/>
        <v>3.9565021244</v>
      </c>
      <c r="Y295" s="21">
        <f t="shared" si="166"/>
        <v>0</v>
      </c>
      <c r="Z295" s="221">
        <f t="shared" si="161"/>
        <v>2</v>
      </c>
      <c r="AA295" s="30">
        <f t="shared" ref="AA295:AA339" si="190">IF(R295&lt;&gt;0,($J$30*M295*$L$33),0)</f>
        <v>0</v>
      </c>
      <c r="AB295" s="30">
        <f t="shared" ref="AB295:AB339" si="191">IF(W295&lt;&gt;0,($J$31*N295*$L$33),0)</f>
        <v>7.9288548518178654</v>
      </c>
      <c r="AC295" s="30">
        <f t="shared" ref="AC295:AC339" si="192">IF(X295&lt;&gt;0,($J$32*O295*$L$33),0)</f>
        <v>4.9619534919017996</v>
      </c>
      <c r="AD295" s="30">
        <f t="shared" ref="AD295:AD339" si="193">IF(Y295&lt;&gt;0,($J$33*P295*$L$33),0)</f>
        <v>0</v>
      </c>
      <c r="AE295" s="32">
        <f t="shared" si="162"/>
        <v>12.890808343719666</v>
      </c>
    </row>
    <row r="296" spans="1:31" x14ac:dyDescent="0.35">
      <c r="A296" s="48">
        <v>1717</v>
      </c>
      <c r="B296" s="58">
        <f>SUMIF([2]!Table2_23[ETA],'IAB Model'!A296,[2]!Table2_23[FIS PAX])</f>
        <v>0</v>
      </c>
      <c r="C296" s="44">
        <f t="shared" si="163"/>
        <v>14</v>
      </c>
      <c r="D296" s="52">
        <f t="shared" si="167"/>
        <v>0</v>
      </c>
      <c r="E296" s="26">
        <f t="shared" ref="E296:E339" si="194">$C$30*C296</f>
        <v>6.4315999999999995</v>
      </c>
      <c r="F296" s="26">
        <f t="shared" ref="F296:F339" si="195">$C$31*C296</f>
        <v>4.1509999999999998</v>
      </c>
      <c r="G296" s="26">
        <f t="shared" ref="G296:G339" si="196">$C$32*C296</f>
        <v>2.4247999999999998</v>
      </c>
      <c r="H296" s="26">
        <f t="shared" si="164"/>
        <v>0.99260000000000004</v>
      </c>
      <c r="I296" s="27">
        <f t="shared" si="189"/>
        <v>8.2691999999999997</v>
      </c>
      <c r="J296" s="27">
        <f t="shared" si="189"/>
        <v>5.3369999999999997</v>
      </c>
      <c r="K296" s="27">
        <f t="shared" si="189"/>
        <v>3.1175999999999999</v>
      </c>
      <c r="L296" s="27">
        <f t="shared" si="189"/>
        <v>1.2762</v>
      </c>
      <c r="M296" s="28">
        <f>$M$295</f>
        <v>0</v>
      </c>
      <c r="N296" s="29">
        <f>$N$295</f>
        <v>16</v>
      </c>
      <c r="O296" s="28">
        <f>$O$295</f>
        <v>2</v>
      </c>
      <c r="P296" s="28">
        <f>$P$295</f>
        <v>0</v>
      </c>
      <c r="Q296" s="28">
        <f t="shared" ref="Q296:Q339" si="197">SUM(M296:P296)</f>
        <v>18</v>
      </c>
      <c r="R296" s="22">
        <f t="shared" ref="R296:R339" si="198">MAX(R295-($J$30*M296*$L$33)+I296,0)</f>
        <v>16.538399999999999</v>
      </c>
      <c r="S296" s="22">
        <f t="shared" ref="S296:S339" si="199">IF(U296&lt;&gt;0,(MAX(S295-($J$31*N296*$L$33)+J296,0)),(MAX(S295-($J$31*(N296+P296)*$L$33)+J296,0)))</f>
        <v>9.7612983150017349</v>
      </c>
      <c r="T296" s="22">
        <f t="shared" ref="T296:T339" si="200">MAX(T295-($J$32*O296*$L$33)+K296,0)</f>
        <v>21.252093016196401</v>
      </c>
      <c r="U296" s="22">
        <f t="shared" ref="U296:U339" si="201">MAX(U295-($J$33*P296*$L$33)+L296,0)</f>
        <v>2.5524</v>
      </c>
      <c r="V296" s="21">
        <f t="shared" si="172"/>
        <v>0</v>
      </c>
      <c r="W296" s="21">
        <f t="shared" si="173"/>
        <v>1.0464441237499991</v>
      </c>
      <c r="X296" s="21">
        <f t="shared" si="165"/>
        <v>3.6405579160000001</v>
      </c>
      <c r="Y296" s="21">
        <f t="shared" si="166"/>
        <v>0</v>
      </c>
      <c r="Z296" s="221">
        <f t="shared" ref="Z296:Z339" si="202">ROUNDUP(SUM(V296*$C$30,W296*$C$31,X296*$C$32,Y296*$C$33),0)</f>
        <v>1</v>
      </c>
      <c r="AA296" s="30">
        <f t="shared" si="190"/>
        <v>0</v>
      </c>
      <c r="AB296" s="30">
        <f t="shared" si="191"/>
        <v>7.9288548518178654</v>
      </c>
      <c r="AC296" s="30">
        <f t="shared" si="192"/>
        <v>4.9619534919017996</v>
      </c>
      <c r="AD296" s="30">
        <f t="shared" si="193"/>
        <v>0</v>
      </c>
      <c r="AE296" s="32">
        <f t="shared" ref="AE296:AE339" si="203">SUM(AA296:AD296)</f>
        <v>12.890808343719666</v>
      </c>
    </row>
    <row r="297" spans="1:31" x14ac:dyDescent="0.35">
      <c r="A297" s="48">
        <v>1718</v>
      </c>
      <c r="B297" s="58">
        <f>SUMIF([2]!Table2_23[ETA],'IAB Model'!A297,[2]!Table2_23[FIS PAX])</f>
        <v>0</v>
      </c>
      <c r="C297" s="44">
        <f t="shared" ref="C297:C339" si="204">IF((D296-D297)&gt;-1,(D296-D297),18)</f>
        <v>0</v>
      </c>
      <c r="D297" s="52">
        <f t="shared" si="167"/>
        <v>0</v>
      </c>
      <c r="E297" s="26">
        <f t="shared" si="194"/>
        <v>0</v>
      </c>
      <c r="F297" s="26">
        <f t="shared" si="195"/>
        <v>0</v>
      </c>
      <c r="G297" s="26">
        <f t="shared" si="196"/>
        <v>0</v>
      </c>
      <c r="H297" s="26">
        <f t="shared" ref="H297:H339" si="205">$C$33*C297</f>
        <v>0</v>
      </c>
      <c r="I297" s="27">
        <f t="shared" si="189"/>
        <v>8.2691999999999997</v>
      </c>
      <c r="J297" s="27">
        <f t="shared" si="189"/>
        <v>5.3369999999999997</v>
      </c>
      <c r="K297" s="27">
        <f t="shared" si="189"/>
        <v>3.1175999999999999</v>
      </c>
      <c r="L297" s="27">
        <f t="shared" si="189"/>
        <v>1.2762</v>
      </c>
      <c r="M297" s="28">
        <f t="shared" ref="M297:M309" si="206">$M$295</f>
        <v>0</v>
      </c>
      <c r="N297" s="29">
        <f t="shared" ref="N297:N309" si="207">$N$295</f>
        <v>16</v>
      </c>
      <c r="O297" s="28">
        <f t="shared" ref="O297:O309" si="208">$O$295</f>
        <v>2</v>
      </c>
      <c r="P297" s="28">
        <f t="shared" ref="P297:P309" si="209">$P$295</f>
        <v>0</v>
      </c>
      <c r="Q297" s="28">
        <f t="shared" si="197"/>
        <v>18</v>
      </c>
      <c r="R297" s="22">
        <f t="shared" si="198"/>
        <v>24.807600000000001</v>
      </c>
      <c r="S297" s="22">
        <f t="shared" si="199"/>
        <v>7.1694434631838693</v>
      </c>
      <c r="T297" s="22">
        <f t="shared" si="200"/>
        <v>19.407739524294602</v>
      </c>
      <c r="U297" s="22">
        <f t="shared" si="201"/>
        <v>3.8285999999999998</v>
      </c>
      <c r="V297" s="21">
        <f t="shared" si="172"/>
        <v>0</v>
      </c>
      <c r="W297" s="21">
        <f t="shared" si="173"/>
        <v>0.76858853612499911</v>
      </c>
      <c r="X297" s="21">
        <f t="shared" ref="X297:X339" si="210">IFERROR(T297*($I$32/O297),0)</f>
        <v>3.3246137076000002</v>
      </c>
      <c r="Y297" s="21">
        <f t="shared" ref="Y297:Y339" si="211">IFERROR(U297*($I$33/P297),0)</f>
        <v>0</v>
      </c>
      <c r="Z297" s="221">
        <f t="shared" si="202"/>
        <v>1</v>
      </c>
      <c r="AA297" s="30">
        <f t="shared" si="190"/>
        <v>0</v>
      </c>
      <c r="AB297" s="30">
        <f t="shared" si="191"/>
        <v>7.9288548518178654</v>
      </c>
      <c r="AC297" s="30">
        <f t="shared" si="192"/>
        <v>4.9619534919017996</v>
      </c>
      <c r="AD297" s="30">
        <f t="shared" si="193"/>
        <v>0</v>
      </c>
      <c r="AE297" s="32">
        <f t="shared" si="203"/>
        <v>12.890808343719666</v>
      </c>
    </row>
    <row r="298" spans="1:31" x14ac:dyDescent="0.35">
      <c r="A298" s="48">
        <v>1719</v>
      </c>
      <c r="B298" s="58">
        <f>SUMIF([2]!Table2_23[ETA],'IAB Model'!A298,[2]!Table2_23[FIS PAX])</f>
        <v>0</v>
      </c>
      <c r="C298" s="44">
        <f t="shared" si="204"/>
        <v>0</v>
      </c>
      <c r="D298" s="52">
        <f t="shared" ref="D298:D339" si="212">MAX(D297-$E$31+B297,0)</f>
        <v>0</v>
      </c>
      <c r="E298" s="26">
        <f t="shared" si="194"/>
        <v>0</v>
      </c>
      <c r="F298" s="26">
        <f t="shared" si="195"/>
        <v>0</v>
      </c>
      <c r="G298" s="26">
        <f t="shared" si="196"/>
        <v>0</v>
      </c>
      <c r="H298" s="26">
        <f t="shared" si="205"/>
        <v>0</v>
      </c>
      <c r="I298" s="27">
        <f t="shared" si="189"/>
        <v>8.2691999999999997</v>
      </c>
      <c r="J298" s="27">
        <f t="shared" si="189"/>
        <v>5.3369999999999997</v>
      </c>
      <c r="K298" s="27">
        <f t="shared" si="189"/>
        <v>3.1175999999999999</v>
      </c>
      <c r="L298" s="27">
        <f t="shared" si="189"/>
        <v>1.2762</v>
      </c>
      <c r="M298" s="28">
        <f t="shared" si="206"/>
        <v>0</v>
      </c>
      <c r="N298" s="29">
        <f t="shared" si="207"/>
        <v>16</v>
      </c>
      <c r="O298" s="28">
        <f t="shared" si="208"/>
        <v>2</v>
      </c>
      <c r="P298" s="28">
        <f t="shared" si="209"/>
        <v>0</v>
      </c>
      <c r="Q298" s="28">
        <f t="shared" si="197"/>
        <v>18</v>
      </c>
      <c r="R298" s="22">
        <f t="shared" si="198"/>
        <v>33.076799999999999</v>
      </c>
      <c r="S298" s="22">
        <f t="shared" si="199"/>
        <v>4.5775886113660036</v>
      </c>
      <c r="T298" s="22">
        <f t="shared" si="200"/>
        <v>17.563386032392803</v>
      </c>
      <c r="U298" s="22">
        <f t="shared" si="201"/>
        <v>5.1048</v>
      </c>
      <c r="V298" s="21">
        <f t="shared" si="172"/>
        <v>0</v>
      </c>
      <c r="W298" s="21">
        <f t="shared" si="173"/>
        <v>0.49073294849999899</v>
      </c>
      <c r="X298" s="21">
        <f t="shared" si="210"/>
        <v>3.0086694992000003</v>
      </c>
      <c r="Y298" s="21">
        <f t="shared" si="211"/>
        <v>0</v>
      </c>
      <c r="Z298" s="221">
        <f t="shared" si="202"/>
        <v>1</v>
      </c>
      <c r="AA298" s="30">
        <f t="shared" si="190"/>
        <v>0</v>
      </c>
      <c r="AB298" s="30">
        <f t="shared" si="191"/>
        <v>7.9288548518178654</v>
      </c>
      <c r="AC298" s="30">
        <f t="shared" si="192"/>
        <v>4.9619534919017996</v>
      </c>
      <c r="AD298" s="30">
        <f t="shared" si="193"/>
        <v>0</v>
      </c>
      <c r="AE298" s="32">
        <f t="shared" si="203"/>
        <v>12.890808343719666</v>
      </c>
    </row>
    <row r="299" spans="1:31" x14ac:dyDescent="0.35">
      <c r="A299" s="48">
        <v>1720</v>
      </c>
      <c r="B299" s="58">
        <f>SUMIF([2]!Table2_23[ETA],'IAB Model'!A299,[2]!Table2_23[FIS PAX])</f>
        <v>0</v>
      </c>
      <c r="C299" s="44">
        <f t="shared" si="204"/>
        <v>0</v>
      </c>
      <c r="D299" s="52">
        <f t="shared" si="212"/>
        <v>0</v>
      </c>
      <c r="E299" s="26">
        <f t="shared" si="194"/>
        <v>0</v>
      </c>
      <c r="F299" s="26">
        <f t="shared" si="195"/>
        <v>0</v>
      </c>
      <c r="G299" s="26">
        <f t="shared" si="196"/>
        <v>0</v>
      </c>
      <c r="H299" s="26">
        <f t="shared" si="205"/>
        <v>0</v>
      </c>
      <c r="I299" s="27">
        <f t="shared" si="189"/>
        <v>8.2691999999999997</v>
      </c>
      <c r="J299" s="27">
        <f t="shared" si="189"/>
        <v>5.3369999999999997</v>
      </c>
      <c r="K299" s="27">
        <f t="shared" si="189"/>
        <v>3.1175999999999999</v>
      </c>
      <c r="L299" s="27">
        <f t="shared" si="189"/>
        <v>1.2762</v>
      </c>
      <c r="M299" s="28">
        <f t="shared" si="206"/>
        <v>0</v>
      </c>
      <c r="N299" s="29">
        <f t="shared" si="207"/>
        <v>16</v>
      </c>
      <c r="O299" s="28">
        <f t="shared" si="208"/>
        <v>2</v>
      </c>
      <c r="P299" s="28">
        <f t="shared" si="209"/>
        <v>0</v>
      </c>
      <c r="Q299" s="28">
        <f t="shared" si="197"/>
        <v>18</v>
      </c>
      <c r="R299" s="22">
        <f t="shared" si="198"/>
        <v>41.345999999999997</v>
      </c>
      <c r="S299" s="22">
        <f t="shared" si="199"/>
        <v>1.9857337595481379</v>
      </c>
      <c r="T299" s="22">
        <f t="shared" si="200"/>
        <v>15.719032540491003</v>
      </c>
      <c r="U299" s="22">
        <f t="shared" si="201"/>
        <v>6.3810000000000002</v>
      </c>
      <c r="V299" s="21">
        <f t="shared" si="172"/>
        <v>0</v>
      </c>
      <c r="W299" s="21">
        <f t="shared" si="173"/>
        <v>0.21287736087499887</v>
      </c>
      <c r="X299" s="21">
        <f t="shared" si="210"/>
        <v>2.6927252908000008</v>
      </c>
      <c r="Y299" s="21">
        <f t="shared" si="211"/>
        <v>0</v>
      </c>
      <c r="Z299" s="221">
        <f t="shared" si="202"/>
        <v>1</v>
      </c>
      <c r="AA299" s="30">
        <f t="shared" si="190"/>
        <v>0</v>
      </c>
      <c r="AB299" s="30">
        <f t="shared" si="191"/>
        <v>7.9288548518178654</v>
      </c>
      <c r="AC299" s="30">
        <f t="shared" si="192"/>
        <v>4.9619534919017996</v>
      </c>
      <c r="AD299" s="30">
        <f t="shared" si="193"/>
        <v>0</v>
      </c>
      <c r="AE299" s="32">
        <f t="shared" si="203"/>
        <v>12.890808343719666</v>
      </c>
    </row>
    <row r="300" spans="1:31" x14ac:dyDescent="0.35">
      <c r="A300" s="48">
        <v>1721</v>
      </c>
      <c r="B300" s="58">
        <f>SUMIF([2]!Table2_23[ETA],'IAB Model'!A300,[2]!Table2_23[FIS PAX])</f>
        <v>0</v>
      </c>
      <c r="C300" s="44">
        <f t="shared" si="204"/>
        <v>0</v>
      </c>
      <c r="D300" s="52">
        <f t="shared" si="212"/>
        <v>0</v>
      </c>
      <c r="E300" s="26">
        <f t="shared" si="194"/>
        <v>0</v>
      </c>
      <c r="F300" s="26">
        <f t="shared" si="195"/>
        <v>0</v>
      </c>
      <c r="G300" s="26">
        <f t="shared" si="196"/>
        <v>0</v>
      </c>
      <c r="H300" s="26">
        <f t="shared" si="205"/>
        <v>0</v>
      </c>
      <c r="I300" s="27">
        <f t="shared" si="189"/>
        <v>8.2691999999999997</v>
      </c>
      <c r="J300" s="27">
        <f t="shared" si="189"/>
        <v>5.3369999999999997</v>
      </c>
      <c r="K300" s="27">
        <f t="shared" si="189"/>
        <v>3.1175999999999999</v>
      </c>
      <c r="L300" s="27">
        <f t="shared" si="189"/>
        <v>1.2762</v>
      </c>
      <c r="M300" s="28">
        <f t="shared" si="206"/>
        <v>0</v>
      </c>
      <c r="N300" s="29">
        <f t="shared" si="207"/>
        <v>16</v>
      </c>
      <c r="O300" s="28">
        <f t="shared" si="208"/>
        <v>2</v>
      </c>
      <c r="P300" s="28">
        <f t="shared" si="209"/>
        <v>0</v>
      </c>
      <c r="Q300" s="28">
        <f t="shared" si="197"/>
        <v>18</v>
      </c>
      <c r="R300" s="22">
        <f t="shared" si="198"/>
        <v>49.615199999999994</v>
      </c>
      <c r="S300" s="22">
        <f t="shared" si="199"/>
        <v>0</v>
      </c>
      <c r="T300" s="22">
        <f t="shared" si="200"/>
        <v>13.874679048589204</v>
      </c>
      <c r="U300" s="22">
        <f t="shared" si="201"/>
        <v>7.6572000000000005</v>
      </c>
      <c r="V300" s="21">
        <f t="shared" si="172"/>
        <v>0</v>
      </c>
      <c r="W300" s="21">
        <f t="shared" si="173"/>
        <v>0</v>
      </c>
      <c r="X300" s="21">
        <f t="shared" si="210"/>
        <v>2.3767810824000009</v>
      </c>
      <c r="Y300" s="21">
        <f t="shared" si="211"/>
        <v>0</v>
      </c>
      <c r="Z300" s="221">
        <f t="shared" si="202"/>
        <v>1</v>
      </c>
      <c r="AA300" s="30">
        <f t="shared" si="190"/>
        <v>0</v>
      </c>
      <c r="AB300" s="30">
        <f t="shared" si="191"/>
        <v>0</v>
      </c>
      <c r="AC300" s="30">
        <f t="shared" si="192"/>
        <v>4.9619534919017996</v>
      </c>
      <c r="AD300" s="30">
        <f t="shared" si="193"/>
        <v>0</v>
      </c>
      <c r="AE300" s="32">
        <f t="shared" si="203"/>
        <v>4.9619534919017996</v>
      </c>
    </row>
    <row r="301" spans="1:31" x14ac:dyDescent="0.35">
      <c r="A301" s="48">
        <v>1722</v>
      </c>
      <c r="B301" s="58">
        <f>SUMIF([2]!Table2_23[ETA],'IAB Model'!A301,[2]!Table2_23[FIS PAX])</f>
        <v>0</v>
      </c>
      <c r="C301" s="44">
        <f t="shared" si="204"/>
        <v>0</v>
      </c>
      <c r="D301" s="52">
        <f t="shared" si="212"/>
        <v>0</v>
      </c>
      <c r="E301" s="26">
        <f t="shared" si="194"/>
        <v>0</v>
      </c>
      <c r="F301" s="26">
        <f t="shared" si="195"/>
        <v>0</v>
      </c>
      <c r="G301" s="26">
        <f t="shared" si="196"/>
        <v>0</v>
      </c>
      <c r="H301" s="26">
        <f t="shared" si="205"/>
        <v>0</v>
      </c>
      <c r="I301" s="27">
        <f t="shared" si="189"/>
        <v>8.2691999999999997</v>
      </c>
      <c r="J301" s="27">
        <f t="shared" si="189"/>
        <v>5.3369999999999997</v>
      </c>
      <c r="K301" s="27">
        <f t="shared" si="189"/>
        <v>3.1175999999999999</v>
      </c>
      <c r="L301" s="27">
        <f t="shared" si="189"/>
        <v>1.2762</v>
      </c>
      <c r="M301" s="28">
        <f t="shared" si="206"/>
        <v>0</v>
      </c>
      <c r="N301" s="29">
        <f t="shared" si="207"/>
        <v>16</v>
      </c>
      <c r="O301" s="28">
        <f t="shared" si="208"/>
        <v>2</v>
      </c>
      <c r="P301" s="28">
        <f t="shared" si="209"/>
        <v>0</v>
      </c>
      <c r="Q301" s="28">
        <f t="shared" si="197"/>
        <v>18</v>
      </c>
      <c r="R301" s="22">
        <f t="shared" si="198"/>
        <v>57.884399999999992</v>
      </c>
      <c r="S301" s="22">
        <f t="shared" si="199"/>
        <v>0</v>
      </c>
      <c r="T301" s="22">
        <f t="shared" si="200"/>
        <v>12.030325556687405</v>
      </c>
      <c r="U301" s="22">
        <f t="shared" si="201"/>
        <v>8.9334000000000007</v>
      </c>
      <c r="V301" s="21">
        <f t="shared" si="172"/>
        <v>0</v>
      </c>
      <c r="W301" s="21">
        <f t="shared" si="173"/>
        <v>0</v>
      </c>
      <c r="X301" s="21">
        <f t="shared" si="210"/>
        <v>2.0608368740000009</v>
      </c>
      <c r="Y301" s="21">
        <f t="shared" si="211"/>
        <v>0</v>
      </c>
      <c r="Z301" s="221">
        <f t="shared" si="202"/>
        <v>1</v>
      </c>
      <c r="AA301" s="30">
        <f t="shared" si="190"/>
        <v>0</v>
      </c>
      <c r="AB301" s="30">
        <f t="shared" si="191"/>
        <v>0</v>
      </c>
      <c r="AC301" s="30">
        <f t="shared" si="192"/>
        <v>4.9619534919017996</v>
      </c>
      <c r="AD301" s="30">
        <f t="shared" si="193"/>
        <v>0</v>
      </c>
      <c r="AE301" s="32">
        <f t="shared" si="203"/>
        <v>4.9619534919017996</v>
      </c>
    </row>
    <row r="302" spans="1:31" x14ac:dyDescent="0.35">
      <c r="A302" s="48">
        <v>1723</v>
      </c>
      <c r="B302" s="58">
        <f>SUMIF([2]!Table2_23[ETA],'IAB Model'!A302,[2]!Table2_23[FIS PAX])</f>
        <v>0</v>
      </c>
      <c r="C302" s="44">
        <f t="shared" si="204"/>
        <v>0</v>
      </c>
      <c r="D302" s="52">
        <f t="shared" si="212"/>
        <v>0</v>
      </c>
      <c r="E302" s="26">
        <f t="shared" si="194"/>
        <v>0</v>
      </c>
      <c r="F302" s="26">
        <f t="shared" si="195"/>
        <v>0</v>
      </c>
      <c r="G302" s="26">
        <f t="shared" si="196"/>
        <v>0</v>
      </c>
      <c r="H302" s="26">
        <f t="shared" si="205"/>
        <v>0</v>
      </c>
      <c r="I302" s="27">
        <f t="shared" si="189"/>
        <v>0.91879999999999995</v>
      </c>
      <c r="J302" s="27">
        <f t="shared" si="189"/>
        <v>0.59299999999999997</v>
      </c>
      <c r="K302" s="27">
        <f t="shared" si="189"/>
        <v>0.34639999999999999</v>
      </c>
      <c r="L302" s="27">
        <f t="shared" si="189"/>
        <v>0.14180000000000001</v>
      </c>
      <c r="M302" s="28">
        <f t="shared" si="206"/>
        <v>0</v>
      </c>
      <c r="N302" s="29">
        <f t="shared" si="207"/>
        <v>16</v>
      </c>
      <c r="O302" s="28">
        <f t="shared" si="208"/>
        <v>2</v>
      </c>
      <c r="P302" s="28">
        <f t="shared" si="209"/>
        <v>0</v>
      </c>
      <c r="Q302" s="28">
        <f t="shared" si="197"/>
        <v>18</v>
      </c>
      <c r="R302" s="22">
        <f t="shared" si="198"/>
        <v>58.80319999999999</v>
      </c>
      <c r="S302" s="22">
        <f t="shared" si="199"/>
        <v>0</v>
      </c>
      <c r="T302" s="22">
        <f t="shared" si="200"/>
        <v>7.4147720647856055</v>
      </c>
      <c r="U302" s="22">
        <f t="shared" si="201"/>
        <v>9.0752000000000006</v>
      </c>
      <c r="V302" s="21">
        <f t="shared" si="172"/>
        <v>0</v>
      </c>
      <c r="W302" s="21">
        <f t="shared" si="173"/>
        <v>0</v>
      </c>
      <c r="X302" s="21">
        <f t="shared" si="210"/>
        <v>1.270176406400001</v>
      </c>
      <c r="Y302" s="21">
        <f t="shared" si="211"/>
        <v>0</v>
      </c>
      <c r="Z302" s="221">
        <f t="shared" si="202"/>
        <v>1</v>
      </c>
      <c r="AA302" s="30">
        <f t="shared" si="190"/>
        <v>0</v>
      </c>
      <c r="AB302" s="30">
        <f t="shared" si="191"/>
        <v>0</v>
      </c>
      <c r="AC302" s="30">
        <f t="shared" si="192"/>
        <v>4.9619534919017996</v>
      </c>
      <c r="AD302" s="30">
        <f t="shared" si="193"/>
        <v>0</v>
      </c>
      <c r="AE302" s="32">
        <f t="shared" si="203"/>
        <v>4.9619534919017996</v>
      </c>
    </row>
    <row r="303" spans="1:31" x14ac:dyDescent="0.35">
      <c r="A303" s="48">
        <v>1724</v>
      </c>
      <c r="B303" s="58">
        <f>SUMIF([2]!Table2_23[ETA],'IAB Model'!A303,[2]!Table2_23[FIS PAX])</f>
        <v>0</v>
      </c>
      <c r="C303" s="44">
        <f t="shared" si="204"/>
        <v>0</v>
      </c>
      <c r="D303" s="52">
        <f t="shared" si="212"/>
        <v>0</v>
      </c>
      <c r="E303" s="26">
        <f t="shared" si="194"/>
        <v>0</v>
      </c>
      <c r="F303" s="26">
        <f t="shared" si="195"/>
        <v>0</v>
      </c>
      <c r="G303" s="26">
        <f t="shared" si="196"/>
        <v>0</v>
      </c>
      <c r="H303" s="26">
        <f t="shared" si="205"/>
        <v>0</v>
      </c>
      <c r="I303" s="27">
        <f t="shared" si="189"/>
        <v>0</v>
      </c>
      <c r="J303" s="27">
        <f t="shared" si="189"/>
        <v>0</v>
      </c>
      <c r="K303" s="27">
        <f t="shared" si="189"/>
        <v>0</v>
      </c>
      <c r="L303" s="27">
        <f t="shared" si="189"/>
        <v>0</v>
      </c>
      <c r="M303" s="28">
        <f t="shared" si="206"/>
        <v>0</v>
      </c>
      <c r="N303" s="29">
        <f t="shared" si="207"/>
        <v>16</v>
      </c>
      <c r="O303" s="28">
        <f t="shared" si="208"/>
        <v>2</v>
      </c>
      <c r="P303" s="28">
        <f t="shared" si="209"/>
        <v>0</v>
      </c>
      <c r="Q303" s="28">
        <f t="shared" si="197"/>
        <v>18</v>
      </c>
      <c r="R303" s="22">
        <f t="shared" si="198"/>
        <v>58.80319999999999</v>
      </c>
      <c r="S303" s="22">
        <f t="shared" si="199"/>
        <v>0</v>
      </c>
      <c r="T303" s="22">
        <f t="shared" si="200"/>
        <v>2.4528185728838059</v>
      </c>
      <c r="U303" s="22">
        <f t="shared" si="201"/>
        <v>9.0752000000000006</v>
      </c>
      <c r="V303" s="21">
        <f t="shared" si="172"/>
        <v>0</v>
      </c>
      <c r="W303" s="21">
        <f t="shared" si="173"/>
        <v>0</v>
      </c>
      <c r="X303" s="21">
        <f t="shared" si="210"/>
        <v>0.42017640640000103</v>
      </c>
      <c r="Y303" s="21">
        <f t="shared" si="211"/>
        <v>0</v>
      </c>
      <c r="Z303" s="221">
        <f t="shared" si="202"/>
        <v>1</v>
      </c>
      <c r="AA303" s="30">
        <f t="shared" si="190"/>
        <v>0</v>
      </c>
      <c r="AB303" s="30">
        <f t="shared" si="191"/>
        <v>0</v>
      </c>
      <c r="AC303" s="30">
        <f t="shared" si="192"/>
        <v>4.9619534919017996</v>
      </c>
      <c r="AD303" s="30">
        <f t="shared" si="193"/>
        <v>0</v>
      </c>
      <c r="AE303" s="32">
        <f t="shared" si="203"/>
        <v>4.9619534919017996</v>
      </c>
    </row>
    <row r="304" spans="1:31" x14ac:dyDescent="0.35">
      <c r="A304" s="48">
        <v>1725</v>
      </c>
      <c r="B304" s="58">
        <f>SUMIF([2]!Table2_23[ETA],'IAB Model'!A304,[2]!Table2_23[FIS PAX])</f>
        <v>0</v>
      </c>
      <c r="C304" s="44">
        <f t="shared" si="204"/>
        <v>0</v>
      </c>
      <c r="D304" s="52">
        <f t="shared" si="212"/>
        <v>0</v>
      </c>
      <c r="E304" s="26">
        <f t="shared" si="194"/>
        <v>0</v>
      </c>
      <c r="F304" s="26">
        <f t="shared" si="195"/>
        <v>0</v>
      </c>
      <c r="G304" s="26">
        <f t="shared" si="196"/>
        <v>0</v>
      </c>
      <c r="H304" s="26">
        <f t="shared" si="205"/>
        <v>0</v>
      </c>
      <c r="I304" s="27">
        <f t="shared" si="189"/>
        <v>0</v>
      </c>
      <c r="J304" s="27">
        <f t="shared" si="189"/>
        <v>0</v>
      </c>
      <c r="K304" s="27">
        <f t="shared" si="189"/>
        <v>0</v>
      </c>
      <c r="L304" s="27">
        <f t="shared" si="189"/>
        <v>0</v>
      </c>
      <c r="M304" s="28">
        <f t="shared" si="206"/>
        <v>0</v>
      </c>
      <c r="N304" s="29">
        <f t="shared" si="207"/>
        <v>16</v>
      </c>
      <c r="O304" s="28">
        <f t="shared" si="208"/>
        <v>2</v>
      </c>
      <c r="P304" s="28">
        <f t="shared" si="209"/>
        <v>0</v>
      </c>
      <c r="Q304" s="28">
        <f t="shared" si="197"/>
        <v>18</v>
      </c>
      <c r="R304" s="22">
        <f t="shared" si="198"/>
        <v>58.80319999999999</v>
      </c>
      <c r="S304" s="22">
        <f t="shared" si="199"/>
        <v>0</v>
      </c>
      <c r="T304" s="22">
        <f t="shared" si="200"/>
        <v>0</v>
      </c>
      <c r="U304" s="22">
        <f t="shared" si="201"/>
        <v>9.0752000000000006</v>
      </c>
      <c r="V304" s="21">
        <f t="shared" si="172"/>
        <v>0</v>
      </c>
      <c r="W304" s="21">
        <f t="shared" si="173"/>
        <v>0</v>
      </c>
      <c r="X304" s="21">
        <f t="shared" si="210"/>
        <v>0</v>
      </c>
      <c r="Y304" s="21">
        <f t="shared" si="211"/>
        <v>0</v>
      </c>
      <c r="Z304" s="221">
        <f t="shared" si="202"/>
        <v>0</v>
      </c>
      <c r="AA304" s="30">
        <f t="shared" si="190"/>
        <v>0</v>
      </c>
      <c r="AB304" s="30">
        <f t="shared" si="191"/>
        <v>0</v>
      </c>
      <c r="AC304" s="30">
        <f t="shared" si="192"/>
        <v>0</v>
      </c>
      <c r="AD304" s="30">
        <f t="shared" si="193"/>
        <v>0</v>
      </c>
      <c r="AE304" s="32">
        <f t="shared" si="203"/>
        <v>0</v>
      </c>
    </row>
    <row r="305" spans="1:31" x14ac:dyDescent="0.35">
      <c r="A305" s="48">
        <v>1726</v>
      </c>
      <c r="B305" s="58">
        <f>SUMIF([2]!Table2_23[ETA],'IAB Model'!A305,[2]!Table2_23[FIS PAX])</f>
        <v>0</v>
      </c>
      <c r="C305" s="44">
        <f t="shared" si="204"/>
        <v>0</v>
      </c>
      <c r="D305" s="52">
        <f t="shared" si="212"/>
        <v>0</v>
      </c>
      <c r="E305" s="26">
        <f t="shared" si="194"/>
        <v>0</v>
      </c>
      <c r="F305" s="26">
        <f t="shared" si="195"/>
        <v>0</v>
      </c>
      <c r="G305" s="26">
        <f t="shared" si="196"/>
        <v>0</v>
      </c>
      <c r="H305" s="26">
        <f t="shared" si="205"/>
        <v>0</v>
      </c>
      <c r="I305" s="27">
        <f t="shared" si="189"/>
        <v>0</v>
      </c>
      <c r="J305" s="27">
        <f t="shared" si="189"/>
        <v>0</v>
      </c>
      <c r="K305" s="27">
        <f t="shared" si="189"/>
        <v>0</v>
      </c>
      <c r="L305" s="27">
        <f t="shared" si="189"/>
        <v>0</v>
      </c>
      <c r="M305" s="28">
        <f t="shared" si="206"/>
        <v>0</v>
      </c>
      <c r="N305" s="29">
        <f t="shared" si="207"/>
        <v>16</v>
      </c>
      <c r="O305" s="28">
        <f t="shared" si="208"/>
        <v>2</v>
      </c>
      <c r="P305" s="28">
        <f t="shared" si="209"/>
        <v>0</v>
      </c>
      <c r="Q305" s="28">
        <f t="shared" si="197"/>
        <v>18</v>
      </c>
      <c r="R305" s="22">
        <f t="shared" si="198"/>
        <v>58.80319999999999</v>
      </c>
      <c r="S305" s="22">
        <f t="shared" si="199"/>
        <v>0</v>
      </c>
      <c r="T305" s="22">
        <f t="shared" si="200"/>
        <v>0</v>
      </c>
      <c r="U305" s="22">
        <f t="shared" si="201"/>
        <v>9.0752000000000006</v>
      </c>
      <c r="V305" s="21">
        <f t="shared" si="172"/>
        <v>0</v>
      </c>
      <c r="W305" s="21">
        <f t="shared" si="173"/>
        <v>0</v>
      </c>
      <c r="X305" s="21">
        <f t="shared" si="210"/>
        <v>0</v>
      </c>
      <c r="Y305" s="21">
        <f t="shared" si="211"/>
        <v>0</v>
      </c>
      <c r="Z305" s="221">
        <f t="shared" si="202"/>
        <v>0</v>
      </c>
      <c r="AA305" s="30">
        <f t="shared" si="190"/>
        <v>0</v>
      </c>
      <c r="AB305" s="30">
        <f t="shared" si="191"/>
        <v>0</v>
      </c>
      <c r="AC305" s="30">
        <f t="shared" si="192"/>
        <v>0</v>
      </c>
      <c r="AD305" s="30">
        <f t="shared" si="193"/>
        <v>0</v>
      </c>
      <c r="AE305" s="32">
        <f t="shared" si="203"/>
        <v>0</v>
      </c>
    </row>
    <row r="306" spans="1:31" x14ac:dyDescent="0.35">
      <c r="A306" s="48">
        <v>1727</v>
      </c>
      <c r="B306" s="58">
        <f>SUMIF([2]!Table2_23[ETA],'IAB Model'!A306,[2]!Table2_23[FIS PAX])</f>
        <v>0</v>
      </c>
      <c r="C306" s="44">
        <f t="shared" si="204"/>
        <v>0</v>
      </c>
      <c r="D306" s="52">
        <f t="shared" si="212"/>
        <v>0</v>
      </c>
      <c r="E306" s="26">
        <f t="shared" si="194"/>
        <v>0</v>
      </c>
      <c r="F306" s="26">
        <f t="shared" si="195"/>
        <v>0</v>
      </c>
      <c r="G306" s="26">
        <f t="shared" si="196"/>
        <v>0</v>
      </c>
      <c r="H306" s="26">
        <f t="shared" si="205"/>
        <v>0</v>
      </c>
      <c r="I306" s="27">
        <f t="shared" si="189"/>
        <v>8.2691999999999997</v>
      </c>
      <c r="J306" s="27">
        <f t="shared" si="189"/>
        <v>5.3369999999999997</v>
      </c>
      <c r="K306" s="27">
        <f t="shared" si="189"/>
        <v>3.1175999999999999</v>
      </c>
      <c r="L306" s="27">
        <f t="shared" si="189"/>
        <v>1.2762</v>
      </c>
      <c r="M306" s="28">
        <f t="shared" si="206"/>
        <v>0</v>
      </c>
      <c r="N306" s="29">
        <f t="shared" si="207"/>
        <v>16</v>
      </c>
      <c r="O306" s="28">
        <f t="shared" si="208"/>
        <v>2</v>
      </c>
      <c r="P306" s="28">
        <f t="shared" si="209"/>
        <v>0</v>
      </c>
      <c r="Q306" s="28">
        <f t="shared" si="197"/>
        <v>18</v>
      </c>
      <c r="R306" s="22">
        <f t="shared" si="198"/>
        <v>67.072399999999988</v>
      </c>
      <c r="S306" s="22">
        <f t="shared" si="199"/>
        <v>0</v>
      </c>
      <c r="T306" s="22">
        <f t="shared" si="200"/>
        <v>0</v>
      </c>
      <c r="U306" s="22">
        <f t="shared" si="201"/>
        <v>10.3514</v>
      </c>
      <c r="V306" s="21">
        <f t="shared" si="172"/>
        <v>0</v>
      </c>
      <c r="W306" s="21">
        <f t="shared" si="173"/>
        <v>0</v>
      </c>
      <c r="X306" s="21">
        <f t="shared" si="210"/>
        <v>0</v>
      </c>
      <c r="Y306" s="21">
        <f t="shared" si="211"/>
        <v>0</v>
      </c>
      <c r="Z306" s="221">
        <f t="shared" si="202"/>
        <v>0</v>
      </c>
      <c r="AA306" s="30">
        <f t="shared" si="190"/>
        <v>0</v>
      </c>
      <c r="AB306" s="30">
        <f t="shared" si="191"/>
        <v>0</v>
      </c>
      <c r="AC306" s="30">
        <f t="shared" si="192"/>
        <v>0</v>
      </c>
      <c r="AD306" s="30">
        <f t="shared" si="193"/>
        <v>0</v>
      </c>
      <c r="AE306" s="32">
        <f t="shared" si="203"/>
        <v>0</v>
      </c>
    </row>
    <row r="307" spans="1:31" x14ac:dyDescent="0.35">
      <c r="A307" s="48">
        <v>1728</v>
      </c>
      <c r="B307" s="58">
        <f>SUMIF([2]!Table2_23[ETA],'IAB Model'!A307,[2]!Table2_23[FIS PAX])</f>
        <v>0</v>
      </c>
      <c r="C307" s="44">
        <f t="shared" si="204"/>
        <v>0</v>
      </c>
      <c r="D307" s="52">
        <f t="shared" si="212"/>
        <v>0</v>
      </c>
      <c r="E307" s="26">
        <f t="shared" si="194"/>
        <v>0</v>
      </c>
      <c r="F307" s="26">
        <f t="shared" si="195"/>
        <v>0</v>
      </c>
      <c r="G307" s="26">
        <f t="shared" si="196"/>
        <v>0</v>
      </c>
      <c r="H307" s="26">
        <f t="shared" si="205"/>
        <v>0</v>
      </c>
      <c r="I307" s="27">
        <f t="shared" si="189"/>
        <v>8.2691999999999997</v>
      </c>
      <c r="J307" s="27">
        <f t="shared" si="189"/>
        <v>5.3369999999999997</v>
      </c>
      <c r="K307" s="27">
        <f t="shared" si="189"/>
        <v>3.1175999999999999</v>
      </c>
      <c r="L307" s="27">
        <f t="shared" si="189"/>
        <v>1.2762</v>
      </c>
      <c r="M307" s="28">
        <f t="shared" si="206"/>
        <v>0</v>
      </c>
      <c r="N307" s="29">
        <f t="shared" si="207"/>
        <v>16</v>
      </c>
      <c r="O307" s="28">
        <f t="shared" si="208"/>
        <v>2</v>
      </c>
      <c r="P307" s="28">
        <f t="shared" si="209"/>
        <v>0</v>
      </c>
      <c r="Q307" s="28">
        <f t="shared" si="197"/>
        <v>18</v>
      </c>
      <c r="R307" s="22">
        <f t="shared" si="198"/>
        <v>75.341599999999985</v>
      </c>
      <c r="S307" s="22">
        <f t="shared" si="199"/>
        <v>0</v>
      </c>
      <c r="T307" s="22">
        <f t="shared" si="200"/>
        <v>0</v>
      </c>
      <c r="U307" s="22">
        <f t="shared" si="201"/>
        <v>11.627599999999999</v>
      </c>
      <c r="V307" s="21">
        <f t="shared" si="172"/>
        <v>0</v>
      </c>
      <c r="W307" s="21">
        <f t="shared" si="173"/>
        <v>0</v>
      </c>
      <c r="X307" s="21">
        <f t="shared" si="210"/>
        <v>0</v>
      </c>
      <c r="Y307" s="21">
        <f t="shared" si="211"/>
        <v>0</v>
      </c>
      <c r="Z307" s="221">
        <f t="shared" si="202"/>
        <v>0</v>
      </c>
      <c r="AA307" s="30">
        <f t="shared" si="190"/>
        <v>0</v>
      </c>
      <c r="AB307" s="30">
        <f t="shared" si="191"/>
        <v>0</v>
      </c>
      <c r="AC307" s="30">
        <f t="shared" si="192"/>
        <v>0</v>
      </c>
      <c r="AD307" s="30">
        <f t="shared" si="193"/>
        <v>0</v>
      </c>
      <c r="AE307" s="32">
        <f t="shared" si="203"/>
        <v>0</v>
      </c>
    </row>
    <row r="308" spans="1:31" x14ac:dyDescent="0.35">
      <c r="A308" s="48">
        <v>1729</v>
      </c>
      <c r="B308" s="58">
        <f>SUMIF([2]!Table2_23[ETA],'IAB Model'!A308,[2]!Table2_23[FIS PAX])</f>
        <v>0</v>
      </c>
      <c r="C308" s="44">
        <f t="shared" si="204"/>
        <v>0</v>
      </c>
      <c r="D308" s="52">
        <f t="shared" si="212"/>
        <v>0</v>
      </c>
      <c r="E308" s="26">
        <f t="shared" si="194"/>
        <v>0</v>
      </c>
      <c r="F308" s="26">
        <f t="shared" si="195"/>
        <v>0</v>
      </c>
      <c r="G308" s="26">
        <f t="shared" si="196"/>
        <v>0</v>
      </c>
      <c r="H308" s="26">
        <f t="shared" si="205"/>
        <v>0</v>
      </c>
      <c r="I308" s="27">
        <f t="shared" si="189"/>
        <v>8.2691999999999997</v>
      </c>
      <c r="J308" s="27">
        <f t="shared" si="189"/>
        <v>5.3369999999999997</v>
      </c>
      <c r="K308" s="27">
        <f t="shared" si="189"/>
        <v>3.1175999999999999</v>
      </c>
      <c r="L308" s="27">
        <f t="shared" si="189"/>
        <v>1.2762</v>
      </c>
      <c r="M308" s="28">
        <f t="shared" si="206"/>
        <v>0</v>
      </c>
      <c r="N308" s="29">
        <f t="shared" si="207"/>
        <v>16</v>
      </c>
      <c r="O308" s="28">
        <f t="shared" si="208"/>
        <v>2</v>
      </c>
      <c r="P308" s="28">
        <f t="shared" si="209"/>
        <v>0</v>
      </c>
      <c r="Q308" s="28">
        <f t="shared" si="197"/>
        <v>18</v>
      </c>
      <c r="R308" s="22">
        <f t="shared" si="198"/>
        <v>83.610799999999983</v>
      </c>
      <c r="S308" s="22">
        <f t="shared" si="199"/>
        <v>0</v>
      </c>
      <c r="T308" s="22">
        <f t="shared" si="200"/>
        <v>0</v>
      </c>
      <c r="U308" s="22">
        <f t="shared" si="201"/>
        <v>12.903799999999999</v>
      </c>
      <c r="V308" s="21">
        <f t="shared" ref="V308:V339" si="213">IFERROR(R308*($I$30/M308),0)</f>
        <v>0</v>
      </c>
      <c r="W308" s="21">
        <f t="shared" si="173"/>
        <v>0</v>
      </c>
      <c r="X308" s="21">
        <f t="shared" si="210"/>
        <v>0</v>
      </c>
      <c r="Y308" s="21">
        <f t="shared" si="211"/>
        <v>0</v>
      </c>
      <c r="Z308" s="221">
        <f t="shared" si="202"/>
        <v>0</v>
      </c>
      <c r="AA308" s="30">
        <f t="shared" si="190"/>
        <v>0</v>
      </c>
      <c r="AB308" s="30">
        <f t="shared" si="191"/>
        <v>0</v>
      </c>
      <c r="AC308" s="30">
        <f t="shared" si="192"/>
        <v>0</v>
      </c>
      <c r="AD308" s="30">
        <f t="shared" si="193"/>
        <v>0</v>
      </c>
      <c r="AE308" s="32">
        <f t="shared" si="203"/>
        <v>0</v>
      </c>
    </row>
    <row r="309" spans="1:31" x14ac:dyDescent="0.35">
      <c r="A309" s="48">
        <v>1730</v>
      </c>
      <c r="B309" s="58">
        <f>SUMIF([2]!Table2_23[ETA],'IAB Model'!A309,[2]!Table2_23[FIS PAX])</f>
        <v>0</v>
      </c>
      <c r="C309" s="44">
        <f t="shared" si="204"/>
        <v>0</v>
      </c>
      <c r="D309" s="52">
        <f t="shared" si="212"/>
        <v>0</v>
      </c>
      <c r="E309" s="26">
        <f t="shared" si="194"/>
        <v>0</v>
      </c>
      <c r="F309" s="26">
        <f t="shared" si="195"/>
        <v>0</v>
      </c>
      <c r="G309" s="26">
        <f t="shared" si="196"/>
        <v>0</v>
      </c>
      <c r="H309" s="26">
        <f t="shared" si="205"/>
        <v>0</v>
      </c>
      <c r="I309" s="27">
        <f t="shared" si="189"/>
        <v>8.2691999999999997</v>
      </c>
      <c r="J309" s="27">
        <f t="shared" si="189"/>
        <v>5.3369999999999997</v>
      </c>
      <c r="K309" s="27">
        <f t="shared" si="189"/>
        <v>3.1175999999999999</v>
      </c>
      <c r="L309" s="27">
        <f t="shared" si="189"/>
        <v>1.2762</v>
      </c>
      <c r="M309" s="28">
        <f t="shared" si="206"/>
        <v>0</v>
      </c>
      <c r="N309" s="29">
        <f t="shared" si="207"/>
        <v>16</v>
      </c>
      <c r="O309" s="28">
        <f t="shared" si="208"/>
        <v>2</v>
      </c>
      <c r="P309" s="28">
        <f t="shared" si="209"/>
        <v>0</v>
      </c>
      <c r="Q309" s="28">
        <f t="shared" si="197"/>
        <v>18</v>
      </c>
      <c r="R309" s="22">
        <f t="shared" si="198"/>
        <v>91.879999999999981</v>
      </c>
      <c r="S309" s="22">
        <f t="shared" si="199"/>
        <v>0</v>
      </c>
      <c r="T309" s="22">
        <f t="shared" si="200"/>
        <v>0</v>
      </c>
      <c r="U309" s="22">
        <f t="shared" si="201"/>
        <v>14.179999999999998</v>
      </c>
      <c r="V309" s="21">
        <f t="shared" si="213"/>
        <v>0</v>
      </c>
      <c r="W309" s="21">
        <f t="shared" ref="W309:W339" si="214">IFERROR(S309*($I$31/N309),0)</f>
        <v>0</v>
      </c>
      <c r="X309" s="21">
        <f t="shared" si="210"/>
        <v>0</v>
      </c>
      <c r="Y309" s="21">
        <f t="shared" si="211"/>
        <v>0</v>
      </c>
      <c r="Z309" s="221">
        <f t="shared" si="202"/>
        <v>0</v>
      </c>
      <c r="AA309" s="30">
        <f t="shared" si="190"/>
        <v>0</v>
      </c>
      <c r="AB309" s="30">
        <f t="shared" si="191"/>
        <v>0</v>
      </c>
      <c r="AC309" s="30">
        <f t="shared" si="192"/>
        <v>0</v>
      </c>
      <c r="AD309" s="30">
        <f t="shared" si="193"/>
        <v>0</v>
      </c>
      <c r="AE309" s="32">
        <f t="shared" si="203"/>
        <v>0</v>
      </c>
    </row>
    <row r="310" spans="1:31" x14ac:dyDescent="0.35">
      <c r="A310" s="48">
        <v>1731</v>
      </c>
      <c r="B310" s="58">
        <f>SUMIF([2]!Table2_23[ETA],'IAB Model'!A310,[2]!Table2_23[FIS PAX])</f>
        <v>0</v>
      </c>
      <c r="C310" s="44">
        <f t="shared" si="204"/>
        <v>0</v>
      </c>
      <c r="D310" s="52">
        <f t="shared" si="212"/>
        <v>0</v>
      </c>
      <c r="E310" s="26">
        <f t="shared" si="194"/>
        <v>0</v>
      </c>
      <c r="F310" s="26">
        <f t="shared" si="195"/>
        <v>0</v>
      </c>
      <c r="G310" s="26">
        <f t="shared" si="196"/>
        <v>0</v>
      </c>
      <c r="H310" s="26">
        <f t="shared" si="205"/>
        <v>0</v>
      </c>
      <c r="I310" s="27">
        <f t="shared" si="189"/>
        <v>8.2691999999999997</v>
      </c>
      <c r="J310" s="27">
        <f t="shared" si="189"/>
        <v>5.3369999999999997</v>
      </c>
      <c r="K310" s="27">
        <f t="shared" si="189"/>
        <v>3.1175999999999999</v>
      </c>
      <c r="L310" s="27">
        <f t="shared" si="189"/>
        <v>1.2762</v>
      </c>
      <c r="M310" s="28">
        <f>IF(R309=0,0,$Q$24)</f>
        <v>11</v>
      </c>
      <c r="N310" s="29">
        <f>$U$24-M310-O310-P310</f>
        <v>6</v>
      </c>
      <c r="O310" s="28">
        <f>IF(T309=0,0,$S$24)</f>
        <v>0</v>
      </c>
      <c r="P310" s="28">
        <f>IF(U309=0,0,$T$24)</f>
        <v>1</v>
      </c>
      <c r="Q310" s="28">
        <f t="shared" si="197"/>
        <v>18</v>
      </c>
      <c r="R310" s="22">
        <f t="shared" si="198"/>
        <v>76.997612816322473</v>
      </c>
      <c r="S310" s="22">
        <f t="shared" si="199"/>
        <v>2.3636794305683004</v>
      </c>
      <c r="T310" s="22">
        <f t="shared" si="200"/>
        <v>3.1175999999999999</v>
      </c>
      <c r="U310" s="22">
        <f t="shared" si="201"/>
        <v>13.619866962640343</v>
      </c>
      <c r="V310" s="21">
        <f t="shared" si="213"/>
        <v>2.8269323556363628</v>
      </c>
      <c r="W310" s="21">
        <f t="shared" si="214"/>
        <v>0.67571843300000001</v>
      </c>
      <c r="X310" s="21">
        <f t="shared" si="210"/>
        <v>0</v>
      </c>
      <c r="Y310" s="21">
        <f t="shared" si="211"/>
        <v>6.3043503997999988</v>
      </c>
      <c r="Z310" s="221">
        <f t="shared" si="202"/>
        <v>2</v>
      </c>
      <c r="AA310" s="30">
        <f t="shared" si="190"/>
        <v>23.15158718367751</v>
      </c>
      <c r="AB310" s="30">
        <f t="shared" si="191"/>
        <v>2.9733205694316993</v>
      </c>
      <c r="AC310" s="30">
        <f t="shared" si="192"/>
        <v>0</v>
      </c>
      <c r="AD310" s="30">
        <f t="shared" si="193"/>
        <v>1.8363330373596554</v>
      </c>
      <c r="AE310" s="32">
        <f t="shared" si="203"/>
        <v>27.961240790468864</v>
      </c>
    </row>
    <row r="311" spans="1:31" x14ac:dyDescent="0.35">
      <c r="A311" s="48">
        <v>1732</v>
      </c>
      <c r="B311" s="58">
        <f>SUMIF([2]!Table2_23[ETA],'IAB Model'!A311,[2]!Table2_23[FIS PAX])</f>
        <v>0</v>
      </c>
      <c r="C311" s="44">
        <f t="shared" si="204"/>
        <v>0</v>
      </c>
      <c r="D311" s="52">
        <f t="shared" si="212"/>
        <v>0</v>
      </c>
      <c r="E311" s="26">
        <f t="shared" si="194"/>
        <v>0</v>
      </c>
      <c r="F311" s="26">
        <f t="shared" si="195"/>
        <v>0</v>
      </c>
      <c r="G311" s="26">
        <f t="shared" si="196"/>
        <v>0</v>
      </c>
      <c r="H311" s="26">
        <f t="shared" si="205"/>
        <v>0</v>
      </c>
      <c r="I311" s="27">
        <f t="shared" ref="I311:L326" si="215">E296</f>
        <v>6.4315999999999995</v>
      </c>
      <c r="J311" s="27">
        <f t="shared" si="215"/>
        <v>4.1509999999999998</v>
      </c>
      <c r="K311" s="27">
        <f t="shared" si="215"/>
        <v>2.4247999999999998</v>
      </c>
      <c r="L311" s="27">
        <f t="shared" si="215"/>
        <v>0.99260000000000004</v>
      </c>
      <c r="M311" s="28">
        <f>$M$310</f>
        <v>11</v>
      </c>
      <c r="N311" s="29">
        <f>$N$310</f>
        <v>6</v>
      </c>
      <c r="O311" s="28">
        <f>$O$310</f>
        <v>0</v>
      </c>
      <c r="P311" s="28">
        <f>$P$310</f>
        <v>1</v>
      </c>
      <c r="Q311" s="28">
        <f t="shared" si="197"/>
        <v>18</v>
      </c>
      <c r="R311" s="22">
        <f t="shared" si="198"/>
        <v>60.27762563264497</v>
      </c>
      <c r="S311" s="22">
        <f t="shared" si="199"/>
        <v>3.5413588611366009</v>
      </c>
      <c r="T311" s="22">
        <f t="shared" si="200"/>
        <v>5.5423999999999998</v>
      </c>
      <c r="U311" s="22">
        <f t="shared" si="201"/>
        <v>12.776133925280687</v>
      </c>
      <c r="V311" s="21">
        <f t="shared" si="213"/>
        <v>2.2130656261818178</v>
      </c>
      <c r="W311" s="21">
        <f t="shared" si="214"/>
        <v>1.0123883253333332</v>
      </c>
      <c r="X311" s="21">
        <f t="shared" si="210"/>
        <v>0</v>
      </c>
      <c r="Y311" s="21">
        <f t="shared" si="211"/>
        <v>5.9138040951999988</v>
      </c>
      <c r="Z311" s="221">
        <f t="shared" si="202"/>
        <v>2</v>
      </c>
      <c r="AA311" s="30">
        <f t="shared" si="190"/>
        <v>23.15158718367751</v>
      </c>
      <c r="AB311" s="30">
        <f t="shared" si="191"/>
        <v>2.9733205694316993</v>
      </c>
      <c r="AC311" s="30">
        <f t="shared" si="192"/>
        <v>0</v>
      </c>
      <c r="AD311" s="30">
        <f t="shared" si="193"/>
        <v>1.8363330373596554</v>
      </c>
      <c r="AE311" s="32">
        <f t="shared" si="203"/>
        <v>27.961240790468864</v>
      </c>
    </row>
    <row r="312" spans="1:31" x14ac:dyDescent="0.35">
      <c r="A312" s="48">
        <v>1733</v>
      </c>
      <c r="B312" s="58">
        <f>SUMIF([2]!Table2_23[ETA],'IAB Model'!A312,[2]!Table2_23[FIS PAX])</f>
        <v>0</v>
      </c>
      <c r="C312" s="44">
        <f t="shared" si="204"/>
        <v>0</v>
      </c>
      <c r="D312" s="52">
        <f t="shared" si="212"/>
        <v>0</v>
      </c>
      <c r="E312" s="26">
        <f t="shared" si="194"/>
        <v>0</v>
      </c>
      <c r="F312" s="26">
        <f t="shared" si="195"/>
        <v>0</v>
      </c>
      <c r="G312" s="26">
        <f t="shared" si="196"/>
        <v>0</v>
      </c>
      <c r="H312" s="26">
        <f t="shared" si="205"/>
        <v>0</v>
      </c>
      <c r="I312" s="27">
        <f t="shared" si="215"/>
        <v>0</v>
      </c>
      <c r="J312" s="27">
        <f t="shared" si="215"/>
        <v>0</v>
      </c>
      <c r="K312" s="27">
        <f t="shared" si="215"/>
        <v>0</v>
      </c>
      <c r="L312" s="27">
        <f t="shared" si="215"/>
        <v>0</v>
      </c>
      <c r="M312" s="28">
        <f t="shared" ref="M312:M324" si="216">$M$310</f>
        <v>11</v>
      </c>
      <c r="N312" s="29">
        <f t="shared" ref="N312:N324" si="217">$N$310</f>
        <v>6</v>
      </c>
      <c r="O312" s="28">
        <f t="shared" ref="O312:O324" si="218">$O$310</f>
        <v>0</v>
      </c>
      <c r="P312" s="28">
        <f t="shared" ref="P312:P324" si="219">$P$310</f>
        <v>1</v>
      </c>
      <c r="Q312" s="28">
        <f t="shared" si="197"/>
        <v>18</v>
      </c>
      <c r="R312" s="22">
        <f t="shared" si="198"/>
        <v>37.126038448967464</v>
      </c>
      <c r="S312" s="22">
        <f t="shared" si="199"/>
        <v>0.56803829170490161</v>
      </c>
      <c r="T312" s="22">
        <f t="shared" si="200"/>
        <v>5.5423999999999998</v>
      </c>
      <c r="U312" s="22">
        <f t="shared" si="201"/>
        <v>10.939800887921033</v>
      </c>
      <c r="V312" s="21">
        <f t="shared" si="213"/>
        <v>1.3630656261818181</v>
      </c>
      <c r="W312" s="21">
        <f t="shared" si="214"/>
        <v>0.16238832533333322</v>
      </c>
      <c r="X312" s="21">
        <f t="shared" si="210"/>
        <v>0</v>
      </c>
      <c r="Y312" s="21">
        <f t="shared" si="211"/>
        <v>5.0638040951999992</v>
      </c>
      <c r="Z312" s="221">
        <f t="shared" si="202"/>
        <v>2</v>
      </c>
      <c r="AA312" s="30">
        <f t="shared" si="190"/>
        <v>23.15158718367751</v>
      </c>
      <c r="AB312" s="30">
        <f t="shared" si="191"/>
        <v>2.9733205694316993</v>
      </c>
      <c r="AC312" s="30">
        <f t="shared" si="192"/>
        <v>0</v>
      </c>
      <c r="AD312" s="30">
        <f t="shared" si="193"/>
        <v>1.8363330373596554</v>
      </c>
      <c r="AE312" s="32">
        <f t="shared" si="203"/>
        <v>27.961240790468864</v>
      </c>
    </row>
    <row r="313" spans="1:31" x14ac:dyDescent="0.35">
      <c r="A313" s="48">
        <v>1734</v>
      </c>
      <c r="B313" s="58">
        <f>SUMIF([2]!Table2_23[ETA],'IAB Model'!A313,[2]!Table2_23[FIS PAX])</f>
        <v>0</v>
      </c>
      <c r="C313" s="44">
        <f t="shared" si="204"/>
        <v>0</v>
      </c>
      <c r="D313" s="52">
        <f t="shared" si="212"/>
        <v>0</v>
      </c>
      <c r="E313" s="26">
        <f t="shared" si="194"/>
        <v>0</v>
      </c>
      <c r="F313" s="26">
        <f t="shared" si="195"/>
        <v>0</v>
      </c>
      <c r="G313" s="26">
        <f t="shared" si="196"/>
        <v>0</v>
      </c>
      <c r="H313" s="26">
        <f t="shared" si="205"/>
        <v>0</v>
      </c>
      <c r="I313" s="27">
        <f t="shared" si="215"/>
        <v>0</v>
      </c>
      <c r="J313" s="27">
        <f t="shared" si="215"/>
        <v>0</v>
      </c>
      <c r="K313" s="27">
        <f t="shared" si="215"/>
        <v>0</v>
      </c>
      <c r="L313" s="27">
        <f t="shared" si="215"/>
        <v>0</v>
      </c>
      <c r="M313" s="28">
        <f t="shared" si="216"/>
        <v>11</v>
      </c>
      <c r="N313" s="29">
        <f t="shared" si="217"/>
        <v>6</v>
      </c>
      <c r="O313" s="28">
        <f t="shared" si="218"/>
        <v>0</v>
      </c>
      <c r="P313" s="28">
        <f t="shared" si="219"/>
        <v>1</v>
      </c>
      <c r="Q313" s="28">
        <f t="shared" si="197"/>
        <v>18</v>
      </c>
      <c r="R313" s="22">
        <f t="shared" si="198"/>
        <v>13.974451265289954</v>
      </c>
      <c r="S313" s="22">
        <f t="shared" si="199"/>
        <v>0</v>
      </c>
      <c r="T313" s="22">
        <f t="shared" si="200"/>
        <v>5.5423999999999998</v>
      </c>
      <c r="U313" s="22">
        <f t="shared" si="201"/>
        <v>9.103467850561378</v>
      </c>
      <c r="V313" s="21">
        <f t="shared" si="213"/>
        <v>0.51306562618181817</v>
      </c>
      <c r="W313" s="21">
        <f t="shared" si="214"/>
        <v>0</v>
      </c>
      <c r="X313" s="21">
        <f t="shared" si="210"/>
        <v>0</v>
      </c>
      <c r="Y313" s="21">
        <f t="shared" si="211"/>
        <v>4.2138040951999995</v>
      </c>
      <c r="Z313" s="221">
        <f t="shared" si="202"/>
        <v>1</v>
      </c>
      <c r="AA313" s="30">
        <f t="shared" si="190"/>
        <v>23.15158718367751</v>
      </c>
      <c r="AB313" s="30">
        <f t="shared" si="191"/>
        <v>0</v>
      </c>
      <c r="AC313" s="30">
        <f t="shared" si="192"/>
        <v>0</v>
      </c>
      <c r="AD313" s="30">
        <f t="shared" si="193"/>
        <v>1.8363330373596554</v>
      </c>
      <c r="AE313" s="32">
        <f t="shared" si="203"/>
        <v>24.987920221037164</v>
      </c>
    </row>
    <row r="314" spans="1:31" x14ac:dyDescent="0.35">
      <c r="A314" s="48">
        <v>1735</v>
      </c>
      <c r="B314" s="58">
        <f>SUMIF([2]!Table2_23[ETA],'IAB Model'!A314,[2]!Table2_23[FIS PAX])</f>
        <v>0</v>
      </c>
      <c r="C314" s="44">
        <f t="shared" si="204"/>
        <v>0</v>
      </c>
      <c r="D314" s="52">
        <f t="shared" si="212"/>
        <v>0</v>
      </c>
      <c r="E314" s="26">
        <f t="shared" si="194"/>
        <v>0</v>
      </c>
      <c r="F314" s="26">
        <f t="shared" si="195"/>
        <v>0</v>
      </c>
      <c r="G314" s="26">
        <f t="shared" si="196"/>
        <v>0</v>
      </c>
      <c r="H314" s="26">
        <f t="shared" si="205"/>
        <v>0</v>
      </c>
      <c r="I314" s="27">
        <f t="shared" si="215"/>
        <v>0</v>
      </c>
      <c r="J314" s="27">
        <f t="shared" si="215"/>
        <v>0</v>
      </c>
      <c r="K314" s="27">
        <f t="shared" si="215"/>
        <v>0</v>
      </c>
      <c r="L314" s="27">
        <f t="shared" si="215"/>
        <v>0</v>
      </c>
      <c r="M314" s="28">
        <f t="shared" si="216"/>
        <v>11</v>
      </c>
      <c r="N314" s="29">
        <f t="shared" si="217"/>
        <v>6</v>
      </c>
      <c r="O314" s="28">
        <f t="shared" si="218"/>
        <v>0</v>
      </c>
      <c r="P314" s="28">
        <f t="shared" si="219"/>
        <v>1</v>
      </c>
      <c r="Q314" s="28">
        <f t="shared" si="197"/>
        <v>18</v>
      </c>
      <c r="R314" s="22">
        <f t="shared" si="198"/>
        <v>0</v>
      </c>
      <c r="S314" s="22">
        <f t="shared" si="199"/>
        <v>0</v>
      </c>
      <c r="T314" s="22">
        <f t="shared" si="200"/>
        <v>5.5423999999999998</v>
      </c>
      <c r="U314" s="22">
        <f t="shared" si="201"/>
        <v>7.2671348132017224</v>
      </c>
      <c r="V314" s="21">
        <f t="shared" si="213"/>
        <v>0</v>
      </c>
      <c r="W314" s="21">
        <f t="shared" si="214"/>
        <v>0</v>
      </c>
      <c r="X314" s="21">
        <f t="shared" si="210"/>
        <v>0</v>
      </c>
      <c r="Y314" s="21">
        <f t="shared" si="211"/>
        <v>3.3638040951999999</v>
      </c>
      <c r="Z314" s="221">
        <f t="shared" si="202"/>
        <v>1</v>
      </c>
      <c r="AA314" s="30">
        <f t="shared" si="190"/>
        <v>0</v>
      </c>
      <c r="AB314" s="30">
        <f t="shared" si="191"/>
        <v>0</v>
      </c>
      <c r="AC314" s="30">
        <f t="shared" si="192"/>
        <v>0</v>
      </c>
      <c r="AD314" s="30">
        <f t="shared" si="193"/>
        <v>1.8363330373596554</v>
      </c>
      <c r="AE314" s="32">
        <f t="shared" si="203"/>
        <v>1.8363330373596554</v>
      </c>
    </row>
    <row r="315" spans="1:31" x14ac:dyDescent="0.35">
      <c r="A315" s="48">
        <v>1736</v>
      </c>
      <c r="B315" s="58">
        <f>SUMIF([2]!Table2_23[ETA],'IAB Model'!A315,[2]!Table2_23[FIS PAX])</f>
        <v>0</v>
      </c>
      <c r="C315" s="44">
        <f t="shared" si="204"/>
        <v>0</v>
      </c>
      <c r="D315" s="52">
        <f t="shared" si="212"/>
        <v>0</v>
      </c>
      <c r="E315" s="26">
        <f t="shared" si="194"/>
        <v>0</v>
      </c>
      <c r="F315" s="26">
        <f t="shared" si="195"/>
        <v>0</v>
      </c>
      <c r="G315" s="26">
        <f t="shared" si="196"/>
        <v>0</v>
      </c>
      <c r="H315" s="26">
        <f t="shared" si="205"/>
        <v>0</v>
      </c>
      <c r="I315" s="27">
        <f t="shared" si="215"/>
        <v>0</v>
      </c>
      <c r="J315" s="27">
        <f t="shared" si="215"/>
        <v>0</v>
      </c>
      <c r="K315" s="27">
        <f t="shared" si="215"/>
        <v>0</v>
      </c>
      <c r="L315" s="27">
        <f t="shared" si="215"/>
        <v>0</v>
      </c>
      <c r="M315" s="28">
        <f t="shared" si="216"/>
        <v>11</v>
      </c>
      <c r="N315" s="29">
        <f t="shared" si="217"/>
        <v>6</v>
      </c>
      <c r="O315" s="28">
        <f t="shared" si="218"/>
        <v>0</v>
      </c>
      <c r="P315" s="28">
        <f t="shared" si="219"/>
        <v>1</v>
      </c>
      <c r="Q315" s="28">
        <f t="shared" si="197"/>
        <v>18</v>
      </c>
      <c r="R315" s="22">
        <f t="shared" si="198"/>
        <v>0</v>
      </c>
      <c r="S315" s="22">
        <f t="shared" si="199"/>
        <v>0</v>
      </c>
      <c r="T315" s="22">
        <f t="shared" si="200"/>
        <v>5.5423999999999998</v>
      </c>
      <c r="U315" s="22">
        <f t="shared" si="201"/>
        <v>5.4308017758420668</v>
      </c>
      <c r="V315" s="21">
        <f t="shared" si="213"/>
        <v>0</v>
      </c>
      <c r="W315" s="21">
        <f t="shared" si="214"/>
        <v>0</v>
      </c>
      <c r="X315" s="21">
        <f t="shared" si="210"/>
        <v>0</v>
      </c>
      <c r="Y315" s="21">
        <f t="shared" si="211"/>
        <v>2.5138040951999998</v>
      </c>
      <c r="Z315" s="221">
        <f t="shared" si="202"/>
        <v>1</v>
      </c>
      <c r="AA315" s="30">
        <f t="shared" si="190"/>
        <v>0</v>
      </c>
      <c r="AB315" s="30">
        <f t="shared" si="191"/>
        <v>0</v>
      </c>
      <c r="AC315" s="30">
        <f t="shared" si="192"/>
        <v>0</v>
      </c>
      <c r="AD315" s="30">
        <f t="shared" si="193"/>
        <v>1.8363330373596554</v>
      </c>
      <c r="AE315" s="32">
        <f t="shared" si="203"/>
        <v>1.8363330373596554</v>
      </c>
    </row>
    <row r="316" spans="1:31" x14ac:dyDescent="0.35">
      <c r="A316" s="48">
        <v>1737</v>
      </c>
      <c r="B316" s="58">
        <f>SUMIF([2]!Table2_23[ETA],'IAB Model'!A316,[2]!Table2_23[FIS PAX])</f>
        <v>0</v>
      </c>
      <c r="C316" s="44">
        <f t="shared" si="204"/>
        <v>0</v>
      </c>
      <c r="D316" s="52">
        <f t="shared" si="212"/>
        <v>0</v>
      </c>
      <c r="E316" s="26">
        <f t="shared" si="194"/>
        <v>0</v>
      </c>
      <c r="F316" s="26">
        <f t="shared" si="195"/>
        <v>0</v>
      </c>
      <c r="G316" s="26">
        <f t="shared" si="196"/>
        <v>0</v>
      </c>
      <c r="H316" s="26">
        <f t="shared" si="205"/>
        <v>0</v>
      </c>
      <c r="I316" s="27">
        <f t="shared" si="215"/>
        <v>0</v>
      </c>
      <c r="J316" s="27">
        <f t="shared" si="215"/>
        <v>0</v>
      </c>
      <c r="K316" s="27">
        <f t="shared" si="215"/>
        <v>0</v>
      </c>
      <c r="L316" s="27">
        <f t="shared" si="215"/>
        <v>0</v>
      </c>
      <c r="M316" s="28">
        <f t="shared" si="216"/>
        <v>11</v>
      </c>
      <c r="N316" s="29">
        <f t="shared" si="217"/>
        <v>6</v>
      </c>
      <c r="O316" s="28">
        <f t="shared" si="218"/>
        <v>0</v>
      </c>
      <c r="P316" s="28">
        <f t="shared" si="219"/>
        <v>1</v>
      </c>
      <c r="Q316" s="28">
        <f t="shared" si="197"/>
        <v>18</v>
      </c>
      <c r="R316" s="22">
        <f t="shared" si="198"/>
        <v>0</v>
      </c>
      <c r="S316" s="22">
        <f t="shared" si="199"/>
        <v>0</v>
      </c>
      <c r="T316" s="22">
        <f t="shared" si="200"/>
        <v>5.5423999999999998</v>
      </c>
      <c r="U316" s="22">
        <f t="shared" si="201"/>
        <v>3.5944687384824112</v>
      </c>
      <c r="V316" s="21">
        <f t="shared" si="213"/>
        <v>0</v>
      </c>
      <c r="W316" s="21">
        <f t="shared" si="214"/>
        <v>0</v>
      </c>
      <c r="X316" s="21">
        <f t="shared" si="210"/>
        <v>0</v>
      </c>
      <c r="Y316" s="21">
        <f t="shared" si="211"/>
        <v>1.6638040951999999</v>
      </c>
      <c r="Z316" s="221">
        <f t="shared" si="202"/>
        <v>1</v>
      </c>
      <c r="AA316" s="30">
        <f t="shared" si="190"/>
        <v>0</v>
      </c>
      <c r="AB316" s="30">
        <f t="shared" si="191"/>
        <v>0</v>
      </c>
      <c r="AC316" s="30">
        <f t="shared" si="192"/>
        <v>0</v>
      </c>
      <c r="AD316" s="30">
        <f t="shared" si="193"/>
        <v>1.8363330373596554</v>
      </c>
      <c r="AE316" s="32">
        <f t="shared" si="203"/>
        <v>1.8363330373596554</v>
      </c>
    </row>
    <row r="317" spans="1:31" x14ac:dyDescent="0.35">
      <c r="A317" s="48">
        <v>1738</v>
      </c>
      <c r="B317" s="58">
        <f>SUMIF([2]!Table2_23[ETA],'IAB Model'!A317,[2]!Table2_23[FIS PAX])</f>
        <v>0</v>
      </c>
      <c r="C317" s="44">
        <f t="shared" si="204"/>
        <v>0</v>
      </c>
      <c r="D317" s="52">
        <f t="shared" si="212"/>
        <v>0</v>
      </c>
      <c r="E317" s="26">
        <f t="shared" si="194"/>
        <v>0</v>
      </c>
      <c r="F317" s="26">
        <f t="shared" si="195"/>
        <v>0</v>
      </c>
      <c r="G317" s="26">
        <f t="shared" si="196"/>
        <v>0</v>
      </c>
      <c r="H317" s="26">
        <f t="shared" si="205"/>
        <v>0</v>
      </c>
      <c r="I317" s="27">
        <f t="shared" si="215"/>
        <v>0</v>
      </c>
      <c r="J317" s="27">
        <f t="shared" si="215"/>
        <v>0</v>
      </c>
      <c r="K317" s="27">
        <f t="shared" si="215"/>
        <v>0</v>
      </c>
      <c r="L317" s="27">
        <f t="shared" si="215"/>
        <v>0</v>
      </c>
      <c r="M317" s="28">
        <f t="shared" si="216"/>
        <v>11</v>
      </c>
      <c r="N317" s="29">
        <f t="shared" si="217"/>
        <v>6</v>
      </c>
      <c r="O317" s="28">
        <f t="shared" si="218"/>
        <v>0</v>
      </c>
      <c r="P317" s="28">
        <f t="shared" si="219"/>
        <v>1</v>
      </c>
      <c r="Q317" s="28">
        <f t="shared" si="197"/>
        <v>18</v>
      </c>
      <c r="R317" s="22">
        <f t="shared" si="198"/>
        <v>0</v>
      </c>
      <c r="S317" s="22">
        <f t="shared" si="199"/>
        <v>0</v>
      </c>
      <c r="T317" s="22">
        <f t="shared" si="200"/>
        <v>5.5423999999999998</v>
      </c>
      <c r="U317" s="22">
        <f t="shared" si="201"/>
        <v>1.7581357011227559</v>
      </c>
      <c r="V317" s="21">
        <f t="shared" si="213"/>
        <v>0</v>
      </c>
      <c r="W317" s="21">
        <f t="shared" si="214"/>
        <v>0</v>
      </c>
      <c r="X317" s="21">
        <f t="shared" si="210"/>
        <v>0</v>
      </c>
      <c r="Y317" s="21">
        <f t="shared" si="211"/>
        <v>0.81380409520000008</v>
      </c>
      <c r="Z317" s="221">
        <f t="shared" si="202"/>
        <v>1</v>
      </c>
      <c r="AA317" s="30">
        <f t="shared" si="190"/>
        <v>0</v>
      </c>
      <c r="AB317" s="30">
        <f t="shared" si="191"/>
        <v>0</v>
      </c>
      <c r="AC317" s="30">
        <f t="shared" si="192"/>
        <v>0</v>
      </c>
      <c r="AD317" s="30">
        <f t="shared" si="193"/>
        <v>1.8363330373596554</v>
      </c>
      <c r="AE317" s="32">
        <f t="shared" si="203"/>
        <v>1.8363330373596554</v>
      </c>
    </row>
    <row r="318" spans="1:31" x14ac:dyDescent="0.35">
      <c r="A318" s="48">
        <v>1739</v>
      </c>
      <c r="B318" s="58">
        <f>SUMIF([2]!Table2_23[ETA],'IAB Model'!A318,[2]!Table2_23[FIS PAX])</f>
        <v>0</v>
      </c>
      <c r="C318" s="44">
        <f t="shared" si="204"/>
        <v>0</v>
      </c>
      <c r="D318" s="52">
        <f t="shared" si="212"/>
        <v>0</v>
      </c>
      <c r="E318" s="26">
        <f t="shared" si="194"/>
        <v>0</v>
      </c>
      <c r="F318" s="26">
        <f t="shared" si="195"/>
        <v>0</v>
      </c>
      <c r="G318" s="26">
        <f t="shared" si="196"/>
        <v>0</v>
      </c>
      <c r="H318" s="26">
        <f t="shared" si="205"/>
        <v>0</v>
      </c>
      <c r="I318" s="27">
        <f t="shared" si="215"/>
        <v>0</v>
      </c>
      <c r="J318" s="27">
        <f t="shared" si="215"/>
        <v>0</v>
      </c>
      <c r="K318" s="27">
        <f t="shared" si="215"/>
        <v>0</v>
      </c>
      <c r="L318" s="27">
        <f t="shared" si="215"/>
        <v>0</v>
      </c>
      <c r="M318" s="28">
        <f t="shared" si="216"/>
        <v>11</v>
      </c>
      <c r="N318" s="29">
        <f t="shared" si="217"/>
        <v>6</v>
      </c>
      <c r="O318" s="28">
        <f t="shared" si="218"/>
        <v>0</v>
      </c>
      <c r="P318" s="28">
        <f t="shared" si="219"/>
        <v>1</v>
      </c>
      <c r="Q318" s="28">
        <f t="shared" si="197"/>
        <v>18</v>
      </c>
      <c r="R318" s="22">
        <f t="shared" si="198"/>
        <v>0</v>
      </c>
      <c r="S318" s="22">
        <f t="shared" si="199"/>
        <v>0</v>
      </c>
      <c r="T318" s="22">
        <f t="shared" si="200"/>
        <v>5.5423999999999998</v>
      </c>
      <c r="U318" s="22">
        <f t="shared" si="201"/>
        <v>0</v>
      </c>
      <c r="V318" s="21">
        <f t="shared" si="213"/>
        <v>0</v>
      </c>
      <c r="W318" s="21">
        <f t="shared" si="214"/>
        <v>0</v>
      </c>
      <c r="X318" s="21">
        <f t="shared" si="210"/>
        <v>0</v>
      </c>
      <c r="Y318" s="21">
        <f t="shared" si="211"/>
        <v>0</v>
      </c>
      <c r="Z318" s="221">
        <f t="shared" si="202"/>
        <v>0</v>
      </c>
      <c r="AA318" s="30">
        <f t="shared" si="190"/>
        <v>0</v>
      </c>
      <c r="AB318" s="30">
        <f t="shared" si="191"/>
        <v>0</v>
      </c>
      <c r="AC318" s="30">
        <f t="shared" si="192"/>
        <v>0</v>
      </c>
      <c r="AD318" s="30">
        <f t="shared" si="193"/>
        <v>0</v>
      </c>
      <c r="AE318" s="32">
        <f t="shared" si="203"/>
        <v>0</v>
      </c>
    </row>
    <row r="319" spans="1:31" x14ac:dyDescent="0.35">
      <c r="A319" s="48">
        <v>1740</v>
      </c>
      <c r="B319" s="58">
        <f>SUMIF([2]!Table2_23[ETA],'IAB Model'!A319,[2]!Table2_23[FIS PAX])</f>
        <v>0</v>
      </c>
      <c r="C319" s="44">
        <f t="shared" si="204"/>
        <v>0</v>
      </c>
      <c r="D319" s="52">
        <f t="shared" si="212"/>
        <v>0</v>
      </c>
      <c r="E319" s="26">
        <f t="shared" si="194"/>
        <v>0</v>
      </c>
      <c r="F319" s="26">
        <f t="shared" si="195"/>
        <v>0</v>
      </c>
      <c r="G319" s="26">
        <f t="shared" si="196"/>
        <v>0</v>
      </c>
      <c r="H319" s="26">
        <f t="shared" si="205"/>
        <v>0</v>
      </c>
      <c r="I319" s="27">
        <f t="shared" si="215"/>
        <v>0</v>
      </c>
      <c r="J319" s="27">
        <f t="shared" si="215"/>
        <v>0</v>
      </c>
      <c r="K319" s="27">
        <f t="shared" si="215"/>
        <v>0</v>
      </c>
      <c r="L319" s="27">
        <f t="shared" si="215"/>
        <v>0</v>
      </c>
      <c r="M319" s="28">
        <f t="shared" si="216"/>
        <v>11</v>
      </c>
      <c r="N319" s="29">
        <f t="shared" si="217"/>
        <v>6</v>
      </c>
      <c r="O319" s="28">
        <f t="shared" si="218"/>
        <v>0</v>
      </c>
      <c r="P319" s="28">
        <f t="shared" si="219"/>
        <v>1</v>
      </c>
      <c r="Q319" s="28">
        <f t="shared" si="197"/>
        <v>18</v>
      </c>
      <c r="R319" s="22">
        <f t="shared" si="198"/>
        <v>0</v>
      </c>
      <c r="S319" s="22">
        <f t="shared" si="199"/>
        <v>0</v>
      </c>
      <c r="T319" s="22">
        <f t="shared" si="200"/>
        <v>5.5423999999999998</v>
      </c>
      <c r="U319" s="22">
        <f t="shared" si="201"/>
        <v>0</v>
      </c>
      <c r="V319" s="21">
        <f t="shared" si="213"/>
        <v>0</v>
      </c>
      <c r="W319" s="21">
        <f t="shared" si="214"/>
        <v>0</v>
      </c>
      <c r="X319" s="21">
        <f t="shared" si="210"/>
        <v>0</v>
      </c>
      <c r="Y319" s="21">
        <f t="shared" si="211"/>
        <v>0</v>
      </c>
      <c r="Z319" s="221">
        <f t="shared" si="202"/>
        <v>0</v>
      </c>
      <c r="AA319" s="30">
        <f t="shared" si="190"/>
        <v>0</v>
      </c>
      <c r="AB319" s="30">
        <f t="shared" si="191"/>
        <v>0</v>
      </c>
      <c r="AC319" s="30">
        <f t="shared" si="192"/>
        <v>0</v>
      </c>
      <c r="AD319" s="30">
        <f t="shared" si="193"/>
        <v>0</v>
      </c>
      <c r="AE319" s="32">
        <f t="shared" si="203"/>
        <v>0</v>
      </c>
    </row>
    <row r="320" spans="1:31" x14ac:dyDescent="0.35">
      <c r="A320" s="48">
        <v>1741</v>
      </c>
      <c r="B320" s="58">
        <f>SUMIF([2]!Table2_23[ETA],'IAB Model'!A320,[2]!Table2_23[FIS PAX])</f>
        <v>0</v>
      </c>
      <c r="C320" s="44">
        <f t="shared" si="204"/>
        <v>0</v>
      </c>
      <c r="D320" s="52">
        <f t="shared" si="212"/>
        <v>0</v>
      </c>
      <c r="E320" s="26">
        <f t="shared" si="194"/>
        <v>0</v>
      </c>
      <c r="F320" s="26">
        <f t="shared" si="195"/>
        <v>0</v>
      </c>
      <c r="G320" s="26">
        <f t="shared" si="196"/>
        <v>0</v>
      </c>
      <c r="H320" s="26">
        <f t="shared" si="205"/>
        <v>0</v>
      </c>
      <c r="I320" s="27">
        <f t="shared" si="215"/>
        <v>0</v>
      </c>
      <c r="J320" s="27">
        <f t="shared" si="215"/>
        <v>0</v>
      </c>
      <c r="K320" s="27">
        <f t="shared" si="215"/>
        <v>0</v>
      </c>
      <c r="L320" s="27">
        <f t="shared" si="215"/>
        <v>0</v>
      </c>
      <c r="M320" s="28">
        <f t="shared" si="216"/>
        <v>11</v>
      </c>
      <c r="N320" s="29">
        <f t="shared" si="217"/>
        <v>6</v>
      </c>
      <c r="O320" s="28">
        <f t="shared" si="218"/>
        <v>0</v>
      </c>
      <c r="P320" s="28">
        <f t="shared" si="219"/>
        <v>1</v>
      </c>
      <c r="Q320" s="28">
        <f t="shared" si="197"/>
        <v>18</v>
      </c>
      <c r="R320" s="22">
        <f t="shared" si="198"/>
        <v>0</v>
      </c>
      <c r="S320" s="22">
        <f t="shared" si="199"/>
        <v>0</v>
      </c>
      <c r="T320" s="22">
        <f t="shared" si="200"/>
        <v>5.5423999999999998</v>
      </c>
      <c r="U320" s="22">
        <f t="shared" si="201"/>
        <v>0</v>
      </c>
      <c r="V320" s="21">
        <f t="shared" si="213"/>
        <v>0</v>
      </c>
      <c r="W320" s="21">
        <f t="shared" si="214"/>
        <v>0</v>
      </c>
      <c r="X320" s="21">
        <f t="shared" si="210"/>
        <v>0</v>
      </c>
      <c r="Y320" s="21">
        <f t="shared" si="211"/>
        <v>0</v>
      </c>
      <c r="Z320" s="221">
        <f t="shared" si="202"/>
        <v>0</v>
      </c>
      <c r="AA320" s="30">
        <f t="shared" si="190"/>
        <v>0</v>
      </c>
      <c r="AB320" s="30">
        <f t="shared" si="191"/>
        <v>0</v>
      </c>
      <c r="AC320" s="30">
        <f t="shared" si="192"/>
        <v>0</v>
      </c>
      <c r="AD320" s="30">
        <f t="shared" si="193"/>
        <v>0</v>
      </c>
      <c r="AE320" s="32">
        <f t="shared" si="203"/>
        <v>0</v>
      </c>
    </row>
    <row r="321" spans="1:31" x14ac:dyDescent="0.35">
      <c r="A321" s="48">
        <v>1742</v>
      </c>
      <c r="B321" s="58">
        <f>SUMIF([2]!Table2_23[ETA],'IAB Model'!A321,[2]!Table2_23[FIS PAX])</f>
        <v>0</v>
      </c>
      <c r="C321" s="44">
        <f t="shared" si="204"/>
        <v>0</v>
      </c>
      <c r="D321" s="52">
        <f t="shared" si="212"/>
        <v>0</v>
      </c>
      <c r="E321" s="26">
        <f t="shared" si="194"/>
        <v>0</v>
      </c>
      <c r="F321" s="26">
        <f t="shared" si="195"/>
        <v>0</v>
      </c>
      <c r="G321" s="26">
        <f t="shared" si="196"/>
        <v>0</v>
      </c>
      <c r="H321" s="26">
        <f t="shared" si="205"/>
        <v>0</v>
      </c>
      <c r="I321" s="27">
        <f t="shared" si="215"/>
        <v>0</v>
      </c>
      <c r="J321" s="27">
        <f t="shared" si="215"/>
        <v>0</v>
      </c>
      <c r="K321" s="27">
        <f t="shared" si="215"/>
        <v>0</v>
      </c>
      <c r="L321" s="27">
        <f t="shared" si="215"/>
        <v>0</v>
      </c>
      <c r="M321" s="28">
        <f t="shared" si="216"/>
        <v>11</v>
      </c>
      <c r="N321" s="29">
        <f t="shared" si="217"/>
        <v>6</v>
      </c>
      <c r="O321" s="28">
        <f t="shared" si="218"/>
        <v>0</v>
      </c>
      <c r="P321" s="28">
        <f t="shared" si="219"/>
        <v>1</v>
      </c>
      <c r="Q321" s="28">
        <f t="shared" si="197"/>
        <v>18</v>
      </c>
      <c r="R321" s="22">
        <f t="shared" si="198"/>
        <v>0</v>
      </c>
      <c r="S321" s="22">
        <f t="shared" si="199"/>
        <v>0</v>
      </c>
      <c r="T321" s="22">
        <f t="shared" si="200"/>
        <v>5.5423999999999998</v>
      </c>
      <c r="U321" s="22">
        <f t="shared" si="201"/>
        <v>0</v>
      </c>
      <c r="V321" s="21">
        <f t="shared" si="213"/>
        <v>0</v>
      </c>
      <c r="W321" s="21">
        <f t="shared" si="214"/>
        <v>0</v>
      </c>
      <c r="X321" s="21">
        <f t="shared" si="210"/>
        <v>0</v>
      </c>
      <c r="Y321" s="21">
        <f t="shared" si="211"/>
        <v>0</v>
      </c>
      <c r="Z321" s="221">
        <f t="shared" si="202"/>
        <v>0</v>
      </c>
      <c r="AA321" s="30">
        <f t="shared" si="190"/>
        <v>0</v>
      </c>
      <c r="AB321" s="30">
        <f t="shared" si="191"/>
        <v>0</v>
      </c>
      <c r="AC321" s="30">
        <f t="shared" si="192"/>
        <v>0</v>
      </c>
      <c r="AD321" s="30">
        <f t="shared" si="193"/>
        <v>0</v>
      </c>
      <c r="AE321" s="32">
        <f t="shared" si="203"/>
        <v>0</v>
      </c>
    </row>
    <row r="322" spans="1:31" x14ac:dyDescent="0.35">
      <c r="A322" s="48">
        <v>1743</v>
      </c>
      <c r="B322" s="58">
        <f>SUMIF([2]!Table2_23[ETA],'IAB Model'!A322,[2]!Table2_23[FIS PAX])</f>
        <v>0</v>
      </c>
      <c r="C322" s="44">
        <f t="shared" si="204"/>
        <v>0</v>
      </c>
      <c r="D322" s="52">
        <f t="shared" si="212"/>
        <v>0</v>
      </c>
      <c r="E322" s="26">
        <f t="shared" si="194"/>
        <v>0</v>
      </c>
      <c r="F322" s="26">
        <f t="shared" si="195"/>
        <v>0</v>
      </c>
      <c r="G322" s="26">
        <f t="shared" si="196"/>
        <v>0</v>
      </c>
      <c r="H322" s="26">
        <f t="shared" si="205"/>
        <v>0</v>
      </c>
      <c r="I322" s="27">
        <f t="shared" si="215"/>
        <v>0</v>
      </c>
      <c r="J322" s="27">
        <f t="shared" si="215"/>
        <v>0</v>
      </c>
      <c r="K322" s="27">
        <f t="shared" si="215"/>
        <v>0</v>
      </c>
      <c r="L322" s="27">
        <f t="shared" si="215"/>
        <v>0</v>
      </c>
      <c r="M322" s="28">
        <f t="shared" si="216"/>
        <v>11</v>
      </c>
      <c r="N322" s="29">
        <f t="shared" si="217"/>
        <v>6</v>
      </c>
      <c r="O322" s="28">
        <f t="shared" si="218"/>
        <v>0</v>
      </c>
      <c r="P322" s="28">
        <f t="shared" si="219"/>
        <v>1</v>
      </c>
      <c r="Q322" s="28">
        <f t="shared" si="197"/>
        <v>18</v>
      </c>
      <c r="R322" s="22">
        <f t="shared" si="198"/>
        <v>0</v>
      </c>
      <c r="S322" s="22">
        <f t="shared" si="199"/>
        <v>0</v>
      </c>
      <c r="T322" s="22">
        <f t="shared" si="200"/>
        <v>5.5423999999999998</v>
      </c>
      <c r="U322" s="22">
        <f t="shared" si="201"/>
        <v>0</v>
      </c>
      <c r="V322" s="21">
        <f t="shared" si="213"/>
        <v>0</v>
      </c>
      <c r="W322" s="21">
        <f t="shared" si="214"/>
        <v>0</v>
      </c>
      <c r="X322" s="21">
        <f t="shared" si="210"/>
        <v>0</v>
      </c>
      <c r="Y322" s="21">
        <f t="shared" si="211"/>
        <v>0</v>
      </c>
      <c r="Z322" s="221">
        <f t="shared" si="202"/>
        <v>0</v>
      </c>
      <c r="AA322" s="30">
        <f t="shared" si="190"/>
        <v>0</v>
      </c>
      <c r="AB322" s="30">
        <f t="shared" si="191"/>
        <v>0</v>
      </c>
      <c r="AC322" s="30">
        <f t="shared" si="192"/>
        <v>0</v>
      </c>
      <c r="AD322" s="30">
        <f t="shared" si="193"/>
        <v>0</v>
      </c>
      <c r="AE322" s="32">
        <f t="shared" si="203"/>
        <v>0</v>
      </c>
    </row>
    <row r="323" spans="1:31" x14ac:dyDescent="0.35">
      <c r="A323" s="48">
        <v>1744</v>
      </c>
      <c r="B323" s="58">
        <f>SUMIF([2]!Table2_23[ETA],'IAB Model'!A323,[2]!Table2_23[FIS PAX])</f>
        <v>0</v>
      </c>
      <c r="C323" s="44">
        <f t="shared" si="204"/>
        <v>0</v>
      </c>
      <c r="D323" s="52">
        <f t="shared" si="212"/>
        <v>0</v>
      </c>
      <c r="E323" s="26">
        <f t="shared" si="194"/>
        <v>0</v>
      </c>
      <c r="F323" s="26">
        <f t="shared" si="195"/>
        <v>0</v>
      </c>
      <c r="G323" s="26">
        <f t="shared" si="196"/>
        <v>0</v>
      </c>
      <c r="H323" s="26">
        <f t="shared" si="205"/>
        <v>0</v>
      </c>
      <c r="I323" s="27">
        <f t="shared" si="215"/>
        <v>0</v>
      </c>
      <c r="J323" s="27">
        <f t="shared" si="215"/>
        <v>0</v>
      </c>
      <c r="K323" s="27">
        <f t="shared" si="215"/>
        <v>0</v>
      </c>
      <c r="L323" s="27">
        <f t="shared" si="215"/>
        <v>0</v>
      </c>
      <c r="M323" s="28">
        <f t="shared" si="216"/>
        <v>11</v>
      </c>
      <c r="N323" s="29">
        <f t="shared" si="217"/>
        <v>6</v>
      </c>
      <c r="O323" s="28">
        <f t="shared" si="218"/>
        <v>0</v>
      </c>
      <c r="P323" s="28">
        <f t="shared" si="219"/>
        <v>1</v>
      </c>
      <c r="Q323" s="28">
        <f t="shared" si="197"/>
        <v>18</v>
      </c>
      <c r="R323" s="22">
        <f t="shared" si="198"/>
        <v>0</v>
      </c>
      <c r="S323" s="22">
        <f t="shared" si="199"/>
        <v>0</v>
      </c>
      <c r="T323" s="22">
        <f t="shared" si="200"/>
        <v>5.5423999999999998</v>
      </c>
      <c r="U323" s="22">
        <f t="shared" si="201"/>
        <v>0</v>
      </c>
      <c r="V323" s="21">
        <f t="shared" si="213"/>
        <v>0</v>
      </c>
      <c r="W323" s="21">
        <f t="shared" si="214"/>
        <v>0</v>
      </c>
      <c r="X323" s="21">
        <f t="shared" si="210"/>
        <v>0</v>
      </c>
      <c r="Y323" s="21">
        <f t="shared" si="211"/>
        <v>0</v>
      </c>
      <c r="Z323" s="221">
        <f t="shared" si="202"/>
        <v>0</v>
      </c>
      <c r="AA323" s="30">
        <f t="shared" si="190"/>
        <v>0</v>
      </c>
      <c r="AB323" s="30">
        <f t="shared" si="191"/>
        <v>0</v>
      </c>
      <c r="AC323" s="30">
        <f t="shared" si="192"/>
        <v>0</v>
      </c>
      <c r="AD323" s="30">
        <f t="shared" si="193"/>
        <v>0</v>
      </c>
      <c r="AE323" s="32">
        <f t="shared" si="203"/>
        <v>0</v>
      </c>
    </row>
    <row r="324" spans="1:31" x14ac:dyDescent="0.35">
      <c r="A324" s="48">
        <v>1745</v>
      </c>
      <c r="B324" s="58">
        <f>SUMIF([2]!Table2_23[ETA],'IAB Model'!A324,[2]!Table2_23[FIS PAX])</f>
        <v>0</v>
      </c>
      <c r="C324" s="44">
        <f t="shared" si="204"/>
        <v>0</v>
      </c>
      <c r="D324" s="52">
        <f t="shared" si="212"/>
        <v>0</v>
      </c>
      <c r="E324" s="26">
        <f t="shared" si="194"/>
        <v>0</v>
      </c>
      <c r="F324" s="26">
        <f t="shared" si="195"/>
        <v>0</v>
      </c>
      <c r="G324" s="26">
        <f t="shared" si="196"/>
        <v>0</v>
      </c>
      <c r="H324" s="26">
        <f t="shared" si="205"/>
        <v>0</v>
      </c>
      <c r="I324" s="27">
        <f t="shared" si="215"/>
        <v>0</v>
      </c>
      <c r="J324" s="27">
        <f t="shared" si="215"/>
        <v>0</v>
      </c>
      <c r="K324" s="27">
        <f t="shared" si="215"/>
        <v>0</v>
      </c>
      <c r="L324" s="27">
        <f t="shared" si="215"/>
        <v>0</v>
      </c>
      <c r="M324" s="28">
        <f t="shared" si="216"/>
        <v>11</v>
      </c>
      <c r="N324" s="29">
        <f t="shared" si="217"/>
        <v>6</v>
      </c>
      <c r="O324" s="28">
        <f t="shared" si="218"/>
        <v>0</v>
      </c>
      <c r="P324" s="28">
        <f t="shared" si="219"/>
        <v>1</v>
      </c>
      <c r="Q324" s="28">
        <f t="shared" si="197"/>
        <v>18</v>
      </c>
      <c r="R324" s="22">
        <f t="shared" si="198"/>
        <v>0</v>
      </c>
      <c r="S324" s="22">
        <f t="shared" si="199"/>
        <v>0</v>
      </c>
      <c r="T324" s="22">
        <f t="shared" si="200"/>
        <v>5.5423999999999998</v>
      </c>
      <c r="U324" s="22">
        <f t="shared" si="201"/>
        <v>0</v>
      </c>
      <c r="V324" s="21">
        <f t="shared" si="213"/>
        <v>0</v>
      </c>
      <c r="W324" s="21">
        <f t="shared" si="214"/>
        <v>0</v>
      </c>
      <c r="X324" s="21">
        <f t="shared" si="210"/>
        <v>0</v>
      </c>
      <c r="Y324" s="21">
        <f t="shared" si="211"/>
        <v>0</v>
      </c>
      <c r="Z324" s="221">
        <f t="shared" si="202"/>
        <v>0</v>
      </c>
      <c r="AA324" s="30">
        <f t="shared" si="190"/>
        <v>0</v>
      </c>
      <c r="AB324" s="30">
        <f t="shared" si="191"/>
        <v>0</v>
      </c>
      <c r="AC324" s="30">
        <f t="shared" si="192"/>
        <v>0</v>
      </c>
      <c r="AD324" s="30">
        <f t="shared" si="193"/>
        <v>0</v>
      </c>
      <c r="AE324" s="32">
        <f t="shared" si="203"/>
        <v>0</v>
      </c>
    </row>
    <row r="325" spans="1:31" x14ac:dyDescent="0.35">
      <c r="A325" s="48">
        <v>1746</v>
      </c>
      <c r="B325" s="58">
        <f>SUMIF([2]!Table2_23[ETA],'IAB Model'!A325,[2]!Table2_23[FIS PAX])</f>
        <v>0</v>
      </c>
      <c r="C325" s="44">
        <f t="shared" si="204"/>
        <v>0</v>
      </c>
      <c r="D325" s="52">
        <f t="shared" si="212"/>
        <v>0</v>
      </c>
      <c r="E325" s="26">
        <f t="shared" si="194"/>
        <v>0</v>
      </c>
      <c r="F325" s="26">
        <f t="shared" si="195"/>
        <v>0</v>
      </c>
      <c r="G325" s="26">
        <f t="shared" si="196"/>
        <v>0</v>
      </c>
      <c r="H325" s="26">
        <f t="shared" si="205"/>
        <v>0</v>
      </c>
      <c r="I325" s="27">
        <f t="shared" si="215"/>
        <v>0</v>
      </c>
      <c r="J325" s="27">
        <f t="shared" si="215"/>
        <v>0</v>
      </c>
      <c r="K325" s="27">
        <f t="shared" si="215"/>
        <v>0</v>
      </c>
      <c r="L325" s="27">
        <f t="shared" si="215"/>
        <v>0</v>
      </c>
      <c r="M325" s="28">
        <f>IF(R324=0,0,$Q$25)</f>
        <v>0</v>
      </c>
      <c r="N325" s="29">
        <f>$U$25-M325-O325-P325</f>
        <v>16</v>
      </c>
      <c r="O325" s="28">
        <f>IF(T324=0,0,$S$25)</f>
        <v>2</v>
      </c>
      <c r="P325" s="28">
        <f>IF(U324=0,0,$T$25)</f>
        <v>0</v>
      </c>
      <c r="Q325" s="28">
        <f t="shared" si="197"/>
        <v>18</v>
      </c>
      <c r="R325" s="22">
        <f t="shared" si="198"/>
        <v>0</v>
      </c>
      <c r="S325" s="22">
        <f t="shared" si="199"/>
        <v>0</v>
      </c>
      <c r="T325" s="22">
        <f t="shared" si="200"/>
        <v>0.5804465080982002</v>
      </c>
      <c r="U325" s="22">
        <f t="shared" si="201"/>
        <v>0</v>
      </c>
      <c r="V325" s="21">
        <f t="shared" si="213"/>
        <v>0</v>
      </c>
      <c r="W325" s="21">
        <f t="shared" si="214"/>
        <v>0</v>
      </c>
      <c r="X325" s="21">
        <f t="shared" si="210"/>
        <v>9.9432518400000031E-2</v>
      </c>
      <c r="Y325" s="21">
        <f t="shared" si="211"/>
        <v>0</v>
      </c>
      <c r="Z325" s="221">
        <f t="shared" si="202"/>
        <v>1</v>
      </c>
      <c r="AA325" s="30">
        <f t="shared" si="190"/>
        <v>0</v>
      </c>
      <c r="AB325" s="30">
        <f t="shared" si="191"/>
        <v>0</v>
      </c>
      <c r="AC325" s="30">
        <f t="shared" si="192"/>
        <v>4.9619534919017996</v>
      </c>
      <c r="AD325" s="30">
        <f t="shared" si="193"/>
        <v>0</v>
      </c>
      <c r="AE325" s="32">
        <f t="shared" si="203"/>
        <v>4.9619534919017996</v>
      </c>
    </row>
    <row r="326" spans="1:31" x14ac:dyDescent="0.35">
      <c r="A326" s="48">
        <v>1747</v>
      </c>
      <c r="B326" s="58">
        <f>SUMIF([2]!Table2_23[ETA],'IAB Model'!A326,[2]!Table2_23[FIS PAX])</f>
        <v>0</v>
      </c>
      <c r="C326" s="44">
        <f t="shared" si="204"/>
        <v>0</v>
      </c>
      <c r="D326" s="52">
        <f t="shared" si="212"/>
        <v>0</v>
      </c>
      <c r="E326" s="26">
        <f t="shared" si="194"/>
        <v>0</v>
      </c>
      <c r="F326" s="26">
        <f t="shared" si="195"/>
        <v>0</v>
      </c>
      <c r="G326" s="26">
        <f t="shared" si="196"/>
        <v>0</v>
      </c>
      <c r="H326" s="26">
        <f t="shared" si="205"/>
        <v>0</v>
      </c>
      <c r="I326" s="27">
        <f t="shared" si="215"/>
        <v>0</v>
      </c>
      <c r="J326" s="27">
        <f t="shared" si="215"/>
        <v>0</v>
      </c>
      <c r="K326" s="27">
        <f t="shared" si="215"/>
        <v>0</v>
      </c>
      <c r="L326" s="27">
        <f t="shared" si="215"/>
        <v>0</v>
      </c>
      <c r="M326" s="28">
        <f>M325</f>
        <v>0</v>
      </c>
      <c r="N326" s="29">
        <f>$N$325</f>
        <v>16</v>
      </c>
      <c r="O326" s="28">
        <f>$O$325</f>
        <v>2</v>
      </c>
      <c r="P326" s="28">
        <f>$P$325</f>
        <v>0</v>
      </c>
      <c r="Q326" s="28">
        <f t="shared" si="197"/>
        <v>18</v>
      </c>
      <c r="R326" s="22">
        <f t="shared" si="198"/>
        <v>0</v>
      </c>
      <c r="S326" s="22">
        <f t="shared" si="199"/>
        <v>0</v>
      </c>
      <c r="T326" s="22">
        <f t="shared" si="200"/>
        <v>0</v>
      </c>
      <c r="U326" s="22">
        <f t="shared" si="201"/>
        <v>0</v>
      </c>
      <c r="V326" s="21">
        <f t="shared" si="213"/>
        <v>0</v>
      </c>
      <c r="W326" s="21">
        <f t="shared" si="214"/>
        <v>0</v>
      </c>
      <c r="X326" s="21">
        <f t="shared" si="210"/>
        <v>0</v>
      </c>
      <c r="Y326" s="21">
        <f t="shared" si="211"/>
        <v>0</v>
      </c>
      <c r="Z326" s="221">
        <f t="shared" si="202"/>
        <v>0</v>
      </c>
      <c r="AA326" s="30">
        <f t="shared" si="190"/>
        <v>0</v>
      </c>
      <c r="AB326" s="30">
        <f t="shared" si="191"/>
        <v>0</v>
      </c>
      <c r="AC326" s="30">
        <f t="shared" si="192"/>
        <v>0</v>
      </c>
      <c r="AD326" s="30">
        <f t="shared" si="193"/>
        <v>0</v>
      </c>
      <c r="AE326" s="32">
        <f t="shared" si="203"/>
        <v>0</v>
      </c>
    </row>
    <row r="327" spans="1:31" x14ac:dyDescent="0.35">
      <c r="A327" s="48">
        <v>1748</v>
      </c>
      <c r="B327" s="58">
        <f>SUMIF([2]!Table2_23[ETA],'IAB Model'!A327,[2]!Table2_23[FIS PAX])</f>
        <v>0</v>
      </c>
      <c r="C327" s="44">
        <f t="shared" si="204"/>
        <v>0</v>
      </c>
      <c r="D327" s="52">
        <f t="shared" si="212"/>
        <v>0</v>
      </c>
      <c r="E327" s="26">
        <f t="shared" si="194"/>
        <v>0</v>
      </c>
      <c r="F327" s="26">
        <f t="shared" si="195"/>
        <v>0</v>
      </c>
      <c r="G327" s="26">
        <f t="shared" si="196"/>
        <v>0</v>
      </c>
      <c r="H327" s="26">
        <f t="shared" si="205"/>
        <v>0</v>
      </c>
      <c r="I327" s="27">
        <f t="shared" ref="I327:L339" si="220">E312</f>
        <v>0</v>
      </c>
      <c r="J327" s="27">
        <f t="shared" si="220"/>
        <v>0</v>
      </c>
      <c r="K327" s="27">
        <f t="shared" si="220"/>
        <v>0</v>
      </c>
      <c r="L327" s="27">
        <f t="shared" si="220"/>
        <v>0</v>
      </c>
      <c r="M327" s="28">
        <f t="shared" ref="M327:M339" si="221">M326</f>
        <v>0</v>
      </c>
      <c r="N327" s="29">
        <f t="shared" ref="N327:N339" si="222">$N$325</f>
        <v>16</v>
      </c>
      <c r="O327" s="28">
        <f t="shared" ref="O327:O339" si="223">$O$325</f>
        <v>2</v>
      </c>
      <c r="P327" s="28">
        <f t="shared" ref="P327:P339" si="224">$P$325</f>
        <v>0</v>
      </c>
      <c r="Q327" s="28">
        <f t="shared" si="197"/>
        <v>18</v>
      </c>
      <c r="R327" s="22">
        <f t="shared" si="198"/>
        <v>0</v>
      </c>
      <c r="S327" s="22">
        <f t="shared" si="199"/>
        <v>0</v>
      </c>
      <c r="T327" s="22">
        <f t="shared" si="200"/>
        <v>0</v>
      </c>
      <c r="U327" s="22">
        <f t="shared" si="201"/>
        <v>0</v>
      </c>
      <c r="V327" s="21">
        <f t="shared" si="213"/>
        <v>0</v>
      </c>
      <c r="W327" s="21">
        <f t="shared" si="214"/>
        <v>0</v>
      </c>
      <c r="X327" s="21">
        <f t="shared" si="210"/>
        <v>0</v>
      </c>
      <c r="Y327" s="21">
        <f t="shared" si="211"/>
        <v>0</v>
      </c>
      <c r="Z327" s="221">
        <f t="shared" si="202"/>
        <v>0</v>
      </c>
      <c r="AA327" s="30">
        <f t="shared" si="190"/>
        <v>0</v>
      </c>
      <c r="AB327" s="30">
        <f t="shared" si="191"/>
        <v>0</v>
      </c>
      <c r="AC327" s="30">
        <f t="shared" si="192"/>
        <v>0</v>
      </c>
      <c r="AD327" s="30">
        <f t="shared" si="193"/>
        <v>0</v>
      </c>
      <c r="AE327" s="32">
        <f t="shared" si="203"/>
        <v>0</v>
      </c>
    </row>
    <row r="328" spans="1:31" x14ac:dyDescent="0.35">
      <c r="A328" s="48">
        <v>1749</v>
      </c>
      <c r="B328" s="58">
        <f>SUMIF([2]!Table2_23[ETA],'IAB Model'!A328,[2]!Table2_23[FIS PAX])</f>
        <v>0</v>
      </c>
      <c r="C328" s="44">
        <f t="shared" si="204"/>
        <v>0</v>
      </c>
      <c r="D328" s="52">
        <f t="shared" si="212"/>
        <v>0</v>
      </c>
      <c r="E328" s="26">
        <f t="shared" si="194"/>
        <v>0</v>
      </c>
      <c r="F328" s="26">
        <f t="shared" si="195"/>
        <v>0</v>
      </c>
      <c r="G328" s="26">
        <f t="shared" si="196"/>
        <v>0</v>
      </c>
      <c r="H328" s="26">
        <f t="shared" si="205"/>
        <v>0</v>
      </c>
      <c r="I328" s="27">
        <f t="shared" si="220"/>
        <v>0</v>
      </c>
      <c r="J328" s="27">
        <f t="shared" si="220"/>
        <v>0</v>
      </c>
      <c r="K328" s="27">
        <f t="shared" si="220"/>
        <v>0</v>
      </c>
      <c r="L328" s="27">
        <f t="shared" si="220"/>
        <v>0</v>
      </c>
      <c r="M328" s="28">
        <f t="shared" si="221"/>
        <v>0</v>
      </c>
      <c r="N328" s="29">
        <f t="shared" si="222"/>
        <v>16</v>
      </c>
      <c r="O328" s="28">
        <f t="shared" si="223"/>
        <v>2</v>
      </c>
      <c r="P328" s="28">
        <f t="shared" si="224"/>
        <v>0</v>
      </c>
      <c r="Q328" s="28">
        <f t="shared" si="197"/>
        <v>18</v>
      </c>
      <c r="R328" s="22">
        <f t="shared" si="198"/>
        <v>0</v>
      </c>
      <c r="S328" s="22">
        <f t="shared" si="199"/>
        <v>0</v>
      </c>
      <c r="T328" s="22">
        <f t="shared" si="200"/>
        <v>0</v>
      </c>
      <c r="U328" s="22">
        <f t="shared" si="201"/>
        <v>0</v>
      </c>
      <c r="V328" s="21">
        <f t="shared" si="213"/>
        <v>0</v>
      </c>
      <c r="W328" s="21">
        <f t="shared" si="214"/>
        <v>0</v>
      </c>
      <c r="X328" s="21">
        <f t="shared" si="210"/>
        <v>0</v>
      </c>
      <c r="Y328" s="21">
        <f t="shared" si="211"/>
        <v>0</v>
      </c>
      <c r="Z328" s="221">
        <f t="shared" si="202"/>
        <v>0</v>
      </c>
      <c r="AA328" s="30">
        <f t="shared" si="190"/>
        <v>0</v>
      </c>
      <c r="AB328" s="30">
        <f t="shared" si="191"/>
        <v>0</v>
      </c>
      <c r="AC328" s="30">
        <f t="shared" si="192"/>
        <v>0</v>
      </c>
      <c r="AD328" s="30">
        <f t="shared" si="193"/>
        <v>0</v>
      </c>
      <c r="AE328" s="32">
        <f t="shared" si="203"/>
        <v>0</v>
      </c>
    </row>
    <row r="329" spans="1:31" x14ac:dyDescent="0.35">
      <c r="A329" s="48">
        <v>1750</v>
      </c>
      <c r="B329" s="58">
        <f>SUMIF([2]!Table2_23[ETA],'IAB Model'!A329,[2]!Table2_23[FIS PAX])</f>
        <v>0</v>
      </c>
      <c r="C329" s="44">
        <f t="shared" si="204"/>
        <v>0</v>
      </c>
      <c r="D329" s="52">
        <f t="shared" si="212"/>
        <v>0</v>
      </c>
      <c r="E329" s="26">
        <f t="shared" si="194"/>
        <v>0</v>
      </c>
      <c r="F329" s="26">
        <f t="shared" si="195"/>
        <v>0</v>
      </c>
      <c r="G329" s="26">
        <f t="shared" si="196"/>
        <v>0</v>
      </c>
      <c r="H329" s="26">
        <f t="shared" si="205"/>
        <v>0</v>
      </c>
      <c r="I329" s="27">
        <f t="shared" si="220"/>
        <v>0</v>
      </c>
      <c r="J329" s="27">
        <f t="shared" si="220"/>
        <v>0</v>
      </c>
      <c r="K329" s="27">
        <f t="shared" si="220"/>
        <v>0</v>
      </c>
      <c r="L329" s="27">
        <f t="shared" si="220"/>
        <v>0</v>
      </c>
      <c r="M329" s="28">
        <f t="shared" si="221"/>
        <v>0</v>
      </c>
      <c r="N329" s="29">
        <f t="shared" si="222"/>
        <v>16</v>
      </c>
      <c r="O329" s="28">
        <f t="shared" si="223"/>
        <v>2</v>
      </c>
      <c r="P329" s="28">
        <f t="shared" si="224"/>
        <v>0</v>
      </c>
      <c r="Q329" s="28">
        <f t="shared" si="197"/>
        <v>18</v>
      </c>
      <c r="R329" s="22">
        <f t="shared" si="198"/>
        <v>0</v>
      </c>
      <c r="S329" s="22">
        <f t="shared" si="199"/>
        <v>0</v>
      </c>
      <c r="T329" s="22">
        <f t="shared" si="200"/>
        <v>0</v>
      </c>
      <c r="U329" s="22">
        <f t="shared" si="201"/>
        <v>0</v>
      </c>
      <c r="V329" s="21">
        <f t="shared" si="213"/>
        <v>0</v>
      </c>
      <c r="W329" s="21">
        <f t="shared" si="214"/>
        <v>0</v>
      </c>
      <c r="X329" s="21">
        <f t="shared" si="210"/>
        <v>0</v>
      </c>
      <c r="Y329" s="21">
        <f t="shared" si="211"/>
        <v>0</v>
      </c>
      <c r="Z329" s="221">
        <f t="shared" si="202"/>
        <v>0</v>
      </c>
      <c r="AA329" s="30">
        <f t="shared" si="190"/>
        <v>0</v>
      </c>
      <c r="AB329" s="30">
        <f t="shared" si="191"/>
        <v>0</v>
      </c>
      <c r="AC329" s="30">
        <f t="shared" si="192"/>
        <v>0</v>
      </c>
      <c r="AD329" s="30">
        <f t="shared" si="193"/>
        <v>0</v>
      </c>
      <c r="AE329" s="32">
        <f t="shared" si="203"/>
        <v>0</v>
      </c>
    </row>
    <row r="330" spans="1:31" x14ac:dyDescent="0.35">
      <c r="A330" s="48">
        <v>1751</v>
      </c>
      <c r="B330" s="58">
        <f>SUMIF([2]!Table2_23[ETA],'IAB Model'!A330,[2]!Table2_23[FIS PAX])</f>
        <v>0</v>
      </c>
      <c r="C330" s="44">
        <f t="shared" si="204"/>
        <v>0</v>
      </c>
      <c r="D330" s="52">
        <f t="shared" si="212"/>
        <v>0</v>
      </c>
      <c r="E330" s="26">
        <f t="shared" si="194"/>
        <v>0</v>
      </c>
      <c r="F330" s="26">
        <f t="shared" si="195"/>
        <v>0</v>
      </c>
      <c r="G330" s="26">
        <f t="shared" si="196"/>
        <v>0</v>
      </c>
      <c r="H330" s="26">
        <f t="shared" si="205"/>
        <v>0</v>
      </c>
      <c r="I330" s="27">
        <f t="shared" si="220"/>
        <v>0</v>
      </c>
      <c r="J330" s="27">
        <f t="shared" si="220"/>
        <v>0</v>
      </c>
      <c r="K330" s="27">
        <f t="shared" si="220"/>
        <v>0</v>
      </c>
      <c r="L330" s="27">
        <f t="shared" si="220"/>
        <v>0</v>
      </c>
      <c r="M330" s="28">
        <f t="shared" si="221"/>
        <v>0</v>
      </c>
      <c r="N330" s="29">
        <f t="shared" si="222"/>
        <v>16</v>
      </c>
      <c r="O330" s="28">
        <f t="shared" si="223"/>
        <v>2</v>
      </c>
      <c r="P330" s="28">
        <f t="shared" si="224"/>
        <v>0</v>
      </c>
      <c r="Q330" s="28">
        <f t="shared" si="197"/>
        <v>18</v>
      </c>
      <c r="R330" s="22">
        <f t="shared" si="198"/>
        <v>0</v>
      </c>
      <c r="S330" s="22">
        <f t="shared" si="199"/>
        <v>0</v>
      </c>
      <c r="T330" s="22">
        <f t="shared" si="200"/>
        <v>0</v>
      </c>
      <c r="U330" s="22">
        <f t="shared" si="201"/>
        <v>0</v>
      </c>
      <c r="V330" s="21">
        <f t="shared" si="213"/>
        <v>0</v>
      </c>
      <c r="W330" s="21">
        <f t="shared" si="214"/>
        <v>0</v>
      </c>
      <c r="X330" s="21">
        <f t="shared" si="210"/>
        <v>0</v>
      </c>
      <c r="Y330" s="21">
        <f t="shared" si="211"/>
        <v>0</v>
      </c>
      <c r="Z330" s="221">
        <f t="shared" si="202"/>
        <v>0</v>
      </c>
      <c r="AA330" s="30">
        <f t="shared" si="190"/>
        <v>0</v>
      </c>
      <c r="AB330" s="30">
        <f t="shared" si="191"/>
        <v>0</v>
      </c>
      <c r="AC330" s="30">
        <f t="shared" si="192"/>
        <v>0</v>
      </c>
      <c r="AD330" s="30">
        <f t="shared" si="193"/>
        <v>0</v>
      </c>
      <c r="AE330" s="32">
        <f t="shared" si="203"/>
        <v>0</v>
      </c>
    </row>
    <row r="331" spans="1:31" x14ac:dyDescent="0.35">
      <c r="A331" s="48">
        <v>1752</v>
      </c>
      <c r="B331" s="58">
        <f>SUMIF([2]!Table2_23[ETA],'IAB Model'!A331,[2]!Table2_23[FIS PAX])</f>
        <v>0</v>
      </c>
      <c r="C331" s="44">
        <f t="shared" si="204"/>
        <v>0</v>
      </c>
      <c r="D331" s="52">
        <f t="shared" si="212"/>
        <v>0</v>
      </c>
      <c r="E331" s="26">
        <f t="shared" si="194"/>
        <v>0</v>
      </c>
      <c r="F331" s="26">
        <f t="shared" si="195"/>
        <v>0</v>
      </c>
      <c r="G331" s="26">
        <f t="shared" si="196"/>
        <v>0</v>
      </c>
      <c r="H331" s="26">
        <f t="shared" si="205"/>
        <v>0</v>
      </c>
      <c r="I331" s="27">
        <f t="shared" si="220"/>
        <v>0</v>
      </c>
      <c r="J331" s="27">
        <f t="shared" si="220"/>
        <v>0</v>
      </c>
      <c r="K331" s="27">
        <f t="shared" si="220"/>
        <v>0</v>
      </c>
      <c r="L331" s="27">
        <f t="shared" si="220"/>
        <v>0</v>
      </c>
      <c r="M331" s="28">
        <f t="shared" si="221"/>
        <v>0</v>
      </c>
      <c r="N331" s="29">
        <f t="shared" si="222"/>
        <v>16</v>
      </c>
      <c r="O331" s="28">
        <f t="shared" si="223"/>
        <v>2</v>
      </c>
      <c r="P331" s="28">
        <f t="shared" si="224"/>
        <v>0</v>
      </c>
      <c r="Q331" s="28">
        <f t="shared" si="197"/>
        <v>18</v>
      </c>
      <c r="R331" s="22">
        <f t="shared" si="198"/>
        <v>0</v>
      </c>
      <c r="S331" s="22">
        <f t="shared" si="199"/>
        <v>0</v>
      </c>
      <c r="T331" s="22">
        <f t="shared" si="200"/>
        <v>0</v>
      </c>
      <c r="U331" s="22">
        <f t="shared" si="201"/>
        <v>0</v>
      </c>
      <c r="V331" s="21">
        <f t="shared" si="213"/>
        <v>0</v>
      </c>
      <c r="W331" s="21">
        <f t="shared" si="214"/>
        <v>0</v>
      </c>
      <c r="X331" s="21">
        <f t="shared" si="210"/>
        <v>0</v>
      </c>
      <c r="Y331" s="21">
        <f t="shared" si="211"/>
        <v>0</v>
      </c>
      <c r="Z331" s="221">
        <f t="shared" si="202"/>
        <v>0</v>
      </c>
      <c r="AA331" s="30">
        <f t="shared" si="190"/>
        <v>0</v>
      </c>
      <c r="AB331" s="30">
        <f t="shared" si="191"/>
        <v>0</v>
      </c>
      <c r="AC331" s="30">
        <f t="shared" si="192"/>
        <v>0</v>
      </c>
      <c r="AD331" s="30">
        <f t="shared" si="193"/>
        <v>0</v>
      </c>
      <c r="AE331" s="32">
        <f t="shared" si="203"/>
        <v>0</v>
      </c>
    </row>
    <row r="332" spans="1:31" x14ac:dyDescent="0.35">
      <c r="A332" s="48">
        <v>1753</v>
      </c>
      <c r="B332" s="58">
        <f>SUMIF([2]!Table2_23[ETA],'IAB Model'!A332,[2]!Table2_23[FIS PAX])</f>
        <v>0</v>
      </c>
      <c r="C332" s="44">
        <f t="shared" si="204"/>
        <v>0</v>
      </c>
      <c r="D332" s="52">
        <f t="shared" si="212"/>
        <v>0</v>
      </c>
      <c r="E332" s="26">
        <f t="shared" si="194"/>
        <v>0</v>
      </c>
      <c r="F332" s="26">
        <f t="shared" si="195"/>
        <v>0</v>
      </c>
      <c r="G332" s="26">
        <f t="shared" si="196"/>
        <v>0</v>
      </c>
      <c r="H332" s="26">
        <f t="shared" si="205"/>
        <v>0</v>
      </c>
      <c r="I332" s="27">
        <f t="shared" si="220"/>
        <v>0</v>
      </c>
      <c r="J332" s="27">
        <f t="shared" si="220"/>
        <v>0</v>
      </c>
      <c r="K332" s="27">
        <f t="shared" si="220"/>
        <v>0</v>
      </c>
      <c r="L332" s="27">
        <f t="shared" si="220"/>
        <v>0</v>
      </c>
      <c r="M332" s="28">
        <f t="shared" si="221"/>
        <v>0</v>
      </c>
      <c r="N332" s="29">
        <f t="shared" si="222"/>
        <v>16</v>
      </c>
      <c r="O332" s="28">
        <f t="shared" si="223"/>
        <v>2</v>
      </c>
      <c r="P332" s="28">
        <f t="shared" si="224"/>
        <v>0</v>
      </c>
      <c r="Q332" s="28">
        <f t="shared" si="197"/>
        <v>18</v>
      </c>
      <c r="R332" s="22">
        <f t="shared" si="198"/>
        <v>0</v>
      </c>
      <c r="S332" s="22">
        <f t="shared" si="199"/>
        <v>0</v>
      </c>
      <c r="T332" s="22">
        <f t="shared" si="200"/>
        <v>0</v>
      </c>
      <c r="U332" s="22">
        <f t="shared" si="201"/>
        <v>0</v>
      </c>
      <c r="V332" s="21">
        <f t="shared" si="213"/>
        <v>0</v>
      </c>
      <c r="W332" s="21">
        <f t="shared" si="214"/>
        <v>0</v>
      </c>
      <c r="X332" s="21">
        <f t="shared" si="210"/>
        <v>0</v>
      </c>
      <c r="Y332" s="21">
        <f t="shared" si="211"/>
        <v>0</v>
      </c>
      <c r="Z332" s="221">
        <f t="shared" si="202"/>
        <v>0</v>
      </c>
      <c r="AA332" s="30">
        <f t="shared" si="190"/>
        <v>0</v>
      </c>
      <c r="AB332" s="30">
        <f t="shared" si="191"/>
        <v>0</v>
      </c>
      <c r="AC332" s="30">
        <f t="shared" si="192"/>
        <v>0</v>
      </c>
      <c r="AD332" s="30">
        <f t="shared" si="193"/>
        <v>0</v>
      </c>
      <c r="AE332" s="32">
        <f t="shared" si="203"/>
        <v>0</v>
      </c>
    </row>
    <row r="333" spans="1:31" x14ac:dyDescent="0.35">
      <c r="A333" s="48">
        <v>1754</v>
      </c>
      <c r="B333" s="58">
        <f>SUMIF([2]!Table2_23[ETA],'IAB Model'!A333,[2]!Table2_23[FIS PAX])</f>
        <v>0</v>
      </c>
      <c r="C333" s="44">
        <f t="shared" si="204"/>
        <v>0</v>
      </c>
      <c r="D333" s="52">
        <f t="shared" si="212"/>
        <v>0</v>
      </c>
      <c r="E333" s="26">
        <f t="shared" si="194"/>
        <v>0</v>
      </c>
      <c r="F333" s="26">
        <f t="shared" si="195"/>
        <v>0</v>
      </c>
      <c r="G333" s="26">
        <f t="shared" si="196"/>
        <v>0</v>
      </c>
      <c r="H333" s="26">
        <f t="shared" si="205"/>
        <v>0</v>
      </c>
      <c r="I333" s="27">
        <f t="shared" si="220"/>
        <v>0</v>
      </c>
      <c r="J333" s="27">
        <f t="shared" si="220"/>
        <v>0</v>
      </c>
      <c r="K333" s="27">
        <f t="shared" si="220"/>
        <v>0</v>
      </c>
      <c r="L333" s="27">
        <f t="shared" si="220"/>
        <v>0</v>
      </c>
      <c r="M333" s="28">
        <f t="shared" si="221"/>
        <v>0</v>
      </c>
      <c r="N333" s="29">
        <f t="shared" si="222"/>
        <v>16</v>
      </c>
      <c r="O333" s="28">
        <f t="shared" si="223"/>
        <v>2</v>
      </c>
      <c r="P333" s="28">
        <f t="shared" si="224"/>
        <v>0</v>
      </c>
      <c r="Q333" s="28">
        <f t="shared" si="197"/>
        <v>18</v>
      </c>
      <c r="R333" s="22">
        <f t="shared" si="198"/>
        <v>0</v>
      </c>
      <c r="S333" s="22">
        <f t="shared" si="199"/>
        <v>0</v>
      </c>
      <c r="T333" s="22">
        <f t="shared" si="200"/>
        <v>0</v>
      </c>
      <c r="U333" s="22">
        <f t="shared" si="201"/>
        <v>0</v>
      </c>
      <c r="V333" s="21">
        <f t="shared" si="213"/>
        <v>0</v>
      </c>
      <c r="W333" s="21">
        <f t="shared" si="214"/>
        <v>0</v>
      </c>
      <c r="X333" s="21">
        <f t="shared" si="210"/>
        <v>0</v>
      </c>
      <c r="Y333" s="21">
        <f t="shared" si="211"/>
        <v>0</v>
      </c>
      <c r="Z333" s="221">
        <f t="shared" si="202"/>
        <v>0</v>
      </c>
      <c r="AA333" s="30">
        <f t="shared" si="190"/>
        <v>0</v>
      </c>
      <c r="AB333" s="30">
        <f t="shared" si="191"/>
        <v>0</v>
      </c>
      <c r="AC333" s="30">
        <f t="shared" si="192"/>
        <v>0</v>
      </c>
      <c r="AD333" s="30">
        <f t="shared" si="193"/>
        <v>0</v>
      </c>
      <c r="AE333" s="32">
        <f t="shared" si="203"/>
        <v>0</v>
      </c>
    </row>
    <row r="334" spans="1:31" x14ac:dyDescent="0.35">
      <c r="A334" s="48">
        <v>1755</v>
      </c>
      <c r="B334" s="58">
        <f>SUMIF([2]!Table2_23[ETA],'IAB Model'!A334,[2]!Table2_23[FIS PAX])</f>
        <v>0</v>
      </c>
      <c r="C334" s="44">
        <f t="shared" si="204"/>
        <v>0</v>
      </c>
      <c r="D334" s="52">
        <f t="shared" si="212"/>
        <v>0</v>
      </c>
      <c r="E334" s="26">
        <f t="shared" si="194"/>
        <v>0</v>
      </c>
      <c r="F334" s="26">
        <f t="shared" si="195"/>
        <v>0</v>
      </c>
      <c r="G334" s="26">
        <f t="shared" si="196"/>
        <v>0</v>
      </c>
      <c r="H334" s="26">
        <f t="shared" si="205"/>
        <v>0</v>
      </c>
      <c r="I334" s="27">
        <f t="shared" si="220"/>
        <v>0</v>
      </c>
      <c r="J334" s="27">
        <f t="shared" si="220"/>
        <v>0</v>
      </c>
      <c r="K334" s="27">
        <f t="shared" si="220"/>
        <v>0</v>
      </c>
      <c r="L334" s="27">
        <f t="shared" si="220"/>
        <v>0</v>
      </c>
      <c r="M334" s="28">
        <f t="shared" si="221"/>
        <v>0</v>
      </c>
      <c r="N334" s="29">
        <f t="shared" si="222"/>
        <v>16</v>
      </c>
      <c r="O334" s="28">
        <f t="shared" si="223"/>
        <v>2</v>
      </c>
      <c r="P334" s="28">
        <f t="shared" si="224"/>
        <v>0</v>
      </c>
      <c r="Q334" s="28">
        <f t="shared" si="197"/>
        <v>18</v>
      </c>
      <c r="R334" s="22">
        <f t="shared" si="198"/>
        <v>0</v>
      </c>
      <c r="S334" s="22">
        <f t="shared" si="199"/>
        <v>0</v>
      </c>
      <c r="T334" s="22">
        <f t="shared" si="200"/>
        <v>0</v>
      </c>
      <c r="U334" s="22">
        <f t="shared" si="201"/>
        <v>0</v>
      </c>
      <c r="V334" s="21">
        <f t="shared" si="213"/>
        <v>0</v>
      </c>
      <c r="W334" s="21">
        <f t="shared" si="214"/>
        <v>0</v>
      </c>
      <c r="X334" s="21">
        <f t="shared" si="210"/>
        <v>0</v>
      </c>
      <c r="Y334" s="21">
        <f t="shared" si="211"/>
        <v>0</v>
      </c>
      <c r="Z334" s="221">
        <f t="shared" si="202"/>
        <v>0</v>
      </c>
      <c r="AA334" s="30">
        <f t="shared" si="190"/>
        <v>0</v>
      </c>
      <c r="AB334" s="30">
        <f t="shared" si="191"/>
        <v>0</v>
      </c>
      <c r="AC334" s="30">
        <f t="shared" si="192"/>
        <v>0</v>
      </c>
      <c r="AD334" s="30">
        <f t="shared" si="193"/>
        <v>0</v>
      </c>
      <c r="AE334" s="32">
        <f t="shared" si="203"/>
        <v>0</v>
      </c>
    </row>
    <row r="335" spans="1:31" x14ac:dyDescent="0.35">
      <c r="A335" s="48">
        <v>1756</v>
      </c>
      <c r="B335" s="58">
        <f>SUMIF([2]!Table2_23[ETA],'IAB Model'!A335,[2]!Table2_23[FIS PAX])</f>
        <v>0</v>
      </c>
      <c r="C335" s="44">
        <f t="shared" si="204"/>
        <v>0</v>
      </c>
      <c r="D335" s="52">
        <f t="shared" si="212"/>
        <v>0</v>
      </c>
      <c r="E335" s="26">
        <f t="shared" si="194"/>
        <v>0</v>
      </c>
      <c r="F335" s="26">
        <f t="shared" si="195"/>
        <v>0</v>
      </c>
      <c r="G335" s="26">
        <f t="shared" si="196"/>
        <v>0</v>
      </c>
      <c r="H335" s="26">
        <f t="shared" si="205"/>
        <v>0</v>
      </c>
      <c r="I335" s="27">
        <f t="shared" si="220"/>
        <v>0</v>
      </c>
      <c r="J335" s="27">
        <f t="shared" si="220"/>
        <v>0</v>
      </c>
      <c r="K335" s="27">
        <f t="shared" si="220"/>
        <v>0</v>
      </c>
      <c r="L335" s="27">
        <f t="shared" si="220"/>
        <v>0</v>
      </c>
      <c r="M335" s="28">
        <f t="shared" si="221"/>
        <v>0</v>
      </c>
      <c r="N335" s="29">
        <f t="shared" si="222"/>
        <v>16</v>
      </c>
      <c r="O335" s="28">
        <f t="shared" si="223"/>
        <v>2</v>
      </c>
      <c r="P335" s="28">
        <f t="shared" si="224"/>
        <v>0</v>
      </c>
      <c r="Q335" s="28">
        <f t="shared" si="197"/>
        <v>18</v>
      </c>
      <c r="R335" s="22">
        <f t="shared" si="198"/>
        <v>0</v>
      </c>
      <c r="S335" s="22">
        <f t="shared" si="199"/>
        <v>0</v>
      </c>
      <c r="T335" s="22">
        <f t="shared" si="200"/>
        <v>0</v>
      </c>
      <c r="U335" s="22">
        <f t="shared" si="201"/>
        <v>0</v>
      </c>
      <c r="V335" s="21">
        <f t="shared" si="213"/>
        <v>0</v>
      </c>
      <c r="W335" s="21">
        <f t="shared" si="214"/>
        <v>0</v>
      </c>
      <c r="X335" s="21">
        <f t="shared" si="210"/>
        <v>0</v>
      </c>
      <c r="Y335" s="21">
        <f t="shared" si="211"/>
        <v>0</v>
      </c>
      <c r="Z335" s="221">
        <f t="shared" si="202"/>
        <v>0</v>
      </c>
      <c r="AA335" s="30">
        <f t="shared" si="190"/>
        <v>0</v>
      </c>
      <c r="AB335" s="30">
        <f t="shared" si="191"/>
        <v>0</v>
      </c>
      <c r="AC335" s="30">
        <f t="shared" si="192"/>
        <v>0</v>
      </c>
      <c r="AD335" s="30">
        <f t="shared" si="193"/>
        <v>0</v>
      </c>
      <c r="AE335" s="32">
        <f t="shared" si="203"/>
        <v>0</v>
      </c>
    </row>
    <row r="336" spans="1:31" x14ac:dyDescent="0.35">
      <c r="A336" s="48">
        <v>1757</v>
      </c>
      <c r="B336" s="58">
        <f>SUMIF([2]!Table2_23[ETA],'IAB Model'!A336,[2]!Table2_23[FIS PAX])</f>
        <v>0</v>
      </c>
      <c r="C336" s="44">
        <f t="shared" si="204"/>
        <v>0</v>
      </c>
      <c r="D336" s="52">
        <f t="shared" si="212"/>
        <v>0</v>
      </c>
      <c r="E336" s="26">
        <f t="shared" si="194"/>
        <v>0</v>
      </c>
      <c r="F336" s="26">
        <f t="shared" si="195"/>
        <v>0</v>
      </c>
      <c r="G336" s="26">
        <f t="shared" si="196"/>
        <v>0</v>
      </c>
      <c r="H336" s="26">
        <f t="shared" si="205"/>
        <v>0</v>
      </c>
      <c r="I336" s="27">
        <f t="shared" si="220"/>
        <v>0</v>
      </c>
      <c r="J336" s="27">
        <f t="shared" si="220"/>
        <v>0</v>
      </c>
      <c r="K336" s="27">
        <f t="shared" si="220"/>
        <v>0</v>
      </c>
      <c r="L336" s="27">
        <f t="shared" si="220"/>
        <v>0</v>
      </c>
      <c r="M336" s="28">
        <f t="shared" si="221"/>
        <v>0</v>
      </c>
      <c r="N336" s="29">
        <f t="shared" si="222"/>
        <v>16</v>
      </c>
      <c r="O336" s="28">
        <f t="shared" si="223"/>
        <v>2</v>
      </c>
      <c r="P336" s="28">
        <f t="shared" si="224"/>
        <v>0</v>
      </c>
      <c r="Q336" s="28">
        <f t="shared" si="197"/>
        <v>18</v>
      </c>
      <c r="R336" s="22">
        <f t="shared" si="198"/>
        <v>0</v>
      </c>
      <c r="S336" s="22">
        <f t="shared" si="199"/>
        <v>0</v>
      </c>
      <c r="T336" s="22">
        <f t="shared" si="200"/>
        <v>0</v>
      </c>
      <c r="U336" s="22">
        <f t="shared" si="201"/>
        <v>0</v>
      </c>
      <c r="V336" s="21">
        <f t="shared" si="213"/>
        <v>0</v>
      </c>
      <c r="W336" s="21">
        <f t="shared" si="214"/>
        <v>0</v>
      </c>
      <c r="X336" s="21">
        <f t="shared" si="210"/>
        <v>0</v>
      </c>
      <c r="Y336" s="21">
        <f t="shared" si="211"/>
        <v>0</v>
      </c>
      <c r="Z336" s="221">
        <f t="shared" si="202"/>
        <v>0</v>
      </c>
      <c r="AA336" s="30">
        <f t="shared" si="190"/>
        <v>0</v>
      </c>
      <c r="AB336" s="30">
        <f t="shared" si="191"/>
        <v>0</v>
      </c>
      <c r="AC336" s="30">
        <f t="shared" si="192"/>
        <v>0</v>
      </c>
      <c r="AD336" s="30">
        <f t="shared" si="193"/>
        <v>0</v>
      </c>
      <c r="AE336" s="32">
        <f t="shared" si="203"/>
        <v>0</v>
      </c>
    </row>
    <row r="337" spans="1:31" x14ac:dyDescent="0.35">
      <c r="A337" s="48">
        <v>1758</v>
      </c>
      <c r="B337" s="58">
        <f>SUMIF([2]!Table2_23[ETA],'IAB Model'!A337,[2]!Table2_23[FIS PAX])</f>
        <v>0</v>
      </c>
      <c r="C337" s="44">
        <f t="shared" si="204"/>
        <v>0</v>
      </c>
      <c r="D337" s="52">
        <f t="shared" si="212"/>
        <v>0</v>
      </c>
      <c r="E337" s="26">
        <f t="shared" si="194"/>
        <v>0</v>
      </c>
      <c r="F337" s="26">
        <f t="shared" si="195"/>
        <v>0</v>
      </c>
      <c r="G337" s="26">
        <f t="shared" si="196"/>
        <v>0</v>
      </c>
      <c r="H337" s="26">
        <f t="shared" si="205"/>
        <v>0</v>
      </c>
      <c r="I337" s="27">
        <f t="shared" si="220"/>
        <v>0</v>
      </c>
      <c r="J337" s="27">
        <f t="shared" si="220"/>
        <v>0</v>
      </c>
      <c r="K337" s="27">
        <f t="shared" si="220"/>
        <v>0</v>
      </c>
      <c r="L337" s="27">
        <f t="shared" si="220"/>
        <v>0</v>
      </c>
      <c r="M337" s="28">
        <f t="shared" si="221"/>
        <v>0</v>
      </c>
      <c r="N337" s="29">
        <f t="shared" si="222"/>
        <v>16</v>
      </c>
      <c r="O337" s="28">
        <f t="shared" si="223"/>
        <v>2</v>
      </c>
      <c r="P337" s="28">
        <f t="shared" si="224"/>
        <v>0</v>
      </c>
      <c r="Q337" s="28">
        <f t="shared" si="197"/>
        <v>18</v>
      </c>
      <c r="R337" s="22">
        <f t="shared" si="198"/>
        <v>0</v>
      </c>
      <c r="S337" s="22">
        <f t="shared" si="199"/>
        <v>0</v>
      </c>
      <c r="T337" s="22">
        <f t="shared" si="200"/>
        <v>0</v>
      </c>
      <c r="U337" s="22">
        <f t="shared" si="201"/>
        <v>0</v>
      </c>
      <c r="V337" s="21">
        <f t="shared" si="213"/>
        <v>0</v>
      </c>
      <c r="W337" s="21">
        <f t="shared" si="214"/>
        <v>0</v>
      </c>
      <c r="X337" s="21">
        <f t="shared" si="210"/>
        <v>0</v>
      </c>
      <c r="Y337" s="21">
        <f t="shared" si="211"/>
        <v>0</v>
      </c>
      <c r="Z337" s="221">
        <f t="shared" si="202"/>
        <v>0</v>
      </c>
      <c r="AA337" s="30">
        <f t="shared" si="190"/>
        <v>0</v>
      </c>
      <c r="AB337" s="30">
        <f t="shared" si="191"/>
        <v>0</v>
      </c>
      <c r="AC337" s="30">
        <f t="shared" si="192"/>
        <v>0</v>
      </c>
      <c r="AD337" s="30">
        <f t="shared" si="193"/>
        <v>0</v>
      </c>
      <c r="AE337" s="32">
        <f t="shared" si="203"/>
        <v>0</v>
      </c>
    </row>
    <row r="338" spans="1:31" x14ac:dyDescent="0.35">
      <c r="A338" s="48">
        <v>1759</v>
      </c>
      <c r="B338" s="58">
        <f>SUMIF([2]!Table2_23[ETA],'IAB Model'!A338,[2]!Table2_23[FIS PAX])</f>
        <v>0</v>
      </c>
      <c r="C338" s="44">
        <f t="shared" si="204"/>
        <v>0</v>
      </c>
      <c r="D338" s="52">
        <f t="shared" si="212"/>
        <v>0</v>
      </c>
      <c r="E338" s="26">
        <f t="shared" si="194"/>
        <v>0</v>
      </c>
      <c r="F338" s="26">
        <f t="shared" si="195"/>
        <v>0</v>
      </c>
      <c r="G338" s="26">
        <f t="shared" si="196"/>
        <v>0</v>
      </c>
      <c r="H338" s="26">
        <f t="shared" si="205"/>
        <v>0</v>
      </c>
      <c r="I338" s="27">
        <f t="shared" si="220"/>
        <v>0</v>
      </c>
      <c r="J338" s="27">
        <f t="shared" si="220"/>
        <v>0</v>
      </c>
      <c r="K338" s="27">
        <f t="shared" si="220"/>
        <v>0</v>
      </c>
      <c r="L338" s="27">
        <f t="shared" si="220"/>
        <v>0</v>
      </c>
      <c r="M338" s="28">
        <f t="shared" si="221"/>
        <v>0</v>
      </c>
      <c r="N338" s="29">
        <f t="shared" si="222"/>
        <v>16</v>
      </c>
      <c r="O338" s="28">
        <f t="shared" si="223"/>
        <v>2</v>
      </c>
      <c r="P338" s="28">
        <f t="shared" si="224"/>
        <v>0</v>
      </c>
      <c r="Q338" s="28">
        <f t="shared" si="197"/>
        <v>18</v>
      </c>
      <c r="R338" s="22">
        <f t="shared" si="198"/>
        <v>0</v>
      </c>
      <c r="S338" s="22">
        <f t="shared" si="199"/>
        <v>0</v>
      </c>
      <c r="T338" s="22">
        <f t="shared" si="200"/>
        <v>0</v>
      </c>
      <c r="U338" s="22">
        <f t="shared" si="201"/>
        <v>0</v>
      </c>
      <c r="V338" s="21">
        <f t="shared" si="213"/>
        <v>0</v>
      </c>
      <c r="W338" s="21">
        <f t="shared" si="214"/>
        <v>0</v>
      </c>
      <c r="X338" s="21">
        <f t="shared" si="210"/>
        <v>0</v>
      </c>
      <c r="Y338" s="21">
        <f t="shared" si="211"/>
        <v>0</v>
      </c>
      <c r="Z338" s="221">
        <f t="shared" si="202"/>
        <v>0</v>
      </c>
      <c r="AA338" s="30">
        <f t="shared" si="190"/>
        <v>0</v>
      </c>
      <c r="AB338" s="30">
        <f t="shared" si="191"/>
        <v>0</v>
      </c>
      <c r="AC338" s="30">
        <f t="shared" si="192"/>
        <v>0</v>
      </c>
      <c r="AD338" s="30">
        <f t="shared" si="193"/>
        <v>0</v>
      </c>
      <c r="AE338" s="32">
        <f t="shared" si="203"/>
        <v>0</v>
      </c>
    </row>
    <row r="339" spans="1:31" ht="15" thickBot="1" x14ac:dyDescent="0.4">
      <c r="A339" s="48">
        <v>1800</v>
      </c>
      <c r="B339" s="59">
        <f>SUMIF([2]!Table2_23[ETA],'IAB Model'!A339,[2]!Table2_23[FIS PAX])</f>
        <v>0</v>
      </c>
      <c r="C339" s="60">
        <f t="shared" si="204"/>
        <v>0</v>
      </c>
      <c r="D339" s="61">
        <f t="shared" si="212"/>
        <v>0</v>
      </c>
      <c r="E339" s="62">
        <f t="shared" si="194"/>
        <v>0</v>
      </c>
      <c r="F339" s="62">
        <f t="shared" si="195"/>
        <v>0</v>
      </c>
      <c r="G339" s="62">
        <f t="shared" si="196"/>
        <v>0</v>
      </c>
      <c r="H339" s="62">
        <f t="shared" si="205"/>
        <v>0</v>
      </c>
      <c r="I339" s="27">
        <f t="shared" si="220"/>
        <v>0</v>
      </c>
      <c r="J339" s="27">
        <f t="shared" si="220"/>
        <v>0</v>
      </c>
      <c r="K339" s="27">
        <f t="shared" si="220"/>
        <v>0</v>
      </c>
      <c r="L339" s="27">
        <f t="shared" si="220"/>
        <v>0</v>
      </c>
      <c r="M339" s="60">
        <f t="shared" si="221"/>
        <v>0</v>
      </c>
      <c r="N339" s="64">
        <f t="shared" si="222"/>
        <v>16</v>
      </c>
      <c r="O339" s="60">
        <f t="shared" si="223"/>
        <v>2</v>
      </c>
      <c r="P339" s="60">
        <f t="shared" si="224"/>
        <v>0</v>
      </c>
      <c r="Q339" s="60">
        <f t="shared" si="197"/>
        <v>18</v>
      </c>
      <c r="R339" s="65">
        <f t="shared" si="198"/>
        <v>0</v>
      </c>
      <c r="S339" s="65">
        <f t="shared" si="199"/>
        <v>0</v>
      </c>
      <c r="T339" s="65">
        <f t="shared" si="200"/>
        <v>0</v>
      </c>
      <c r="U339" s="65">
        <f t="shared" si="201"/>
        <v>0</v>
      </c>
      <c r="V339" s="66">
        <f t="shared" si="213"/>
        <v>0</v>
      </c>
      <c r="W339" s="66">
        <f t="shared" si="214"/>
        <v>0</v>
      </c>
      <c r="X339" s="66">
        <f t="shared" si="210"/>
        <v>0</v>
      </c>
      <c r="Y339" s="66">
        <f t="shared" si="211"/>
        <v>0</v>
      </c>
      <c r="Z339" s="228">
        <f t="shared" si="202"/>
        <v>0</v>
      </c>
      <c r="AA339" s="67">
        <f t="shared" si="190"/>
        <v>0</v>
      </c>
      <c r="AB339" s="67">
        <f t="shared" si="191"/>
        <v>0</v>
      </c>
      <c r="AC339" s="67">
        <f t="shared" si="192"/>
        <v>0</v>
      </c>
      <c r="AD339" s="67">
        <f t="shared" si="193"/>
        <v>0</v>
      </c>
      <c r="AE339" s="68">
        <f t="shared" si="203"/>
        <v>0</v>
      </c>
    </row>
  </sheetData>
  <mergeCells count="35">
    <mergeCell ref="L15:L18"/>
    <mergeCell ref="M15:M18"/>
    <mergeCell ref="B35:AE35"/>
    <mergeCell ref="B36:AE36"/>
    <mergeCell ref="C37:D37"/>
    <mergeCell ref="E37:H37"/>
    <mergeCell ref="I37:L37"/>
    <mergeCell ref="M37:Q37"/>
    <mergeCell ref="R37:U37"/>
    <mergeCell ref="V37:Y37"/>
    <mergeCell ref="AA37:AE37"/>
    <mergeCell ref="L13:L14"/>
    <mergeCell ref="M13:M14"/>
    <mergeCell ref="B27:L27"/>
    <mergeCell ref="H28:J28"/>
    <mergeCell ref="B29:C29"/>
    <mergeCell ref="E29:E30"/>
    <mergeCell ref="F29:F30"/>
    <mergeCell ref="L29:L32"/>
    <mergeCell ref="E31:E33"/>
    <mergeCell ref="F31:F33"/>
    <mergeCell ref="W5:Z7"/>
    <mergeCell ref="L6:L7"/>
    <mergeCell ref="M6:M7"/>
    <mergeCell ref="L8:L10"/>
    <mergeCell ref="M8:M10"/>
    <mergeCell ref="L11:L12"/>
    <mergeCell ref="M11:M12"/>
    <mergeCell ref="B1:T2"/>
    <mergeCell ref="B3:N3"/>
    <mergeCell ref="P3:V3"/>
    <mergeCell ref="B4:B5"/>
    <mergeCell ref="D4:H4"/>
    <mergeCell ref="I4:J4"/>
    <mergeCell ref="Q4:V4"/>
  </mergeCells>
  <conditionalFormatting sqref="V39:Z339">
    <cfRule type="top10" dxfId="12" priority="1" rank="10"/>
    <cfRule type="top10" dxfId="11" priority="2" rank="3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D X A K V 7 e Q l / G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D Q s 7 Q w 0 z O w 0 Y c J 2 v h m 5 i E U G A E d D J J F E r R x L s 0 p K S 1 K t U v N 0 w 0 N t t G H c W 3 0 o X 6 w A w B Q S w M E F A A C A A g A D X A K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1 w C l d + R l W i h g E A A D 8 K A A A T A B w A R m 9 y b X V s Y X M v U 2 V j d G l v b j E u b S C i G A A o o B Q A A A A A A A A A A A A A A A A A A A A A A A A A A A D t U 8 9 v g j A U v p P w P z T 1 A g k h 8 8 e 8 b C 5 B o s b L X K z J l h g P C B 0 Q o V 1 K 3 V y I / / t a K 6 F O 3 W X b D S 7 v y 3 u P 7 3 u v 7 V f g k K e U A K R i + 8 4 0 T K N I A o Y j s A j W G e 6 A A c g w N w 0 g P k S 3 L M Q i M 9 q F O H P 9 L W O Y 8 G f K N m t K N 5 Z d L h + D H A + g + h O u 9 k u f E i 5 a V o 4 i a M E 5 J q I l A j 7 N t j k p o C A 7 d L u q c E x b S s k p S z h j c U q g A w R I J d r v b Y 0 s p + + X y W S h I j t X d U o 4 W n h g B 0 / I K I s w u 0 x 3 K O l 8 p 8 K C b 5 y l c c K 1 Q Q U S G j J M A o 5 l n H p D 8 O S 9 V H D o T Z D E 4 y m q 0 h J W a Y T m M i i J d g 0 7 N e z W s F f D W 3 2 r c Z r x w 1 J z + q F t h H A m b l z m r E u b O w A H Y Q K s p d h g B e 4 f w I 1 d U / p J Q G L 5 P j 7 f c M 2 4 Y A E p X i n L F Y c s S u 5 T f X m h 6 l C m h P d 7 r u z S L x R R x s 9 n F U n r m 2 x N N J O j u 1 4 R Y h K l J P 7 h e b S v v w 9 d V 9 z l r 4 7 e N F J y d Q L d X 6 2 j T 4 D V s W F j s 8 Z m j c 3 + 1 2 b d x m a N z R q b / a H N v g B Q S w E C L Q A U A A I A C A A N c A p X t 5 C X 8 a c A A A D 3 A A A A E g A A A A A A A A A A A A A A A A A A A A A A Q 2 9 u Z m l n L 1 B h Y 2 t h Z 2 U u e G 1 s U E s B A i 0 A F A A C A A g A D X A K V 1 N y O C y b A A A A 4 Q A A A B M A A A A A A A A A A A A A A A A A 8 w A A A F t D b 2 5 0 Z W 5 0 X 1 R 5 c G V z X S 5 4 b W x Q S w E C L Q A U A A I A C A A N c A p X f k Z V o o Y B A A A / C g A A E w A A A A A A A A A A A A A A A A D b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K g A A A A A A A G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x V D E z O j Q 4 O j A 5 L j Q 1 M z Q 4 N j V a I i A v P j x F b n R y e S B U e X B l P S J G a W x s Q 2 9 s d W 1 u V H l w Z X M i I F Z h b H V l P S J z Q U F B R E F B Q U F B Q U E 9 I i A v P j x F b n R y e S B U e X B l P S J G a W x s Q 2 9 s d W 1 u T m F t Z X M i I F Z h b H V l P S J z W y Z x d W 9 0 O 0 Z s a W d o d C Z x d W 9 0 O y w m c X V v d D t P c m l n a W 4 m c X V v d D s s J n F 1 b 3 Q 7 R V R B J n F 1 b 3 Q 7 L C Z x d W 9 0 O 0 d h d G U m c X V v d D s s J n F 1 b 3 Q 7 S U F C I F B B W C Z x d W 9 0 O y w m c X V v d D t J Q U I g Q k F H U y Z x d W 9 0 O y w m c X V v d D t G S V M g U E F Y J n F 1 b 3 Q 7 L C Z x d W 9 0 O 0 Z J U y B C Q U d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2 N D g 4 M D F m L W I x Y z E t N D V l Y S 1 i M z B i L T J l O T d j M z A 1 M j c 1 Z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Z s a W d o d C w w f S Z x d W 9 0 O y w m c X V v d D t T Z W N 0 a W 9 u M S 9 U Y W J s Z T I v Q X V 0 b 1 J l b W 9 2 Z W R D b 2 x 1 b W 5 z M S 5 7 T 3 J p Z 2 l u L D F 9 J n F 1 b 3 Q 7 L C Z x d W 9 0 O 1 N l Y 3 R p b 2 4 x L 1 R h Y m x l M i 9 B d X R v U m V t b 3 Z l Z E N v b H V t b n M x L n t F V E E s M n 0 m c X V v d D s s J n F 1 b 3 Q 7 U 2 V j d G l v b j E v V G F i b G U y L 0 F 1 d G 9 S Z W 1 v d m V k Q 2 9 s d W 1 u c z E u e 0 d h d G U s M 3 0 m c X V v d D s s J n F 1 b 3 Q 7 U 2 V j d G l v b j E v V G F i b G U y L 0 F 1 d G 9 S Z W 1 v d m V k Q 2 9 s d W 1 u c z E u e 0 l B Q i B Q Q V g s N H 0 m c X V v d D s s J n F 1 b 3 Q 7 U 2 V j d G l v b j E v V G F i b G U y L 0 F 1 d G 9 S Z W 1 v d m V k Q 2 9 s d W 1 u c z E u e 0 l B Q i B C Q U d T L D V 9 J n F 1 b 3 Q 7 L C Z x d W 9 0 O 1 N l Y 3 R p b 2 4 x L 1 R h Y m x l M i 9 B d X R v U m V t b 3 Z l Z E N v b H V t b n M x L n t G S V M g U E F Y L D Z 9 J n F 1 b 3 Q 7 L C Z x d W 9 0 O 1 N l Y 3 R p b 2 4 x L 1 R h Y m x l M i 9 B d X R v U m V t b 3 Z l Z E N v b H V t b n M x L n t G S V M g Q k F H U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I v Q X V 0 b 1 J l b W 9 2 Z W R D b 2 x 1 b W 5 z M S 5 7 R m x p Z 2 h 0 L D B 9 J n F 1 b 3 Q 7 L C Z x d W 9 0 O 1 N l Y 3 R p b 2 4 x L 1 R h Y m x l M i 9 B d X R v U m V t b 3 Z l Z E N v b H V t b n M x L n t P c m l n a W 4 s M X 0 m c X V v d D s s J n F 1 b 3 Q 7 U 2 V j d G l v b j E v V G F i b G U y L 0 F 1 d G 9 S Z W 1 v d m V k Q 2 9 s d W 1 u c z E u e 0 V U Q S w y f S Z x d W 9 0 O y w m c X V v d D t T Z W N 0 a W 9 u M S 9 U Y W J s Z T I v Q X V 0 b 1 J l b W 9 2 Z W R D b 2 x 1 b W 5 z M S 5 7 R 2 F 0 Z S w z f S Z x d W 9 0 O y w m c X V v d D t T Z W N 0 a W 9 u M S 9 U Y W J s Z T I v Q X V 0 b 1 J l b W 9 2 Z W R D b 2 x 1 b W 5 z M S 5 7 S U F C I F B B W C w 0 f S Z x d W 9 0 O y w m c X V v d D t T Z W N 0 a W 9 u M S 9 U Y W J s Z T I v Q X V 0 b 1 J l b W 9 2 Z W R D b 2 x 1 b W 5 z M S 5 7 S U F C I E J B R 1 M s N X 0 m c X V v d D s s J n F 1 b 3 Q 7 U 2 V j d G l v b j E v V G F i b G U y L 0 F 1 d G 9 S Z W 1 v d m V k Q 2 9 s d W 1 u c z E u e 0 Z J U y B Q Q V g s N n 0 m c X V v d D s s J n F 1 b 3 Q 7 U 2 V j d G l v b j E v V G F i b G U y L 0 F 1 d G 9 S Z W 1 v d m V k Q 2 9 s d W 1 u c z E u e 0 Z J U y B C Q U d T L D d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M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x V D E z O j Q 4 O j A 5 L j Q 1 M z Q 4 N j V a I i A v P j x F b n R y e S B U e X B l P S J G a W x s Q 2 9 s d W 1 u V H l w Z X M i I F Z h b H V l P S J z Q U F B R E F B Q U F B Q U E 9 I i A v P j x F b n R y e S B U e X B l P S J G a W x s Q 2 9 s d W 1 u T m F t Z X M i I F Z h b H V l P S J z W y Z x d W 9 0 O 0 Z s a W d o d C Z x d W 9 0 O y w m c X V v d D t P c m l n a W 4 m c X V v d D s s J n F 1 b 3 Q 7 R V R B J n F 1 b 3 Q 7 L C Z x d W 9 0 O 0 d h d G U m c X V v d D s s J n F 1 b 3 Q 7 S U F C I F B B W C Z x d W 9 0 O y w m c X V v d D t J Q U I g Q k F H U y Z x d W 9 0 O y w m c X V v d D t G S V M g U E F Y J n F 1 b 3 Q 7 L C Z x d W 9 0 O 0 Z J U y B C Q U d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m x p Z 2 h 0 L D B 9 J n F 1 b 3 Q 7 L C Z x d W 9 0 O 1 N l Y 3 R p b 2 4 x L 1 R h Y m x l M i 9 B d X R v U m V t b 3 Z l Z E N v b H V t b n M x L n t P c m l n a W 4 s M X 0 m c X V v d D s s J n F 1 b 3 Q 7 U 2 V j d G l v b j E v V G F i b G U y L 0 F 1 d G 9 S Z W 1 v d m V k Q 2 9 s d W 1 u c z E u e 0 V U Q S w y f S Z x d W 9 0 O y w m c X V v d D t T Z W N 0 a W 9 u M S 9 U Y W J s Z T I v Q X V 0 b 1 J l b W 9 2 Z W R D b 2 x 1 b W 5 z M S 5 7 R 2 F 0 Z S w z f S Z x d W 9 0 O y w m c X V v d D t T Z W N 0 a W 9 u M S 9 U Y W J s Z T I v Q X V 0 b 1 J l b W 9 2 Z W R D b 2 x 1 b W 5 z M S 5 7 S U F C I F B B W C w 0 f S Z x d W 9 0 O y w m c X V v d D t T Z W N 0 a W 9 u M S 9 U Y W J s Z T I v Q X V 0 b 1 J l b W 9 2 Z W R D b 2 x 1 b W 5 z M S 5 7 S U F C I E J B R 1 M s N X 0 m c X V v d D s s J n F 1 b 3 Q 7 U 2 V j d G l v b j E v V G F i b G U y L 0 F 1 d G 9 S Z W 1 v d m V k Q 2 9 s d W 1 u c z E u e 0 Z J U y B Q Q V g s N n 0 m c X V v d D s s J n F 1 b 3 Q 7 U 2 V j d G l v b j E v V G F i b G U y L 0 F 1 d G 9 S Z W 1 v d m V k Q 2 9 s d W 1 u c z E u e 0 Z J U y B C Q U d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i 9 B d X R v U m V t b 3 Z l Z E N v b H V t b n M x L n t G b G l n a H Q s M H 0 m c X V v d D s s J n F 1 b 3 Q 7 U 2 V j d G l v b j E v V G F i b G U y L 0 F 1 d G 9 S Z W 1 v d m V k Q 2 9 s d W 1 u c z E u e 0 9 y a W d p b i w x f S Z x d W 9 0 O y w m c X V v d D t T Z W N 0 a W 9 u M S 9 U Y W J s Z T I v Q X V 0 b 1 J l b W 9 2 Z W R D b 2 x 1 b W 5 z M S 5 7 R V R B L D J 9 J n F 1 b 3 Q 7 L C Z x d W 9 0 O 1 N l Y 3 R p b 2 4 x L 1 R h Y m x l M i 9 B d X R v U m V t b 3 Z l Z E N v b H V t b n M x L n t H Y X R l L D N 9 J n F 1 b 3 Q 7 L C Z x d W 9 0 O 1 N l Y 3 R p b 2 4 x L 1 R h Y m x l M i 9 B d X R v U m V t b 3 Z l Z E N v b H V t b n M x L n t J Q U I g U E F Y L D R 9 J n F 1 b 3 Q 7 L C Z x d W 9 0 O 1 N l Y 3 R p b 2 4 x L 1 R h Y m x l M i 9 B d X R v U m V t b 3 Z l Z E N v b H V t b n M x L n t J Q U I g Q k F H U y w 1 f S Z x d W 9 0 O y w m c X V v d D t T Z W N 0 a W 9 u M S 9 U Y W J s Z T I v Q X V 0 b 1 J l b W 9 2 Z W R D b 2 x 1 b W 5 z M S 5 7 R k l T I F B B W C w 2 f S Z x d W 9 0 O y w m c X V v d D t T Z W N 0 a W 9 u M S 9 U Y W J s Z T I v Q X V 0 b 1 J l b W 9 2 Z W R D b 2 x 1 b W 5 z M S 5 7 R k l T I E J B R 1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y k 8 L 0 l 0 Z W 1 Q Y X R o P j w v S X R l b U x v Y 2 F 0 a W 9 u P j x T d G F i b G V F b n R y a W V z P j x F b n R y e S B U e X B l P S J G a W x s Q 2 9 1 b n Q i I F Z h b H V l P S J s M z I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D g t M D F U M T M 6 N D g 6 M D k u N D U z N D g 2 N V o i I C 8 + P E V u d H J 5 I F R 5 c G U 9 I k Z p b G x D b 2 x 1 b W 5 U e X B l c y I g V m F s d W U 9 I n N B Q U F E Q U F B Q U F B Q T 0 i I C 8 + P E V u d H J 5 I F R 5 c G U 9 I k Z p b G x D b 2 x 1 b W 5 O Y W 1 l c y I g V m F s d W U 9 I n N b J n F 1 b 3 Q 7 R m x p Z 2 h 0 J n F 1 b 3 Q 7 L C Z x d W 9 0 O 0 9 y a W d p b i Z x d W 9 0 O y w m c X V v d D t F V E E m c X V v d D s s J n F 1 b 3 Q 7 R 2 F 0 Z S Z x d W 9 0 O y w m c X V v d D t J Q U I g U E F Y J n F 1 b 3 Q 7 L C Z x d W 9 0 O 0 l B Q i B C Q U d T J n F 1 b 3 Q 7 L C Z x d W 9 0 O 0 Z J U y B Q Q V g m c X V v d D s s J n F 1 b 3 Q 7 R k l T I E J B R 1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G b G l n a H Q s M H 0 m c X V v d D s s J n F 1 b 3 Q 7 U 2 V j d G l v b j E v V G F i b G U y L 0 F 1 d G 9 S Z W 1 v d m V k Q 2 9 s d W 1 u c z E u e 0 9 y a W d p b i w x f S Z x d W 9 0 O y w m c X V v d D t T Z W N 0 a W 9 u M S 9 U Y W J s Z T I v Q X V 0 b 1 J l b W 9 2 Z W R D b 2 x 1 b W 5 z M S 5 7 R V R B L D J 9 J n F 1 b 3 Q 7 L C Z x d W 9 0 O 1 N l Y 3 R p b 2 4 x L 1 R h Y m x l M i 9 B d X R v U m V t b 3 Z l Z E N v b H V t b n M x L n t H Y X R l L D N 9 J n F 1 b 3 Q 7 L C Z x d W 9 0 O 1 N l Y 3 R p b 2 4 x L 1 R h Y m x l M i 9 B d X R v U m V t b 3 Z l Z E N v b H V t b n M x L n t J Q U I g U E F Y L D R 9 J n F 1 b 3 Q 7 L C Z x d W 9 0 O 1 N l Y 3 R p b 2 4 x L 1 R h Y m x l M i 9 B d X R v U m V t b 3 Z l Z E N v b H V t b n M x L n t J Q U I g Q k F H U y w 1 f S Z x d W 9 0 O y w m c X V v d D t T Z W N 0 a W 9 u M S 9 U Y W J s Z T I v Q X V 0 b 1 J l b W 9 2 Z W R D b 2 x 1 b W 5 z M S 5 7 R k l T I F B B W C w 2 f S Z x d W 9 0 O y w m c X V v d D t T Z W N 0 a W 9 u M S 9 U Y W J s Z T I v Q X V 0 b 1 J l b W 9 2 Z W R D b 2 x 1 b W 5 z M S 5 7 R k l T I E J B R 1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y L 0 F 1 d G 9 S Z W 1 v d m V k Q 2 9 s d W 1 u c z E u e 0 Z s a W d o d C w w f S Z x d W 9 0 O y w m c X V v d D t T Z W N 0 a W 9 u M S 9 U Y W J s Z T I v Q X V 0 b 1 J l b W 9 2 Z W R D b 2 x 1 b W 5 z M S 5 7 T 3 J p Z 2 l u L D F 9 J n F 1 b 3 Q 7 L C Z x d W 9 0 O 1 N l Y 3 R p b 2 4 x L 1 R h Y m x l M i 9 B d X R v U m V t b 3 Z l Z E N v b H V t b n M x L n t F V E E s M n 0 m c X V v d D s s J n F 1 b 3 Q 7 U 2 V j d G l v b j E v V G F i b G U y L 0 F 1 d G 9 S Z W 1 v d m V k Q 2 9 s d W 1 u c z E u e 0 d h d G U s M 3 0 m c X V v d D s s J n F 1 b 3 Q 7 U 2 V j d G l v b j E v V G F i b G U y L 0 F 1 d G 9 S Z W 1 v d m V k Q 2 9 s d W 1 u c z E u e 0 l B Q i B Q Q V g s N H 0 m c X V v d D s s J n F 1 b 3 Q 7 U 2 V j d G l v b j E v V G F i b G U y L 0 F 1 d G 9 S Z W 1 v d m V k Q 2 9 s d W 1 u c z E u e 0 l B Q i B C Q U d T L D V 9 J n F 1 b 3 Q 7 L C Z x d W 9 0 O 1 N l Y 3 R p b 2 4 x L 1 R h Y m x l M i 9 B d X R v U m V t b 3 Z l Z E N v b H V t b n M x L n t G S V M g U E F Y L D Z 9 J n F 1 b 3 Q 7 L C Z x d W 9 0 O 1 N l Y 3 R p b 2 4 x L 1 R h Y m x l M i 9 B d X R v U m V t b 3 Z l Z E N v b H V t b n M x L n t G S V M g Q k F H U y w 3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R m l s b F R h c m d l d C I g V m F s d W U 9 I n N U Y W J s Z T J f M j M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y C D i 4 l o s U Q o 9 A c 3 p E 1 h p w A A A A A A I A A A A A A A N m A A D A A A A A E A A A A M 5 k g 3 O u u K n j o + j D E r + T g B I A A A A A B I A A A K A A A A A Q A A A A r J 1 n D M J J H B o 8 / m u t R K X p N F A A A A D d e 2 k B / e X o U 8 R U W o 3 J o y l Q + 9 i 4 e s f p S 1 e c y U m t K 5 t v c C b h F s u 8 j w S E F + i s h n 7 6 B 5 j W p n G y q 0 3 G l x P R t I d X c w c 5 0 R 9 k i l L H w N 7 O y u 1 f W n H G F h Q A A A A I O n A i f X X H 9 f F H K r + i B O D H I p 7 8 a w = = < / D a t a M a s h u p > 
</file>

<file path=customXml/itemProps1.xml><?xml version="1.0" encoding="utf-8"?>
<ds:datastoreItem xmlns:ds="http://schemas.openxmlformats.org/officeDocument/2006/customXml" ds:itemID="{5F22EEA2-2266-4BE0-948D-BC25813FE4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Supporting Data</vt:lpstr>
      <vt:lpstr>TSA Wait Times Data</vt:lpstr>
      <vt:lpstr>Intl Arrivals</vt:lpstr>
      <vt:lpstr>FIS Optimal Model (2)</vt:lpstr>
      <vt:lpstr>FIS Optimal Model</vt:lpstr>
      <vt:lpstr>FIS Current Model</vt:lpstr>
      <vt:lpstr>FIS Optimal Model (3)</vt:lpstr>
      <vt:lpstr>IAB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Reckard, Catherine</dc:creator>
  <cp:lastModifiedBy>Reckard, Catherine</cp:lastModifiedBy>
  <dcterms:created xsi:type="dcterms:W3CDTF">2023-08-01T17:57:33Z</dcterms:created>
  <dcterms:modified xsi:type="dcterms:W3CDTF">2023-08-10T18:25:43Z</dcterms:modified>
</cp:coreProperties>
</file>