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/Volumes/Storage/University/Politecnico/ThirdYear/Fall/Motor Vehicle Design/Project 1/"/>
    </mc:Choice>
  </mc:AlternateContent>
  <bookViews>
    <workbookView xWindow="0" yWindow="460" windowWidth="25600" windowHeight="15540" activeTab="8"/>
  </bookViews>
  <sheets>
    <sheet name="1_1.1 " sheetId="1" r:id="rId1"/>
    <sheet name="1_1.2" sheetId="4" r:id="rId2"/>
    <sheet name="1_1.3" sheetId="5" r:id="rId3"/>
    <sheet name="1_2.1" sheetId="6" r:id="rId4"/>
    <sheet name="1_2.2" sheetId="7" r:id="rId5"/>
    <sheet name="1_2.3" sheetId="8" r:id="rId6"/>
    <sheet name="NEDC" sheetId="9" r:id="rId7"/>
    <sheet name="Team 14 engine map" sheetId="10" r:id="rId8"/>
    <sheet name="engine map" sheetId="11" r:id="rId9"/>
  </sheets>
  <externalReferences>
    <externalReference r:id="rId10"/>
    <externalReference r:id="rId11"/>
  </externalReferences>
  <definedNames>
    <definedName name="meq">NEDC!$A$11:$B$15</definedName>
    <definedName name="pln_team14" localSheetId="7">'Team 14 engine map'!$A$1:$C$56</definedName>
    <definedName name="tabella">NEDC!$C$3:$E$17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10" l="1"/>
  <c r="Q4" i="9"/>
  <c r="Q5" i="9"/>
  <c r="Q6" i="9"/>
  <c r="Q7" i="9"/>
  <c r="Q8" i="9"/>
  <c r="Q9" i="9"/>
  <c r="Q10" i="9"/>
  <c r="Q11" i="9"/>
  <c r="Q12" i="9"/>
  <c r="Q13" i="9"/>
  <c r="Q14" i="9"/>
  <c r="E3" i="9"/>
  <c r="E5" i="9"/>
  <c r="E4" i="9"/>
  <c r="I5" i="9"/>
  <c r="M15" i="9"/>
  <c r="M14" i="9"/>
  <c r="N14" i="9"/>
  <c r="P15" i="9"/>
  <c r="R15" i="9"/>
  <c r="I6" i="9"/>
  <c r="M16" i="9"/>
  <c r="N15" i="9"/>
  <c r="P16" i="9"/>
  <c r="R16" i="9"/>
  <c r="I7" i="9"/>
  <c r="M17" i="9"/>
  <c r="N16" i="9"/>
  <c r="P17" i="9"/>
  <c r="R17" i="9"/>
  <c r="I8" i="9"/>
  <c r="M18" i="9"/>
  <c r="N17" i="9"/>
  <c r="P18" i="9"/>
  <c r="R18" i="9"/>
  <c r="M19" i="9"/>
  <c r="N18" i="9"/>
  <c r="P19" i="9"/>
  <c r="R19" i="9"/>
  <c r="M20" i="9"/>
  <c r="N19" i="9"/>
  <c r="P20" i="9"/>
  <c r="R20" i="9"/>
  <c r="M21" i="9"/>
  <c r="N20" i="9"/>
  <c r="P21" i="9"/>
  <c r="R21" i="9"/>
  <c r="M22" i="9"/>
  <c r="N21" i="9"/>
  <c r="P22" i="9"/>
  <c r="R22" i="9"/>
  <c r="M23" i="9"/>
  <c r="N22" i="9"/>
  <c r="P23" i="9"/>
  <c r="R23" i="9"/>
  <c r="M24" i="9"/>
  <c r="N23" i="9"/>
  <c r="P24" i="9"/>
  <c r="R24" i="9"/>
  <c r="M25" i="9"/>
  <c r="N24" i="9"/>
  <c r="P25" i="9"/>
  <c r="R25" i="9"/>
  <c r="M26" i="9"/>
  <c r="N25" i="9"/>
  <c r="P26" i="9"/>
  <c r="R26" i="9"/>
  <c r="M27" i="9"/>
  <c r="N26" i="9"/>
  <c r="P27" i="9"/>
  <c r="R27" i="9"/>
  <c r="M28" i="9"/>
  <c r="N27" i="9"/>
  <c r="P28" i="9"/>
  <c r="R28" i="9"/>
  <c r="M29" i="9"/>
  <c r="N28" i="9"/>
  <c r="P29" i="9"/>
  <c r="R29" i="9"/>
  <c r="I9" i="9"/>
  <c r="M30" i="9"/>
  <c r="N29" i="9"/>
  <c r="P30" i="9"/>
  <c r="R30" i="9"/>
  <c r="E7" i="9"/>
  <c r="E6" i="9"/>
  <c r="I10" i="9"/>
  <c r="M31" i="9"/>
  <c r="Q31" i="9"/>
  <c r="I11" i="9"/>
  <c r="M32" i="9"/>
  <c r="Q32" i="9"/>
  <c r="I12" i="9"/>
  <c r="M33" i="9"/>
  <c r="Q33" i="9"/>
  <c r="I13" i="9"/>
  <c r="M34" i="9"/>
  <c r="Q34" i="9"/>
  <c r="I14" i="9"/>
  <c r="M35" i="9"/>
  <c r="Q35" i="9"/>
  <c r="M36" i="9"/>
  <c r="Q36" i="9"/>
  <c r="M37" i="9"/>
  <c r="Q37" i="9"/>
  <c r="M38" i="9"/>
  <c r="Q38" i="9"/>
  <c r="M39" i="9"/>
  <c r="Q39" i="9"/>
  <c r="M40" i="9"/>
  <c r="Q40" i="9"/>
  <c r="M41" i="9"/>
  <c r="Q41" i="9"/>
  <c r="M42" i="9"/>
  <c r="Q42" i="9"/>
  <c r="M43" i="9"/>
  <c r="Q43" i="9"/>
  <c r="M44" i="9"/>
  <c r="Q44" i="9"/>
  <c r="M45" i="9"/>
  <c r="Q45" i="9"/>
  <c r="M46" i="9"/>
  <c r="Q46" i="9"/>
  <c r="M47" i="9"/>
  <c r="Q47" i="9"/>
  <c r="M48" i="9"/>
  <c r="Q48" i="9"/>
  <c r="M49" i="9"/>
  <c r="Q49" i="9"/>
  <c r="M50" i="9"/>
  <c r="Q50" i="9"/>
  <c r="M51" i="9"/>
  <c r="Q51" i="9"/>
  <c r="M52" i="9"/>
  <c r="Q52" i="9"/>
  <c r="E9" i="9"/>
  <c r="E8" i="9"/>
  <c r="I16" i="9"/>
  <c r="M53" i="9"/>
  <c r="N52" i="9"/>
  <c r="P53" i="9"/>
  <c r="R53" i="9"/>
  <c r="I17" i="9"/>
  <c r="M54" i="9"/>
  <c r="N53" i="9"/>
  <c r="P54" i="9"/>
  <c r="R54" i="9"/>
  <c r="I18" i="9"/>
  <c r="M55" i="9"/>
  <c r="N54" i="9"/>
  <c r="P55" i="9"/>
  <c r="R55" i="9"/>
  <c r="I19" i="9"/>
  <c r="M56" i="9"/>
  <c r="N55" i="9"/>
  <c r="P56" i="9"/>
  <c r="R56" i="9"/>
  <c r="I20" i="9"/>
  <c r="M57" i="9"/>
  <c r="N56" i="9"/>
  <c r="P57" i="9"/>
  <c r="R57" i="9"/>
  <c r="I21" i="9"/>
  <c r="M58" i="9"/>
  <c r="N57" i="9"/>
  <c r="P58" i="9"/>
  <c r="R58" i="9"/>
  <c r="I22" i="9"/>
  <c r="M59" i="9"/>
  <c r="N58" i="9"/>
  <c r="P59" i="9"/>
  <c r="R59" i="9"/>
  <c r="I23" i="9"/>
  <c r="M60" i="9"/>
  <c r="N59" i="9"/>
  <c r="P60" i="9"/>
  <c r="R60" i="9"/>
  <c r="I24" i="9"/>
  <c r="M61" i="9"/>
  <c r="N60" i="9"/>
  <c r="P61" i="9"/>
  <c r="R61" i="9"/>
  <c r="I25" i="9"/>
  <c r="M62" i="9"/>
  <c r="N61" i="9"/>
  <c r="P62" i="9"/>
  <c r="R62" i="9"/>
  <c r="I26" i="9"/>
  <c r="M63" i="9"/>
  <c r="N62" i="9"/>
  <c r="P63" i="9"/>
  <c r="R63" i="9"/>
  <c r="I27" i="9"/>
  <c r="M64" i="9"/>
  <c r="N63" i="9"/>
  <c r="P64" i="9"/>
  <c r="R64" i="9"/>
  <c r="M65" i="9"/>
  <c r="N64" i="9"/>
  <c r="P65" i="9"/>
  <c r="R65" i="9"/>
  <c r="M66" i="9"/>
  <c r="N65" i="9"/>
  <c r="P66" i="9"/>
  <c r="R66" i="9"/>
  <c r="M67" i="9"/>
  <c r="N66" i="9"/>
  <c r="P67" i="9"/>
  <c r="R67" i="9"/>
  <c r="M68" i="9"/>
  <c r="N67" i="9"/>
  <c r="P68" i="9"/>
  <c r="R68" i="9"/>
  <c r="M69" i="9"/>
  <c r="N68" i="9"/>
  <c r="P69" i="9"/>
  <c r="R69" i="9"/>
  <c r="M70" i="9"/>
  <c r="N69" i="9"/>
  <c r="P70" i="9"/>
  <c r="R70" i="9"/>
  <c r="M71" i="9"/>
  <c r="N70" i="9"/>
  <c r="P71" i="9"/>
  <c r="R71" i="9"/>
  <c r="M72" i="9"/>
  <c r="N71" i="9"/>
  <c r="P72" i="9"/>
  <c r="R72" i="9"/>
  <c r="M73" i="9"/>
  <c r="N72" i="9"/>
  <c r="P73" i="9"/>
  <c r="R73" i="9"/>
  <c r="M74" i="9"/>
  <c r="N73" i="9"/>
  <c r="P74" i="9"/>
  <c r="R74" i="9"/>
  <c r="M75" i="9"/>
  <c r="N74" i="9"/>
  <c r="P75" i="9"/>
  <c r="R75" i="9"/>
  <c r="M76" i="9"/>
  <c r="N75" i="9"/>
  <c r="P76" i="9"/>
  <c r="R76" i="9"/>
  <c r="M77" i="9"/>
  <c r="N76" i="9"/>
  <c r="P77" i="9"/>
  <c r="R77" i="9"/>
  <c r="M78" i="9"/>
  <c r="N77" i="9"/>
  <c r="P78" i="9"/>
  <c r="R78" i="9"/>
  <c r="M79" i="9"/>
  <c r="N78" i="9"/>
  <c r="P79" i="9"/>
  <c r="R79" i="9"/>
  <c r="M80" i="9"/>
  <c r="N79" i="9"/>
  <c r="P80" i="9"/>
  <c r="R80" i="9"/>
  <c r="M81" i="9"/>
  <c r="N80" i="9"/>
  <c r="P81" i="9"/>
  <c r="R81" i="9"/>
  <c r="M82" i="9"/>
  <c r="N81" i="9"/>
  <c r="P82" i="9"/>
  <c r="R82" i="9"/>
  <c r="M83" i="9"/>
  <c r="N82" i="9"/>
  <c r="P83" i="9"/>
  <c r="R83" i="9"/>
  <c r="M84" i="9"/>
  <c r="N83" i="9"/>
  <c r="P84" i="9"/>
  <c r="R84" i="9"/>
  <c r="M85" i="9"/>
  <c r="N84" i="9"/>
  <c r="P85" i="9"/>
  <c r="R85" i="9"/>
  <c r="M86" i="9"/>
  <c r="N85" i="9"/>
  <c r="P86" i="9"/>
  <c r="R86" i="9"/>
  <c r="M87" i="9"/>
  <c r="N86" i="9"/>
  <c r="P87" i="9"/>
  <c r="R87" i="9"/>
  <c r="I28" i="9"/>
  <c r="M88" i="9"/>
  <c r="N87" i="9"/>
  <c r="P88" i="9"/>
  <c r="R88" i="9"/>
  <c r="E11" i="9"/>
  <c r="E10" i="9"/>
  <c r="I29" i="9"/>
  <c r="M89" i="9"/>
  <c r="Q89" i="9"/>
  <c r="I30" i="9"/>
  <c r="M90" i="9"/>
  <c r="Q90" i="9"/>
  <c r="I31" i="9"/>
  <c r="M91" i="9"/>
  <c r="Q91" i="9"/>
  <c r="I32" i="9"/>
  <c r="M92" i="9"/>
  <c r="Q92" i="9"/>
  <c r="I33" i="9"/>
  <c r="M93" i="9"/>
  <c r="Q93" i="9"/>
  <c r="I34" i="9"/>
  <c r="M94" i="9"/>
  <c r="Q94" i="9"/>
  <c r="I35" i="9"/>
  <c r="M95" i="9"/>
  <c r="Q95" i="9"/>
  <c r="I36" i="9"/>
  <c r="M96" i="9"/>
  <c r="Q96" i="9"/>
  <c r="I37" i="9"/>
  <c r="M97" i="9"/>
  <c r="Q97" i="9"/>
  <c r="I38" i="9"/>
  <c r="M98" i="9"/>
  <c r="Q98" i="9"/>
  <c r="I39" i="9"/>
  <c r="M99" i="9"/>
  <c r="Q99" i="9"/>
  <c r="M100" i="9"/>
  <c r="Q100" i="9"/>
  <c r="M101" i="9"/>
  <c r="Q101" i="9"/>
  <c r="M102" i="9"/>
  <c r="Q102" i="9"/>
  <c r="M103" i="9"/>
  <c r="Q103" i="9"/>
  <c r="M104" i="9"/>
  <c r="Q104" i="9"/>
  <c r="M105" i="9"/>
  <c r="Q105" i="9"/>
  <c r="M106" i="9"/>
  <c r="Q106" i="9"/>
  <c r="M107" i="9"/>
  <c r="Q107" i="9"/>
  <c r="M108" i="9"/>
  <c r="Q108" i="9"/>
  <c r="M109" i="9"/>
  <c r="Q109" i="9"/>
  <c r="M110" i="9"/>
  <c r="Q110" i="9"/>
  <c r="M111" i="9"/>
  <c r="Q111" i="9"/>
  <c r="M112" i="9"/>
  <c r="Q112" i="9"/>
  <c r="M113" i="9"/>
  <c r="Q113" i="9"/>
  <c r="M114" i="9"/>
  <c r="Q114" i="9"/>
  <c r="M115" i="9"/>
  <c r="Q115" i="9"/>
  <c r="M116" i="9"/>
  <c r="Q116" i="9"/>
  <c r="M117" i="9"/>
  <c r="Q117" i="9"/>
  <c r="M118" i="9"/>
  <c r="Q118" i="9"/>
  <c r="M119" i="9"/>
  <c r="Q119" i="9"/>
  <c r="I40" i="9"/>
  <c r="M120" i="9"/>
  <c r="Q120" i="9"/>
  <c r="E13" i="9"/>
  <c r="E12" i="9"/>
  <c r="C13" i="9"/>
  <c r="I41" i="9"/>
  <c r="M121" i="9"/>
  <c r="N120" i="9"/>
  <c r="P121" i="9"/>
  <c r="R121" i="9"/>
  <c r="I42" i="9"/>
  <c r="M122" i="9"/>
  <c r="N121" i="9"/>
  <c r="P122" i="9"/>
  <c r="R122" i="9"/>
  <c r="I43" i="9"/>
  <c r="M123" i="9"/>
  <c r="N122" i="9"/>
  <c r="P123" i="9"/>
  <c r="R123" i="9"/>
  <c r="I44" i="9"/>
  <c r="M124" i="9"/>
  <c r="N123" i="9"/>
  <c r="P124" i="9"/>
  <c r="R124" i="9"/>
  <c r="I45" i="9"/>
  <c r="M125" i="9"/>
  <c r="N124" i="9"/>
  <c r="P125" i="9"/>
  <c r="R125" i="9"/>
  <c r="I46" i="9"/>
  <c r="M126" i="9"/>
  <c r="N125" i="9"/>
  <c r="P126" i="9"/>
  <c r="R126" i="9"/>
  <c r="I47" i="9"/>
  <c r="M127" i="9"/>
  <c r="N126" i="9"/>
  <c r="P127" i="9"/>
  <c r="R127" i="9"/>
  <c r="I48" i="9"/>
  <c r="M128" i="9"/>
  <c r="N127" i="9"/>
  <c r="P128" i="9"/>
  <c r="R128" i="9"/>
  <c r="I49" i="9"/>
  <c r="M129" i="9"/>
  <c r="N128" i="9"/>
  <c r="P129" i="9"/>
  <c r="R129" i="9"/>
  <c r="I50" i="9"/>
  <c r="M130" i="9"/>
  <c r="N129" i="9"/>
  <c r="P130" i="9"/>
  <c r="R130" i="9"/>
  <c r="I51" i="9"/>
  <c r="M131" i="9"/>
  <c r="N130" i="9"/>
  <c r="P131" i="9"/>
  <c r="R131" i="9"/>
  <c r="I52" i="9"/>
  <c r="M132" i="9"/>
  <c r="N131" i="9"/>
  <c r="P132" i="9"/>
  <c r="R132" i="9"/>
  <c r="I53" i="9"/>
  <c r="M133" i="9"/>
  <c r="N132" i="9"/>
  <c r="P133" i="9"/>
  <c r="R133" i="9"/>
  <c r="I54" i="9"/>
  <c r="M134" i="9"/>
  <c r="N133" i="9"/>
  <c r="P134" i="9"/>
  <c r="R134" i="9"/>
  <c r="I55" i="9"/>
  <c r="M135" i="9"/>
  <c r="N134" i="9"/>
  <c r="P135" i="9"/>
  <c r="R135" i="9"/>
  <c r="I56" i="9"/>
  <c r="M136" i="9"/>
  <c r="N135" i="9"/>
  <c r="P136" i="9"/>
  <c r="R136" i="9"/>
  <c r="I57" i="9"/>
  <c r="M137" i="9"/>
  <c r="N136" i="9"/>
  <c r="P137" i="9"/>
  <c r="R137" i="9"/>
  <c r="I58" i="9"/>
  <c r="M138" i="9"/>
  <c r="N137" i="9"/>
  <c r="P138" i="9"/>
  <c r="R138" i="9"/>
  <c r="I59" i="9"/>
  <c r="M139" i="9"/>
  <c r="N138" i="9"/>
  <c r="P139" i="9"/>
  <c r="R139" i="9"/>
  <c r="I60" i="9"/>
  <c r="M140" i="9"/>
  <c r="N139" i="9"/>
  <c r="P140" i="9"/>
  <c r="R140" i="9"/>
  <c r="I61" i="9"/>
  <c r="M141" i="9"/>
  <c r="N140" i="9"/>
  <c r="P141" i="9"/>
  <c r="R141" i="9"/>
  <c r="I62" i="9"/>
  <c r="M142" i="9"/>
  <c r="N141" i="9"/>
  <c r="P142" i="9"/>
  <c r="R142" i="9"/>
  <c r="I63" i="9"/>
  <c r="M143" i="9"/>
  <c r="N142" i="9"/>
  <c r="P143" i="9"/>
  <c r="R143" i="9"/>
  <c r="I64" i="9"/>
  <c r="M144" i="9"/>
  <c r="N143" i="9"/>
  <c r="P144" i="9"/>
  <c r="R144" i="9"/>
  <c r="I65" i="9"/>
  <c r="M145" i="9"/>
  <c r="N144" i="9"/>
  <c r="P145" i="9"/>
  <c r="R145" i="9"/>
  <c r="I66" i="9"/>
  <c r="M146" i="9"/>
  <c r="N145" i="9"/>
  <c r="P146" i="9"/>
  <c r="R146" i="9"/>
  <c r="M147" i="9"/>
  <c r="N146" i="9"/>
  <c r="P147" i="9"/>
  <c r="R147" i="9"/>
  <c r="M148" i="9"/>
  <c r="N147" i="9"/>
  <c r="P148" i="9"/>
  <c r="R148" i="9"/>
  <c r="M149" i="9"/>
  <c r="N148" i="9"/>
  <c r="P149" i="9"/>
  <c r="R149" i="9"/>
  <c r="M150" i="9"/>
  <c r="N149" i="9"/>
  <c r="P150" i="9"/>
  <c r="R150" i="9"/>
  <c r="M151" i="9"/>
  <c r="N150" i="9"/>
  <c r="P151" i="9"/>
  <c r="R151" i="9"/>
  <c r="M152" i="9"/>
  <c r="N151" i="9"/>
  <c r="P152" i="9"/>
  <c r="R152" i="9"/>
  <c r="M153" i="9"/>
  <c r="N152" i="9"/>
  <c r="P153" i="9"/>
  <c r="R153" i="9"/>
  <c r="M154" i="9"/>
  <c r="N153" i="9"/>
  <c r="P154" i="9"/>
  <c r="R154" i="9"/>
  <c r="M155" i="9"/>
  <c r="N154" i="9"/>
  <c r="P155" i="9"/>
  <c r="R155" i="9"/>
  <c r="M156" i="9"/>
  <c r="N155" i="9"/>
  <c r="P156" i="9"/>
  <c r="R156" i="9"/>
  <c r="M157" i="9"/>
  <c r="N156" i="9"/>
  <c r="P157" i="9"/>
  <c r="R157" i="9"/>
  <c r="I67" i="9"/>
  <c r="M158" i="9"/>
  <c r="N157" i="9"/>
  <c r="P158" i="9"/>
  <c r="R158" i="9"/>
  <c r="E15" i="9"/>
  <c r="E14" i="9"/>
  <c r="I68" i="9"/>
  <c r="M159" i="9"/>
  <c r="Q159" i="9"/>
  <c r="I69" i="9"/>
  <c r="M160" i="9"/>
  <c r="Q160" i="9"/>
  <c r="I70" i="9"/>
  <c r="M161" i="9"/>
  <c r="Q161" i="9"/>
  <c r="I71" i="9"/>
  <c r="M162" i="9"/>
  <c r="Q162" i="9"/>
  <c r="I72" i="9"/>
  <c r="M163" i="9"/>
  <c r="Q163" i="9"/>
  <c r="I73" i="9"/>
  <c r="M164" i="9"/>
  <c r="Q164" i="9"/>
  <c r="I74" i="9"/>
  <c r="M165" i="9"/>
  <c r="Q165" i="9"/>
  <c r="I75" i="9"/>
  <c r="M166" i="9"/>
  <c r="Q166" i="9"/>
  <c r="M167" i="9"/>
  <c r="N166" i="9"/>
  <c r="P167" i="9"/>
  <c r="R167" i="9"/>
  <c r="M168" i="9"/>
  <c r="N167" i="9"/>
  <c r="P168" i="9"/>
  <c r="R168" i="9"/>
  <c r="M169" i="9"/>
  <c r="N168" i="9"/>
  <c r="P169" i="9"/>
  <c r="R169" i="9"/>
  <c r="M170" i="9"/>
  <c r="N169" i="9"/>
  <c r="P170" i="9"/>
  <c r="R170" i="9"/>
  <c r="M171" i="9"/>
  <c r="N170" i="9"/>
  <c r="P171" i="9"/>
  <c r="R171" i="9"/>
  <c r="M172" i="9"/>
  <c r="N171" i="9"/>
  <c r="P172" i="9"/>
  <c r="R172" i="9"/>
  <c r="M173" i="9"/>
  <c r="N172" i="9"/>
  <c r="P173" i="9"/>
  <c r="R173" i="9"/>
  <c r="M174" i="9"/>
  <c r="N173" i="9"/>
  <c r="P174" i="9"/>
  <c r="R174" i="9"/>
  <c r="M175" i="9"/>
  <c r="N174" i="9"/>
  <c r="P175" i="9"/>
  <c r="R175" i="9"/>
  <c r="M176" i="9"/>
  <c r="N175" i="9"/>
  <c r="P176" i="9"/>
  <c r="R176" i="9"/>
  <c r="M177" i="9"/>
  <c r="N176" i="9"/>
  <c r="P177" i="9"/>
  <c r="R177" i="9"/>
  <c r="M178" i="9"/>
  <c r="N177" i="9"/>
  <c r="P178" i="9"/>
  <c r="R178" i="9"/>
  <c r="I76" i="9"/>
  <c r="M179" i="9"/>
  <c r="N178" i="9"/>
  <c r="P179" i="9"/>
  <c r="R179" i="9"/>
  <c r="E17" i="9"/>
  <c r="E16" i="9"/>
  <c r="I77" i="9"/>
  <c r="M180" i="9"/>
  <c r="Q180" i="9"/>
  <c r="I78" i="9"/>
  <c r="M181" i="9"/>
  <c r="Q181" i="9"/>
  <c r="I79" i="9"/>
  <c r="M182" i="9"/>
  <c r="Q182" i="9"/>
  <c r="I80" i="9"/>
  <c r="M183" i="9"/>
  <c r="Q183" i="9"/>
  <c r="I81" i="9"/>
  <c r="M184" i="9"/>
  <c r="Q184" i="9"/>
  <c r="I82" i="9"/>
  <c r="M185" i="9"/>
  <c r="Q185" i="9"/>
  <c r="I83" i="9"/>
  <c r="M186" i="9"/>
  <c r="Q186" i="9"/>
  <c r="I84" i="9"/>
  <c r="M187" i="9"/>
  <c r="Q187" i="9"/>
  <c r="I85" i="9"/>
  <c r="M188" i="9"/>
  <c r="Q188" i="9"/>
  <c r="I86" i="9"/>
  <c r="M189" i="9"/>
  <c r="Q189" i="9"/>
  <c r="I87" i="9"/>
  <c r="M190" i="9"/>
  <c r="Q190" i="9"/>
  <c r="L15" i="9"/>
  <c r="K8" i="8"/>
  <c r="I8" i="8"/>
  <c r="L8" i="8"/>
  <c r="M8" i="8"/>
  <c r="N8" i="8"/>
  <c r="O8" i="8"/>
  <c r="I58" i="7"/>
  <c r="I57" i="7"/>
  <c r="I56" i="7"/>
  <c r="I55" i="7"/>
  <c r="I54" i="7"/>
  <c r="I53" i="7"/>
  <c r="I52" i="7"/>
  <c r="I51" i="7"/>
  <c r="I50" i="7"/>
  <c r="I49" i="7"/>
  <c r="J48" i="7"/>
  <c r="J49" i="7"/>
  <c r="J50" i="7"/>
  <c r="J51" i="7"/>
  <c r="J52" i="7"/>
  <c r="J53" i="7"/>
  <c r="J54" i="7"/>
  <c r="J55" i="7"/>
  <c r="J56" i="7"/>
  <c r="J57" i="7"/>
  <c r="J5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AE48" i="7"/>
  <c r="AD49" i="7"/>
  <c r="AE49" i="7"/>
  <c r="B2" i="7"/>
  <c r="F17" i="7"/>
  <c r="B3" i="9"/>
  <c r="N30" i="9"/>
  <c r="N88" i="9"/>
  <c r="N158" i="9"/>
  <c r="N179" i="9"/>
  <c r="R32" i="9"/>
  <c r="O32" i="9"/>
  <c r="R33" i="9"/>
  <c r="O33" i="9"/>
  <c r="R34" i="9"/>
  <c r="O34" i="9"/>
  <c r="R35" i="9"/>
  <c r="O35" i="9"/>
  <c r="R36" i="9"/>
  <c r="O36" i="9"/>
  <c r="R37" i="9"/>
  <c r="O37" i="9"/>
  <c r="R38" i="9"/>
  <c r="O38" i="9"/>
  <c r="R39" i="9"/>
  <c r="O39" i="9"/>
  <c r="R40" i="9"/>
  <c r="O40" i="9"/>
  <c r="R41" i="9"/>
  <c r="O41" i="9"/>
  <c r="R42" i="9"/>
  <c r="O42" i="9"/>
  <c r="R43" i="9"/>
  <c r="O43" i="9"/>
  <c r="R44" i="9"/>
  <c r="O44" i="9"/>
  <c r="R45" i="9"/>
  <c r="O45" i="9"/>
  <c r="R46" i="9"/>
  <c r="O46" i="9"/>
  <c r="R47" i="9"/>
  <c r="O47" i="9"/>
  <c r="R48" i="9"/>
  <c r="O48" i="9"/>
  <c r="R49" i="9"/>
  <c r="O49" i="9"/>
  <c r="R50" i="9"/>
  <c r="O50" i="9"/>
  <c r="R51" i="9"/>
  <c r="O51" i="9"/>
  <c r="R52" i="9"/>
  <c r="O52" i="9"/>
  <c r="R89" i="9"/>
  <c r="O89" i="9"/>
  <c r="R90" i="9"/>
  <c r="O90" i="9"/>
  <c r="R91" i="9"/>
  <c r="O91" i="9"/>
  <c r="R92" i="9"/>
  <c r="O92" i="9"/>
  <c r="R93" i="9"/>
  <c r="O93" i="9"/>
  <c r="R94" i="9"/>
  <c r="O94" i="9"/>
  <c r="R95" i="9"/>
  <c r="O95" i="9"/>
  <c r="R96" i="9"/>
  <c r="O96" i="9"/>
  <c r="R97" i="9"/>
  <c r="O97" i="9"/>
  <c r="R98" i="9"/>
  <c r="O98" i="9"/>
  <c r="R99" i="9"/>
  <c r="O99" i="9"/>
  <c r="R100" i="9"/>
  <c r="O100" i="9"/>
  <c r="R101" i="9"/>
  <c r="O101" i="9"/>
  <c r="R102" i="9"/>
  <c r="O102" i="9"/>
  <c r="R103" i="9"/>
  <c r="O103" i="9"/>
  <c r="R104" i="9"/>
  <c r="O104" i="9"/>
  <c r="R105" i="9"/>
  <c r="O105" i="9"/>
  <c r="R106" i="9"/>
  <c r="O106" i="9"/>
  <c r="R107" i="9"/>
  <c r="O107" i="9"/>
  <c r="R108" i="9"/>
  <c r="O108" i="9"/>
  <c r="R109" i="9"/>
  <c r="O109" i="9"/>
  <c r="R110" i="9"/>
  <c r="O110" i="9"/>
  <c r="R111" i="9"/>
  <c r="O111" i="9"/>
  <c r="R112" i="9"/>
  <c r="O112" i="9"/>
  <c r="R113" i="9"/>
  <c r="O113" i="9"/>
  <c r="R114" i="9"/>
  <c r="O114" i="9"/>
  <c r="R115" i="9"/>
  <c r="O115" i="9"/>
  <c r="R116" i="9"/>
  <c r="O116" i="9"/>
  <c r="R117" i="9"/>
  <c r="O117" i="9"/>
  <c r="R118" i="9"/>
  <c r="O118" i="9"/>
  <c r="R119" i="9"/>
  <c r="O119" i="9"/>
  <c r="R120" i="9"/>
  <c r="O120" i="9"/>
  <c r="R159" i="9"/>
  <c r="O159" i="9"/>
  <c r="R160" i="9"/>
  <c r="O160" i="9"/>
  <c r="R161" i="9"/>
  <c r="O161" i="9"/>
  <c r="R162" i="9"/>
  <c r="O162" i="9"/>
  <c r="R163" i="9"/>
  <c r="O163" i="9"/>
  <c r="R164" i="9"/>
  <c r="O164" i="9"/>
  <c r="R165" i="9"/>
  <c r="O165" i="9"/>
  <c r="R166" i="9"/>
  <c r="O166" i="9"/>
  <c r="R180" i="9"/>
  <c r="O180" i="9"/>
  <c r="R181" i="9"/>
  <c r="O181" i="9"/>
  <c r="R182" i="9"/>
  <c r="O182" i="9"/>
  <c r="R183" i="9"/>
  <c r="O183" i="9"/>
  <c r="R184" i="9"/>
  <c r="O184" i="9"/>
  <c r="R185" i="9"/>
  <c r="O185" i="9"/>
  <c r="R186" i="9"/>
  <c r="O186" i="9"/>
  <c r="R187" i="9"/>
  <c r="O187" i="9"/>
  <c r="R188" i="9"/>
  <c r="O188" i="9"/>
  <c r="R189" i="9"/>
  <c r="O189" i="9"/>
  <c r="R190" i="9"/>
  <c r="O190" i="9"/>
  <c r="O191" i="9"/>
  <c r="R31" i="9"/>
  <c r="O31" i="9"/>
  <c r="R14" i="9"/>
  <c r="O14" i="9"/>
  <c r="R3" i="9"/>
  <c r="R4" i="9"/>
  <c r="R5" i="9"/>
  <c r="R6" i="9"/>
  <c r="R7" i="9"/>
  <c r="R8" i="9"/>
  <c r="R9" i="9"/>
  <c r="R10" i="9"/>
  <c r="R11" i="9"/>
  <c r="R12" i="9"/>
  <c r="R13" i="9"/>
  <c r="M4" i="9"/>
  <c r="L4" i="9"/>
  <c r="M5" i="9"/>
  <c r="O4" i="9"/>
  <c r="L5" i="9"/>
  <c r="M6" i="9"/>
  <c r="O5" i="9"/>
  <c r="L6" i="9"/>
  <c r="M7" i="9"/>
  <c r="O6" i="9"/>
  <c r="L7" i="9"/>
  <c r="M8" i="9"/>
  <c r="O7" i="9"/>
  <c r="L8" i="9"/>
  <c r="M9" i="9"/>
  <c r="O8" i="9"/>
  <c r="L9" i="9"/>
  <c r="M10" i="9"/>
  <c r="O9" i="9"/>
  <c r="L10" i="9"/>
  <c r="M11" i="9"/>
  <c r="O10" i="9"/>
  <c r="L11" i="9"/>
  <c r="M12" i="9"/>
  <c r="O11" i="9"/>
  <c r="L12" i="9"/>
  <c r="M13" i="9"/>
  <c r="O12" i="9"/>
  <c r="L13" i="9"/>
  <c r="O13" i="9"/>
  <c r="M3" i="9"/>
  <c r="L3" i="9"/>
  <c r="O3" i="9"/>
  <c r="P159" i="9"/>
  <c r="P160" i="9"/>
  <c r="P161" i="9"/>
  <c r="P162" i="9"/>
  <c r="P163" i="9"/>
  <c r="P164" i="9"/>
  <c r="P165" i="9"/>
  <c r="P166" i="9"/>
  <c r="P180" i="9"/>
  <c r="P181" i="9"/>
  <c r="P182" i="9"/>
  <c r="P183" i="9"/>
  <c r="P184" i="9"/>
  <c r="P185" i="9"/>
  <c r="P186" i="9"/>
  <c r="P187" i="9"/>
  <c r="P188" i="9"/>
  <c r="P189" i="9"/>
  <c r="P190" i="9"/>
  <c r="I88" i="9"/>
  <c r="M191" i="9"/>
  <c r="P191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4" i="9"/>
  <c r="P5" i="9"/>
  <c r="P6" i="9"/>
  <c r="P7" i="9"/>
  <c r="P8" i="9"/>
  <c r="P9" i="9"/>
  <c r="P10" i="9"/>
  <c r="P11" i="9"/>
  <c r="P12" i="9"/>
  <c r="P13" i="9"/>
  <c r="P14" i="9"/>
  <c r="P3" i="9"/>
  <c r="N5" i="9"/>
  <c r="N6" i="9"/>
  <c r="N7" i="9"/>
  <c r="N8" i="9"/>
  <c r="N9" i="9"/>
  <c r="N10" i="9"/>
  <c r="N11" i="9"/>
  <c r="N12" i="9"/>
  <c r="N13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59" i="9"/>
  <c r="N160" i="9"/>
  <c r="N161" i="9"/>
  <c r="N162" i="9"/>
  <c r="N163" i="9"/>
  <c r="N164" i="9"/>
  <c r="N165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L14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N4" i="9"/>
  <c r="B19" i="9"/>
  <c r="N3" i="9"/>
  <c r="T48" i="7"/>
  <c r="E49" i="7"/>
  <c r="E50" i="7"/>
  <c r="E51" i="7"/>
  <c r="E52" i="7"/>
  <c r="E53" i="7"/>
  <c r="E54" i="7"/>
  <c r="E55" i="7"/>
  <c r="E56" i="7"/>
  <c r="E57" i="7"/>
  <c r="A50" i="7"/>
  <c r="T58" i="7"/>
  <c r="AA48" i="7"/>
  <c r="A51" i="7"/>
  <c r="AA58" i="7"/>
  <c r="AA57" i="7"/>
  <c r="AA56" i="7"/>
  <c r="AA55" i="7"/>
  <c r="AA54" i="7"/>
  <c r="AA53" i="7"/>
  <c r="AA52" i="7"/>
  <c r="AA51" i="7"/>
  <c r="AA50" i="7"/>
  <c r="AA49" i="7"/>
  <c r="T57" i="7"/>
  <c r="T56" i="7"/>
  <c r="T55" i="7"/>
  <c r="T54" i="7"/>
  <c r="T53" i="7"/>
  <c r="T52" i="7"/>
  <c r="T51" i="7"/>
  <c r="T50" i="7"/>
  <c r="T49" i="7"/>
  <c r="M48" i="7"/>
  <c r="A49" i="7"/>
  <c r="M58" i="7"/>
  <c r="M57" i="7"/>
  <c r="M56" i="7"/>
  <c r="M55" i="7"/>
  <c r="M54" i="7"/>
  <c r="M53" i="7"/>
  <c r="M52" i="7"/>
  <c r="M51" i="7"/>
  <c r="M50" i="7"/>
  <c r="M49" i="7"/>
  <c r="G59" i="7"/>
  <c r="K48" i="7"/>
  <c r="K49" i="7"/>
  <c r="K50" i="7"/>
  <c r="K51" i="7"/>
  <c r="K52" i="7"/>
  <c r="K53" i="7"/>
  <c r="K54" i="7"/>
  <c r="K55" i="7"/>
  <c r="K56" i="7"/>
  <c r="K57" i="7"/>
  <c r="K58" i="7"/>
  <c r="R48" i="7"/>
  <c r="R49" i="7"/>
  <c r="R50" i="7"/>
  <c r="R51" i="7"/>
  <c r="R52" i="7"/>
  <c r="R53" i="7"/>
  <c r="R54" i="7"/>
  <c r="R55" i="7"/>
  <c r="R56" i="7"/>
  <c r="R57" i="7"/>
  <c r="R58" i="7"/>
  <c r="Y48" i="7"/>
  <c r="Y49" i="7"/>
  <c r="Y50" i="7"/>
  <c r="Y51" i="7"/>
  <c r="Y52" i="7"/>
  <c r="Y53" i="7"/>
  <c r="Y54" i="7"/>
  <c r="Y55" i="7"/>
  <c r="Y56" i="7"/>
  <c r="Y57" i="7"/>
  <c r="Y58" i="7"/>
  <c r="AF48" i="7"/>
  <c r="AF49" i="7"/>
  <c r="AD50" i="7"/>
  <c r="AF50" i="7"/>
  <c r="AD51" i="7"/>
  <c r="AF51" i="7"/>
  <c r="AD52" i="7"/>
  <c r="AF52" i="7"/>
  <c r="AD53" i="7"/>
  <c r="AF53" i="7"/>
  <c r="AD54" i="7"/>
  <c r="AF54" i="7"/>
  <c r="AD55" i="7"/>
  <c r="AF55" i="7"/>
  <c r="AD56" i="7"/>
  <c r="AF56" i="7"/>
  <c r="AD57" i="7"/>
  <c r="AF57" i="7"/>
  <c r="AD58" i="7"/>
  <c r="AF58" i="7"/>
  <c r="AE50" i="7"/>
  <c r="AE51" i="7"/>
  <c r="AE52" i="7"/>
  <c r="AE53" i="7"/>
  <c r="AE54" i="7"/>
  <c r="AE55" i="7"/>
  <c r="AE56" i="7"/>
  <c r="AE57" i="7"/>
  <c r="AE58" i="7"/>
  <c r="AB59" i="7"/>
  <c r="U59" i="7"/>
  <c r="B4" i="7"/>
  <c r="H29" i="7"/>
  <c r="U58" i="7"/>
  <c r="V58" i="7"/>
  <c r="N59" i="7"/>
  <c r="B3" i="7"/>
  <c r="G29" i="7"/>
  <c r="N58" i="7"/>
  <c r="O58" i="7"/>
  <c r="F48" i="7"/>
  <c r="A48" i="7"/>
  <c r="F58" i="7"/>
  <c r="F49" i="7"/>
  <c r="F50" i="7"/>
  <c r="F51" i="7"/>
  <c r="F52" i="7"/>
  <c r="F53" i="7"/>
  <c r="F54" i="7"/>
  <c r="F55" i="7"/>
  <c r="F56" i="7"/>
  <c r="F57" i="7"/>
  <c r="G48" i="7"/>
  <c r="H48" i="7"/>
  <c r="E58" i="7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F9" i="8"/>
  <c r="G9" i="8"/>
  <c r="H9" i="8"/>
  <c r="B4" i="8"/>
  <c r="I9" i="8"/>
  <c r="J9" i="8"/>
  <c r="K9" i="8"/>
  <c r="L9" i="8"/>
  <c r="M9" i="8"/>
  <c r="F10" i="8"/>
  <c r="G10" i="8"/>
  <c r="H10" i="8"/>
  <c r="I10" i="8"/>
  <c r="J10" i="8"/>
  <c r="K10" i="8"/>
  <c r="L10" i="8"/>
  <c r="M10" i="8"/>
  <c r="F11" i="8"/>
  <c r="G11" i="8"/>
  <c r="H11" i="8"/>
  <c r="I11" i="8"/>
  <c r="J11" i="8"/>
  <c r="K11" i="8"/>
  <c r="L11" i="8"/>
  <c r="M11" i="8"/>
  <c r="H12" i="8"/>
  <c r="I12" i="8"/>
  <c r="J12" i="8"/>
  <c r="K12" i="8"/>
  <c r="L12" i="8"/>
  <c r="M12" i="8"/>
  <c r="F13" i="8"/>
  <c r="G13" i="8"/>
  <c r="H13" i="8"/>
  <c r="I13" i="8"/>
  <c r="J13" i="8"/>
  <c r="K13" i="8"/>
  <c r="L13" i="8"/>
  <c r="M13" i="8"/>
  <c r="F14" i="8"/>
  <c r="G14" i="8"/>
  <c r="H14" i="8"/>
  <c r="I14" i="8"/>
  <c r="J14" i="8"/>
  <c r="K14" i="8"/>
  <c r="L14" i="8"/>
  <c r="M14" i="8"/>
  <c r="H15" i="8"/>
  <c r="I15" i="8"/>
  <c r="J15" i="8"/>
  <c r="K15" i="8"/>
  <c r="L15" i="8"/>
  <c r="M15" i="8"/>
  <c r="F16" i="8"/>
  <c r="G16" i="8"/>
  <c r="H16" i="8"/>
  <c r="I16" i="8"/>
  <c r="J16" i="8"/>
  <c r="K16" i="8"/>
  <c r="L16" i="8"/>
  <c r="M16" i="8"/>
  <c r="F17" i="8"/>
  <c r="G17" i="8"/>
  <c r="H17" i="8"/>
  <c r="I17" i="8"/>
  <c r="J17" i="8"/>
  <c r="K17" i="8"/>
  <c r="L17" i="8"/>
  <c r="M17" i="8"/>
  <c r="H18" i="8"/>
  <c r="I18" i="8"/>
  <c r="J18" i="8"/>
  <c r="K18" i="8"/>
  <c r="L18" i="8"/>
  <c r="M18" i="8"/>
  <c r="F19" i="8"/>
  <c r="G19" i="8"/>
  <c r="H19" i="8"/>
  <c r="I19" i="8"/>
  <c r="J19" i="8"/>
  <c r="K19" i="8"/>
  <c r="L19" i="8"/>
  <c r="M19" i="8"/>
  <c r="F20" i="8"/>
  <c r="G20" i="8"/>
  <c r="H20" i="8"/>
  <c r="I20" i="8"/>
  <c r="J20" i="8"/>
  <c r="K20" i="8"/>
  <c r="L20" i="8"/>
  <c r="M20" i="8"/>
  <c r="F21" i="8"/>
  <c r="G21" i="8"/>
  <c r="H21" i="8"/>
  <c r="I21" i="8"/>
  <c r="J21" i="8"/>
  <c r="K21" i="8"/>
  <c r="L21" i="8"/>
  <c r="M21" i="8"/>
  <c r="F22" i="8"/>
  <c r="G22" i="8"/>
  <c r="H22" i="8"/>
  <c r="I22" i="8"/>
  <c r="J22" i="8"/>
  <c r="K22" i="8"/>
  <c r="L22" i="8"/>
  <c r="M22" i="8"/>
  <c r="F23" i="8"/>
  <c r="G23" i="8"/>
  <c r="H23" i="8"/>
  <c r="I23" i="8"/>
  <c r="J23" i="8"/>
  <c r="K23" i="8"/>
  <c r="L23" i="8"/>
  <c r="M23" i="8"/>
  <c r="F24" i="8"/>
  <c r="G24" i="8"/>
  <c r="H24" i="8"/>
  <c r="I24" i="8"/>
  <c r="J24" i="8"/>
  <c r="K24" i="8"/>
  <c r="L24" i="8"/>
  <c r="M24" i="8"/>
  <c r="F25" i="8"/>
  <c r="G25" i="8"/>
  <c r="H25" i="8"/>
  <c r="I25" i="8"/>
  <c r="J25" i="8"/>
  <c r="K25" i="8"/>
  <c r="L25" i="8"/>
  <c r="M25" i="8"/>
  <c r="F26" i="8"/>
  <c r="G26" i="8"/>
  <c r="H26" i="8"/>
  <c r="I26" i="8"/>
  <c r="J26" i="8"/>
  <c r="K26" i="8"/>
  <c r="L26" i="8"/>
  <c r="M26" i="8"/>
  <c r="F27" i="8"/>
  <c r="G27" i="8"/>
  <c r="H27" i="8"/>
  <c r="I27" i="8"/>
  <c r="J27" i="8"/>
  <c r="K27" i="8"/>
  <c r="L27" i="8"/>
  <c r="M27" i="8"/>
  <c r="F28" i="8"/>
  <c r="G28" i="8"/>
  <c r="H28" i="8"/>
  <c r="I28" i="8"/>
  <c r="J28" i="8"/>
  <c r="K28" i="8"/>
  <c r="L28" i="8"/>
  <c r="M28" i="8"/>
  <c r="H8" i="8"/>
  <c r="F18" i="8"/>
  <c r="F15" i="8"/>
  <c r="F12" i="8"/>
  <c r="T15" i="9"/>
  <c r="J29" i="7"/>
  <c r="V16" i="9"/>
  <c r="V15" i="9"/>
  <c r="V14" i="9"/>
  <c r="V13" i="9"/>
  <c r="V12" i="9"/>
  <c r="V11" i="9"/>
  <c r="V10" i="9"/>
  <c r="V9" i="9"/>
  <c r="V8" i="9"/>
  <c r="T8" i="9"/>
  <c r="T9" i="9"/>
  <c r="V7" i="9"/>
  <c r="V6" i="9"/>
  <c r="V5" i="9"/>
  <c r="V4" i="9"/>
  <c r="V3" i="9"/>
  <c r="G8" i="8"/>
  <c r="B6" i="7"/>
  <c r="B5" i="7"/>
  <c r="E10" i="6"/>
  <c r="F10" i="6"/>
  <c r="H10" i="6"/>
  <c r="E11" i="6"/>
  <c r="F9" i="6"/>
  <c r="K9" i="6"/>
  <c r="L9" i="6"/>
  <c r="G9" i="6"/>
  <c r="H9" i="6"/>
  <c r="B4" i="4"/>
  <c r="G84" i="4"/>
  <c r="G99" i="4"/>
  <c r="M7" i="5"/>
  <c r="A115" i="4"/>
  <c r="A116" i="4"/>
  <c r="A117" i="4"/>
  <c r="A118" i="4"/>
  <c r="A119" i="4"/>
  <c r="A120" i="4"/>
  <c r="A121" i="4"/>
  <c r="A122" i="4"/>
  <c r="A123" i="4"/>
  <c r="A124" i="4"/>
  <c r="A125" i="4"/>
  <c r="A126" i="4"/>
  <c r="A114" i="4"/>
  <c r="G81" i="4"/>
  <c r="G96" i="4"/>
  <c r="M4" i="5"/>
  <c r="G85" i="4"/>
  <c r="G100" i="4"/>
  <c r="M8" i="5"/>
  <c r="G86" i="4"/>
  <c r="G101" i="4"/>
  <c r="M9" i="5"/>
  <c r="G87" i="4"/>
  <c r="G102" i="4"/>
  <c r="M10" i="5"/>
  <c r="G89" i="4"/>
  <c r="G104" i="4"/>
  <c r="M12" i="5"/>
  <c r="G79" i="4"/>
  <c r="G94" i="4"/>
  <c r="M2" i="5"/>
  <c r="J80" i="4"/>
  <c r="B24" i="4"/>
  <c r="B23" i="4"/>
  <c r="B22" i="4"/>
  <c r="B21" i="4"/>
  <c r="G80" i="4"/>
  <c r="G95" i="4"/>
  <c r="M3" i="5"/>
  <c r="J21" i="7"/>
  <c r="J25" i="7"/>
  <c r="J17" i="7"/>
  <c r="J20" i="7"/>
  <c r="J24" i="7"/>
  <c r="J28" i="7"/>
  <c r="J18" i="7"/>
  <c r="J26" i="7"/>
  <c r="J19" i="7"/>
  <c r="J23" i="7"/>
  <c r="J27" i="7"/>
  <c r="J22" i="7"/>
  <c r="I21" i="7"/>
  <c r="I25" i="7"/>
  <c r="I29" i="7"/>
  <c r="I20" i="7"/>
  <c r="I24" i="7"/>
  <c r="I28" i="7"/>
  <c r="I23" i="7"/>
  <c r="I22" i="7"/>
  <c r="I17" i="7"/>
  <c r="I19" i="7"/>
  <c r="I27" i="7"/>
  <c r="I18" i="7"/>
  <c r="I26" i="7"/>
  <c r="H20" i="7"/>
  <c r="H24" i="7"/>
  <c r="H28" i="7"/>
  <c r="H25" i="7"/>
  <c r="H19" i="7"/>
  <c r="H23" i="7"/>
  <c r="H27" i="7"/>
  <c r="H22" i="7"/>
  <c r="H17" i="7"/>
  <c r="H18" i="7"/>
  <c r="H26" i="7"/>
  <c r="H21" i="7"/>
  <c r="F20" i="7"/>
  <c r="F24" i="7"/>
  <c r="F28" i="7"/>
  <c r="F19" i="7"/>
  <c r="F23" i="7"/>
  <c r="F27" i="7"/>
  <c r="F18" i="7"/>
  <c r="F22" i="7"/>
  <c r="F26" i="7"/>
  <c r="F21" i="7"/>
  <c r="F25" i="7"/>
  <c r="F29" i="7"/>
  <c r="G19" i="7"/>
  <c r="G23" i="7"/>
  <c r="G27" i="7"/>
  <c r="G24" i="7"/>
  <c r="G18" i="7"/>
  <c r="G22" i="7"/>
  <c r="G26" i="7"/>
  <c r="G17" i="7"/>
  <c r="G25" i="7"/>
  <c r="G20" i="7"/>
  <c r="G21" i="7"/>
  <c r="G28" i="7"/>
  <c r="K10" i="6"/>
  <c r="L10" i="6"/>
  <c r="G91" i="4"/>
  <c r="G106" i="4"/>
  <c r="M14" i="5"/>
  <c r="G83" i="4"/>
  <c r="G98" i="4"/>
  <c r="M6" i="5"/>
  <c r="G10" i="6"/>
  <c r="G90" i="4"/>
  <c r="G105" i="4"/>
  <c r="M13" i="5"/>
  <c r="G82" i="4"/>
  <c r="G97" i="4"/>
  <c r="M5" i="5"/>
  <c r="G88" i="4"/>
  <c r="G103" i="4"/>
  <c r="M11" i="5"/>
  <c r="K7" i="5"/>
  <c r="L7" i="5"/>
  <c r="F11" i="6"/>
  <c r="E12" i="6"/>
  <c r="I3" i="6"/>
  <c r="I9" i="6"/>
  <c r="I10" i="6"/>
  <c r="J9" i="6"/>
  <c r="J10" i="6"/>
  <c r="I2" i="6"/>
  <c r="H3" i="1"/>
  <c r="F22" i="5"/>
  <c r="F24" i="5"/>
  <c r="F25" i="5"/>
  <c r="F26" i="5"/>
  <c r="H2" i="1"/>
  <c r="F21" i="5"/>
  <c r="F10" i="1"/>
  <c r="F4" i="5"/>
  <c r="F3" i="5"/>
  <c r="F5" i="5"/>
  <c r="D7" i="5"/>
  <c r="H5" i="1"/>
  <c r="B22" i="1"/>
  <c r="T2" i="1"/>
  <c r="F12" i="1"/>
  <c r="F13" i="1"/>
  <c r="F14" i="1"/>
  <c r="F15" i="1"/>
  <c r="F16" i="1"/>
  <c r="H4" i="1"/>
  <c r="K16" i="1"/>
  <c r="F17" i="1"/>
  <c r="K17" i="1"/>
  <c r="F18" i="1"/>
  <c r="K18" i="1"/>
  <c r="F19" i="1"/>
  <c r="F20" i="1"/>
  <c r="F21" i="1"/>
  <c r="F22" i="1"/>
  <c r="F23" i="1"/>
  <c r="F24" i="1"/>
  <c r="I24" i="1"/>
  <c r="F25" i="1"/>
  <c r="N4" i="1"/>
  <c r="Q25" i="1"/>
  <c r="F11" i="1"/>
  <c r="Q11" i="1"/>
  <c r="B21" i="1"/>
  <c r="N3" i="1"/>
  <c r="B23" i="1"/>
  <c r="Z3" i="1"/>
  <c r="B24" i="1"/>
  <c r="AF3" i="1"/>
  <c r="T4" i="1"/>
  <c r="U10" i="1"/>
  <c r="G25" i="1"/>
  <c r="H25" i="1"/>
  <c r="L25" i="1"/>
  <c r="N2" i="1"/>
  <c r="N5" i="1"/>
  <c r="O19" i="1"/>
  <c r="O20" i="1"/>
  <c r="O21" i="1"/>
  <c r="O22" i="1"/>
  <c r="O23" i="1"/>
  <c r="O10" i="1"/>
  <c r="B4" i="1"/>
  <c r="G19" i="1"/>
  <c r="H19" i="1"/>
  <c r="L19" i="1"/>
  <c r="I21" i="1"/>
  <c r="I13" i="1"/>
  <c r="J21" i="1"/>
  <c r="J17" i="1"/>
  <c r="I20" i="1"/>
  <c r="I12" i="1"/>
  <c r="J24" i="1"/>
  <c r="J20" i="1"/>
  <c r="J16" i="1"/>
  <c r="I23" i="1"/>
  <c r="I19" i="1"/>
  <c r="I15" i="1"/>
  <c r="J23" i="1"/>
  <c r="J19" i="1"/>
  <c r="J15" i="1"/>
  <c r="M20" i="1"/>
  <c r="N20" i="1"/>
  <c r="R20" i="1"/>
  <c r="I10" i="1"/>
  <c r="I22" i="1"/>
  <c r="I14" i="1"/>
  <c r="J10" i="1"/>
  <c r="J22" i="1"/>
  <c r="M12" i="1"/>
  <c r="N12" i="1"/>
  <c r="R12" i="1"/>
  <c r="M13" i="1"/>
  <c r="N13" i="1"/>
  <c r="R13" i="1"/>
  <c r="M17" i="1"/>
  <c r="N17" i="1"/>
  <c r="R17" i="1"/>
  <c r="M14" i="1"/>
  <c r="N14" i="1"/>
  <c r="R14" i="1"/>
  <c r="M10" i="1"/>
  <c r="N10" i="1"/>
  <c r="R10" i="1"/>
  <c r="M11" i="1"/>
  <c r="N11" i="1"/>
  <c r="R11" i="1"/>
  <c r="M15" i="1"/>
  <c r="N15" i="1"/>
  <c r="R15" i="1"/>
  <c r="M23" i="1"/>
  <c r="N23" i="1"/>
  <c r="R23" i="1"/>
  <c r="Q19" i="1"/>
  <c r="Q21" i="1"/>
  <c r="G12" i="1"/>
  <c r="H12" i="1"/>
  <c r="G15" i="1"/>
  <c r="H15" i="1"/>
  <c r="L15" i="1"/>
  <c r="G14" i="1"/>
  <c r="H14" i="1"/>
  <c r="L14" i="1"/>
  <c r="G24" i="1"/>
  <c r="H24" i="1"/>
  <c r="G20" i="1"/>
  <c r="H20" i="1"/>
  <c r="L20" i="1"/>
  <c r="K24" i="1"/>
  <c r="K22" i="1"/>
  <c r="M19" i="1"/>
  <c r="N19" i="1"/>
  <c r="R19" i="1"/>
  <c r="M22" i="1"/>
  <c r="N22" i="1"/>
  <c r="R22" i="1"/>
  <c r="M21" i="1"/>
  <c r="N21" i="1"/>
  <c r="R21" i="1"/>
  <c r="K14" i="5"/>
  <c r="L14" i="5"/>
  <c r="K3" i="5"/>
  <c r="L3" i="5"/>
  <c r="K4" i="5"/>
  <c r="L4" i="5"/>
  <c r="K5" i="5"/>
  <c r="L5" i="5"/>
  <c r="K6" i="5"/>
  <c r="L6" i="5"/>
  <c r="K8" i="5"/>
  <c r="L8" i="5"/>
  <c r="K9" i="5"/>
  <c r="L9" i="5"/>
  <c r="K10" i="5"/>
  <c r="L10" i="5"/>
  <c r="K11" i="5"/>
  <c r="L11" i="5"/>
  <c r="K12" i="5"/>
  <c r="L12" i="5"/>
  <c r="K13" i="5"/>
  <c r="L13" i="5"/>
  <c r="K2" i="5"/>
  <c r="L2" i="5"/>
  <c r="B8" i="5"/>
  <c r="I31" i="7"/>
  <c r="I32" i="7"/>
  <c r="H31" i="7"/>
  <c r="H32" i="7"/>
  <c r="J31" i="7"/>
  <c r="J32" i="7"/>
  <c r="G31" i="7"/>
  <c r="G32" i="7"/>
  <c r="F31" i="7"/>
  <c r="F32" i="7"/>
  <c r="W13" i="1"/>
  <c r="W21" i="1"/>
  <c r="Z4" i="1"/>
  <c r="W14" i="1"/>
  <c r="W22" i="1"/>
  <c r="W20" i="1"/>
  <c r="W15" i="1"/>
  <c r="W23" i="1"/>
  <c r="W10" i="1"/>
  <c r="W19" i="1"/>
  <c r="W12" i="1"/>
  <c r="AH10" i="1"/>
  <c r="AH13" i="1"/>
  <c r="AH17" i="1"/>
  <c r="AH21" i="1"/>
  <c r="AH25" i="1"/>
  <c r="K13" i="1"/>
  <c r="Q17" i="1"/>
  <c r="AC11" i="1"/>
  <c r="L12" i="1"/>
  <c r="J25" i="1"/>
  <c r="K14" i="1"/>
  <c r="W11" i="1"/>
  <c r="K19" i="1"/>
  <c r="K21" i="1"/>
  <c r="G13" i="1"/>
  <c r="H13" i="1"/>
  <c r="L13" i="1"/>
  <c r="Q10" i="1"/>
  <c r="Q24" i="1"/>
  <c r="M18" i="1"/>
  <c r="N18" i="1"/>
  <c r="R18" i="1"/>
  <c r="M24" i="1"/>
  <c r="N24" i="1"/>
  <c r="R24" i="1"/>
  <c r="I18" i="1"/>
  <c r="I11" i="1"/>
  <c r="O18" i="1"/>
  <c r="W25" i="1"/>
  <c r="W17" i="1"/>
  <c r="AC25" i="1"/>
  <c r="AC17" i="1"/>
  <c r="L24" i="1"/>
  <c r="Q15" i="1"/>
  <c r="K23" i="1"/>
  <c r="K25" i="1"/>
  <c r="G17" i="1"/>
  <c r="H17" i="1"/>
  <c r="L17" i="1"/>
  <c r="G22" i="1"/>
  <c r="H22" i="1"/>
  <c r="L22" i="1"/>
  <c r="Q22" i="1"/>
  <c r="Q20" i="1"/>
  <c r="G23" i="1"/>
  <c r="H23" i="1"/>
  <c r="L23" i="1"/>
  <c r="M16" i="1"/>
  <c r="N16" i="1"/>
  <c r="R16" i="1"/>
  <c r="I16" i="1"/>
  <c r="I17" i="1"/>
  <c r="O25" i="1"/>
  <c r="O17" i="1"/>
  <c r="W24" i="1"/>
  <c r="W16" i="1"/>
  <c r="AC24" i="1"/>
  <c r="AC16" i="1"/>
  <c r="K15" i="1"/>
  <c r="Q13" i="1"/>
  <c r="W18" i="1"/>
  <c r="AC18" i="1"/>
  <c r="F10" i="5"/>
  <c r="F15" i="5"/>
  <c r="N7" i="5"/>
  <c r="S7" i="5"/>
  <c r="K12" i="1"/>
  <c r="Q18" i="1"/>
  <c r="Q16" i="1"/>
  <c r="O24" i="1"/>
  <c r="O14" i="1"/>
  <c r="Z2" i="1"/>
  <c r="F2" i="5"/>
  <c r="B2" i="5"/>
  <c r="G16" i="1"/>
  <c r="H16" i="1"/>
  <c r="L16" i="1"/>
  <c r="G21" i="1"/>
  <c r="H21" i="1"/>
  <c r="L21" i="1"/>
  <c r="Q14" i="1"/>
  <c r="Q12" i="1"/>
  <c r="M25" i="1"/>
  <c r="N25" i="1"/>
  <c r="R25" i="1"/>
  <c r="I25" i="1"/>
  <c r="O13" i="1"/>
  <c r="T3" i="1"/>
  <c r="V12" i="1"/>
  <c r="K11" i="1"/>
  <c r="G18" i="1"/>
  <c r="H18" i="1"/>
  <c r="L18" i="1"/>
  <c r="AF2" i="1"/>
  <c r="K20" i="1"/>
  <c r="G11" i="1"/>
  <c r="H11" i="1"/>
  <c r="L11" i="1"/>
  <c r="Q23" i="1"/>
  <c r="J18" i="1"/>
  <c r="J11" i="1"/>
  <c r="J12" i="1"/>
  <c r="J13" i="1"/>
  <c r="J14" i="1"/>
  <c r="F12" i="6"/>
  <c r="E13" i="6"/>
  <c r="H11" i="6"/>
  <c r="K11" i="6"/>
  <c r="L11" i="6"/>
  <c r="J11" i="6"/>
  <c r="I11" i="6"/>
  <c r="G11" i="6"/>
  <c r="P11" i="1"/>
  <c r="P15" i="1"/>
  <c r="P19" i="1"/>
  <c r="P23" i="1"/>
  <c r="P12" i="1"/>
  <c r="P16" i="1"/>
  <c r="P20" i="1"/>
  <c r="P24" i="1"/>
  <c r="P13" i="1"/>
  <c r="P17" i="1"/>
  <c r="P21" i="1"/>
  <c r="P25" i="1"/>
  <c r="P14" i="1"/>
  <c r="P18" i="1"/>
  <c r="P22" i="1"/>
  <c r="P10" i="1"/>
  <c r="U12" i="1"/>
  <c r="U14" i="1"/>
  <c r="U16" i="1"/>
  <c r="U18" i="1"/>
  <c r="U20" i="1"/>
  <c r="U22" i="1"/>
  <c r="U24" i="1"/>
  <c r="U11" i="1"/>
  <c r="U13" i="1"/>
  <c r="U15" i="1"/>
  <c r="U17" i="1"/>
  <c r="U19" i="1"/>
  <c r="U21" i="1"/>
  <c r="U23" i="1"/>
  <c r="U25" i="1"/>
  <c r="O16" i="1"/>
  <c r="O12" i="1"/>
  <c r="I80" i="4"/>
  <c r="O15" i="1"/>
  <c r="O11" i="1"/>
  <c r="AB11" i="1"/>
  <c r="AB15" i="1"/>
  <c r="AB19" i="1"/>
  <c r="AB23" i="1"/>
  <c r="AB12" i="1"/>
  <c r="AB16" i="1"/>
  <c r="AB20" i="1"/>
  <c r="AB24" i="1"/>
  <c r="AB13" i="1"/>
  <c r="AB17" i="1"/>
  <c r="AB21" i="1"/>
  <c r="AB25" i="1"/>
  <c r="AB10" i="1"/>
  <c r="AB14" i="1"/>
  <c r="AB18" i="1"/>
  <c r="AB22" i="1"/>
  <c r="Z12" i="1"/>
  <c r="AF23" i="1"/>
  <c r="AF21" i="1"/>
  <c r="AF5" i="1"/>
  <c r="AJ21" i="1"/>
  <c r="AF19" i="1"/>
  <c r="AF17" i="1"/>
  <c r="AF15" i="1"/>
  <c r="AF13" i="1"/>
  <c r="AJ13" i="1"/>
  <c r="AH24" i="1"/>
  <c r="AH20" i="1"/>
  <c r="AH16" i="1"/>
  <c r="AH12" i="1"/>
  <c r="V24" i="1"/>
  <c r="V20" i="1"/>
  <c r="V16" i="1"/>
  <c r="N3" i="5"/>
  <c r="S3" i="5"/>
  <c r="N8" i="5"/>
  <c r="S8" i="5"/>
  <c r="N12" i="5"/>
  <c r="S12" i="5"/>
  <c r="K10" i="1"/>
  <c r="X12" i="5"/>
  <c r="AH23" i="1"/>
  <c r="AH19" i="1"/>
  <c r="AH15" i="1"/>
  <c r="AH11" i="1"/>
  <c r="V23" i="1"/>
  <c r="V19" i="1"/>
  <c r="V15" i="1"/>
  <c r="V11" i="1"/>
  <c r="N4" i="5"/>
  <c r="S4" i="5"/>
  <c r="N9" i="5"/>
  <c r="S9" i="5"/>
  <c r="N13" i="5"/>
  <c r="S13" i="5"/>
  <c r="AH22" i="1"/>
  <c r="AH18" i="1"/>
  <c r="AH14" i="1"/>
  <c r="V22" i="1"/>
  <c r="V18" i="1"/>
  <c r="V14" i="1"/>
  <c r="N5" i="5"/>
  <c r="S5" i="5"/>
  <c r="N10" i="5"/>
  <c r="X10" i="5"/>
  <c r="N14" i="5"/>
  <c r="X14" i="5"/>
  <c r="N2" i="5"/>
  <c r="X2" i="5"/>
  <c r="N6" i="5"/>
  <c r="X6" i="5"/>
  <c r="N11" i="5"/>
  <c r="X11" i="5"/>
  <c r="G10" i="1"/>
  <c r="H10" i="1"/>
  <c r="L10" i="1"/>
  <c r="X4" i="5"/>
  <c r="X8" i="5"/>
  <c r="X7" i="5"/>
  <c r="X13" i="5"/>
  <c r="Z5" i="1"/>
  <c r="AD12" i="1"/>
  <c r="X5" i="5"/>
  <c r="X9" i="5"/>
  <c r="AF11" i="1"/>
  <c r="AF16" i="1"/>
  <c r="AJ16" i="1"/>
  <c r="AG17" i="1"/>
  <c r="AG25" i="1"/>
  <c r="AE17" i="1"/>
  <c r="AE25" i="1"/>
  <c r="AG14" i="1"/>
  <c r="AE22" i="1"/>
  <c r="AF18" i="1"/>
  <c r="AJ18" i="1"/>
  <c r="AG18" i="1"/>
  <c r="AG10" i="1"/>
  <c r="AE18" i="1"/>
  <c r="AE10" i="1"/>
  <c r="AE15" i="1"/>
  <c r="AF14" i="1"/>
  <c r="AF20" i="1"/>
  <c r="AJ20" i="1"/>
  <c r="AG11" i="1"/>
  <c r="AG19" i="1"/>
  <c r="AE11" i="1"/>
  <c r="AE19" i="1"/>
  <c r="AF25" i="1"/>
  <c r="AG22" i="1"/>
  <c r="AG16" i="1"/>
  <c r="AE24" i="1"/>
  <c r="AF22" i="1"/>
  <c r="AG12" i="1"/>
  <c r="AG20" i="1"/>
  <c r="AE12" i="1"/>
  <c r="AE20" i="1"/>
  <c r="AG23" i="1"/>
  <c r="AE16" i="1"/>
  <c r="AF24" i="1"/>
  <c r="AG13" i="1"/>
  <c r="AG21" i="1"/>
  <c r="AE13" i="1"/>
  <c r="AE21" i="1"/>
  <c r="AE14" i="1"/>
  <c r="AF12" i="1"/>
  <c r="AF10" i="1"/>
  <c r="AG15" i="1"/>
  <c r="AE23" i="1"/>
  <c r="AG24" i="1"/>
  <c r="Z15" i="1"/>
  <c r="AA13" i="1"/>
  <c r="AA21" i="1"/>
  <c r="Y13" i="1"/>
  <c r="Y21" i="1"/>
  <c r="Y10" i="1"/>
  <c r="AA20" i="1"/>
  <c r="Z16" i="1"/>
  <c r="AD16" i="1"/>
  <c r="Z23" i="1"/>
  <c r="AA14" i="1"/>
  <c r="AA22" i="1"/>
  <c r="Y14" i="1"/>
  <c r="Y22" i="1"/>
  <c r="AA10" i="1"/>
  <c r="Y11" i="1"/>
  <c r="Z17" i="1"/>
  <c r="AD17" i="1"/>
  <c r="Z24" i="1"/>
  <c r="AA15" i="1"/>
  <c r="AA23" i="1"/>
  <c r="Y15" i="1"/>
  <c r="Y23" i="1"/>
  <c r="Z13" i="1"/>
  <c r="AD13" i="1"/>
  <c r="Y20" i="1"/>
  <c r="Z11" i="1"/>
  <c r="AD11" i="1"/>
  <c r="Z18" i="1"/>
  <c r="Z25" i="1"/>
  <c r="AD25" i="1"/>
  <c r="AA16" i="1"/>
  <c r="AA24" i="1"/>
  <c r="Y16" i="1"/>
  <c r="Y24" i="1"/>
  <c r="AA18" i="1"/>
  <c r="AA11" i="1"/>
  <c r="Y19" i="1"/>
  <c r="Y12" i="1"/>
  <c r="AD18" i="1"/>
  <c r="Z19" i="1"/>
  <c r="AD19" i="1"/>
  <c r="AA17" i="1"/>
  <c r="AA25" i="1"/>
  <c r="Y17" i="1"/>
  <c r="Y25" i="1"/>
  <c r="Z10" i="1"/>
  <c r="Y18" i="1"/>
  <c r="Z14" i="1"/>
  <c r="AD14" i="1"/>
  <c r="Z20" i="1"/>
  <c r="AD20" i="1"/>
  <c r="Z21" i="1"/>
  <c r="AA19" i="1"/>
  <c r="Z22" i="1"/>
  <c r="AA12" i="1"/>
  <c r="AF4" i="1"/>
  <c r="AC13" i="1"/>
  <c r="AC21" i="1"/>
  <c r="AC10" i="1"/>
  <c r="AC14" i="1"/>
  <c r="AC22" i="1"/>
  <c r="AC20" i="1"/>
  <c r="AC15" i="1"/>
  <c r="AC23" i="1"/>
  <c r="AC12" i="1"/>
  <c r="AC19" i="1"/>
  <c r="AJ25" i="1"/>
  <c r="V10" i="1"/>
  <c r="S13" i="1"/>
  <c r="T13" i="1"/>
  <c r="T5" i="1"/>
  <c r="X13" i="1"/>
  <c r="S18" i="1"/>
  <c r="T18" i="1"/>
  <c r="V25" i="1"/>
  <c r="S19" i="1"/>
  <c r="T19" i="1"/>
  <c r="X19" i="1"/>
  <c r="S24" i="1"/>
  <c r="T24" i="1"/>
  <c r="X24" i="1"/>
  <c r="S22" i="1"/>
  <c r="T22" i="1"/>
  <c r="X22" i="1"/>
  <c r="V13" i="1"/>
  <c r="S14" i="1"/>
  <c r="T14" i="1"/>
  <c r="X14" i="1"/>
  <c r="S25" i="1"/>
  <c r="T25" i="1"/>
  <c r="X25" i="1"/>
  <c r="S16" i="1"/>
  <c r="T16" i="1"/>
  <c r="X16" i="1"/>
  <c r="S12" i="1"/>
  <c r="T12" i="1"/>
  <c r="X12" i="1"/>
  <c r="V17" i="1"/>
  <c r="S15" i="1"/>
  <c r="T15" i="1"/>
  <c r="X15" i="1"/>
  <c r="S20" i="1"/>
  <c r="T20" i="1"/>
  <c r="X20" i="1"/>
  <c r="S17" i="1"/>
  <c r="T17" i="1"/>
  <c r="S23" i="1"/>
  <c r="T23" i="1"/>
  <c r="X23" i="1"/>
  <c r="V21" i="1"/>
  <c r="S11" i="1"/>
  <c r="T11" i="1"/>
  <c r="X11" i="1"/>
  <c r="S21" i="1"/>
  <c r="T21" i="1"/>
  <c r="X21" i="1"/>
  <c r="S10" i="1"/>
  <c r="T10" i="1"/>
  <c r="X10" i="1"/>
  <c r="F13" i="6"/>
  <c r="E14" i="6"/>
  <c r="H12" i="6"/>
  <c r="K12" i="6"/>
  <c r="L12" i="6"/>
  <c r="G12" i="6"/>
  <c r="J12" i="6"/>
  <c r="I12" i="6"/>
  <c r="X3" i="5"/>
  <c r="B3" i="5"/>
  <c r="AJ19" i="1"/>
  <c r="AJ11" i="1"/>
  <c r="S11" i="5"/>
  <c r="S10" i="5"/>
  <c r="AJ24" i="1"/>
  <c r="AJ12" i="1"/>
  <c r="C113" i="4"/>
  <c r="C119" i="4"/>
  <c r="D113" i="4"/>
  <c r="D119" i="4"/>
  <c r="B113" i="4"/>
  <c r="B119" i="4"/>
  <c r="S6" i="5"/>
  <c r="AJ15" i="1"/>
  <c r="AJ23" i="1"/>
  <c r="AJ14" i="1"/>
  <c r="S2" i="5"/>
  <c r="AJ17" i="1"/>
  <c r="AJ10" i="1"/>
  <c r="AJ22" i="1"/>
  <c r="S14" i="5"/>
  <c r="E119" i="4"/>
  <c r="AI21" i="1"/>
  <c r="AI19" i="1"/>
  <c r="AI11" i="1"/>
  <c r="AI17" i="1"/>
  <c r="AI25" i="1"/>
  <c r="AI23" i="1"/>
  <c r="AI13" i="1"/>
  <c r="AI12" i="1"/>
  <c r="AI14" i="1"/>
  <c r="AI15" i="1"/>
  <c r="AI16" i="1"/>
  <c r="AI18" i="1"/>
  <c r="AI20" i="1"/>
  <c r="AI22" i="1"/>
  <c r="AI24" i="1"/>
  <c r="AI10" i="1"/>
  <c r="AD10" i="1"/>
  <c r="AD24" i="1"/>
  <c r="AD23" i="1"/>
  <c r="AD15" i="1"/>
  <c r="X18" i="1"/>
  <c r="AD22" i="1"/>
  <c r="X17" i="1"/>
  <c r="AD21" i="1"/>
  <c r="F14" i="6"/>
  <c r="E15" i="6"/>
  <c r="H13" i="6"/>
  <c r="K13" i="6"/>
  <c r="L13" i="6"/>
  <c r="J13" i="6"/>
  <c r="I13" i="6"/>
  <c r="G13" i="6"/>
  <c r="B4" i="5"/>
  <c r="C115" i="4"/>
  <c r="C116" i="4"/>
  <c r="C117" i="4"/>
  <c r="C118" i="4"/>
  <c r="C120" i="4"/>
  <c r="C121" i="4"/>
  <c r="C122" i="4"/>
  <c r="C123" i="4"/>
  <c r="C124" i="4"/>
  <c r="C125" i="4"/>
  <c r="C126" i="4"/>
  <c r="C114" i="4"/>
  <c r="B114" i="4"/>
  <c r="B115" i="4"/>
  <c r="B116" i="4"/>
  <c r="B117" i="4"/>
  <c r="B118" i="4"/>
  <c r="B120" i="4"/>
  <c r="B121" i="4"/>
  <c r="B122" i="4"/>
  <c r="B123" i="4"/>
  <c r="B124" i="4"/>
  <c r="B125" i="4"/>
  <c r="B126" i="4"/>
  <c r="D116" i="4"/>
  <c r="D117" i="4"/>
  <c r="D118" i="4"/>
  <c r="D120" i="4"/>
  <c r="D121" i="4"/>
  <c r="D122" i="4"/>
  <c r="D123" i="4"/>
  <c r="D124" i="4"/>
  <c r="D125" i="4"/>
  <c r="D126" i="4"/>
  <c r="D114" i="4"/>
  <c r="D115" i="4"/>
  <c r="E126" i="4"/>
  <c r="E117" i="4"/>
  <c r="F9" i="5"/>
  <c r="F19" i="5"/>
  <c r="E122" i="4"/>
  <c r="F15" i="6"/>
  <c r="E16" i="6"/>
  <c r="H14" i="6"/>
  <c r="K14" i="6"/>
  <c r="L14" i="6"/>
  <c r="G14" i="6"/>
  <c r="J14" i="6"/>
  <c r="I14" i="6"/>
  <c r="E125" i="4"/>
  <c r="E121" i="4"/>
  <c r="E116" i="4"/>
  <c r="E124" i="4"/>
  <c r="E120" i="4"/>
  <c r="E115" i="4"/>
  <c r="E123" i="4"/>
  <c r="E118" i="4"/>
  <c r="E114" i="4"/>
  <c r="R7" i="5"/>
  <c r="R12" i="5"/>
  <c r="R14" i="5"/>
  <c r="R3" i="5"/>
  <c r="R4" i="5"/>
  <c r="R5" i="5"/>
  <c r="R8" i="5"/>
  <c r="R9" i="5"/>
  <c r="R10" i="5"/>
  <c r="R13" i="5"/>
  <c r="R2" i="5"/>
  <c r="R11" i="5"/>
  <c r="R6" i="5"/>
  <c r="F11" i="5"/>
  <c r="F16" i="6"/>
  <c r="E17" i="6"/>
  <c r="H15" i="6"/>
  <c r="K15" i="6"/>
  <c r="L15" i="6"/>
  <c r="J15" i="6"/>
  <c r="I15" i="6"/>
  <c r="G15" i="6"/>
  <c r="W9" i="5"/>
  <c r="AB9" i="5"/>
  <c r="W8" i="5"/>
  <c r="AB8" i="5"/>
  <c r="F12" i="5"/>
  <c r="F16" i="5"/>
  <c r="AB6" i="5"/>
  <c r="W6" i="5"/>
  <c r="W4" i="5"/>
  <c r="AB4" i="5"/>
  <c r="AB5" i="5"/>
  <c r="W5" i="5"/>
  <c r="W3" i="5"/>
  <c r="AB3" i="5"/>
  <c r="AB11" i="5"/>
  <c r="W11" i="5"/>
  <c r="AB2" i="5"/>
  <c r="W2" i="5"/>
  <c r="AB14" i="5"/>
  <c r="W14" i="5"/>
  <c r="W13" i="5"/>
  <c r="AB13" i="5"/>
  <c r="W12" i="5"/>
  <c r="AB12" i="5"/>
  <c r="AB10" i="5"/>
  <c r="W10" i="5"/>
  <c r="W7" i="5"/>
  <c r="AB7" i="5"/>
  <c r="F17" i="6"/>
  <c r="E18" i="6"/>
  <c r="H16" i="6"/>
  <c r="G16" i="6"/>
  <c r="K16" i="6"/>
  <c r="L16" i="6"/>
  <c r="J16" i="6"/>
  <c r="I16" i="6"/>
  <c r="O7" i="5"/>
  <c r="O4" i="5"/>
  <c r="O10" i="5"/>
  <c r="O12" i="5"/>
  <c r="O9" i="5"/>
  <c r="O13" i="5"/>
  <c r="O2" i="5"/>
  <c r="O6" i="5"/>
  <c r="O11" i="5"/>
  <c r="O14" i="5"/>
  <c r="O3" i="5"/>
  <c r="O5" i="5"/>
  <c r="O8" i="5"/>
  <c r="F13" i="5"/>
  <c r="F18" i="5"/>
  <c r="F17" i="5"/>
  <c r="F18" i="6"/>
  <c r="E19" i="6"/>
  <c r="H17" i="6"/>
  <c r="G17" i="6"/>
  <c r="J17" i="6"/>
  <c r="I17" i="6"/>
  <c r="K17" i="6"/>
  <c r="L17" i="6"/>
  <c r="Y14" i="5"/>
  <c r="T14" i="5"/>
  <c r="Y7" i="5"/>
  <c r="T7" i="5"/>
  <c r="T6" i="5"/>
  <c r="Y6" i="5"/>
  <c r="P7" i="5"/>
  <c r="P3" i="5"/>
  <c r="P5" i="5"/>
  <c r="P8" i="5"/>
  <c r="P10" i="5"/>
  <c r="P12" i="5"/>
  <c r="P14" i="5"/>
  <c r="P4" i="5"/>
  <c r="P6" i="5"/>
  <c r="P9" i="5"/>
  <c r="P13" i="5"/>
  <c r="P2" i="5"/>
  <c r="P11" i="5"/>
  <c r="Y2" i="5"/>
  <c r="T2" i="5"/>
  <c r="Y13" i="5"/>
  <c r="T13" i="5"/>
  <c r="T9" i="5"/>
  <c r="Y9" i="5"/>
  <c r="Q7" i="5"/>
  <c r="Q13" i="5"/>
  <c r="Q2" i="5"/>
  <c r="Q6" i="5"/>
  <c r="Q11" i="5"/>
  <c r="Q4" i="5"/>
  <c r="Q3" i="5"/>
  <c r="Q5" i="5"/>
  <c r="Q9" i="5"/>
  <c r="Q8" i="5"/>
  <c r="Q10" i="5"/>
  <c r="Q12" i="5"/>
  <c r="Q14" i="5"/>
  <c r="T8" i="5"/>
  <c r="Y8" i="5"/>
  <c r="Y5" i="5"/>
  <c r="T5" i="5"/>
  <c r="T12" i="5"/>
  <c r="Y12" i="5"/>
  <c r="Y3" i="5"/>
  <c r="T3" i="5"/>
  <c r="Y10" i="5"/>
  <c r="T10" i="5"/>
  <c r="T4" i="5"/>
  <c r="Y4" i="5"/>
  <c r="T11" i="5"/>
  <c r="Y11" i="5"/>
  <c r="F19" i="6"/>
  <c r="E20" i="6"/>
  <c r="H18" i="6"/>
  <c r="K18" i="6"/>
  <c r="L18" i="6"/>
  <c r="G18" i="6"/>
  <c r="J18" i="6"/>
  <c r="I18" i="6"/>
  <c r="Z9" i="5"/>
  <c r="U9" i="5"/>
  <c r="V4" i="5"/>
  <c r="AA4" i="5"/>
  <c r="U6" i="5"/>
  <c r="Z6" i="5"/>
  <c r="U7" i="5"/>
  <c r="Z7" i="5"/>
  <c r="Z5" i="5"/>
  <c r="U5" i="5"/>
  <c r="AA14" i="5"/>
  <c r="V14" i="5"/>
  <c r="V11" i="5"/>
  <c r="AA11" i="5"/>
  <c r="Z4" i="5"/>
  <c r="U4" i="5"/>
  <c r="Z13" i="5"/>
  <c r="U13" i="5"/>
  <c r="AA3" i="5"/>
  <c r="V3" i="5"/>
  <c r="V6" i="5"/>
  <c r="AA6" i="5"/>
  <c r="V10" i="5"/>
  <c r="AA10" i="5"/>
  <c r="AA2" i="5"/>
  <c r="V2" i="5"/>
  <c r="U12" i="5"/>
  <c r="Z12" i="5"/>
  <c r="V5" i="5"/>
  <c r="AA5" i="5"/>
  <c r="U3" i="5"/>
  <c r="Z3" i="5"/>
  <c r="AA12" i="5"/>
  <c r="V12" i="5"/>
  <c r="Z14" i="5"/>
  <c r="U14" i="5"/>
  <c r="AA8" i="5"/>
  <c r="V8" i="5"/>
  <c r="AA13" i="5"/>
  <c r="V13" i="5"/>
  <c r="U11" i="5"/>
  <c r="Z11" i="5"/>
  <c r="Z10" i="5"/>
  <c r="U10" i="5"/>
  <c r="V9" i="5"/>
  <c r="AA9" i="5"/>
  <c r="AA7" i="5"/>
  <c r="V7" i="5"/>
  <c r="Z2" i="5"/>
  <c r="U2" i="5"/>
  <c r="U8" i="5"/>
  <c r="Z8" i="5"/>
  <c r="F20" i="6"/>
  <c r="E21" i="6"/>
  <c r="H19" i="6"/>
  <c r="K19" i="6"/>
  <c r="L19" i="6"/>
  <c r="G19" i="6"/>
  <c r="J19" i="6"/>
  <c r="I19" i="6"/>
  <c r="F21" i="6"/>
  <c r="E22" i="6"/>
  <c r="H20" i="6"/>
  <c r="G20" i="6"/>
  <c r="K20" i="6"/>
  <c r="L20" i="6"/>
  <c r="J20" i="6"/>
  <c r="I20" i="6"/>
  <c r="F22" i="6"/>
  <c r="E23" i="6"/>
  <c r="H21" i="6"/>
  <c r="K21" i="6"/>
  <c r="L21" i="6"/>
  <c r="G21" i="6"/>
  <c r="J21" i="6"/>
  <c r="I21" i="6"/>
  <c r="F23" i="6"/>
  <c r="E24" i="6"/>
  <c r="H22" i="6"/>
  <c r="K22" i="6"/>
  <c r="L22" i="6"/>
  <c r="G22" i="6"/>
  <c r="J22" i="6"/>
  <c r="I22" i="6"/>
  <c r="F24" i="6"/>
  <c r="E25" i="6"/>
  <c r="H23" i="6"/>
  <c r="K23" i="6"/>
  <c r="L23" i="6"/>
  <c r="G23" i="6"/>
  <c r="J23" i="6"/>
  <c r="I23" i="6"/>
  <c r="F25" i="6"/>
  <c r="E26" i="6"/>
  <c r="H24" i="6"/>
  <c r="K24" i="6"/>
  <c r="L24" i="6"/>
  <c r="G24" i="6"/>
  <c r="J24" i="6"/>
  <c r="I24" i="6"/>
  <c r="F26" i="6"/>
  <c r="E27" i="6"/>
  <c r="H25" i="6"/>
  <c r="K25" i="6"/>
  <c r="L25" i="6"/>
  <c r="G25" i="6"/>
  <c r="J25" i="6"/>
  <c r="I25" i="6"/>
  <c r="F27" i="6"/>
  <c r="E28" i="6"/>
  <c r="H26" i="6"/>
  <c r="K26" i="6"/>
  <c r="L26" i="6"/>
  <c r="G26" i="6"/>
  <c r="J26" i="6"/>
  <c r="I26" i="6"/>
  <c r="F28" i="6"/>
  <c r="E29" i="6"/>
  <c r="H27" i="6"/>
  <c r="K27" i="6"/>
  <c r="L27" i="6"/>
  <c r="G27" i="6"/>
  <c r="J27" i="6"/>
  <c r="I27" i="6"/>
  <c r="F29" i="6"/>
  <c r="E30" i="6"/>
  <c r="H28" i="6"/>
  <c r="K28" i="6"/>
  <c r="L28" i="6"/>
  <c r="G28" i="6"/>
  <c r="J28" i="6"/>
  <c r="I28" i="6"/>
  <c r="F30" i="6"/>
  <c r="E31" i="6"/>
  <c r="H29" i="6"/>
  <c r="K29" i="6"/>
  <c r="L29" i="6"/>
  <c r="G29" i="6"/>
  <c r="J29" i="6"/>
  <c r="I29" i="6"/>
  <c r="F31" i="6"/>
  <c r="E32" i="6"/>
  <c r="H30" i="6"/>
  <c r="K30" i="6"/>
  <c r="L30" i="6"/>
  <c r="G30" i="6"/>
  <c r="J30" i="6"/>
  <c r="I30" i="6"/>
  <c r="F32" i="6"/>
  <c r="E33" i="6"/>
  <c r="H31" i="6"/>
  <c r="K31" i="6"/>
  <c r="L31" i="6"/>
  <c r="G31" i="6"/>
  <c r="J31" i="6"/>
  <c r="I31" i="6"/>
  <c r="F33" i="6"/>
  <c r="E34" i="6"/>
  <c r="H32" i="6"/>
  <c r="K32" i="6"/>
  <c r="L32" i="6"/>
  <c r="G32" i="6"/>
  <c r="J32" i="6"/>
  <c r="I32" i="6"/>
  <c r="F34" i="6"/>
  <c r="E35" i="6"/>
  <c r="H33" i="6"/>
  <c r="K33" i="6"/>
  <c r="L33" i="6"/>
  <c r="G33" i="6"/>
  <c r="J33" i="6"/>
  <c r="I33" i="6"/>
  <c r="F35" i="6"/>
  <c r="E36" i="6"/>
  <c r="H34" i="6"/>
  <c r="K34" i="6"/>
  <c r="L34" i="6"/>
  <c r="G34" i="6"/>
  <c r="J34" i="6"/>
  <c r="I34" i="6"/>
  <c r="F36" i="6"/>
  <c r="E37" i="6"/>
  <c r="H35" i="6"/>
  <c r="K35" i="6"/>
  <c r="L35" i="6"/>
  <c r="G35" i="6"/>
  <c r="J35" i="6"/>
  <c r="I35" i="6"/>
  <c r="F37" i="6"/>
  <c r="E38" i="6"/>
  <c r="H36" i="6"/>
  <c r="K36" i="6"/>
  <c r="L36" i="6"/>
  <c r="G36" i="6"/>
  <c r="J36" i="6"/>
  <c r="I36" i="6"/>
  <c r="F38" i="6"/>
  <c r="E39" i="6"/>
  <c r="F39" i="6"/>
  <c r="H37" i="6"/>
  <c r="K37" i="6"/>
  <c r="L37" i="6"/>
  <c r="G37" i="6"/>
  <c r="J37" i="6"/>
  <c r="I37" i="6"/>
  <c r="H39" i="6"/>
  <c r="K39" i="6"/>
  <c r="L39" i="6"/>
  <c r="G39" i="6"/>
  <c r="J39" i="6"/>
  <c r="I39" i="6"/>
  <c r="H38" i="6"/>
  <c r="K38" i="6"/>
  <c r="L38" i="6"/>
  <c r="G38" i="6"/>
  <c r="J38" i="6"/>
  <c r="I38" i="6"/>
  <c r="G58" i="7"/>
  <c r="H58" i="7"/>
  <c r="G57" i="7"/>
  <c r="H57" i="7"/>
  <c r="G56" i="7"/>
  <c r="H56" i="7"/>
  <c r="G55" i="7"/>
  <c r="H55" i="7"/>
  <c r="G54" i="7"/>
  <c r="H54" i="7"/>
  <c r="G53" i="7"/>
  <c r="H53" i="7"/>
  <c r="G52" i="7"/>
  <c r="H52" i="7"/>
  <c r="G51" i="7"/>
  <c r="H51" i="7"/>
  <c r="G50" i="7"/>
  <c r="H50" i="7"/>
  <c r="G49" i="7"/>
  <c r="H49" i="7"/>
  <c r="N48" i="7"/>
  <c r="O48" i="7"/>
  <c r="U48" i="7"/>
  <c r="V48" i="7"/>
  <c r="AB58" i="7"/>
  <c r="AC58" i="7"/>
  <c r="AB57" i="7"/>
  <c r="AC57" i="7"/>
  <c r="AB56" i="7"/>
  <c r="AC56" i="7"/>
  <c r="AB55" i="7"/>
  <c r="AC55" i="7"/>
  <c r="AB54" i="7"/>
  <c r="AC54" i="7"/>
  <c r="AB53" i="7"/>
  <c r="AC53" i="7"/>
  <c r="AB52" i="7"/>
  <c r="AC52" i="7"/>
  <c r="AB51" i="7"/>
  <c r="AC51" i="7"/>
  <c r="AB50" i="7"/>
  <c r="AC50" i="7"/>
  <c r="AB48" i="7"/>
  <c r="AC48" i="7"/>
  <c r="AB49" i="7"/>
  <c r="AC49" i="7"/>
  <c r="U57" i="7"/>
  <c r="V57" i="7"/>
  <c r="U56" i="7"/>
  <c r="V56" i="7"/>
  <c r="U55" i="7"/>
  <c r="V55" i="7"/>
  <c r="U54" i="7"/>
  <c r="V54" i="7"/>
  <c r="U53" i="7"/>
  <c r="V53" i="7"/>
  <c r="U52" i="7"/>
  <c r="V52" i="7"/>
  <c r="U51" i="7"/>
  <c r="V51" i="7"/>
  <c r="U50" i="7"/>
  <c r="V50" i="7"/>
  <c r="U49" i="7"/>
  <c r="V49" i="7"/>
  <c r="N57" i="7"/>
  <c r="O57" i="7"/>
  <c r="N56" i="7"/>
  <c r="O56" i="7"/>
  <c r="N55" i="7"/>
  <c r="O55" i="7"/>
  <c r="N54" i="7"/>
  <c r="O54" i="7"/>
  <c r="N53" i="7"/>
  <c r="O53" i="7"/>
  <c r="N52" i="7"/>
  <c r="O52" i="7"/>
  <c r="N51" i="7"/>
  <c r="O51" i="7"/>
  <c r="N50" i="7"/>
  <c r="O50" i="7"/>
  <c r="N49" i="7"/>
  <c r="O49" i="7"/>
  <c r="O15" i="9"/>
  <c r="Q15" i="9"/>
  <c r="O16" i="9"/>
  <c r="Q16" i="9"/>
  <c r="O17" i="9"/>
  <c r="Q17" i="9"/>
  <c r="O18" i="9"/>
  <c r="Q18" i="9"/>
  <c r="O19" i="9"/>
  <c r="Q19" i="9"/>
  <c r="O20" i="9"/>
  <c r="Q20" i="9"/>
  <c r="O21" i="9"/>
  <c r="Q21" i="9"/>
  <c r="O22" i="9"/>
  <c r="Q22" i="9"/>
  <c r="O23" i="9"/>
  <c r="Q23" i="9"/>
  <c r="O24" i="9"/>
  <c r="Q24" i="9"/>
  <c r="O25" i="9"/>
  <c r="Q25" i="9"/>
  <c r="O26" i="9"/>
  <c r="Q26" i="9"/>
  <c r="O27" i="9"/>
  <c r="Q27" i="9"/>
  <c r="O28" i="9"/>
  <c r="Q28" i="9"/>
  <c r="O29" i="9"/>
  <c r="Q29" i="9"/>
  <c r="O30" i="9"/>
  <c r="Q30" i="9"/>
  <c r="O53" i="9"/>
  <c r="Q53" i="9"/>
  <c r="O54" i="9"/>
  <c r="Q54" i="9"/>
  <c r="O55" i="9"/>
  <c r="Q55" i="9"/>
  <c r="O56" i="9"/>
  <c r="Q56" i="9"/>
  <c r="O57" i="9"/>
  <c r="Q57" i="9"/>
  <c r="O58" i="9"/>
  <c r="Q58" i="9"/>
  <c r="O59" i="9"/>
  <c r="Q59" i="9"/>
  <c r="O60" i="9"/>
  <c r="Q60" i="9"/>
  <c r="O61" i="9"/>
  <c r="Q61" i="9"/>
  <c r="O62" i="9"/>
  <c r="Q62" i="9"/>
  <c r="O63" i="9"/>
  <c r="Q63" i="9"/>
  <c r="O64" i="9"/>
  <c r="Q64" i="9"/>
  <c r="O65" i="9"/>
  <c r="Q65" i="9"/>
  <c r="O66" i="9"/>
  <c r="Q66" i="9"/>
  <c r="O67" i="9"/>
  <c r="Q67" i="9"/>
  <c r="O68" i="9"/>
  <c r="Q68" i="9"/>
  <c r="O69" i="9"/>
  <c r="Q69" i="9"/>
  <c r="O70" i="9"/>
  <c r="Q70" i="9"/>
  <c r="O71" i="9"/>
  <c r="Q71" i="9"/>
  <c r="O72" i="9"/>
  <c r="Q72" i="9"/>
  <c r="O73" i="9"/>
  <c r="Q73" i="9"/>
  <c r="O74" i="9"/>
  <c r="Q74" i="9"/>
  <c r="O75" i="9"/>
  <c r="Q75" i="9"/>
  <c r="O76" i="9"/>
  <c r="Q76" i="9"/>
  <c r="O77" i="9"/>
  <c r="Q77" i="9"/>
  <c r="O78" i="9"/>
  <c r="Q78" i="9"/>
  <c r="O79" i="9"/>
  <c r="Q79" i="9"/>
  <c r="O80" i="9"/>
  <c r="Q80" i="9"/>
  <c r="O81" i="9"/>
  <c r="Q81" i="9"/>
  <c r="O82" i="9"/>
  <c r="Q82" i="9"/>
  <c r="O83" i="9"/>
  <c r="Q83" i="9"/>
  <c r="O84" i="9"/>
  <c r="Q84" i="9"/>
  <c r="O85" i="9"/>
  <c r="Q85" i="9"/>
  <c r="O86" i="9"/>
  <c r="Q86" i="9"/>
  <c r="O87" i="9"/>
  <c r="Q87" i="9"/>
  <c r="O88" i="9"/>
  <c r="Q88" i="9"/>
  <c r="O121" i="9"/>
  <c r="Q121" i="9"/>
  <c r="O122" i="9"/>
  <c r="Q122" i="9"/>
  <c r="O123" i="9"/>
  <c r="Q123" i="9"/>
  <c r="O124" i="9"/>
  <c r="Q124" i="9"/>
  <c r="O125" i="9"/>
  <c r="Q125" i="9"/>
  <c r="O126" i="9"/>
  <c r="Q126" i="9"/>
  <c r="O127" i="9"/>
  <c r="Q127" i="9"/>
  <c r="O128" i="9"/>
  <c r="Q128" i="9"/>
  <c r="O129" i="9"/>
  <c r="Q129" i="9"/>
  <c r="O130" i="9"/>
  <c r="Q130" i="9"/>
  <c r="O131" i="9"/>
  <c r="Q131" i="9"/>
  <c r="O132" i="9"/>
  <c r="Q132" i="9"/>
  <c r="O133" i="9"/>
  <c r="Q133" i="9"/>
  <c r="O134" i="9"/>
  <c r="Q134" i="9"/>
  <c r="O135" i="9"/>
  <c r="Q135" i="9"/>
  <c r="O136" i="9"/>
  <c r="Q136" i="9"/>
  <c r="O137" i="9"/>
  <c r="Q137" i="9"/>
  <c r="O138" i="9"/>
  <c r="Q138" i="9"/>
  <c r="O139" i="9"/>
  <c r="Q139" i="9"/>
  <c r="O140" i="9"/>
  <c r="Q140" i="9"/>
  <c r="O141" i="9"/>
  <c r="Q141" i="9"/>
  <c r="O142" i="9"/>
  <c r="Q142" i="9"/>
  <c r="O143" i="9"/>
  <c r="Q143" i="9"/>
  <c r="O144" i="9"/>
  <c r="Q144" i="9"/>
  <c r="O145" i="9"/>
  <c r="Q145" i="9"/>
  <c r="O146" i="9"/>
  <c r="Q146" i="9"/>
  <c r="O147" i="9"/>
  <c r="Q147" i="9"/>
  <c r="O148" i="9"/>
  <c r="Q148" i="9"/>
  <c r="O149" i="9"/>
  <c r="Q149" i="9"/>
  <c r="O150" i="9"/>
  <c r="Q150" i="9"/>
  <c r="O151" i="9"/>
  <c r="Q151" i="9"/>
  <c r="O152" i="9"/>
  <c r="Q152" i="9"/>
  <c r="O153" i="9"/>
  <c r="Q153" i="9"/>
  <c r="O154" i="9"/>
  <c r="Q154" i="9"/>
  <c r="O155" i="9"/>
  <c r="Q155" i="9"/>
  <c r="O156" i="9"/>
  <c r="Q156" i="9"/>
  <c r="O157" i="9"/>
  <c r="Q157" i="9"/>
  <c r="O158" i="9"/>
  <c r="Q158" i="9"/>
  <c r="O167" i="9"/>
  <c r="Q167" i="9"/>
  <c r="O168" i="9"/>
  <c r="Q168" i="9"/>
  <c r="O169" i="9"/>
  <c r="Q169" i="9"/>
  <c r="O170" i="9"/>
  <c r="Q170" i="9"/>
  <c r="O171" i="9"/>
  <c r="Q171" i="9"/>
  <c r="O172" i="9"/>
  <c r="Q172" i="9"/>
  <c r="O173" i="9"/>
  <c r="Q173" i="9"/>
  <c r="O174" i="9"/>
  <c r="Q174" i="9"/>
  <c r="O175" i="9"/>
  <c r="Q175" i="9"/>
  <c r="O176" i="9"/>
  <c r="Q176" i="9"/>
  <c r="O177" i="9"/>
  <c r="Q177" i="9"/>
  <c r="O178" i="9"/>
  <c r="Q178" i="9"/>
  <c r="O179" i="9"/>
  <c r="Q179" i="9"/>
  <c r="Q192" i="9"/>
  <c r="Q193" i="9"/>
</calcChain>
</file>

<file path=xl/comments1.xml><?xml version="1.0" encoding="utf-8"?>
<comments xmlns="http://schemas.openxmlformats.org/spreadsheetml/2006/main">
  <authors>
    <author>Niccolo' Remus</author>
  </authors>
  <commentList>
    <comment ref="I8" authorId="0">
      <text>
        <r>
          <rPr>
            <b/>
            <sz val="9"/>
            <color indexed="81"/>
            <rFont val="Tahoma"/>
            <family val="2"/>
          </rPr>
          <t>Niccolo' Remus:</t>
        </r>
        <r>
          <rPr>
            <sz val="9"/>
            <color indexed="81"/>
            <rFont val="Tahoma"/>
            <family val="2"/>
          </rPr>
          <t xml:space="preserve">
values for engine running at idle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Niccolo' Remus:</t>
        </r>
        <r>
          <rPr>
            <sz val="9"/>
            <color indexed="81"/>
            <rFont val="Tahoma"/>
            <family val="2"/>
          </rPr>
          <t xml:space="preserve">
It's not possible to obtain these value thruough true interpolation since we don't have the data for omega above 6500rpm</t>
        </r>
      </text>
    </comment>
  </commentList>
</comments>
</file>

<file path=xl/connections.xml><?xml version="1.0" encoding="utf-8"?>
<connections xmlns="http://schemas.openxmlformats.org/spreadsheetml/2006/main">
  <connection id="1" name="pln_team14" type="6" refreshedVersion="3" background="1" saveData="1">
    <textPr codePage="437" sourceFile="C:\Users\Niccolo'\Desktop\scuola\III anno\Motor veichle design\pln_team14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<sst xmlns="http://schemas.openxmlformats.org/spreadsheetml/2006/main" count="697" uniqueCount="497">
  <si>
    <t>Cx</t>
  </si>
  <si>
    <t>S</t>
  </si>
  <si>
    <t>m</t>
  </si>
  <si>
    <t>Vcyl</t>
  </si>
  <si>
    <t>Tx</t>
  </si>
  <si>
    <t>nt</t>
  </si>
  <si>
    <t>l</t>
  </si>
  <si>
    <t>a</t>
  </si>
  <si>
    <t>hG</t>
  </si>
  <si>
    <t>155/65R13</t>
  </si>
  <si>
    <t>ts</t>
  </si>
  <si>
    <t>Je</t>
  </si>
  <si>
    <t>jw</t>
  </si>
  <si>
    <t>g</t>
  </si>
  <si>
    <t>f0</t>
  </si>
  <si>
    <t>K</t>
  </si>
  <si>
    <t>first case</t>
  </si>
  <si>
    <t>A</t>
  </si>
  <si>
    <t>B</t>
  </si>
  <si>
    <t>R=123,7+0,48V^2</t>
  </si>
  <si>
    <t>V(km/h)</t>
  </si>
  <si>
    <t>V (m/s)</t>
  </si>
  <si>
    <t>Vnorm</t>
  </si>
  <si>
    <t>Pnorm</t>
  </si>
  <si>
    <t>second case</t>
  </si>
  <si>
    <t>R=1069,94V+0,48V^2</t>
  </si>
  <si>
    <t>third case</t>
  </si>
  <si>
    <t>AV</t>
  </si>
  <si>
    <t>BV^3</t>
  </si>
  <si>
    <t>R=1987.48+0.47*V^2</t>
  </si>
  <si>
    <t>forth case</t>
  </si>
  <si>
    <t>R=2852.803+4.73E-0.1*V^2</t>
  </si>
  <si>
    <t>fifth case</t>
  </si>
  <si>
    <t>R=3648.899+4.72E-0.1*V^2</t>
  </si>
  <si>
    <t>ωmin</t>
  </si>
  <si>
    <t>ρ</t>
  </si>
  <si>
    <t>ηt</t>
  </si>
  <si>
    <t>R vs V :</t>
  </si>
  <si>
    <t>P vs V :</t>
  </si>
  <si>
    <t>Pnorm vs Vnorm:</t>
  </si>
  <si>
    <t xml:space="preserve">  7.1190e+000  2.8606e+002</t>
  </si>
  <si>
    <t xml:space="preserve">  6.8670e+000  2.4921e+002</t>
  </si>
  <si>
    <t xml:space="preserve">  6.4260e+000  2.5360e+002</t>
  </si>
  <si>
    <t xml:space="preserve">  5.9535e+000  2.5995e+002</t>
  </si>
  <si>
    <t xml:space="preserve">  5.5860e+000  2.6464e+002</t>
  </si>
  <si>
    <t xml:space="preserve">  5.1240e+000  2.7566e+002</t>
  </si>
  <si>
    <t xml:space="preserve">  4.7250e+000  2.8373e+002</t>
  </si>
  <si>
    <t xml:space="preserve">  4.2735e+000  2.9501e+002</t>
  </si>
  <si>
    <t xml:space="preserve">  3.8640e+000  3.1135e+002</t>
  </si>
  <si>
    <t xml:space="preserve">  3.4335e+000  3.2736e+002</t>
  </si>
  <si>
    <t xml:space="preserve">  3.0030e+000  3.4746e+002</t>
  </si>
  <si>
    <t xml:space="preserve">  2.5725e+000  3.7900e+002</t>
  </si>
  <si>
    <t xml:space="preserve">  2.1420e+000  4.2005e+002</t>
  </si>
  <si>
    <t xml:space="preserve">  1.7115e+000  4.8388e+002</t>
  </si>
  <si>
    <t xml:space="preserve">  1.2810e+000  5.9369e+002</t>
  </si>
  <si>
    <t xml:space="preserve">  8.5050e-001  8.3141e+002</t>
  </si>
  <si>
    <t xml:space="preserve">  7.7910e+000  2.5491e+002</t>
  </si>
  <si>
    <t xml:space="preserve">  7.2555e+000  2.2189e+002</t>
  </si>
  <si>
    <t xml:space="preserve">  6.8040e+000  2.2565e+002</t>
  </si>
  <si>
    <t xml:space="preserve">  6.3840e+000  2.3081e+002</t>
  </si>
  <si>
    <t xml:space="preserve">  5.9640e+000  2.3502e+002</t>
  </si>
  <si>
    <t xml:space="preserve">  5.5440e+000  2.4067e+002</t>
  </si>
  <si>
    <t xml:space="preserve">  5.1240e+000  2.4743e+002</t>
  </si>
  <si>
    <t xml:space="preserve">  4.7145e+000  2.5663e+002</t>
  </si>
  <si>
    <t xml:space="preserve">  4.2735e+000  2.6553e+002</t>
  </si>
  <si>
    <t xml:space="preserve">  3.8535e+000  2.7465e+002</t>
  </si>
  <si>
    <t xml:space="preserve">  3.4545e+000  2.9070e+002</t>
  </si>
  <si>
    <t xml:space="preserve">  2.9820e+000  3.1434e+002</t>
  </si>
  <si>
    <t xml:space="preserve">  2.5620e+000  3.3098e+002</t>
  </si>
  <si>
    <t xml:space="preserve">  2.1315e+000  3.6864e+002</t>
  </si>
  <si>
    <t xml:space="preserve">  1.7430e+000  4.1204e+002</t>
  </si>
  <si>
    <t xml:space="preserve">  1.2810e+000  5.0983e+002</t>
  </si>
  <si>
    <t xml:space="preserve">  8.5050e-001  6.9284e+002</t>
  </si>
  <si>
    <t xml:space="preserve">  8.2530e+000  2.3516e+002</t>
  </si>
  <si>
    <t xml:space="preserve">  8.1270e+000  2.2994e+002</t>
  </si>
  <si>
    <t xml:space="preserve">  7.6650e+000  2.1752e+002</t>
  </si>
  <si>
    <t xml:space="preserve">  7.2555e+000  2.1342e+002</t>
  </si>
  <si>
    <t xml:space="preserve">  6.8250e+000  2.1511e+002</t>
  </si>
  <si>
    <t xml:space="preserve">  6.4155e+000  2.1803e+002</t>
  </si>
  <si>
    <t xml:space="preserve">  5.9640e+000  2.2250e+002</t>
  </si>
  <si>
    <t xml:space="preserve">  5.4600e+000  2.3123e+002</t>
  </si>
  <si>
    <t xml:space="preserve">  5.1240e+000  2.3405e+002</t>
  </si>
  <si>
    <t xml:space="preserve">  4.7040e+000  2.4040e+002</t>
  </si>
  <si>
    <t xml:space="preserve">  4.2630e+000  2.4976e+002</t>
  </si>
  <si>
    <t xml:space="preserve">  3.8430e+000  2.5986e+002</t>
  </si>
  <si>
    <t xml:space="preserve">  3.4335e+000  2.7516e+002</t>
  </si>
  <si>
    <t xml:space="preserve">  3.0135e+000  2.9161e+002</t>
  </si>
  <si>
    <t xml:space="preserve">  2.5515e+000  3.1660e+002</t>
  </si>
  <si>
    <t xml:space="preserve">  2.1315e+000  3.5139e+002</t>
  </si>
  <si>
    <t xml:space="preserve">  1.7220e+000  3.9959e+002</t>
  </si>
  <si>
    <t xml:space="preserve">  1.3020e+000  4.8346e+002</t>
  </si>
  <si>
    <t xml:space="preserve">  8.5050e-001  6.6598e+002</t>
  </si>
  <si>
    <t xml:space="preserve">  8.9250e+000  2.2847e+002</t>
  </si>
  <si>
    <t xml:space="preserve">  8.4000e+000  2.0306e+002</t>
  </si>
  <si>
    <t xml:space="preserve">  7.6650e+000  2.0585e+002</t>
  </si>
  <si>
    <t xml:space="preserve">  7.2555e+000  2.0739e+002</t>
  </si>
  <si>
    <t xml:space="preserve">  6.8250e+000  2.0898e+002</t>
  </si>
  <si>
    <t xml:space="preserve">  6.3945e+000  2.1308e+002</t>
  </si>
  <si>
    <t xml:space="preserve">  5.9955e+000  2.1616e+002</t>
  </si>
  <si>
    <t xml:space="preserve">  5.5335e+000  2.2338e+002</t>
  </si>
  <si>
    <t xml:space="preserve">  5.1345e+000  2.2820e+002</t>
  </si>
  <si>
    <t xml:space="preserve">  4.6935e+000  2.3722e+002</t>
  </si>
  <si>
    <t xml:space="preserve">  4.2630e+000  2.4618e+002</t>
  </si>
  <si>
    <t xml:space="preserve">  3.8220e+000  2.5690e+002</t>
  </si>
  <si>
    <t xml:space="preserve">  3.4755e+000  2.6582e+002</t>
  </si>
  <si>
    <t xml:space="preserve">  2.9820e+000  2.8706e+002</t>
  </si>
  <si>
    <t xml:space="preserve">  2.5410e+000  3.1058e+002</t>
  </si>
  <si>
    <t xml:space="preserve">  2.1210e+000  3.4474e+002</t>
  </si>
  <si>
    <t xml:space="preserve">  1.6905e+000  3.9930e+002</t>
  </si>
  <si>
    <t xml:space="preserve">  1.3125e+000  4.7265e+002</t>
  </si>
  <si>
    <t xml:space="preserve">  8.5050e-001  6.6826e+002</t>
  </si>
  <si>
    <t xml:space="preserve">  9.4815e+000  2.2005e+002</t>
  </si>
  <si>
    <t xml:space="preserve">  8.9565e+000  1.9700e+002</t>
  </si>
  <si>
    <t xml:space="preserve">  8.5365e+000  2.0144e+002</t>
  </si>
  <si>
    <t xml:space="preserve">  8.1165e+000  1.9989e+002</t>
  </si>
  <si>
    <t xml:space="preserve">  7.6440e+000  2.0148e+002</t>
  </si>
  <si>
    <t xml:space="preserve">  7.2765e+000  2.0160e+002</t>
  </si>
  <si>
    <t xml:space="preserve">  6.8040e+000  2.0592e+002</t>
  </si>
  <si>
    <t xml:space="preserve">  6.3945e+000  2.0912e+002</t>
  </si>
  <si>
    <t xml:space="preserve">  5.9850e+000  2.1222e+002</t>
  </si>
  <si>
    <t xml:space="preserve">  5.5335e+000  2.1831e+002</t>
  </si>
  <si>
    <t xml:space="preserve">  5.0820e+000  2.2510e+002</t>
  </si>
  <si>
    <t xml:space="preserve">  4.7145e+000  2.3167e+002</t>
  </si>
  <si>
    <t xml:space="preserve">  4.2525e+000  2.3964e+002</t>
  </si>
  <si>
    <t xml:space="preserve">  3.8535e+000  2.4938e+002</t>
  </si>
  <si>
    <t xml:space="preserve">  3.3705e+000  2.6645e+002</t>
  </si>
  <si>
    <t xml:space="preserve">  3.0240e+000  2.7868e+002</t>
  </si>
  <si>
    <t xml:space="preserve">  2.5515e+000  3.0185e+002</t>
  </si>
  <si>
    <t xml:space="preserve">  2.1315e+000  3.3396e+002</t>
  </si>
  <si>
    <t xml:space="preserve">  1.6590e+000  3.9396e+002</t>
  </si>
  <si>
    <t xml:space="preserve">  1.2600e+000  4.6872e+002</t>
  </si>
  <si>
    <t xml:space="preserve">  8.5050e-001  6.3445e+002</t>
  </si>
  <si>
    <t xml:space="preserve">  9.6285e+000  2.1827e+002</t>
  </si>
  <si>
    <t xml:space="preserve">  9.4080e+000  2.1773e+002</t>
  </si>
  <si>
    <t xml:space="preserve">  8.9145e+000  2.0017e+002</t>
  </si>
  <si>
    <t xml:space="preserve">  8.5470e+000  2.0054e+002</t>
  </si>
  <si>
    <t xml:space="preserve">  8.0955e+000  1.9954e+002</t>
  </si>
  <si>
    <t xml:space="preserve">  7.6335e+000  2.0063e+002</t>
  </si>
  <si>
    <t xml:space="preserve">  7.2240e+000  2.0042e+002</t>
  </si>
  <si>
    <t xml:space="preserve">  6.8670e+000  2.0357e+002</t>
  </si>
  <si>
    <t xml:space="preserve">  6.4050e+000  2.0540e+002</t>
  </si>
  <si>
    <t xml:space="preserve">  5.9640e+000  2.1116e+002</t>
  </si>
  <si>
    <t xml:space="preserve">  5.5545e+000  2.1618e+002</t>
  </si>
  <si>
    <t xml:space="preserve">  5.1555e+000  2.2002e+002</t>
  </si>
  <si>
    <t xml:space="preserve">  4.6935e+000  2.2700e+002</t>
  </si>
  <si>
    <t xml:space="preserve">  4.2630e+000  2.3675e+002</t>
  </si>
  <si>
    <t xml:space="preserve">  3.8430e+000  2.4595e+002</t>
  </si>
  <si>
    <t xml:space="preserve">  3.4230e+000  2.5818e+002</t>
  </si>
  <si>
    <t xml:space="preserve">  2.9820e+000  2.7508e+002</t>
  </si>
  <si>
    <t xml:space="preserve">  2.5935e+000  2.9929e+002</t>
  </si>
  <si>
    <t xml:space="preserve">  2.1525e+000  3.3304e+002</t>
  </si>
  <si>
    <t xml:space="preserve">  1.7430e+000  3.7871e+002</t>
  </si>
  <si>
    <t xml:space="preserve">  1.2915e+000  4.6879e+002</t>
  </si>
  <si>
    <t xml:space="preserve">  8.5050e-001  6.5101e+002</t>
  </si>
  <si>
    <t xml:space="preserve">  9.6075e+000  2.1668e+002</t>
  </si>
  <si>
    <t xml:space="preserve">  9.3975e+000  2.1448e+002</t>
  </si>
  <si>
    <t xml:space="preserve">  8.9460e+000  2.0137e+002</t>
  </si>
  <si>
    <t xml:space="preserve">  8.5365e+000  1.9693e+002</t>
  </si>
  <si>
    <t xml:space="preserve">  8.0850e+000  1.9591e+002</t>
  </si>
  <si>
    <t xml:space="preserve">  7.6650e+000  1.9634e+002</t>
  </si>
  <si>
    <t xml:space="preserve">  7.2975e+000  1.9707e+002</t>
  </si>
  <si>
    <t xml:space="preserve">  6.7935e+000  2.0038e+002</t>
  </si>
  <si>
    <t xml:space="preserve">  6.3945e+000  2.0402e+002</t>
  </si>
  <si>
    <t xml:space="preserve">  5.9640e+000  2.0739e+002</t>
  </si>
  <si>
    <t xml:space="preserve">  5.5440e+000  2.1125e+002</t>
  </si>
  <si>
    <t xml:space="preserve">  5.1240e+000  2.1728e+002</t>
  </si>
  <si>
    <t xml:space="preserve">  4.7250e+000  2.2358e+002</t>
  </si>
  <si>
    <t xml:space="preserve">  4.2735e+000  2.3164e+002</t>
  </si>
  <si>
    <t xml:space="preserve">  3.8430e+000  2.4340e+002</t>
  </si>
  <si>
    <t xml:space="preserve">  3.4125e+000  2.5603e+002</t>
  </si>
  <si>
    <t xml:space="preserve">  2.9610e+000  2.7242e+002</t>
  </si>
  <si>
    <t xml:space="preserve">  2.5935e+000  2.9413e+002</t>
  </si>
  <si>
    <t xml:space="preserve">  2.2050e+000  3.2051e+002</t>
  </si>
  <si>
    <t xml:space="preserve">  1.7010e+000  3.7698e+002</t>
  </si>
  <si>
    <t xml:space="preserve">  1.2495e+000  4.6909e+002</t>
  </si>
  <si>
    <t xml:space="preserve">  9.0300e-001  6.0464e+002</t>
  </si>
  <si>
    <t xml:space="preserve">  9.6705e+000  2.1488e+002</t>
  </si>
  <si>
    <t xml:space="preserve">  9.3765e+000  2.0196e+002</t>
  </si>
  <si>
    <t xml:space="preserve">  8.9565e+000  1.9895e+002</t>
  </si>
  <si>
    <t xml:space="preserve">  8.5365e+000  1.9277e+002</t>
  </si>
  <si>
    <t xml:space="preserve">  8.0640e+000  1.9252e+002</t>
  </si>
  <si>
    <t xml:space="preserve">  7.6755e+000  1.9730e+002</t>
  </si>
  <si>
    <t xml:space="preserve">  7.2555e+000  1.9871e+002</t>
  </si>
  <si>
    <t xml:space="preserve">  6.8250e+000  1.9963e+002</t>
  </si>
  <si>
    <t xml:space="preserve">  6.3945e+000  2.0172e+002</t>
  </si>
  <si>
    <t xml:space="preserve">  5.9745e+000  2.0608e+002</t>
  </si>
  <si>
    <t xml:space="preserve">  5.5440e+000  2.1122e+002</t>
  </si>
  <si>
    <t xml:space="preserve">  5.1240e+000  2.1387e+002</t>
  </si>
  <si>
    <t xml:space="preserve">  4.6935e+000  2.2197e+002</t>
  </si>
  <si>
    <t xml:space="preserve">  4.2630e+000  2.2975e+002</t>
  </si>
  <si>
    <t xml:space="preserve">  3.8430e+000  2.3969e+002</t>
  </si>
  <si>
    <t xml:space="preserve">  3.4440e+000  2.5090e+002</t>
  </si>
  <si>
    <t xml:space="preserve">  2.9820e+000  2.7018e+002</t>
  </si>
  <si>
    <t xml:space="preserve">  2.5830e+000  2.9065e+002</t>
  </si>
  <si>
    <t xml:space="preserve">  2.1315e+000  3.2127e+002</t>
  </si>
  <si>
    <t xml:space="preserve">  1.7115e+000  3.7649e+002</t>
  </si>
  <si>
    <t xml:space="preserve">  1.3020e+000  4.4934e+002</t>
  </si>
  <si>
    <t xml:space="preserve">  8.5050e-001  6.4679e+002</t>
  </si>
  <si>
    <t xml:space="preserve">  9.5130e+000  2.1214e+002</t>
  </si>
  <si>
    <t xml:space="preserve">  9.4185e+000  2.0904e+002</t>
  </si>
  <si>
    <t xml:space="preserve">  8.9775e+000  2.0248e+002</t>
  </si>
  <si>
    <t xml:space="preserve">  8.5365e+000  1.9367e+002</t>
  </si>
  <si>
    <t xml:space="preserve">  8.1060e+000  1.9202e+002</t>
  </si>
  <si>
    <t xml:space="preserve">  7.7175e+000  1.9197e+002</t>
  </si>
  <si>
    <t xml:space="preserve">  7.2870e+000  1.9311e+002</t>
  </si>
  <si>
    <t xml:space="preserve">  6.8250e+000  1.9699e+002</t>
  </si>
  <si>
    <t xml:space="preserve">  6.3945e+000  1.9862e+002</t>
  </si>
  <si>
    <t xml:space="preserve">  5.9745e+000  2.0420e+002</t>
  </si>
  <si>
    <t xml:space="preserve">  5.5755e+000  2.0649e+002</t>
  </si>
  <si>
    <t xml:space="preserve">  5.1240e+000  2.1340e+002</t>
  </si>
  <si>
    <t xml:space="preserve">  4.6935e+000  2.2152e+002</t>
  </si>
  <si>
    <t xml:space="preserve">  4.2630e+000  2.2903e+002</t>
  </si>
  <si>
    <t xml:space="preserve">  3.8430e+000  2.3937e+002</t>
  </si>
  <si>
    <t xml:space="preserve">  3.4125e+000  2.4707e+002</t>
  </si>
  <si>
    <t xml:space="preserve">  2.9820e+000  2.6444e+002</t>
  </si>
  <si>
    <t xml:space="preserve">  2.6145e+000  2.8444e+002</t>
  </si>
  <si>
    <t xml:space="preserve">  2.1630e+000  3.2036e+002</t>
  </si>
  <si>
    <t xml:space="preserve">  1.7115e+000  3.6995e+002</t>
  </si>
  <si>
    <t xml:space="preserve">  1.3440e+000  4.4130e+002</t>
  </si>
  <si>
    <t xml:space="preserve">  9.0300e-001  6.0183e+002</t>
  </si>
  <si>
    <t xml:space="preserve">  9.3345e+000  2.1128e+002</t>
  </si>
  <si>
    <t xml:space="preserve">  8.9565e+000  2.0012e+002</t>
  </si>
  <si>
    <t xml:space="preserve">  8.5365e+000  1.9695e+002</t>
  </si>
  <si>
    <t xml:space="preserve">  8.1060e+000  1.9245e+002</t>
  </si>
  <si>
    <t xml:space="preserve">  7.6755e+000  1.9269e+002</t>
  </si>
  <si>
    <t xml:space="preserve">  7.2555e+000  1.9332e+002</t>
  </si>
  <si>
    <t xml:space="preserve">  6.8250e+000  1.9638e+002</t>
  </si>
  <si>
    <t xml:space="preserve">  6.4050e+000  1.9922e+002</t>
  </si>
  <si>
    <t xml:space="preserve">  5.9745e+000  2.0158e+002</t>
  </si>
  <si>
    <t xml:space="preserve">  5.5440e+000  2.0466e+002</t>
  </si>
  <si>
    <t xml:space="preserve">  5.1240e+000  2.1083e+002</t>
  </si>
  <si>
    <t xml:space="preserve">  4.7040e+000  2.1800e+002</t>
  </si>
  <si>
    <t xml:space="preserve">  4.2630e+000  2.2339e+002</t>
  </si>
  <si>
    <t xml:space="preserve">  3.8430e+000  2.3433e+002</t>
  </si>
  <si>
    <t xml:space="preserve">  3.4335e+000  2.4272e+002</t>
  </si>
  <si>
    <t xml:space="preserve">  2.9925e+000  2.5817e+002</t>
  </si>
  <si>
    <t xml:space="preserve">  2.5095e+000  2.8493e+002</t>
  </si>
  <si>
    <t xml:space="preserve">  2.1630e+000  3.0757e+002</t>
  </si>
  <si>
    <t xml:space="preserve">  1.7745e+000  3.5145e+002</t>
  </si>
  <si>
    <t xml:space="preserve">  1.3020e+000  4.3759e+002</t>
  </si>
  <si>
    <t xml:space="preserve">  8.9250e-001  6.1542e+002</t>
  </si>
  <si>
    <t xml:space="preserve">  8.8410e+000  2.1832e+002</t>
  </si>
  <si>
    <t xml:space="preserve">  8.6625e+000  2.1047e+002</t>
  </si>
  <si>
    <t xml:space="preserve">  8.1795e+000  1.9905e+002</t>
  </si>
  <si>
    <t xml:space="preserve">  7.6965e+000  1.9859e+002</t>
  </si>
  <si>
    <t xml:space="preserve">  7.2555e+000  2.0012e+002</t>
  </si>
  <si>
    <t xml:space="preserve">  6.8250e+000  2.0000e+002</t>
  </si>
  <si>
    <t xml:space="preserve">  6.3945e+000  2.0288e+002</t>
  </si>
  <si>
    <t xml:space="preserve">  5.9745e+000  2.0561e+002</t>
  </si>
  <si>
    <t xml:space="preserve">  5.5440e+000  2.0694e+002</t>
  </si>
  <si>
    <t xml:space="preserve">  5.1660e+000  2.1356e+002</t>
  </si>
  <si>
    <t xml:space="preserve">  4.6935e+000  2.1748e+002</t>
  </si>
  <si>
    <t xml:space="preserve">  4.2630e+000  2.2825e+002</t>
  </si>
  <si>
    <t xml:space="preserve">  3.8745e+000  2.3410e+002</t>
  </si>
  <si>
    <t xml:space="preserve">  3.4335e+000  2.4389e+002</t>
  </si>
  <si>
    <t xml:space="preserve">  3.0030e+000  2.6070e+002</t>
  </si>
  <si>
    <t xml:space="preserve">  2.5830e+000  2.7698e+002</t>
  </si>
  <si>
    <t xml:space="preserve">  2.2155e+000  3.0469e+002</t>
  </si>
  <si>
    <t xml:space="preserve">  1.7115e+000  3.5884e+002</t>
  </si>
  <si>
    <t xml:space="preserve">  1.2915e+000  4.2854e+002</t>
  </si>
  <si>
    <t xml:space="preserve">  8.5050e-001  6.0787e+002</t>
  </si>
  <si>
    <t xml:space="preserve">  8.5785e+000  2.1689e+002</t>
  </si>
  <si>
    <t xml:space="preserve">  8.1270e+000  2.0623e+002</t>
  </si>
  <si>
    <t xml:space="preserve">  7.6755e+000  2.0451e+002</t>
  </si>
  <si>
    <t xml:space="preserve">  7.2555e+000  2.0424e+002</t>
  </si>
  <si>
    <t xml:space="preserve">  6.8250e+000  2.0589e+002</t>
  </si>
  <si>
    <t xml:space="preserve">  6.3945e+000  2.0706e+002</t>
  </si>
  <si>
    <t xml:space="preserve">  5.9955e+000  2.0594e+002</t>
  </si>
  <si>
    <t xml:space="preserve">  5.5650e+000  2.1333e+002</t>
  </si>
  <si>
    <t xml:space="preserve">  5.0925e+000  2.1447e+002</t>
  </si>
  <si>
    <t xml:space="preserve">  4.7040e+000  2.2004e+002</t>
  </si>
  <si>
    <t xml:space="preserve">  4.2735e+000  2.3051e+002</t>
  </si>
  <si>
    <t xml:space="preserve">  3.8745e+000  2.3611e+002</t>
  </si>
  <si>
    <t xml:space="preserve">  3.4335e+000  2.4714e+002</t>
  </si>
  <si>
    <t xml:space="preserve">  3.0345e+000  2.6292e+002</t>
  </si>
  <si>
    <t xml:space="preserve">  2.5935e+000  2.7521e+002</t>
  </si>
  <si>
    <t xml:space="preserve">  1.7115e+000  3.6080e+002</t>
  </si>
  <si>
    <t xml:space="preserve">  1.2390e+000  4.6053e+002</t>
  </si>
  <si>
    <t xml:space="preserve">  9.5550e-001  5.5091e+002</t>
  </si>
  <si>
    <t xml:space="preserve">  5.9850e+000  2.2011e+002</t>
  </si>
  <si>
    <t xml:space="preserve">  5.5440e+000  2.2083e+002</t>
  </si>
  <si>
    <t xml:space="preserve">  5.1240e+000  2.2485e+002</t>
  </si>
  <si>
    <t xml:space="preserve">  4.6935e+000  2.2960e+002</t>
  </si>
  <si>
    <t xml:space="preserve">  4.2630e+000  2.4001e+002</t>
  </si>
  <si>
    <t xml:space="preserve">  3.9060e+000  2.4318e+002</t>
  </si>
  <si>
    <t xml:space="preserve">  3.4125e+000  2.5099e+002</t>
  </si>
  <si>
    <t>pme[ bar ]</t>
  </si>
  <si>
    <t>Pe=(ωe*pme*k*Vcyl)/2*π</t>
  </si>
  <si>
    <t>Pe 1000rpm</t>
  </si>
  <si>
    <t>Pe 1500rpm</t>
  </si>
  <si>
    <t>Pe 2000rpm</t>
  </si>
  <si>
    <t>Pe 2500rpm</t>
  </si>
  <si>
    <t>Pe 3000rpm</t>
  </si>
  <si>
    <t>Pe 3500rpm</t>
  </si>
  <si>
    <t>Pe 4000rpm</t>
  </si>
  <si>
    <t>Pe 4500rpm</t>
  </si>
  <si>
    <t>Pe 5000rpm</t>
  </si>
  <si>
    <t>Pe 5500rpm</t>
  </si>
  <si>
    <t>Pe 6000rpm</t>
  </si>
  <si>
    <t>Pe 6500rpm</t>
  </si>
  <si>
    <t>Me=Pe/ωe</t>
  </si>
  <si>
    <t>Me 1000rpm</t>
  </si>
  <si>
    <t>Me 1500rpm</t>
  </si>
  <si>
    <t>Me 2000rpm</t>
  </si>
  <si>
    <t>Me 2500rpm</t>
  </si>
  <si>
    <t>Me 3000rpm</t>
  </si>
  <si>
    <t>Me 3500rpm</t>
  </si>
  <si>
    <t>Me 4000rpm</t>
  </si>
  <si>
    <t>Me 4500rpm</t>
  </si>
  <si>
    <t>Me 5000rpm</t>
  </si>
  <si>
    <t>Me 5500rpm</t>
  </si>
  <si>
    <t>Me 6000rpm</t>
  </si>
  <si>
    <t>Me 6500rpm</t>
  </si>
  <si>
    <t>k=0.5 Four strokes full throttle</t>
  </si>
  <si>
    <t>Pmax</t>
  </si>
  <si>
    <t>wmax</t>
  </si>
  <si>
    <t>Peapp</t>
  </si>
  <si>
    <t>Pe</t>
  </si>
  <si>
    <t>Pa=Pe*nt</t>
  </si>
  <si>
    <t>Me</t>
  </si>
  <si>
    <t>V(Tg1)</t>
  </si>
  <si>
    <t>V(Tg2)</t>
  </si>
  <si>
    <t>V(Tg3)</t>
  </si>
  <si>
    <t>V(Tg4)</t>
  </si>
  <si>
    <t>V(Tg5)</t>
  </si>
  <si>
    <t>A*</t>
  </si>
  <si>
    <t>PaMAX</t>
  </si>
  <si>
    <t>rpm</t>
  </si>
  <si>
    <t>B*</t>
  </si>
  <si>
    <t>Re</t>
  </si>
  <si>
    <t>Vmax</t>
  </si>
  <si>
    <t>R0</t>
  </si>
  <si>
    <t>Tf</t>
  </si>
  <si>
    <t>Amax</t>
  </si>
  <si>
    <t>tan(Amax)</t>
  </si>
  <si>
    <t>rad/sec</t>
  </si>
  <si>
    <t>TgTOP</t>
  </si>
  <si>
    <t>TgBTM</t>
  </si>
  <si>
    <t>Tg2</t>
  </si>
  <si>
    <t>Tg3</t>
  </si>
  <si>
    <t>Tg4</t>
  </si>
  <si>
    <t>Tg1</t>
  </si>
  <si>
    <t>tg5</t>
  </si>
  <si>
    <t>N</t>
  </si>
  <si>
    <t>RPMS</t>
  </si>
  <si>
    <t>B(alpha=0)</t>
  </si>
  <si>
    <t>A(alpha=0)</t>
  </si>
  <si>
    <t>Pn1(alpha=0)</t>
  </si>
  <si>
    <t>Pn2(alpha=0)</t>
  </si>
  <si>
    <t>Pn3(alpha=0)</t>
  </si>
  <si>
    <t>Pn4(alpha=0)</t>
  </si>
  <si>
    <t>Pn5(alpha=0)</t>
  </si>
  <si>
    <t>A(alphamax)</t>
  </si>
  <si>
    <t>alphamax</t>
  </si>
  <si>
    <t>B(alphamax)</t>
  </si>
  <si>
    <t>Pn1(alphamax)</t>
  </si>
  <si>
    <t>Pn2(alphamax)</t>
  </si>
  <si>
    <t>Pn3(alphamax)</t>
  </si>
  <si>
    <t>Pn4(alphamax)</t>
  </si>
  <si>
    <t>Pn5(alphamax)</t>
  </si>
  <si>
    <t>K [s^2/m^2]</t>
  </si>
  <si>
    <t>S [m^2]</t>
  </si>
  <si>
    <t>m [Kg]</t>
  </si>
  <si>
    <t>ρ [kg/m^3]</t>
  </si>
  <si>
    <t>g  [m/s^2]</t>
  </si>
  <si>
    <t>Vcyl [m^3]</t>
  </si>
  <si>
    <t>ωmin [rpm]</t>
  </si>
  <si>
    <t>l [m]</t>
  </si>
  <si>
    <t>a [m]</t>
  </si>
  <si>
    <t>hG [m]</t>
  </si>
  <si>
    <t>Je [kg*m^2]</t>
  </si>
  <si>
    <t>jw [kg*m2]</t>
  </si>
  <si>
    <t>ts [s]</t>
  </si>
  <si>
    <t>Vcar [m/s]</t>
  </si>
  <si>
    <t>Pcar [w]</t>
  </si>
  <si>
    <t>P [w]</t>
  </si>
  <si>
    <t xml:space="preserve">Vnorm </t>
  </si>
  <si>
    <t>R [N]</t>
  </si>
  <si>
    <t>α2 [rad]</t>
  </si>
  <si>
    <t>α1 [rad]</t>
  </si>
  <si>
    <t>α3 [rad]</t>
  </si>
  <si>
    <t>α4 [rad]</t>
  </si>
  <si>
    <t>α5 [rad]</t>
  </si>
  <si>
    <t>[rpm]</t>
  </si>
  <si>
    <t>fuel consumption  [gr/HPh]</t>
  </si>
  <si>
    <t>[N*m]</t>
  </si>
  <si>
    <t>we [rad/s]</t>
  </si>
  <si>
    <t>P1  [w]</t>
  </si>
  <si>
    <t>P2   [w]</t>
  </si>
  <si>
    <t>P3  [w]</t>
  </si>
  <si>
    <t>Pe 3250rpm</t>
  </si>
  <si>
    <t>Me 3250rpm</t>
  </si>
  <si>
    <t>∆x1 [m] =</t>
  </si>
  <si>
    <t>∆x2 [m] =</t>
  </si>
  <si>
    <t>A=</t>
  </si>
  <si>
    <t>B=</t>
  </si>
  <si>
    <t>Fz1 [N]</t>
  </si>
  <si>
    <t>Fz2 [N]</t>
  </si>
  <si>
    <t>Pmax DRY  [w]</t>
  </si>
  <si>
    <t>Pmax WET  [w]</t>
  </si>
  <si>
    <t>R</t>
  </si>
  <si>
    <t>Pn</t>
  </si>
  <si>
    <t>C1 (DRY )</t>
  </si>
  <si>
    <t>C1(WET)</t>
  </si>
  <si>
    <t>C2 (DRY) [s/m]</t>
  </si>
  <si>
    <t>C2(WET) [s/m]</t>
  </si>
  <si>
    <t>Rl [m]</t>
  </si>
  <si>
    <t>Re[m]</t>
  </si>
  <si>
    <t>Tg</t>
  </si>
  <si>
    <t>meq</t>
  </si>
  <si>
    <t>DATA</t>
  </si>
  <si>
    <t>τf</t>
  </si>
  <si>
    <r>
      <t>pme = (Pe*2</t>
    </r>
    <r>
      <rPr>
        <sz val="11"/>
        <color theme="1"/>
        <rFont val="Calibri"/>
        <family val="2"/>
      </rPr>
      <t>π)/(k*Vcyl*ωe)</t>
    </r>
  </si>
  <si>
    <t>k</t>
  </si>
  <si>
    <t>H [J/kg]</t>
  </si>
  <si>
    <r>
      <t>ρf [gm/m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</si>
  <si>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t>τg</t>
  </si>
  <si>
    <t>ωe</t>
  </si>
  <si>
    <t>Qm [l/h]</t>
  </si>
  <si>
    <t>1st gear</t>
  </si>
  <si>
    <t>2nd gear</t>
  </si>
  <si>
    <t>3rd gear</t>
  </si>
  <si>
    <t>4th gear</t>
  </si>
  <si>
    <t>5th gear</t>
  </si>
  <si>
    <t>EUDC</t>
  </si>
  <si>
    <t>NEDC</t>
  </si>
  <si>
    <t>v [km/h]</t>
  </si>
  <si>
    <t>v [m/s]</t>
  </si>
  <si>
    <t>4 times</t>
  </si>
  <si>
    <t>1 time</t>
  </si>
  <si>
    <t>Pa</t>
  </si>
  <si>
    <t>a=Pa-Pn/meq*V</t>
  </si>
  <si>
    <t>amax τg1</t>
  </si>
  <si>
    <t>amax τg2</t>
  </si>
  <si>
    <t>amax τg3</t>
  </si>
  <si>
    <t>amax τg4</t>
  </si>
  <si>
    <t>amax τg5</t>
  </si>
  <si>
    <t>1/amax</t>
  </si>
  <si>
    <t>amax</t>
  </si>
  <si>
    <t>amax VS V</t>
  </si>
  <si>
    <t>t [s]</t>
  </si>
  <si>
    <t>pme [Pa]</t>
  </si>
  <si>
    <t>pme [bar]</t>
  </si>
  <si>
    <t>V [m/s]</t>
  </si>
  <si>
    <t>V [km/h]</t>
  </si>
  <si>
    <t>q [g/(hp*h)]</t>
  </si>
  <si>
    <t>q [kg/j]</t>
  </si>
  <si>
    <t>i</t>
  </si>
  <si>
    <t>increment</t>
  </si>
  <si>
    <t>V1</t>
  </si>
  <si>
    <t>a1</t>
  </si>
  <si>
    <t>V2</t>
  </si>
  <si>
    <t>a2</t>
  </si>
  <si>
    <t>1/a2</t>
  </si>
  <si>
    <t>1/a1</t>
  </si>
  <si>
    <t>V3</t>
  </si>
  <si>
    <t>a3</t>
  </si>
  <si>
    <t>1/a3</t>
  </si>
  <si>
    <t>V4</t>
  </si>
  <si>
    <t>a4</t>
  </si>
  <si>
    <t>1/a4</t>
  </si>
  <si>
    <t>T1</t>
  </si>
  <si>
    <t>T2</t>
  </si>
  <si>
    <t>T3</t>
  </si>
  <si>
    <t>T4</t>
  </si>
  <si>
    <t>Delta T1</t>
  </si>
  <si>
    <t>Delta T2</t>
  </si>
  <si>
    <t>Delta T3</t>
  </si>
  <si>
    <t>Delta T4</t>
  </si>
  <si>
    <t>V</t>
  </si>
  <si>
    <t>T</t>
  </si>
  <si>
    <t>T1 Actual</t>
  </si>
  <si>
    <t>T2 Actual</t>
  </si>
  <si>
    <t>T3 Actual</t>
  </si>
  <si>
    <t>T4 Actual</t>
  </si>
  <si>
    <t>V Actual</t>
  </si>
  <si>
    <t>T Actual</t>
  </si>
  <si>
    <t>V vs T</t>
  </si>
  <si>
    <t>t[s]</t>
  </si>
  <si>
    <t>v(t) [m/]</t>
  </si>
  <si>
    <t>ECE-15_time intervals</t>
  </si>
  <si>
    <t>ECE-15 approx</t>
  </si>
  <si>
    <t>ECE-15 detailed</t>
  </si>
  <si>
    <t>t[s] = i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</si>
  <si>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[m/s]</t>
    </r>
  </si>
  <si>
    <r>
      <t>v</t>
    </r>
    <r>
      <rPr>
        <vertAlign val="subscript"/>
        <sz val="11"/>
        <color theme="1"/>
        <rFont val="Calibri"/>
        <family val="2"/>
        <scheme val="minor"/>
      </rPr>
      <t>mi</t>
    </r>
    <r>
      <rPr>
        <sz val="11"/>
        <color theme="1"/>
        <rFont val="Calibri"/>
        <family val="2"/>
        <scheme val="minor"/>
      </rPr>
      <t xml:space="preserve"> [m/s]</t>
    </r>
  </si>
  <si>
    <t>Qi [l/100km]</t>
  </si>
  <si>
    <t>Qi=</t>
  </si>
  <si>
    <t>qi [g/(hp*h)]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</si>
  <si>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[km/h]</t>
    </r>
  </si>
  <si>
    <t>me [kg]</t>
  </si>
  <si>
    <t>Rof [g/l]</t>
  </si>
  <si>
    <t>REF</t>
  </si>
  <si>
    <t>ηt*100000</t>
  </si>
  <si>
    <t>the computation of Q is in the NEDC sheet</t>
  </si>
  <si>
    <t>Q [l]=</t>
  </si>
  <si>
    <t>Q1[l]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</si>
</sst>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00"/>
    <numFmt numFmtId="166" formatCode="0.000"/>
    <numFmt numFmtId="167" formatCode="0.0000"/>
    <numFmt numFmtId="168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b/>
      <sz val="16"/>
      <color theme="3" tint="0.39997558519241921"/>
      <name val="Calibri"/>
      <scheme val="minor"/>
    </font>
    <font>
      <b/>
      <sz val="16"/>
      <color theme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2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0" fontId="1" fillId="0" borderId="0" xfId="0" applyFont="1"/>
    <xf numFmtId="0" fontId="0" fillId="0" borderId="3" xfId="0" applyFont="1" applyBorder="1"/>
    <xf numFmtId="0" fontId="0" fillId="5" borderId="3" xfId="0" applyFill="1" applyBorder="1"/>
    <xf numFmtId="0" fontId="0" fillId="5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5" xfId="0" applyFill="1" applyBorder="1"/>
    <xf numFmtId="0" fontId="0" fillId="7" borderId="6" xfId="0" applyFill="1" applyBorder="1"/>
    <xf numFmtId="2" fontId="0" fillId="0" borderId="0" xfId="0" applyNumberFormat="1" applyFill="1"/>
    <xf numFmtId="165" fontId="0" fillId="0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11" fontId="2" fillId="0" borderId="4" xfId="0" applyNumberFormat="1" applyFont="1" applyBorder="1"/>
    <xf numFmtId="0" fontId="2" fillId="0" borderId="0" xfId="0" applyFont="1" applyFill="1"/>
    <xf numFmtId="0" fontId="2" fillId="0" borderId="0" xfId="0" applyFont="1" applyBorder="1"/>
    <xf numFmtId="0" fontId="2" fillId="8" borderId="0" xfId="0" applyFont="1" applyFill="1" applyBorder="1"/>
    <xf numFmtId="0" fontId="2" fillId="9" borderId="0" xfId="0" applyFont="1" applyFill="1" applyBorder="1"/>
    <xf numFmtId="0" fontId="2" fillId="9" borderId="0" xfId="0" applyFont="1" applyFill="1"/>
    <xf numFmtId="0" fontId="6" fillId="9" borderId="0" xfId="1" applyFont="1" applyFill="1" applyBorder="1" applyAlignment="1">
      <alignment wrapText="1"/>
    </xf>
    <xf numFmtId="0" fontId="0" fillId="8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ont="1"/>
    <xf numFmtId="2" fontId="2" fillId="0" borderId="0" xfId="0" applyNumberFormat="1" applyFont="1"/>
    <xf numFmtId="0" fontId="0" fillId="9" borderId="0" xfId="0" applyFont="1" applyFill="1"/>
    <xf numFmtId="0" fontId="0" fillId="0" borderId="0" xfId="0" applyBorder="1"/>
    <xf numFmtId="167" fontId="0" fillId="0" borderId="0" xfId="0" applyNumberFormat="1"/>
    <xf numFmtId="11" fontId="2" fillId="0" borderId="0" xfId="0" applyNumberFormat="1" applyFont="1" applyBorder="1"/>
    <xf numFmtId="0" fontId="0" fillId="0" borderId="9" xfId="0" applyFont="1" applyFill="1" applyBorder="1"/>
    <xf numFmtId="0" fontId="0" fillId="0" borderId="10" xfId="0" applyFont="1" applyFill="1" applyBorder="1"/>
    <xf numFmtId="164" fontId="0" fillId="0" borderId="0" xfId="0" applyNumberFormat="1" applyFill="1"/>
    <xf numFmtId="2" fontId="0" fillId="3" borderId="11" xfId="0" applyNumberFormat="1" applyFill="1" applyBorder="1"/>
    <xf numFmtId="164" fontId="0" fillId="3" borderId="11" xfId="0" applyNumberFormat="1" applyFill="1" applyBorder="1"/>
    <xf numFmtId="0" fontId="0" fillId="0" borderId="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10" borderId="0" xfId="0" applyFont="1" applyFill="1"/>
    <xf numFmtId="0" fontId="2" fillId="10" borderId="0" xfId="0" applyFont="1" applyFill="1"/>
    <xf numFmtId="0" fontId="0" fillId="0" borderId="0" xfId="0" applyFont="1" applyFill="1"/>
    <xf numFmtId="2" fontId="0" fillId="0" borderId="11" xfId="0" applyNumberFormat="1" applyBorder="1"/>
    <xf numFmtId="2" fontId="0" fillId="4" borderId="11" xfId="0" applyNumberFormat="1" applyFill="1" applyBorder="1"/>
    <xf numFmtId="2" fontId="0" fillId="2" borderId="11" xfId="0" applyNumberFormat="1" applyFill="1" applyBorder="1"/>
    <xf numFmtId="0" fontId="0" fillId="6" borderId="11" xfId="0" applyFill="1" applyBorder="1"/>
    <xf numFmtId="2" fontId="0" fillId="6" borderId="11" xfId="0" applyNumberFormat="1" applyFill="1" applyBorder="1"/>
    <xf numFmtId="0" fontId="0" fillId="7" borderId="11" xfId="0" applyFill="1" applyBorder="1"/>
    <xf numFmtId="2" fontId="0" fillId="7" borderId="11" xfId="0" applyNumberFormat="1" applyFill="1" applyBorder="1"/>
    <xf numFmtId="0" fontId="0" fillId="2" borderId="11" xfId="0" applyFill="1" applyBorder="1"/>
    <xf numFmtId="0" fontId="0" fillId="6" borderId="11" xfId="0" applyNumberFormat="1" applyFill="1" applyBorder="1"/>
    <xf numFmtId="0" fontId="0" fillId="7" borderId="11" xfId="0" applyNumberFormat="1" applyFill="1" applyBorder="1"/>
    <xf numFmtId="0" fontId="0" fillId="2" borderId="11" xfId="0" applyNumberFormat="1" applyFill="1" applyBorder="1"/>
    <xf numFmtId="11" fontId="0" fillId="6" borderId="11" xfId="0" applyNumberFormat="1" applyFill="1" applyBorder="1"/>
    <xf numFmtId="11" fontId="0" fillId="7" borderId="11" xfId="0" applyNumberFormat="1" applyFill="1" applyBorder="1"/>
    <xf numFmtId="0" fontId="0" fillId="7" borderId="11" xfId="0" applyNumberFormat="1" applyFont="1" applyFill="1" applyBorder="1"/>
    <xf numFmtId="0" fontId="0" fillId="4" borderId="11" xfId="0" applyNumberFormat="1" applyFill="1" applyBorder="1"/>
    <xf numFmtId="0" fontId="0" fillId="0" borderId="0" xfId="0" applyNumberFormat="1" applyFill="1" applyBorder="1"/>
    <xf numFmtId="11" fontId="0" fillId="0" borderId="0" xfId="0" applyNumberFormat="1"/>
    <xf numFmtId="0" fontId="0" fillId="3" borderId="11" xfId="0" applyNumberFormat="1" applyFill="1" applyBorder="1"/>
    <xf numFmtId="0" fontId="0" fillId="0" borderId="0" xfId="0" applyNumberFormat="1" applyBorder="1"/>
    <xf numFmtId="0" fontId="0" fillId="0" borderId="0" xfId="0" applyNumberFormat="1"/>
    <xf numFmtId="2" fontId="0" fillId="11" borderId="0" xfId="0" applyNumberFormat="1" applyFill="1"/>
    <xf numFmtId="2" fontId="0" fillId="12" borderId="11" xfId="0" applyNumberFormat="1" applyFill="1" applyBorder="1"/>
    <xf numFmtId="0" fontId="0" fillId="12" borderId="11" xfId="0" applyNumberFormat="1" applyFont="1" applyFill="1" applyBorder="1"/>
    <xf numFmtId="2" fontId="6" fillId="11" borderId="0" xfId="0" applyNumberFormat="1" applyFont="1" applyFill="1"/>
    <xf numFmtId="0" fontId="0" fillId="11" borderId="0" xfId="0" applyFill="1"/>
    <xf numFmtId="0" fontId="2" fillId="0" borderId="11" xfId="0" applyFont="1" applyBorder="1" applyAlignment="1">
      <alignment horizontal="right" vertical="top"/>
    </xf>
    <xf numFmtId="0" fontId="0" fillId="9" borderId="0" xfId="0" applyFill="1"/>
    <xf numFmtId="0" fontId="1" fillId="0" borderId="0" xfId="0" applyNumberFormat="1" applyFont="1"/>
    <xf numFmtId="167" fontId="1" fillId="0" borderId="0" xfId="0" applyNumberFormat="1" applyFont="1"/>
    <xf numFmtId="0" fontId="0" fillId="3" borderId="16" xfId="0" applyFill="1" applyBorder="1"/>
    <xf numFmtId="0" fontId="8" fillId="13" borderId="0" xfId="0" applyFont="1" applyFill="1"/>
    <xf numFmtId="0" fontId="0" fillId="13" borderId="0" xfId="0" applyFill="1"/>
    <xf numFmtId="0" fontId="0" fillId="0" borderId="10" xfId="0" applyFill="1" applyBorder="1"/>
    <xf numFmtId="0" fontId="0" fillId="0" borderId="11" xfId="0" applyBorder="1"/>
    <xf numFmtId="0" fontId="0" fillId="11" borderId="11" xfId="0" applyFill="1" applyBorder="1"/>
    <xf numFmtId="0" fontId="0" fillId="14" borderId="11" xfId="0" applyFill="1" applyBorder="1"/>
    <xf numFmtId="2" fontId="0" fillId="0" borderId="11" xfId="0" applyNumberFormat="1" applyBorder="1" applyAlignment="1">
      <alignment horizontal="left"/>
    </xf>
    <xf numFmtId="0" fontId="0" fillId="0" borderId="11" xfId="0" applyNumberFormat="1" applyBorder="1"/>
    <xf numFmtId="0" fontId="0" fillId="15" borderId="11" xfId="0" applyFill="1" applyBorder="1"/>
    <xf numFmtId="0" fontId="0" fillId="11" borderId="11" xfId="0" applyFill="1" applyBorder="1" applyAlignment="1">
      <alignment horizontal="right"/>
    </xf>
    <xf numFmtId="0" fontId="0" fillId="15" borderId="11" xfId="0" applyFill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 textRotation="180"/>
    </xf>
    <xf numFmtId="0" fontId="0" fillId="4" borderId="11" xfId="0" applyFill="1" applyBorder="1"/>
    <xf numFmtId="167" fontId="0" fillId="0" borderId="11" xfId="0" applyNumberFormat="1" applyFill="1" applyBorder="1"/>
    <xf numFmtId="0" fontId="0" fillId="0" borderId="11" xfId="0" applyNumberFormat="1" applyFont="1" applyFill="1" applyBorder="1"/>
    <xf numFmtId="0" fontId="0" fillId="3" borderId="0" xfId="0" applyFill="1" applyBorder="1"/>
    <xf numFmtId="0" fontId="2" fillId="0" borderId="0" xfId="0" applyNumberFormat="1" applyFont="1" applyFill="1" applyBorder="1"/>
    <xf numFmtId="0" fontId="0" fillId="3" borderId="17" xfId="0" applyFill="1" applyBorder="1"/>
    <xf numFmtId="0" fontId="0" fillId="3" borderId="15" xfId="0" applyFill="1" applyBorder="1"/>
    <xf numFmtId="2" fontId="0" fillId="0" borderId="0" xfId="0" applyNumberFormat="1" applyFill="1" applyBorder="1"/>
    <xf numFmtId="0" fontId="0" fillId="0" borderId="0" xfId="0" applyFont="1" applyBorder="1"/>
    <xf numFmtId="0" fontId="0" fillId="3" borderId="16" xfId="0" applyNumberFormat="1" applyFill="1" applyBorder="1"/>
    <xf numFmtId="166" fontId="0" fillId="0" borderId="11" xfId="0" applyNumberFormat="1" applyFont="1" applyBorder="1"/>
    <xf numFmtId="0" fontId="0" fillId="0" borderId="11" xfId="0" applyNumberFormat="1" applyFont="1" applyBorder="1"/>
    <xf numFmtId="166" fontId="0" fillId="0" borderId="11" xfId="0" applyNumberFormat="1" applyFont="1" applyFill="1" applyBorder="1"/>
    <xf numFmtId="0" fontId="0" fillId="0" borderId="11" xfId="0" applyFill="1" applyBorder="1"/>
    <xf numFmtId="0" fontId="0" fillId="18" borderId="0" xfId="0" applyNumberFormat="1" applyFont="1" applyFill="1" applyBorder="1"/>
    <xf numFmtId="0" fontId="6" fillId="19" borderId="11" xfId="0" applyFont="1" applyFill="1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vertical="center" textRotation="180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2" fontId="0" fillId="18" borderId="11" xfId="0" applyNumberFormat="1" applyFill="1" applyBorder="1" applyAlignment="1">
      <alignment horizontal="center"/>
    </xf>
    <xf numFmtId="166" fontId="0" fillId="16" borderId="11" xfId="0" applyNumberForma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4" borderId="11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166" fontId="0" fillId="17" borderId="11" xfId="0" applyNumberFormat="1" applyFill="1" applyBorder="1" applyAlignment="1">
      <alignment horizontal="center"/>
    </xf>
    <xf numFmtId="166" fontId="0" fillId="18" borderId="11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11" borderId="11" xfId="0" applyNumberFormat="1" applyFill="1" applyBorder="1" applyAlignment="1">
      <alignment horizontal="center"/>
    </xf>
    <xf numFmtId="1" fontId="0" fillId="11" borderId="11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1" fontId="0" fillId="0" borderId="11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12" xfId="0" applyNumberFormat="1" applyBorder="1"/>
    <xf numFmtId="11" fontId="0" fillId="0" borderId="39" xfId="0" applyNumberFormat="1" applyBorder="1"/>
    <xf numFmtId="11" fontId="0" fillId="0" borderId="41" xfId="0" applyNumberFormat="1" applyBorder="1"/>
    <xf numFmtId="11" fontId="0" fillId="0" borderId="25" xfId="0" applyNumberFormat="1" applyBorder="1"/>
    <xf numFmtId="11" fontId="0" fillId="0" borderId="42" xfId="0" applyNumberFormat="1" applyBorder="1"/>
    <xf numFmtId="0" fontId="15" fillId="0" borderId="0" xfId="0" applyFont="1"/>
    <xf numFmtId="0" fontId="16" fillId="0" borderId="0" xfId="0" applyFont="1"/>
    <xf numFmtId="0" fontId="6" fillId="15" borderId="11" xfId="0" applyFont="1" applyFill="1" applyBorder="1"/>
    <xf numFmtId="0" fontId="0" fillId="20" borderId="11" xfId="0" applyFill="1" applyBorder="1"/>
    <xf numFmtId="0" fontId="12" fillId="0" borderId="11" xfId="0" applyFont="1" applyFill="1" applyBorder="1" applyAlignment="1">
      <alignment horizontal="center" vertical="center" readingOrder="1"/>
    </xf>
    <xf numFmtId="2" fontId="13" fillId="0" borderId="11" xfId="0" applyNumberFormat="1" applyFont="1" applyFill="1" applyBorder="1" applyAlignment="1">
      <alignment horizontal="center" vertical="center" readingOrder="1"/>
    </xf>
    <xf numFmtId="0" fontId="0" fillId="21" borderId="11" xfId="0" applyFill="1" applyBorder="1"/>
    <xf numFmtId="0" fontId="6" fillId="22" borderId="11" xfId="0" applyFont="1" applyFill="1" applyBorder="1"/>
    <xf numFmtId="0" fontId="0" fillId="22" borderId="11" xfId="0" applyFill="1" applyBorder="1"/>
    <xf numFmtId="0" fontId="0" fillId="23" borderId="11" xfId="0" applyFill="1" applyBorder="1"/>
    <xf numFmtId="0" fontId="0" fillId="24" borderId="11" xfId="0" applyFill="1" applyBorder="1"/>
    <xf numFmtId="0" fontId="0" fillId="25" borderId="11" xfId="0" applyFill="1" applyBorder="1"/>
    <xf numFmtId="0" fontId="0" fillId="26" borderId="11" xfId="0" applyFill="1" applyBorder="1"/>
    <xf numFmtId="0" fontId="14" fillId="20" borderId="11" xfId="0" applyNumberFormat="1" applyFont="1" applyFill="1" applyBorder="1"/>
    <xf numFmtId="0" fontId="0" fillId="27" borderId="11" xfId="0" applyFill="1" applyBorder="1"/>
    <xf numFmtId="0" fontId="0" fillId="28" borderId="11" xfId="0" applyFill="1" applyBorder="1"/>
    <xf numFmtId="166" fontId="0" fillId="0" borderId="0" xfId="0" applyNumberFormat="1"/>
    <xf numFmtId="166" fontId="8" fillId="0" borderId="11" xfId="0" applyNumberFormat="1" applyFont="1" applyFill="1" applyBorder="1" applyAlignment="1">
      <alignment horizontal="center"/>
    </xf>
    <xf numFmtId="166" fontId="0" fillId="0" borderId="11" xfId="0" applyNumberFormat="1" applyBorder="1"/>
    <xf numFmtId="166" fontId="0" fillId="11" borderId="11" xfId="0" applyNumberFormat="1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1" xfId="0" applyFont="1" applyBorder="1"/>
    <xf numFmtId="0" fontId="0" fillId="0" borderId="0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12" borderId="0" xfId="0" applyNumberFormat="1" applyFill="1" applyAlignment="1">
      <alignment horizontal="center" vertical="center"/>
    </xf>
    <xf numFmtId="11" fontId="0" fillId="0" borderId="43" xfId="0" applyNumberForma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8" borderId="36" xfId="0" applyFill="1" applyBorder="1" applyAlignment="1">
      <alignment horizontal="center" vertical="center" textRotation="180"/>
    </xf>
    <xf numFmtId="0" fontId="0" fillId="18" borderId="37" xfId="0" applyFill="1" applyBorder="1" applyAlignment="1">
      <alignment horizontal="center" vertical="center" textRotation="180"/>
    </xf>
    <xf numFmtId="0" fontId="0" fillId="16" borderId="16" xfId="0" applyFill="1" applyBorder="1" applyAlignment="1">
      <alignment horizontal="center" vertical="center" textRotation="180"/>
    </xf>
    <xf numFmtId="0" fontId="0" fillId="16" borderId="36" xfId="0" applyFill="1" applyBorder="1" applyAlignment="1">
      <alignment horizontal="center" vertical="center" textRotation="180"/>
    </xf>
    <xf numFmtId="0" fontId="0" fillId="16" borderId="37" xfId="0" applyFill="1" applyBorder="1" applyAlignment="1">
      <alignment horizontal="center" vertical="center" textRotation="180"/>
    </xf>
    <xf numFmtId="0" fontId="0" fillId="4" borderId="16" xfId="0" applyFill="1" applyBorder="1" applyAlignment="1">
      <alignment horizontal="center" vertical="center" textRotation="180"/>
    </xf>
    <xf numFmtId="0" fontId="0" fillId="4" borderId="36" xfId="0" applyFill="1" applyBorder="1" applyAlignment="1">
      <alignment horizontal="center" vertical="center" textRotation="180"/>
    </xf>
    <xf numFmtId="0" fontId="0" fillId="4" borderId="37" xfId="0" applyFill="1" applyBorder="1" applyAlignment="1">
      <alignment horizontal="center" vertical="center" textRotation="180"/>
    </xf>
    <xf numFmtId="0" fontId="0" fillId="3" borderId="11" xfId="0" applyFill="1" applyBorder="1" applyAlignment="1">
      <alignment horizontal="center" vertical="center" textRotation="180"/>
    </xf>
    <xf numFmtId="0" fontId="0" fillId="17" borderId="16" xfId="0" applyFill="1" applyBorder="1" applyAlignment="1">
      <alignment horizontal="center" vertical="center" textRotation="180"/>
    </xf>
    <xf numFmtId="0" fontId="0" fillId="17" borderId="36" xfId="0" applyFill="1" applyBorder="1" applyAlignment="1">
      <alignment horizontal="center" vertical="center" textRotation="180"/>
    </xf>
    <xf numFmtId="0" fontId="0" fillId="17" borderId="37" xfId="0" applyFill="1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 textRotation="180"/>
    </xf>
    <xf numFmtId="0" fontId="0" fillId="0" borderId="10" xfId="0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 textRotation="180"/>
    </xf>
    <xf numFmtId="0" fontId="0" fillId="0" borderId="34" xfId="0" applyBorder="1" applyAlignment="1">
      <alignment horizontal="center" vertical="center" textRotation="180"/>
    </xf>
    <xf numFmtId="0" fontId="0" fillId="0" borderId="35" xfId="0" applyBorder="1" applyAlignment="1">
      <alignment horizontal="center" vertical="center" textRotation="180"/>
    </xf>
    <xf numFmtId="0" fontId="0" fillId="0" borderId="12" xfId="0" applyBorder="1" applyAlignment="1">
      <alignment horizontal="center"/>
    </xf>
    <xf numFmtId="11" fontId="18" fillId="0" borderId="37" xfId="0" applyNumberFormat="1" applyFont="1" applyBorder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 [N] VS V[m/s]</a:t>
            </a:r>
          </a:p>
        </c:rich>
      </c:tx>
      <c:layout>
        <c:manualLayout>
          <c:xMode val="edge"/>
          <c:yMode val="edge"/>
          <c:x val="0.271460143592143"/>
          <c:y val="0.036222260646973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'1_1.1 '!$G$9</c:f>
              <c:strCache>
                <c:ptCount val="1"/>
                <c:pt idx="0">
                  <c:v>R [N]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'!$G$10:$G$25</c:f>
              <c:numCache>
                <c:formatCode>0.00</c:formatCode>
                <c:ptCount val="16"/>
                <c:pt idx="0">
                  <c:v>123.7041</c:v>
                </c:pt>
                <c:pt idx="1">
                  <c:v>127.3769179552469</c:v>
                </c:pt>
                <c:pt idx="2">
                  <c:v>138.3953718209877</c:v>
                </c:pt>
                <c:pt idx="3">
                  <c:v>156.7594615972222</c:v>
                </c:pt>
                <c:pt idx="4">
                  <c:v>182.4691872839506</c:v>
                </c:pt>
                <c:pt idx="5">
                  <c:v>215.5245488811728</c:v>
                </c:pt>
                <c:pt idx="6">
                  <c:v>255.925546388889</c:v>
                </c:pt>
                <c:pt idx="7">
                  <c:v>303.6721798070988</c:v>
                </c:pt>
                <c:pt idx="8">
                  <c:v>358.7644491358024</c:v>
                </c:pt>
                <c:pt idx="9">
                  <c:v>421.202354375</c:v>
                </c:pt>
                <c:pt idx="10">
                  <c:v>490.9858955246913</c:v>
                </c:pt>
                <c:pt idx="11">
                  <c:v>568.1150725848764</c:v>
                </c:pt>
                <c:pt idx="12">
                  <c:v>652.5898855555556</c:v>
                </c:pt>
                <c:pt idx="13">
                  <c:v>744.4103344367282</c:v>
                </c:pt>
                <c:pt idx="14">
                  <c:v>843.576419228395</c:v>
                </c:pt>
                <c:pt idx="15">
                  <c:v>950.0881399305554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4-4622-AC69-4B20EB08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59344"/>
        <c:axId val="81754608"/>
      </c:scatterChart>
      <c:valAx>
        <c:axId val="221259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754608"/>
        <c:crosses val="autoZero"/>
        <c:crossBetween val="midCat"/>
      </c:valAx>
      <c:valAx>
        <c:axId val="8175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125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</c:v>
          </c:tx>
          <c:marker>
            <c:symbol val="none"/>
          </c:marker>
          <c:xVal>
            <c:numRef>
              <c:f>'1_1.2'!$S$28:$S$40</c:f>
              <c:numCache>
                <c:formatCode>General</c:formatCode>
                <c:ptCount val="1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3250.0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</c:numCache>
            </c:numRef>
          </c:xVal>
          <c:yVal>
            <c:numRef>
              <c:f>'1_1.2'!$G$94:$G$106</c:f>
              <c:numCache>
                <c:formatCode>General</c:formatCode>
                <c:ptCount val="13"/>
                <c:pt idx="0">
                  <c:v>49.53220138905967</c:v>
                </c:pt>
                <c:pt idx="1">
                  <c:v>70.99615532431883</c:v>
                </c:pt>
                <c:pt idx="2">
                  <c:v>73.16862029752322</c:v>
                </c:pt>
                <c:pt idx="3">
                  <c:v>77.25285444714744</c:v>
                </c:pt>
                <c:pt idx="4">
                  <c:v>78.7301306289264</c:v>
                </c:pt>
                <c:pt idx="5">
                  <c:v>80.03360961284903</c:v>
                </c:pt>
                <c:pt idx="6">
                  <c:v>79.51221801927998</c:v>
                </c:pt>
                <c:pt idx="7">
                  <c:v>79.68601521713634</c:v>
                </c:pt>
                <c:pt idx="8">
                  <c:v>78.46943483214189</c:v>
                </c:pt>
                <c:pt idx="9">
                  <c:v>73.86380908894862</c:v>
                </c:pt>
                <c:pt idx="10">
                  <c:v>68.30229875754546</c:v>
                </c:pt>
                <c:pt idx="11">
                  <c:v>64.47876040470574</c:v>
                </c:pt>
                <c:pt idx="12">
                  <c:v>58.91725007330255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4-4046-91DB-537FB749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25280"/>
        <c:axId val="222129104"/>
      </c:scatterChart>
      <c:valAx>
        <c:axId val="2221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129104"/>
        <c:crosses val="autoZero"/>
        <c:crossBetween val="midCat"/>
      </c:valAx>
      <c:valAx>
        <c:axId val="222129104"/>
        <c:scaling>
          <c:orientation val="minMax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1252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</c:v>
          </c:tx>
          <c:marker>
            <c:symbol val="none"/>
          </c:marker>
          <c:xVal>
            <c:numRef>
              <c:f>'1_1.2'!$S$28:$S$40</c:f>
              <c:numCache>
                <c:formatCode>General</c:formatCode>
                <c:ptCount val="1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3250.0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</c:numCache>
            </c:numRef>
          </c:xVal>
          <c:yVal>
            <c:numRef>
              <c:f>'1_1.2'!$G$79:$G$91</c:f>
              <c:numCache>
                <c:formatCode>General</c:formatCode>
                <c:ptCount val="13"/>
                <c:pt idx="0">
                  <c:v>5187.0</c:v>
                </c:pt>
                <c:pt idx="1">
                  <c:v>11152.05</c:v>
                </c:pt>
                <c:pt idx="2">
                  <c:v>15324.4</c:v>
                </c:pt>
                <c:pt idx="3">
                  <c:v>20224.75</c:v>
                </c:pt>
                <c:pt idx="4">
                  <c:v>24733.8</c:v>
                </c:pt>
                <c:pt idx="5">
                  <c:v>27238.575</c:v>
                </c:pt>
                <c:pt idx="6">
                  <c:v>29142.75</c:v>
                </c:pt>
                <c:pt idx="7">
                  <c:v>33378.8</c:v>
                </c:pt>
                <c:pt idx="8">
                  <c:v>36977.85</c:v>
                </c:pt>
                <c:pt idx="9">
                  <c:v>38675.0</c:v>
                </c:pt>
                <c:pt idx="10">
                  <c:v>39339.3</c:v>
                </c:pt>
                <c:pt idx="11">
                  <c:v>40513.2</c:v>
                </c:pt>
                <c:pt idx="12">
                  <c:v>40103.7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2-4BE2-A15F-5C6CBCCF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6240"/>
        <c:axId val="222159504"/>
      </c:scatterChart>
      <c:valAx>
        <c:axId val="2221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159504"/>
        <c:crosses val="autoZero"/>
        <c:crossBetween val="midCat"/>
      </c:valAx>
      <c:valAx>
        <c:axId val="22215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1562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Approximated</c:v>
          </c:tx>
          <c:marker>
            <c:symbol val="none"/>
          </c:marker>
          <c:xVal>
            <c:numRef>
              <c:f>'1_1.2'!$S$28:$S$40</c:f>
              <c:numCache>
                <c:formatCode>General</c:formatCode>
                <c:ptCount val="1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3250.0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</c:numCache>
            </c:numRef>
          </c:xVal>
          <c:yVal>
            <c:numRef>
              <c:f>'1_1.2'!$E$114:$E$126</c:f>
              <c:numCache>
                <c:formatCode>General</c:formatCode>
                <c:ptCount val="13"/>
                <c:pt idx="0">
                  <c:v>7690.005555555554</c:v>
                </c:pt>
                <c:pt idx="1">
                  <c:v>12027.35625</c:v>
                </c:pt>
                <c:pt idx="2">
                  <c:v>16505.37777777777</c:v>
                </c:pt>
                <c:pt idx="3">
                  <c:v>20983.39930555555</c:v>
                </c:pt>
                <c:pt idx="4">
                  <c:v>25320.75</c:v>
                </c:pt>
                <c:pt idx="5">
                  <c:v>27392.71414930555</c:v>
                </c:pt>
                <c:pt idx="6">
                  <c:v>29376.75902777777</c:v>
                </c:pt>
                <c:pt idx="7">
                  <c:v>33010.75555555555</c:v>
                </c:pt>
                <c:pt idx="8">
                  <c:v>36082.06875</c:v>
                </c:pt>
                <c:pt idx="9">
                  <c:v>38450.02777777778</c:v>
                </c:pt>
                <c:pt idx="10">
                  <c:v>39973.96180555555</c:v>
                </c:pt>
                <c:pt idx="11">
                  <c:v>40513.2</c:v>
                </c:pt>
                <c:pt idx="12">
                  <c:v>39927.07152777778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A-4153-A040-D47CC9F3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6352"/>
        <c:axId val="222107376"/>
      </c:scatterChart>
      <c:valAx>
        <c:axId val="8084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07376"/>
        <c:crosses val="autoZero"/>
        <c:crossBetween val="midCat"/>
      </c:valAx>
      <c:valAx>
        <c:axId val="22210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4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C-4442-A560-F53A9701CB27}"/>
            </c:ext>
          </c:extLst>
        </c:ser>
        <c:ser>
          <c:idx val="1"/>
          <c:order val="1"/>
          <c:tx>
            <c:v>Pa2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'1_1.3'!$O$2:$O$14</c:f>
              <c:numCache>
                <c:formatCode>0.000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C-4442-A560-F53A9701CB27}"/>
            </c:ext>
          </c:extLst>
        </c:ser>
        <c:ser>
          <c:idx val="2"/>
          <c:order val="2"/>
          <c:tx>
            <c:v>Pa3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'1_1.3'!$P$2:$P$14</c:f>
              <c:numCache>
                <c:formatCode>0.000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CC-4442-A560-F53A9701CB27}"/>
            </c:ext>
          </c:extLst>
        </c:ser>
        <c:ser>
          <c:idx val="3"/>
          <c:order val="3"/>
          <c:tx>
            <c:v>Pa4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'1_1.3'!$Q$2:$Q$14</c:f>
              <c:numCache>
                <c:formatCode>0.000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CC-4442-A560-F53A9701CB27}"/>
            </c:ext>
          </c:extLst>
        </c:ser>
        <c:ser>
          <c:idx val="4"/>
          <c:order val="4"/>
          <c:tx>
            <c:v>Pa5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'1_1.3'!$R$2:$R$14</c:f>
              <c:numCache>
                <c:formatCode>0.000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CC-4442-A560-F53A9701CB27}"/>
            </c:ext>
          </c:extLst>
        </c:ser>
        <c:ser>
          <c:idx val="5"/>
          <c:order val="5"/>
          <c:tx>
            <c:v>Pn1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'1_1.3'!$S$2:$S$14</c:f>
              <c:numCache>
                <c:formatCode>0.000</c:formatCode>
                <c:ptCount val="13"/>
                <c:pt idx="0">
                  <c:v>187.9440811995078</c:v>
                </c:pt>
                <c:pt idx="1">
                  <c:v>284.9655326332578</c:v>
                </c:pt>
                <c:pt idx="2">
                  <c:v>385.6462770678031</c:v>
                </c:pt>
                <c:pt idx="3">
                  <c:v>491.2060788367421</c:v>
                </c:pt>
                <c:pt idx="4">
                  <c:v>602.8647022736735</c:v>
                </c:pt>
                <c:pt idx="5">
                  <c:v>661.3622484718856</c:v>
                </c:pt>
                <c:pt idx="6">
                  <c:v>721.8419117121954</c:v>
                </c:pt>
                <c:pt idx="7">
                  <c:v>849.3574714859064</c:v>
                </c:pt>
                <c:pt idx="8">
                  <c:v>986.631145928405</c:v>
                </c:pt>
                <c:pt idx="9">
                  <c:v>1134.88269937329</c:v>
                </c:pt>
                <c:pt idx="10">
                  <c:v>1295.331896154159</c:v>
                </c:pt>
                <c:pt idx="11">
                  <c:v>1469.198500604611</c:v>
                </c:pt>
                <c:pt idx="12">
                  <c:v>1657.702277058243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CC-4442-A560-F53A9701CB27}"/>
            </c:ext>
          </c:extLst>
        </c:ser>
        <c:ser>
          <c:idx val="6"/>
          <c:order val="6"/>
          <c:tx>
            <c:v>Pn2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'1_1.3'!$O$2:$O$14</c:f>
              <c:numCache>
                <c:formatCode>0.000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'1_1.3'!$T$2:$T$14</c:f>
              <c:numCache>
                <c:formatCode>0.000</c:formatCode>
                <c:ptCount val="13"/>
                <c:pt idx="0">
                  <c:v>275.9778035582202</c:v>
                </c:pt>
                <c:pt idx="1">
                  <c:v>423.347501231592</c:v>
                </c:pt>
                <c:pt idx="2">
                  <c:v>581.9741539780774</c:v>
                </c:pt>
                <c:pt idx="3">
                  <c:v>755.6100801553817</c:v>
                </c:pt>
                <c:pt idx="4">
                  <c:v>948.007598121209</c:v>
                </c:pt>
                <c:pt idx="5">
                  <c:v>1052.414553511601</c:v>
                </c:pt>
                <c:pt idx="6">
                  <c:v>1162.919026233264</c:v>
                </c:pt>
                <c:pt idx="7">
                  <c:v>1404.096682849251</c:v>
                </c:pt>
                <c:pt idx="8">
                  <c:v>1675.292886326876</c:v>
                </c:pt>
                <c:pt idx="9">
                  <c:v>1980.259955023842</c:v>
                </c:pt>
                <c:pt idx="10">
                  <c:v>2322.750207297854</c:v>
                </c:pt>
                <c:pt idx="11">
                  <c:v>2706.515961506618</c:v>
                </c:pt>
                <c:pt idx="12">
                  <c:v>3135.309536007836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CC-4442-A560-F53A9701CB27}"/>
            </c:ext>
          </c:extLst>
        </c:ser>
        <c:ser>
          <c:idx val="7"/>
          <c:order val="7"/>
          <c:tx>
            <c:v>Pn3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'1_1.3'!$P$2:$P$14</c:f>
              <c:numCache>
                <c:formatCode>0.000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'1_1.3'!$U$2:$U$14</c:f>
              <c:numCache>
                <c:formatCode>0.000</c:formatCode>
                <c:ptCount val="13"/>
                <c:pt idx="0">
                  <c:v>409.4880319147517</c:v>
                </c:pt>
                <c:pt idx="1">
                  <c:v>643.0898621845649</c:v>
                </c:pt>
                <c:pt idx="2">
                  <c:v>911.3210696293033</c:v>
                </c:pt>
                <c:pt idx="3">
                  <c:v>1225.724779973942</c:v>
                </c:pt>
                <c:pt idx="4">
                  <c:v>1597.844118943455</c:v>
                </c:pt>
                <c:pt idx="5">
                  <c:v>1809.154375951594</c:v>
                </c:pt>
                <c:pt idx="6">
                  <c:v>2039.222212262818</c:v>
                </c:pt>
                <c:pt idx="7">
                  <c:v>2561.402185657006</c:v>
                </c:pt>
                <c:pt idx="8">
                  <c:v>3175.927164850994</c:v>
                </c:pt>
                <c:pt idx="9">
                  <c:v>3894.340275569758</c:v>
                </c:pt>
                <c:pt idx="10">
                  <c:v>4728.184643538273</c:v>
                </c:pt>
                <c:pt idx="11">
                  <c:v>5689.003394481506</c:v>
                </c:pt>
                <c:pt idx="12">
                  <c:v>6788.339654124446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CC-4442-A560-F53A9701CB27}"/>
            </c:ext>
          </c:extLst>
        </c:ser>
        <c:ser>
          <c:idx val="8"/>
          <c:order val="8"/>
          <c:tx>
            <c:v>Pn4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'1_1.3'!$Q$2:$Q$14</c:f>
              <c:numCache>
                <c:formatCode>0.000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'1_1.3'!$V$2:$V$14</c:f>
              <c:numCache>
                <c:formatCode>0.000</c:formatCode>
                <c:ptCount val="13"/>
                <c:pt idx="0">
                  <c:v>620.5089976876256</c:v>
                </c:pt>
                <c:pt idx="1">
                  <c:v>1019.53778138722</c:v>
                </c:pt>
                <c:pt idx="2">
                  <c:v>1525.095706913752</c:v>
                </c:pt>
                <c:pt idx="3">
                  <c:v>2172.692488209534</c:v>
                </c:pt>
                <c:pt idx="4">
                  <c:v>2997.837839216878</c:v>
                </c:pt>
                <c:pt idx="5">
                  <c:v>3488.08801396936</c:v>
                </c:pt>
                <c:pt idx="6">
                  <c:v>4036.041473878098</c:v>
                </c:pt>
                <c:pt idx="7">
                  <c:v>5322.813106135507</c:v>
                </c:pt>
                <c:pt idx="8">
                  <c:v>6893.662449931414</c:v>
                </c:pt>
                <c:pt idx="9">
                  <c:v>8784.099219208139</c:v>
                </c:pt>
                <c:pt idx="10">
                  <c:v>11029.63312790798</c:v>
                </c:pt>
                <c:pt idx="11">
                  <c:v>13665.77388997326</c:v>
                </c:pt>
                <c:pt idx="12">
                  <c:v>16728.0312193463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CC-4442-A560-F53A9701CB27}"/>
            </c:ext>
          </c:extLst>
        </c:ser>
        <c:ser>
          <c:idx val="9"/>
          <c:order val="9"/>
          <c:tx>
            <c:v>Pn5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'1_1.3'!$R$2:$R$14</c:f>
              <c:numCache>
                <c:formatCode>0.000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'1_1.3'!$W$2:$W$14</c:f>
              <c:numCache>
                <c:formatCode>0.000</c:formatCode>
                <c:ptCount val="13"/>
                <c:pt idx="0">
                  <c:v>979.239751731487</c:v>
                </c:pt>
                <c:pt idx="1">
                  <c:v>1741.952855183036</c:v>
                </c:pt>
                <c:pt idx="2">
                  <c:v>2832.377831737554</c:v>
                </c:pt>
                <c:pt idx="3">
                  <c:v>4359.751972429363</c:v>
                </c:pt>
                <c:pt idx="4">
                  <c:v>6433.312568292778</c:v>
                </c:pt>
                <c:pt idx="5">
                  <c:v>7709.049440362069</c:v>
                </c:pt>
                <c:pt idx="6">
                  <c:v>9162.296910362136</c:v>
                </c:pt>
                <c:pt idx="7">
                  <c:v>12655.94228967175</c:v>
                </c:pt>
                <c:pt idx="8">
                  <c:v>17023.48599725595</c:v>
                </c:pt>
                <c:pt idx="9">
                  <c:v>22374.16532414905</c:v>
                </c:pt>
                <c:pt idx="10">
                  <c:v>28817.21756138534</c:v>
                </c:pt>
                <c:pt idx="11">
                  <c:v>36461.8799999992</c:v>
                </c:pt>
                <c:pt idx="12">
                  <c:v>45417.38993102493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CC-4442-A560-F53A9701CB27}"/>
            </c:ext>
          </c:extLst>
        </c:ser>
        <c:ser>
          <c:idx val="10"/>
          <c:order val="10"/>
          <c:tx>
            <c:v>Pn1max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'1_1.3'!$X$2:$X$14</c:f>
              <c:numCache>
                <c:formatCode>General</c:formatCode>
                <c:ptCount val="13"/>
                <c:pt idx="0">
                  <c:v>4669.91569101158</c:v>
                </c:pt>
                <c:pt idx="1">
                  <c:v>7007.902957164083</c:v>
                </c:pt>
                <c:pt idx="2">
                  <c:v>9349.525528092635</c:v>
                </c:pt>
                <c:pt idx="3">
                  <c:v>11695.99517205593</c:v>
                </c:pt>
                <c:pt idx="4">
                  <c:v>14048.52365731265</c:v>
                </c:pt>
                <c:pt idx="5">
                  <c:v>15227.43864300687</c:v>
                </c:pt>
                <c:pt idx="6">
                  <c:v>16408.32275212146</c:v>
                </c:pt>
                <c:pt idx="7">
                  <c:v>18776.60422474108</c:v>
                </c:pt>
                <c:pt idx="8">
                  <c:v>21154.57984343017</c:v>
                </c:pt>
                <c:pt idx="9">
                  <c:v>23543.46137644741</c:v>
                </c:pt>
                <c:pt idx="10">
                  <c:v>25944.46059205151</c:v>
                </c:pt>
                <c:pt idx="11">
                  <c:v>28358.78925850113</c:v>
                </c:pt>
                <c:pt idx="12">
                  <c:v>30787.65914405495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CC-4442-A560-F53A9701CB27}"/>
            </c:ext>
          </c:extLst>
        </c:ser>
        <c:ser>
          <c:idx val="11"/>
          <c:order val="11"/>
          <c:tx>
            <c:v>Pn2max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'1_1.3'!$O$2:$O$14</c:f>
              <c:numCache>
                <c:formatCode>0.000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'1_1.3'!$Y$2:$Y$14</c:f>
              <c:numCache>
                <c:formatCode>General</c:formatCode>
                <c:ptCount val="13"/>
                <c:pt idx="0">
                  <c:v>6794.400684619712</c:v>
                </c:pt>
                <c:pt idx="1">
                  <c:v>10200.92032770985</c:v>
                </c:pt>
                <c:pt idx="2">
                  <c:v>13618.62313173633</c:v>
                </c:pt>
                <c:pt idx="3">
                  <c:v>17051.23681701126</c:v>
                </c:pt>
                <c:pt idx="4">
                  <c:v>20502.48910384675</c:v>
                </c:pt>
                <c:pt idx="5">
                  <c:v>22236.26963544724</c:v>
                </c:pt>
                <c:pt idx="6">
                  <c:v>23976.10771255491</c:v>
                </c:pt>
                <c:pt idx="7">
                  <c:v>27475.82036344786</c:v>
                </c:pt>
                <c:pt idx="8">
                  <c:v>31005.35477683773</c:v>
                </c:pt>
                <c:pt idx="9">
                  <c:v>34568.4386730366</c:v>
                </c:pt>
                <c:pt idx="10">
                  <c:v>38168.79977235659</c:v>
                </c:pt>
                <c:pt idx="11">
                  <c:v>41810.16579510982</c:v>
                </c:pt>
                <c:pt idx="12">
                  <c:v>45496.2644616084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CC-4442-A560-F53A9701CB27}"/>
            </c:ext>
          </c:extLst>
        </c:ser>
        <c:ser>
          <c:idx val="12"/>
          <c:order val="12"/>
          <c:tx>
            <c:v>Pn3max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'1_1.3'!$P$2:$P$14</c:f>
              <c:numCache>
                <c:formatCode>0.000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'1_1.3'!$Z$2:$Z$14</c:f>
              <c:numCache>
                <c:formatCode>General</c:formatCode>
                <c:ptCount val="13"/>
                <c:pt idx="0">
                  <c:v>9889.62643001066</c:v>
                </c:pt>
                <c:pt idx="1">
                  <c:v>14863.1082840601</c:v>
                </c:pt>
                <c:pt idx="2">
                  <c:v>19870.9925049625</c:v>
                </c:pt>
                <c:pt idx="3">
                  <c:v>24924.74654833547</c:v>
                </c:pt>
                <c:pt idx="4">
                  <c:v>30035.83786979667</c:v>
                </c:pt>
                <c:pt idx="5">
                  <c:v>32616.46858969088</c:v>
                </c:pt>
                <c:pt idx="6">
                  <c:v>35215.73392496376</c:v>
                </c:pt>
                <c:pt idx="7">
                  <c:v>40475.90216945437</c:v>
                </c:pt>
                <c:pt idx="8">
                  <c:v>45827.81005888616</c:v>
                </c:pt>
                <c:pt idx="9">
                  <c:v>51282.92504887677</c:v>
                </c:pt>
                <c:pt idx="10">
                  <c:v>56852.71459504386</c:v>
                </c:pt>
                <c:pt idx="11">
                  <c:v>62548.64615300502</c:v>
                </c:pt>
                <c:pt idx="12">
                  <c:v>68382.18717837797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CC-4442-A560-F53A9701CB27}"/>
            </c:ext>
          </c:extLst>
        </c:ser>
        <c:ser>
          <c:idx val="13"/>
          <c:order val="13"/>
          <c:tx>
            <c:v>Pn4max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'1_1.3'!$Q$2:$Q$14</c:f>
              <c:numCache>
                <c:formatCode>0.000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'1_1.3'!$AA$2:$AA$14</c:f>
              <c:numCache>
                <c:formatCode>General</c:formatCode>
                <c:ptCount val="13"/>
                <c:pt idx="0">
                  <c:v>14407.96392452847</c:v>
                </c:pt>
                <c:pt idx="1">
                  <c:v>21700.13821838702</c:v>
                </c:pt>
                <c:pt idx="2">
                  <c:v>29098.14331015878</c:v>
                </c:pt>
                <c:pt idx="3">
                  <c:v>36637.25613248146</c:v>
                </c:pt>
                <c:pt idx="4">
                  <c:v>44352.75361799277</c:v>
                </c:pt>
                <c:pt idx="5">
                  <c:v>48287.67065089347</c:v>
                </c:pt>
                <c:pt idx="6">
                  <c:v>52279.91269933048</c:v>
                </c:pt>
                <c:pt idx="7">
                  <c:v>60454.01030913232</c:v>
                </c:pt>
                <c:pt idx="8">
                  <c:v>68910.32338003598</c:v>
                </c:pt>
                <c:pt idx="9">
                  <c:v>77684.12884467924</c:v>
                </c:pt>
                <c:pt idx="10">
                  <c:v>86810.70363569979</c:v>
                </c:pt>
                <c:pt idx="11">
                  <c:v>96325.32468573536</c:v>
                </c:pt>
                <c:pt idx="12">
                  <c:v>106263.2689274237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CC-4442-A560-F53A9701CB27}"/>
            </c:ext>
          </c:extLst>
        </c:ser>
        <c:ser>
          <c:idx val="14"/>
          <c:order val="14"/>
          <c:tx>
            <c:v>Pn5max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'1_1.3'!$R$2:$R$14</c:f>
              <c:numCache>
                <c:formatCode>0.000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'1_1.3'!$AB$2:$AB$14</c:f>
              <c:numCache>
                <c:formatCode>General</c:formatCode>
                <c:ptCount val="13"/>
                <c:pt idx="0">
                  <c:v>21030.78217379536</c:v>
                </c:pt>
                <c:pt idx="1">
                  <c:v>31817.47624581468</c:v>
                </c:pt>
                <c:pt idx="2">
                  <c:v>42929.73389997997</c:v>
                </c:pt>
                <c:pt idx="3">
                  <c:v>54476.0763303399</c:v>
                </c:pt>
                <c:pt idx="4">
                  <c:v>66565.02473094307</c:v>
                </c:pt>
                <c:pt idx="5">
                  <c:v>72846.88904322611</c:v>
                </c:pt>
                <c:pt idx="6">
                  <c:v>79305.10029583824</c:v>
                </c:pt>
                <c:pt idx="7">
                  <c:v>92804.82421907395</c:v>
                </c:pt>
                <c:pt idx="8">
                  <c:v>107172.717694699</c:v>
                </c:pt>
                <c:pt idx="9">
                  <c:v>122517.3019167618</c:v>
                </c:pt>
                <c:pt idx="10">
                  <c:v>138947.0980793112</c:v>
                </c:pt>
                <c:pt idx="11">
                  <c:v>156570.6273763959</c:v>
                </c:pt>
                <c:pt idx="12">
                  <c:v>175496.4110020644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CC-4442-A560-F53A9701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24112"/>
        <c:axId val="222394064"/>
      </c:scatterChart>
      <c:valAx>
        <c:axId val="2200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94064"/>
        <c:crosses val="autoZero"/>
        <c:crossBetween val="midCat"/>
      </c:valAx>
      <c:valAx>
        <c:axId val="222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09470141502"/>
          <c:y val="0.205238864537487"/>
          <c:w val="0.675190097959278"/>
          <c:h val="0.688889361864108"/>
        </c:manualLayout>
      </c:layout>
      <c:lineChart>
        <c:grouping val="standard"/>
        <c:varyColors val="0"/>
        <c:ser>
          <c:idx val="0"/>
          <c:order val="0"/>
          <c:tx>
            <c:v>Pmax DRY</c:v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5.555555555555553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38.8888888888889</c:v>
                </c:pt>
                <c:pt idx="15">
                  <c:v>41.66666666666664</c:v>
                </c:pt>
                <c:pt idx="16">
                  <c:v>44.44444444444441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63.8888888888889</c:v>
                </c:pt>
                <c:pt idx="24">
                  <c:v>66.66666666666667</c:v>
                </c:pt>
                <c:pt idx="25">
                  <c:v>69.44444444444447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77.77777777777774</c:v>
                </c:pt>
                <c:pt idx="29">
                  <c:v>80.55555555555553</c:v>
                </c:pt>
                <c:pt idx="30">
                  <c:v>83.3333333333333</c:v>
                </c:pt>
              </c:numCache>
            </c:numRef>
          </c:cat>
          <c:val>
            <c:numRef>
              <c:f>[1]Foglio1!$I$9:$I$39</c:f>
              <c:numCache>
                <c:formatCode>General</c:formatCode>
                <c:ptCount val="31"/>
                <c:pt idx="0">
                  <c:v>0.0</c:v>
                </c:pt>
                <c:pt idx="1">
                  <c:v>14277.95062817029</c:v>
                </c:pt>
                <c:pt idx="2">
                  <c:v>28116.57969855073</c:v>
                </c:pt>
                <c:pt idx="3">
                  <c:v>41515.88721114132</c:v>
                </c:pt>
                <c:pt idx="4">
                  <c:v>54475.87316594204</c:v>
                </c:pt>
                <c:pt idx="5">
                  <c:v>66996.53756295293</c:v>
                </c:pt>
                <c:pt idx="6">
                  <c:v>79077.88040217393</c:v>
                </c:pt>
                <c:pt idx="7">
                  <c:v>90719.90168360507</c:v>
                </c:pt>
                <c:pt idx="8">
                  <c:v>101922.6014072464</c:v>
                </c:pt>
                <c:pt idx="9">
                  <c:v>112685.9795730978</c:v>
                </c:pt>
                <c:pt idx="10">
                  <c:v>123010.0361811594</c:v>
                </c:pt>
                <c:pt idx="11">
                  <c:v>132894.7712314312</c:v>
                </c:pt>
                <c:pt idx="12">
                  <c:v>142340.1847239131</c:v>
                </c:pt>
                <c:pt idx="13">
                  <c:v>151346.2766586051</c:v>
                </c:pt>
                <c:pt idx="14">
                  <c:v>159913.0470355073</c:v>
                </c:pt>
                <c:pt idx="15">
                  <c:v>168040.4958546196</c:v>
                </c:pt>
                <c:pt idx="16">
                  <c:v>175728.6231159421</c:v>
                </c:pt>
                <c:pt idx="17">
                  <c:v>182977.4288194747</c:v>
                </c:pt>
                <c:pt idx="18">
                  <c:v>189786.9129652175</c:v>
                </c:pt>
                <c:pt idx="19">
                  <c:v>196157.0755531703</c:v>
                </c:pt>
                <c:pt idx="20">
                  <c:v>202087.9165833334</c:v>
                </c:pt>
                <c:pt idx="21">
                  <c:v>207579.4360557066</c:v>
                </c:pt>
                <c:pt idx="22">
                  <c:v>212631.63397029</c:v>
                </c:pt>
                <c:pt idx="23">
                  <c:v>217244.5103270834</c:v>
                </c:pt>
                <c:pt idx="24">
                  <c:v>221418.0651260871</c:v>
                </c:pt>
                <c:pt idx="25">
                  <c:v>225152.2983673007</c:v>
                </c:pt>
                <c:pt idx="26">
                  <c:v>228447.2100507247</c:v>
                </c:pt>
                <c:pt idx="27">
                  <c:v>231302.8001763588</c:v>
                </c:pt>
                <c:pt idx="28">
                  <c:v>233719.068744203</c:v>
                </c:pt>
                <c:pt idx="29">
                  <c:v>235696.0157542573</c:v>
                </c:pt>
                <c:pt idx="30">
                  <c:v>237233.6412065217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95-4073-8BA0-5B1EB5F36771}"/>
            </c:ext>
          </c:extLst>
        </c:ser>
        <c:ser>
          <c:idx val="1"/>
          <c:order val="1"/>
          <c:tx>
            <c:v>pn</c:v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5.555555555555553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38.8888888888889</c:v>
                </c:pt>
                <c:pt idx="15">
                  <c:v>41.66666666666664</c:v>
                </c:pt>
                <c:pt idx="16">
                  <c:v>44.44444444444441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63.8888888888889</c:v>
                </c:pt>
                <c:pt idx="24">
                  <c:v>66.66666666666667</c:v>
                </c:pt>
                <c:pt idx="25">
                  <c:v>69.44444444444447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77.77777777777774</c:v>
                </c:pt>
                <c:pt idx="29">
                  <c:v>80.55555555555553</c:v>
                </c:pt>
                <c:pt idx="30">
                  <c:v>83.3333333333333</c:v>
                </c:pt>
              </c:numCache>
            </c:numRef>
          </c:cat>
          <c:val>
            <c:numRef>
              <c:f>[1]Foglio1!$L$9:$L$39</c:f>
              <c:numCache>
                <c:formatCode>General</c:formatCode>
                <c:ptCount val="31"/>
                <c:pt idx="0">
                  <c:v>0.0</c:v>
                </c:pt>
                <c:pt idx="1">
                  <c:v>353.8133787722905</c:v>
                </c:pt>
                <c:pt idx="2">
                  <c:v>768.8403635116598</c:v>
                </c:pt>
                <c:pt idx="3">
                  <c:v>1306.294560185186</c:v>
                </c:pt>
                <c:pt idx="4">
                  <c:v>2027.389574759945</c:v>
                </c:pt>
                <c:pt idx="5">
                  <c:v>2993.33901320302</c:v>
                </c:pt>
                <c:pt idx="6">
                  <c:v>4265.356481481485</c:v>
                </c:pt>
                <c:pt idx="7">
                  <c:v>5904.655585562414</c:v>
                </c:pt>
                <c:pt idx="8">
                  <c:v>7972.449931412894</c:v>
                </c:pt>
                <c:pt idx="9">
                  <c:v>10529.953125</c:v>
                </c:pt>
                <c:pt idx="10">
                  <c:v>13638.37877229081</c:v>
                </c:pt>
                <c:pt idx="11">
                  <c:v>17358.9404792524</c:v>
                </c:pt>
                <c:pt idx="12">
                  <c:v>21752.85185185186</c:v>
                </c:pt>
                <c:pt idx="13">
                  <c:v>26881.32649605623</c:v>
                </c:pt>
                <c:pt idx="14">
                  <c:v>32805.57801783265</c:v>
                </c:pt>
                <c:pt idx="15">
                  <c:v>39586.82002314816</c:v>
                </c:pt>
                <c:pt idx="16">
                  <c:v>47286.2661179698</c:v>
                </c:pt>
                <c:pt idx="17">
                  <c:v>55965.12990826473</c:v>
                </c:pt>
                <c:pt idx="18">
                  <c:v>65684.625</c:v>
                </c:pt>
                <c:pt idx="19">
                  <c:v>76505.96499914264</c:v>
                </c:pt>
                <c:pt idx="20">
                  <c:v>88490.36351165979</c:v>
                </c:pt>
                <c:pt idx="21">
                  <c:v>101699.0341435185</c:v>
                </c:pt>
                <c:pt idx="22">
                  <c:v>116193.190500686</c:v>
                </c:pt>
                <c:pt idx="23">
                  <c:v>132034.046189129</c:v>
                </c:pt>
                <c:pt idx="24">
                  <c:v>149282.8148148148</c:v>
                </c:pt>
                <c:pt idx="25">
                  <c:v>168000.7099837105</c:v>
                </c:pt>
                <c:pt idx="26">
                  <c:v>188248.9453017832</c:v>
                </c:pt>
                <c:pt idx="27">
                  <c:v>210088.734375</c:v>
                </c:pt>
                <c:pt idx="28">
                  <c:v>233581.2908093278</c:v>
                </c:pt>
                <c:pt idx="29">
                  <c:v>258787.8282107339</c:v>
                </c:pt>
                <c:pt idx="30">
                  <c:v>285769.5601851851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95-4073-8BA0-5B1EB5F3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27136"/>
        <c:axId val="219735344"/>
      </c:lineChart>
      <c:catAx>
        <c:axId val="2197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735344"/>
        <c:crosses val="autoZero"/>
        <c:auto val="1"/>
        <c:lblAlgn val="ctr"/>
        <c:lblOffset val="100"/>
        <c:noMultiLvlLbl val="0"/>
      </c:catAx>
      <c:valAx>
        <c:axId val="21973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91215049041"/>
          <c:y val="0.201840731447031"/>
          <c:w val="0.683163729499433"/>
          <c:h val="0.640464076605809"/>
        </c:manualLayout>
      </c:layout>
      <c:lineChart>
        <c:grouping val="standard"/>
        <c:varyColors val="0"/>
        <c:ser>
          <c:idx val="0"/>
          <c:order val="0"/>
          <c:tx>
            <c:strRef>
              <c:f>[1]Foglio1!$J$7:$J$8</c:f>
              <c:strCache>
                <c:ptCount val="1"/>
                <c:pt idx="0">
                  <c:v>#REF! Pmax WET  [w]</c:v>
                </c:pt>
              </c:strCache>
            </c:strRef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5.555555555555553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38.8888888888889</c:v>
                </c:pt>
                <c:pt idx="15">
                  <c:v>41.66666666666664</c:v>
                </c:pt>
                <c:pt idx="16">
                  <c:v>44.44444444444441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63.8888888888889</c:v>
                </c:pt>
                <c:pt idx="24">
                  <c:v>66.66666666666667</c:v>
                </c:pt>
                <c:pt idx="25">
                  <c:v>69.44444444444447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77.77777777777774</c:v>
                </c:pt>
                <c:pt idx="29">
                  <c:v>80.55555555555553</c:v>
                </c:pt>
                <c:pt idx="30">
                  <c:v>83.3333333333333</c:v>
                </c:pt>
              </c:numCache>
            </c:numRef>
          </c:cat>
          <c:val>
            <c:numRef>
              <c:f>[1]Foglio1!$J$9:$J$39</c:f>
              <c:numCache>
                <c:formatCode>General</c:formatCode>
                <c:ptCount val="31"/>
                <c:pt idx="0">
                  <c:v>0.0</c:v>
                </c:pt>
                <c:pt idx="1">
                  <c:v>10250.83634842995</c:v>
                </c:pt>
                <c:pt idx="2">
                  <c:v>19915.91061980675</c:v>
                </c:pt>
                <c:pt idx="3">
                  <c:v>28995.22281413045</c:v>
                </c:pt>
                <c:pt idx="4">
                  <c:v>37488.77293140097</c:v>
                </c:pt>
                <c:pt idx="5">
                  <c:v>45396.56097161835</c:v>
                </c:pt>
                <c:pt idx="6">
                  <c:v>52718.58693478263</c:v>
                </c:pt>
                <c:pt idx="7">
                  <c:v>59454.85082089373</c:v>
                </c:pt>
                <c:pt idx="8">
                  <c:v>65605.3526299517</c:v>
                </c:pt>
                <c:pt idx="9">
                  <c:v>71170.09236195651</c:v>
                </c:pt>
                <c:pt idx="10">
                  <c:v>76149.0700169083</c:v>
                </c:pt>
                <c:pt idx="11">
                  <c:v>80542.28559480676</c:v>
                </c:pt>
                <c:pt idx="12">
                  <c:v>84349.7390956522</c:v>
                </c:pt>
                <c:pt idx="13">
                  <c:v>87571.43051944443</c:v>
                </c:pt>
                <c:pt idx="14">
                  <c:v>90207.35986618358</c:v>
                </c:pt>
                <c:pt idx="15">
                  <c:v>92257.52713586955</c:v>
                </c:pt>
                <c:pt idx="16">
                  <c:v>93721.9323285024</c:v>
                </c:pt>
                <c:pt idx="17">
                  <c:v>94600.57544408217</c:v>
                </c:pt>
                <c:pt idx="18">
                  <c:v>94893.45648260871</c:v>
                </c:pt>
                <c:pt idx="19">
                  <c:v>94600.57544408217</c:v>
                </c:pt>
                <c:pt idx="20">
                  <c:v>93721.93232850241</c:v>
                </c:pt>
                <c:pt idx="21">
                  <c:v>92257.52713586956</c:v>
                </c:pt>
                <c:pt idx="22">
                  <c:v>90207.35986618358</c:v>
                </c:pt>
                <c:pt idx="23">
                  <c:v>87571.43051944445</c:v>
                </c:pt>
                <c:pt idx="24">
                  <c:v>84349.73909565217</c:v>
                </c:pt>
                <c:pt idx="25">
                  <c:v>80542.28559480677</c:v>
                </c:pt>
                <c:pt idx="26">
                  <c:v>76149.0700169083</c:v>
                </c:pt>
                <c:pt idx="27">
                  <c:v>71170.09236195653</c:v>
                </c:pt>
                <c:pt idx="28">
                  <c:v>65605.35262995172</c:v>
                </c:pt>
                <c:pt idx="29">
                  <c:v>59454.85082089373</c:v>
                </c:pt>
                <c:pt idx="30">
                  <c:v>52718.58693478264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EA6-A8B0-4F95E7FAF5AC}"/>
            </c:ext>
          </c:extLst>
        </c:ser>
        <c:ser>
          <c:idx val="1"/>
          <c:order val="1"/>
          <c:tx>
            <c:strRef>
              <c:f>[1]Foglio1!$L$8</c:f>
              <c:strCache>
                <c:ptCount val="1"/>
                <c:pt idx="0">
                  <c:v>Pn</c:v>
                </c:pt>
              </c:strCache>
            </c:strRef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5.555555555555553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38.8888888888889</c:v>
                </c:pt>
                <c:pt idx="15">
                  <c:v>41.66666666666664</c:v>
                </c:pt>
                <c:pt idx="16">
                  <c:v>44.44444444444441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63.8888888888889</c:v>
                </c:pt>
                <c:pt idx="24">
                  <c:v>66.66666666666667</c:v>
                </c:pt>
                <c:pt idx="25">
                  <c:v>69.44444444444447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77.77777777777774</c:v>
                </c:pt>
                <c:pt idx="29">
                  <c:v>80.55555555555553</c:v>
                </c:pt>
                <c:pt idx="30">
                  <c:v>83.3333333333333</c:v>
                </c:pt>
              </c:numCache>
            </c:numRef>
          </c:cat>
          <c:val>
            <c:numRef>
              <c:f>[1]Foglio1!$L$9:$L$39</c:f>
              <c:numCache>
                <c:formatCode>General</c:formatCode>
                <c:ptCount val="31"/>
                <c:pt idx="0">
                  <c:v>0.0</c:v>
                </c:pt>
                <c:pt idx="1">
                  <c:v>353.8133787722905</c:v>
                </c:pt>
                <c:pt idx="2">
                  <c:v>768.8403635116598</c:v>
                </c:pt>
                <c:pt idx="3">
                  <c:v>1306.294560185186</c:v>
                </c:pt>
                <c:pt idx="4">
                  <c:v>2027.389574759945</c:v>
                </c:pt>
                <c:pt idx="5">
                  <c:v>2993.33901320302</c:v>
                </c:pt>
                <c:pt idx="6">
                  <c:v>4265.356481481485</c:v>
                </c:pt>
                <c:pt idx="7">
                  <c:v>5904.655585562414</c:v>
                </c:pt>
                <c:pt idx="8">
                  <c:v>7972.449931412894</c:v>
                </c:pt>
                <c:pt idx="9">
                  <c:v>10529.953125</c:v>
                </c:pt>
                <c:pt idx="10">
                  <c:v>13638.37877229081</c:v>
                </c:pt>
                <c:pt idx="11">
                  <c:v>17358.9404792524</c:v>
                </c:pt>
                <c:pt idx="12">
                  <c:v>21752.85185185186</c:v>
                </c:pt>
                <c:pt idx="13">
                  <c:v>26881.32649605623</c:v>
                </c:pt>
                <c:pt idx="14">
                  <c:v>32805.57801783265</c:v>
                </c:pt>
                <c:pt idx="15">
                  <c:v>39586.82002314816</c:v>
                </c:pt>
                <c:pt idx="16">
                  <c:v>47286.2661179698</c:v>
                </c:pt>
                <c:pt idx="17">
                  <c:v>55965.12990826473</c:v>
                </c:pt>
                <c:pt idx="18">
                  <c:v>65684.625</c:v>
                </c:pt>
                <c:pt idx="19">
                  <c:v>76505.96499914264</c:v>
                </c:pt>
                <c:pt idx="20">
                  <c:v>88490.36351165979</c:v>
                </c:pt>
                <c:pt idx="21">
                  <c:v>101699.0341435185</c:v>
                </c:pt>
                <c:pt idx="22">
                  <c:v>116193.190500686</c:v>
                </c:pt>
                <c:pt idx="23">
                  <c:v>132034.046189129</c:v>
                </c:pt>
                <c:pt idx="24">
                  <c:v>149282.8148148148</c:v>
                </c:pt>
                <c:pt idx="25">
                  <c:v>168000.7099837105</c:v>
                </c:pt>
                <c:pt idx="26">
                  <c:v>188248.9453017832</c:v>
                </c:pt>
                <c:pt idx="27">
                  <c:v>210088.734375</c:v>
                </c:pt>
                <c:pt idx="28">
                  <c:v>233581.2908093278</c:v>
                </c:pt>
                <c:pt idx="29">
                  <c:v>258787.8282107339</c:v>
                </c:pt>
                <c:pt idx="30">
                  <c:v>285769.5601851851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EA6-A8B0-4F95E7FA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21216"/>
        <c:axId val="220121664"/>
      </c:lineChart>
      <c:catAx>
        <c:axId val="2226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121664"/>
        <c:crosses val="autoZero"/>
        <c:auto val="1"/>
        <c:lblAlgn val="ctr"/>
        <c:lblOffset val="100"/>
        <c:noMultiLvlLbl val="0"/>
      </c:catAx>
      <c:valAx>
        <c:axId val="2201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max tg1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'1_2.2'!$J$2:$J$14</c:f>
              <c:numCache>
                <c:formatCode>General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'1_2.2'!$F$17:$F$29</c:f>
              <c:numCache>
                <c:formatCode>General</c:formatCode>
                <c:ptCount val="13"/>
                <c:pt idx="0">
                  <c:v>1.797107561647775</c:v>
                </c:pt>
                <c:pt idx="1">
                  <c:v>2.607705972278259</c:v>
                </c:pt>
                <c:pt idx="2">
                  <c:v>2.688691278320807</c:v>
                </c:pt>
                <c:pt idx="3">
                  <c:v>2.841622090738609</c:v>
                </c:pt>
                <c:pt idx="4">
                  <c:v>2.895674443260819</c:v>
                </c:pt>
                <c:pt idx="5">
                  <c:v>2.943931300932377</c:v>
                </c:pt>
                <c:pt idx="6">
                  <c:v>2.923120013925106</c:v>
                </c:pt>
                <c:pt idx="7">
                  <c:v>2.927243879005907</c:v>
                </c:pt>
                <c:pt idx="8">
                  <c:v>2.878480352033269</c:v>
                </c:pt>
                <c:pt idx="9">
                  <c:v>2.701272678695086</c:v>
                </c:pt>
                <c:pt idx="10">
                  <c:v>2.487602994675661</c:v>
                </c:pt>
                <c:pt idx="11">
                  <c:v>2.339308664482611</c:v>
                </c:pt>
                <c:pt idx="12">
                  <c:v>2.124986637138366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6-465F-AC27-C56485301962}"/>
            </c:ext>
          </c:extLst>
        </c:ser>
        <c:ser>
          <c:idx val="1"/>
          <c:order val="1"/>
          <c:tx>
            <c:v>a max tg2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'1_2.2'!$K$2:$K$14</c:f>
              <c:numCache>
                <c:formatCode>General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'1_2.2'!$G$17:$G$29</c:f>
              <c:numCache>
                <c:formatCode>General</c:formatCode>
                <c:ptCount val="13"/>
                <c:pt idx="0">
                  <c:v>1.381428971418012</c:v>
                </c:pt>
                <c:pt idx="1">
                  <c:v>2.015693653228459</c:v>
                </c:pt>
                <c:pt idx="2">
                  <c:v>2.077335899276674</c:v>
                </c:pt>
                <c:pt idx="3">
                  <c:v>2.194859784595961</c:v>
                </c:pt>
                <c:pt idx="4">
                  <c:v>2.234321817785781</c:v>
                </c:pt>
                <c:pt idx="5">
                  <c:v>2.270500735454441</c:v>
                </c:pt>
                <c:pt idx="6">
                  <c:v>2.252390399054055</c:v>
                </c:pt>
                <c:pt idx="7">
                  <c:v>2.251641364773869</c:v>
                </c:pt>
                <c:pt idx="8">
                  <c:v>2.208892187587436</c:v>
                </c:pt>
                <c:pt idx="9">
                  <c:v>2.064898630913752</c:v>
                </c:pt>
                <c:pt idx="10">
                  <c:v>1.891784113199259</c:v>
                </c:pt>
                <c:pt idx="11">
                  <c:v>1.769399562009664</c:v>
                </c:pt>
                <c:pt idx="12">
                  <c:v>1.594711522421474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E6-465F-AC27-C56485301962}"/>
            </c:ext>
          </c:extLst>
        </c:ser>
        <c:ser>
          <c:idx val="2"/>
          <c:order val="2"/>
          <c:tx>
            <c:v>amax tg3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'1_2.2'!$L$2:$L$14</c:f>
              <c:numCache>
                <c:formatCode>General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'1_2.2'!$H$17:$H$29</c:f>
              <c:numCache>
                <c:formatCode>General</c:formatCode>
                <c:ptCount val="13"/>
                <c:pt idx="0">
                  <c:v>0.986514682380303</c:v>
                </c:pt>
                <c:pt idx="1">
                  <c:v>1.450651407886535</c:v>
                </c:pt>
                <c:pt idx="2">
                  <c:v>1.491840860605432</c:v>
                </c:pt>
                <c:pt idx="3">
                  <c:v>1.572984782960678</c:v>
                </c:pt>
                <c:pt idx="4">
                  <c:v>1.595431983943946</c:v>
                </c:pt>
                <c:pt idx="5">
                  <c:v>1.618318518544124</c:v>
                </c:pt>
                <c:pt idx="6">
                  <c:v>1.600919505904915</c:v>
                </c:pt>
                <c:pt idx="7">
                  <c:v>1.591344487132205</c:v>
                </c:pt>
                <c:pt idx="8">
                  <c:v>1.549632683028221</c:v>
                </c:pt>
                <c:pt idx="9">
                  <c:v>1.432149912954666</c:v>
                </c:pt>
                <c:pt idx="10">
                  <c:v>1.292016048992944</c:v>
                </c:pt>
                <c:pt idx="11">
                  <c:v>1.18804237809033</c:v>
                </c:pt>
                <c:pt idx="12">
                  <c:v>1.044343368701955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E6-465F-AC27-C56485301962}"/>
            </c:ext>
          </c:extLst>
        </c:ser>
        <c:ser>
          <c:idx val="3"/>
          <c:order val="3"/>
          <c:tx>
            <c:v>amax tg4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'1_2.2'!$M$2:$M$14</c:f>
              <c:numCache>
                <c:formatCode>General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'1_2.2'!$I$17:$I$29</c:f>
              <c:numCache>
                <c:formatCode>General</c:formatCode>
                <c:ptCount val="13"/>
                <c:pt idx="0">
                  <c:v>0.667156860863142</c:v>
                </c:pt>
                <c:pt idx="1">
                  <c:v>0.990821639748944</c:v>
                </c:pt>
                <c:pt idx="2">
                  <c:v>1.010912207390941</c:v>
                </c:pt>
                <c:pt idx="3">
                  <c:v>1.056798233249055</c:v>
                </c:pt>
                <c:pt idx="4">
                  <c:v>1.058286181208876</c:v>
                </c:pt>
                <c:pt idx="5">
                  <c:v>1.06634116955444</c:v>
                </c:pt>
                <c:pt idx="6">
                  <c:v>1.045073316549576</c:v>
                </c:pt>
                <c:pt idx="7">
                  <c:v>1.018509514965664</c:v>
                </c:pt>
                <c:pt idx="8">
                  <c:v>0.96644589520657</c:v>
                </c:pt>
                <c:pt idx="9">
                  <c:v>0.857835316298611</c:v>
                </c:pt>
                <c:pt idx="10">
                  <c:v>0.730474297688009</c:v>
                </c:pt>
                <c:pt idx="11">
                  <c:v>0.626208985904507</c:v>
                </c:pt>
                <c:pt idx="12">
                  <c:v>0.491044353167791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E6-465F-AC27-C56485301962}"/>
            </c:ext>
          </c:extLst>
        </c:ser>
        <c:ser>
          <c:idx val="4"/>
          <c:order val="4"/>
          <c:tx>
            <c:v>amax tg5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'1_2.2'!$N$2:$N$14</c:f>
              <c:numCache>
                <c:formatCode>General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'1_2.2'!$J$17:$J$29</c:f>
              <c:numCache>
                <c:formatCode>General</c:formatCode>
                <c:ptCount val="13"/>
                <c:pt idx="0">
                  <c:v>0.425066426585695</c:v>
                </c:pt>
                <c:pt idx="1">
                  <c:v>0.637177659643084</c:v>
                </c:pt>
                <c:pt idx="2">
                  <c:v>0.63140069768746</c:v>
                </c:pt>
                <c:pt idx="3">
                  <c:v>0.637993570424484</c:v>
                </c:pt>
                <c:pt idx="4">
                  <c:v>0.607884894474261</c:v>
                </c:pt>
                <c:pt idx="5">
                  <c:v>0.59581780372207</c:v>
                </c:pt>
                <c:pt idx="6">
                  <c:v>0.561835639728286</c:v>
                </c:pt>
                <c:pt idx="7">
                  <c:v>0.500789486636172</c:v>
                </c:pt>
                <c:pt idx="8">
                  <c:v>0.416253311151398</c:v>
                </c:pt>
                <c:pt idx="9">
                  <c:v>0.286522462932858</c:v>
                </c:pt>
                <c:pt idx="10">
                  <c:v>0.138019994569726</c:v>
                </c:pt>
                <c:pt idx="11">
                  <c:v>1.52302300742069E-14</c:v>
                </c:pt>
                <c:pt idx="1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E6-465F-AC27-C56485301962}"/>
            </c:ext>
          </c:extLst>
        </c:ser>
        <c:ser>
          <c:idx val="5"/>
          <c:order val="5"/>
          <c:tx>
            <c:v>Pn1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'1_1.3'!$S$2:$S$14</c:f>
              <c:numCache>
                <c:formatCode>0.000</c:formatCode>
                <c:ptCount val="13"/>
                <c:pt idx="0">
                  <c:v>187.9440811995078</c:v>
                </c:pt>
                <c:pt idx="1">
                  <c:v>284.9655326332578</c:v>
                </c:pt>
                <c:pt idx="2">
                  <c:v>385.6462770678031</c:v>
                </c:pt>
                <c:pt idx="3">
                  <c:v>491.2060788367421</c:v>
                </c:pt>
                <c:pt idx="4">
                  <c:v>602.8647022736735</c:v>
                </c:pt>
                <c:pt idx="5">
                  <c:v>661.3622484718856</c:v>
                </c:pt>
                <c:pt idx="6">
                  <c:v>721.8419117121954</c:v>
                </c:pt>
                <c:pt idx="7">
                  <c:v>849.3574714859064</c:v>
                </c:pt>
                <c:pt idx="8">
                  <c:v>986.631145928405</c:v>
                </c:pt>
                <c:pt idx="9">
                  <c:v>1134.88269937329</c:v>
                </c:pt>
                <c:pt idx="10">
                  <c:v>1295.331896154159</c:v>
                </c:pt>
                <c:pt idx="11">
                  <c:v>1469.198500604611</c:v>
                </c:pt>
                <c:pt idx="12">
                  <c:v>1657.702277058243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E6-465F-AC27-C5648530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6432"/>
        <c:axId val="2201088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Pn2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'1_1.3'!$O$2:$O$14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2.190507124780941</c:v>
                      </c:pt>
                      <c:pt idx="1">
                        <c:v>3.285760687171412</c:v>
                      </c:pt>
                      <c:pt idx="2">
                        <c:v>4.381014249561883</c:v>
                      </c:pt>
                      <c:pt idx="3">
                        <c:v>5.476267811952355</c:v>
                      </c:pt>
                      <c:pt idx="4">
                        <c:v>6.571521374342825</c:v>
                      </c:pt>
                      <c:pt idx="5">
                        <c:v>7.11914815553806</c:v>
                      </c:pt>
                      <c:pt idx="6">
                        <c:v>7.666774936733295</c:v>
                      </c:pt>
                      <c:pt idx="7">
                        <c:v>8.762028499123765</c:v>
                      </c:pt>
                      <c:pt idx="8">
                        <c:v>9.85728206151424</c:v>
                      </c:pt>
                      <c:pt idx="9">
                        <c:v>10.95253562390471</c:v>
                      </c:pt>
                      <c:pt idx="10">
                        <c:v>12.04778918629518</c:v>
                      </c:pt>
                      <c:pt idx="11">
                        <c:v>13.14304274868565</c:v>
                      </c:pt>
                      <c:pt idx="12">
                        <c:v>14.23829631107612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'1_1.3'!$T$2:$T$14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275.9778035582202</c:v>
                      </c:pt>
                      <c:pt idx="1">
                        <c:v>423.347501231592</c:v>
                      </c:pt>
                      <c:pt idx="2">
                        <c:v>581.9741539780774</c:v>
                      </c:pt>
                      <c:pt idx="3">
                        <c:v>755.6100801553817</c:v>
                      </c:pt>
                      <c:pt idx="4">
                        <c:v>948.007598121209</c:v>
                      </c:pt>
                      <c:pt idx="5">
                        <c:v>1052.414553511601</c:v>
                      </c:pt>
                      <c:pt idx="6">
                        <c:v>1162.919026233264</c:v>
                      </c:pt>
                      <c:pt idx="7">
                        <c:v>1404.096682849251</c:v>
                      </c:pt>
                      <c:pt idx="8">
                        <c:v>1675.292886326876</c:v>
                      </c:pt>
                      <c:pt idx="9">
                        <c:v>1980.259955023842</c:v>
                      </c:pt>
                      <c:pt idx="10">
                        <c:v>2322.750207297854</c:v>
                      </c:pt>
                      <c:pt idx="11">
                        <c:v>2706.515961506618</c:v>
                      </c:pt>
                      <c:pt idx="12">
                        <c:v>3135.309536007836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0AE6-465F-AC27-C5648530196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Pn3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'1_1.3'!$P$2:$P$14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3.185805463317587</c:v>
                      </c:pt>
                      <c:pt idx="1">
                        <c:v>4.77870819497638</c:v>
                      </c:pt>
                      <c:pt idx="2">
                        <c:v>6.371610926635173</c:v>
                      </c:pt>
                      <c:pt idx="3">
                        <c:v>7.964513658293968</c:v>
                      </c:pt>
                      <c:pt idx="4">
                        <c:v>9.55741638995276</c:v>
                      </c:pt>
                      <c:pt idx="5">
                        <c:v>10.35386775578216</c:v>
                      </c:pt>
                      <c:pt idx="6">
                        <c:v>11.15031912161155</c:v>
                      </c:pt>
                      <c:pt idx="7">
                        <c:v>12.74322185327035</c:v>
                      </c:pt>
                      <c:pt idx="8">
                        <c:v>14.33612458492914</c:v>
                      </c:pt>
                      <c:pt idx="9">
                        <c:v>15.92902731658794</c:v>
                      </c:pt>
                      <c:pt idx="10">
                        <c:v>17.52193004824673</c:v>
                      </c:pt>
                      <c:pt idx="11">
                        <c:v>19.11483277990552</c:v>
                      </c:pt>
                      <c:pt idx="12">
                        <c:v>20.70773551156432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'1_1.3'!$U$2:$U$14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409.4880319147517</c:v>
                      </c:pt>
                      <c:pt idx="1">
                        <c:v>643.0898621845649</c:v>
                      </c:pt>
                      <c:pt idx="2">
                        <c:v>911.3210696293033</c:v>
                      </c:pt>
                      <c:pt idx="3">
                        <c:v>1225.724779973942</c:v>
                      </c:pt>
                      <c:pt idx="4">
                        <c:v>1597.844118943455</c:v>
                      </c:pt>
                      <c:pt idx="5">
                        <c:v>1809.154375951594</c:v>
                      </c:pt>
                      <c:pt idx="6">
                        <c:v>2039.222212262818</c:v>
                      </c:pt>
                      <c:pt idx="7">
                        <c:v>2561.402185657006</c:v>
                      </c:pt>
                      <c:pt idx="8">
                        <c:v>3175.927164850994</c:v>
                      </c:pt>
                      <c:pt idx="9">
                        <c:v>3894.340275569758</c:v>
                      </c:pt>
                      <c:pt idx="10">
                        <c:v>4728.184643538273</c:v>
                      </c:pt>
                      <c:pt idx="11">
                        <c:v>5689.003394481506</c:v>
                      </c:pt>
                      <c:pt idx="12">
                        <c:v>6788.339654124446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0AE6-465F-AC27-C564853019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Pn4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'1_1.3'!$Q$2:$Q$14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4.633336424833202</c:v>
                      </c:pt>
                      <c:pt idx="1">
                        <c:v>6.950004637249802</c:v>
                      </c:pt>
                      <c:pt idx="2">
                        <c:v>9.266672849666404</c:v>
                      </c:pt>
                      <c:pt idx="3">
                        <c:v>11.58334106208301</c:v>
                      </c:pt>
                      <c:pt idx="4">
                        <c:v>13.9000092744996</c:v>
                      </c:pt>
                      <c:pt idx="5">
                        <c:v>15.05834338070791</c:v>
                      </c:pt>
                      <c:pt idx="6">
                        <c:v>16.2166774869162</c:v>
                      </c:pt>
                      <c:pt idx="7">
                        <c:v>18.53334569933281</c:v>
                      </c:pt>
                      <c:pt idx="8">
                        <c:v>20.85001391174941</c:v>
                      </c:pt>
                      <c:pt idx="9">
                        <c:v>23.16668212416601</c:v>
                      </c:pt>
                      <c:pt idx="10">
                        <c:v>25.48335033658261</c:v>
                      </c:pt>
                      <c:pt idx="11">
                        <c:v>27.80001854899921</c:v>
                      </c:pt>
                      <c:pt idx="12">
                        <c:v>30.11668676141581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'1_1.3'!$V$2:$V$14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620.5089976876256</c:v>
                      </c:pt>
                      <c:pt idx="1">
                        <c:v>1019.53778138722</c:v>
                      </c:pt>
                      <c:pt idx="2">
                        <c:v>1525.095706913752</c:v>
                      </c:pt>
                      <c:pt idx="3">
                        <c:v>2172.692488209534</c:v>
                      </c:pt>
                      <c:pt idx="4">
                        <c:v>2997.837839216878</c:v>
                      </c:pt>
                      <c:pt idx="5">
                        <c:v>3488.08801396936</c:v>
                      </c:pt>
                      <c:pt idx="6">
                        <c:v>4036.041473878098</c:v>
                      </c:pt>
                      <c:pt idx="7">
                        <c:v>5322.813106135507</c:v>
                      </c:pt>
                      <c:pt idx="8">
                        <c:v>6893.662449931414</c:v>
                      </c:pt>
                      <c:pt idx="9">
                        <c:v>8784.099219208139</c:v>
                      </c:pt>
                      <c:pt idx="10">
                        <c:v>11029.63312790798</c:v>
                      </c:pt>
                      <c:pt idx="11">
                        <c:v>13665.77388997326</c:v>
                      </c:pt>
                      <c:pt idx="12">
                        <c:v>16728.0312193463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0AE6-465F-AC27-C5648530196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Pn5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'1_1.3'!$R$2:$R$14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6.7385804541029</c:v>
                      </c:pt>
                      <c:pt idx="1">
                        <c:v>10.10787068115435</c:v>
                      </c:pt>
                      <c:pt idx="2">
                        <c:v>13.4771609082058</c:v>
                      </c:pt>
                      <c:pt idx="3">
                        <c:v>16.84645113525725</c:v>
                      </c:pt>
                      <c:pt idx="4">
                        <c:v>20.21574136230869</c:v>
                      </c:pt>
                      <c:pt idx="5">
                        <c:v>21.90038647583442</c:v>
                      </c:pt>
                      <c:pt idx="6">
                        <c:v>23.58503158936015</c:v>
                      </c:pt>
                      <c:pt idx="7">
                        <c:v>26.9543218164116</c:v>
                      </c:pt>
                      <c:pt idx="8">
                        <c:v>30.32361204346305</c:v>
                      </c:pt>
                      <c:pt idx="9">
                        <c:v>33.6929022705145</c:v>
                      </c:pt>
                      <c:pt idx="10">
                        <c:v>37.06219249756593</c:v>
                      </c:pt>
                      <c:pt idx="11">
                        <c:v>40.43148272461739</c:v>
                      </c:pt>
                      <c:pt idx="12">
                        <c:v>43.80077295166884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'1_1.3'!$W$2:$W$14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979.239751731487</c:v>
                      </c:pt>
                      <c:pt idx="1">
                        <c:v>1741.952855183036</c:v>
                      </c:pt>
                      <c:pt idx="2">
                        <c:v>2832.377831737554</c:v>
                      </c:pt>
                      <c:pt idx="3">
                        <c:v>4359.751972429363</c:v>
                      </c:pt>
                      <c:pt idx="4">
                        <c:v>6433.312568292778</c:v>
                      </c:pt>
                      <c:pt idx="5">
                        <c:v>7709.049440362069</c:v>
                      </c:pt>
                      <c:pt idx="6">
                        <c:v>9162.296910362136</c:v>
                      </c:pt>
                      <c:pt idx="7">
                        <c:v>12655.94228967175</c:v>
                      </c:pt>
                      <c:pt idx="8">
                        <c:v>17023.48599725595</c:v>
                      </c:pt>
                      <c:pt idx="9">
                        <c:v>22374.16532414905</c:v>
                      </c:pt>
                      <c:pt idx="10">
                        <c:v>28817.21756138534</c:v>
                      </c:pt>
                      <c:pt idx="11">
                        <c:v>36461.8799999992</c:v>
                      </c:pt>
                      <c:pt idx="12">
                        <c:v>45417.38993102493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0AE6-465F-AC27-C5648530196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Pn1max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'1_1.3'!$N$2:$N$14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1.506156455240447</c:v>
                      </c:pt>
                      <c:pt idx="1">
                        <c:v>2.259234682860672</c:v>
                      </c:pt>
                      <c:pt idx="2">
                        <c:v>3.012312910480895</c:v>
                      </c:pt>
                      <c:pt idx="3">
                        <c:v>3.765391138101118</c:v>
                      </c:pt>
                      <c:pt idx="4">
                        <c:v>4.518469365721343</c:v>
                      </c:pt>
                      <c:pt idx="5">
                        <c:v>4.895008479531453</c:v>
                      </c:pt>
                      <c:pt idx="6">
                        <c:v>5.271547593341566</c:v>
                      </c:pt>
                      <c:pt idx="7">
                        <c:v>6.02462582096179</c:v>
                      </c:pt>
                      <c:pt idx="8">
                        <c:v>6.777704048582014</c:v>
                      </c:pt>
                      <c:pt idx="9">
                        <c:v>7.530782276202237</c:v>
                      </c:pt>
                      <c:pt idx="10">
                        <c:v>8.283860503822461</c:v>
                      </c:pt>
                      <c:pt idx="11">
                        <c:v>9.036938731442687</c:v>
                      </c:pt>
                      <c:pt idx="12">
                        <c:v>9.790016959062906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'1_1.3'!$X$2:$X$14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4669.91569101158</c:v>
                      </c:pt>
                      <c:pt idx="1">
                        <c:v>7007.902957164083</c:v>
                      </c:pt>
                      <c:pt idx="2">
                        <c:v>9349.525528092635</c:v>
                      </c:pt>
                      <c:pt idx="3">
                        <c:v>11695.99517205593</c:v>
                      </c:pt>
                      <c:pt idx="4">
                        <c:v>14048.52365731265</c:v>
                      </c:pt>
                      <c:pt idx="5">
                        <c:v>15227.43864300687</c:v>
                      </c:pt>
                      <c:pt idx="6">
                        <c:v>16408.32275212146</c:v>
                      </c:pt>
                      <c:pt idx="7">
                        <c:v>18776.60422474108</c:v>
                      </c:pt>
                      <c:pt idx="8">
                        <c:v>21154.57984343017</c:v>
                      </c:pt>
                      <c:pt idx="9">
                        <c:v>23543.46137644741</c:v>
                      </c:pt>
                      <c:pt idx="10">
                        <c:v>25944.46059205151</c:v>
                      </c:pt>
                      <c:pt idx="11">
                        <c:v>28358.78925850113</c:v>
                      </c:pt>
                      <c:pt idx="12">
                        <c:v>30787.65914405495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0AE6-465F-AC27-C5648530196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Pn2max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'1_1.3'!$O$2:$O$14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2.190507124780941</c:v>
                      </c:pt>
                      <c:pt idx="1">
                        <c:v>3.285760687171412</c:v>
                      </c:pt>
                      <c:pt idx="2">
                        <c:v>4.381014249561883</c:v>
                      </c:pt>
                      <c:pt idx="3">
                        <c:v>5.476267811952355</c:v>
                      </c:pt>
                      <c:pt idx="4">
                        <c:v>6.571521374342825</c:v>
                      </c:pt>
                      <c:pt idx="5">
                        <c:v>7.11914815553806</c:v>
                      </c:pt>
                      <c:pt idx="6">
                        <c:v>7.666774936733295</c:v>
                      </c:pt>
                      <c:pt idx="7">
                        <c:v>8.762028499123765</c:v>
                      </c:pt>
                      <c:pt idx="8">
                        <c:v>9.85728206151424</c:v>
                      </c:pt>
                      <c:pt idx="9">
                        <c:v>10.95253562390471</c:v>
                      </c:pt>
                      <c:pt idx="10">
                        <c:v>12.04778918629518</c:v>
                      </c:pt>
                      <c:pt idx="11">
                        <c:v>13.14304274868565</c:v>
                      </c:pt>
                      <c:pt idx="12">
                        <c:v>14.23829631107612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'1_1.3'!$Y$2:$Y$14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6794.400684619712</c:v>
                      </c:pt>
                      <c:pt idx="1">
                        <c:v>10200.92032770985</c:v>
                      </c:pt>
                      <c:pt idx="2">
                        <c:v>13618.62313173633</c:v>
                      </c:pt>
                      <c:pt idx="3">
                        <c:v>17051.23681701126</c:v>
                      </c:pt>
                      <c:pt idx="4">
                        <c:v>20502.48910384675</c:v>
                      </c:pt>
                      <c:pt idx="5">
                        <c:v>22236.26963544724</c:v>
                      </c:pt>
                      <c:pt idx="6">
                        <c:v>23976.10771255491</c:v>
                      </c:pt>
                      <c:pt idx="7">
                        <c:v>27475.82036344786</c:v>
                      </c:pt>
                      <c:pt idx="8">
                        <c:v>31005.35477683773</c:v>
                      </c:pt>
                      <c:pt idx="9">
                        <c:v>34568.4386730366</c:v>
                      </c:pt>
                      <c:pt idx="10">
                        <c:v>38168.79977235659</c:v>
                      </c:pt>
                      <c:pt idx="11">
                        <c:v>41810.16579510982</c:v>
                      </c:pt>
                      <c:pt idx="12">
                        <c:v>45496.2644616084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0AE6-465F-AC27-C5648530196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Pn3max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'1_1.3'!$P$2:$P$14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3.185805463317587</c:v>
                      </c:pt>
                      <c:pt idx="1">
                        <c:v>4.77870819497638</c:v>
                      </c:pt>
                      <c:pt idx="2">
                        <c:v>6.371610926635173</c:v>
                      </c:pt>
                      <c:pt idx="3">
                        <c:v>7.964513658293968</c:v>
                      </c:pt>
                      <c:pt idx="4">
                        <c:v>9.55741638995276</c:v>
                      </c:pt>
                      <c:pt idx="5">
                        <c:v>10.35386775578216</c:v>
                      </c:pt>
                      <c:pt idx="6">
                        <c:v>11.15031912161155</c:v>
                      </c:pt>
                      <c:pt idx="7">
                        <c:v>12.74322185327035</c:v>
                      </c:pt>
                      <c:pt idx="8">
                        <c:v>14.33612458492914</c:v>
                      </c:pt>
                      <c:pt idx="9">
                        <c:v>15.92902731658794</c:v>
                      </c:pt>
                      <c:pt idx="10">
                        <c:v>17.52193004824673</c:v>
                      </c:pt>
                      <c:pt idx="11">
                        <c:v>19.11483277990552</c:v>
                      </c:pt>
                      <c:pt idx="12">
                        <c:v>20.70773551156432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'1_1.3'!$Z$2:$Z$14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9889.62643001066</c:v>
                      </c:pt>
                      <c:pt idx="1">
                        <c:v>14863.1082840601</c:v>
                      </c:pt>
                      <c:pt idx="2">
                        <c:v>19870.9925049625</c:v>
                      </c:pt>
                      <c:pt idx="3">
                        <c:v>24924.74654833547</c:v>
                      </c:pt>
                      <c:pt idx="4">
                        <c:v>30035.83786979667</c:v>
                      </c:pt>
                      <c:pt idx="5">
                        <c:v>32616.46858969088</c:v>
                      </c:pt>
                      <c:pt idx="6">
                        <c:v>35215.73392496376</c:v>
                      </c:pt>
                      <c:pt idx="7">
                        <c:v>40475.90216945437</c:v>
                      </c:pt>
                      <c:pt idx="8">
                        <c:v>45827.81005888616</c:v>
                      </c:pt>
                      <c:pt idx="9">
                        <c:v>51282.92504887677</c:v>
                      </c:pt>
                      <c:pt idx="10">
                        <c:v>56852.71459504386</c:v>
                      </c:pt>
                      <c:pt idx="11">
                        <c:v>62548.64615300502</c:v>
                      </c:pt>
                      <c:pt idx="12">
                        <c:v>68382.18717837797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0AE6-465F-AC27-C5648530196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Pn4max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'1_1.3'!$Q$2:$Q$14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4.633336424833202</c:v>
                      </c:pt>
                      <c:pt idx="1">
                        <c:v>6.950004637249802</c:v>
                      </c:pt>
                      <c:pt idx="2">
                        <c:v>9.266672849666404</c:v>
                      </c:pt>
                      <c:pt idx="3">
                        <c:v>11.58334106208301</c:v>
                      </c:pt>
                      <c:pt idx="4">
                        <c:v>13.9000092744996</c:v>
                      </c:pt>
                      <c:pt idx="5">
                        <c:v>15.05834338070791</c:v>
                      </c:pt>
                      <c:pt idx="6">
                        <c:v>16.2166774869162</c:v>
                      </c:pt>
                      <c:pt idx="7">
                        <c:v>18.53334569933281</c:v>
                      </c:pt>
                      <c:pt idx="8">
                        <c:v>20.85001391174941</c:v>
                      </c:pt>
                      <c:pt idx="9">
                        <c:v>23.16668212416601</c:v>
                      </c:pt>
                      <c:pt idx="10">
                        <c:v>25.48335033658261</c:v>
                      </c:pt>
                      <c:pt idx="11">
                        <c:v>27.80001854899921</c:v>
                      </c:pt>
                      <c:pt idx="12">
                        <c:v>30.11668676141581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'1_1.3'!$AA$2:$AA$14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14407.96392452847</c:v>
                      </c:pt>
                      <c:pt idx="1">
                        <c:v>21700.13821838702</c:v>
                      </c:pt>
                      <c:pt idx="2">
                        <c:v>29098.14331015878</c:v>
                      </c:pt>
                      <c:pt idx="3">
                        <c:v>36637.25613248146</c:v>
                      </c:pt>
                      <c:pt idx="4">
                        <c:v>44352.75361799277</c:v>
                      </c:pt>
                      <c:pt idx="5">
                        <c:v>48287.67065089347</c:v>
                      </c:pt>
                      <c:pt idx="6">
                        <c:v>52279.91269933048</c:v>
                      </c:pt>
                      <c:pt idx="7">
                        <c:v>60454.01030913232</c:v>
                      </c:pt>
                      <c:pt idx="8">
                        <c:v>68910.32338003598</c:v>
                      </c:pt>
                      <c:pt idx="9">
                        <c:v>77684.12884467924</c:v>
                      </c:pt>
                      <c:pt idx="10">
                        <c:v>86810.70363569979</c:v>
                      </c:pt>
                      <c:pt idx="11">
                        <c:v>96325.32468573536</c:v>
                      </c:pt>
                      <c:pt idx="12">
                        <c:v>106263.2689274237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0AE6-465F-AC27-C5648530196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Pn5max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'1_1.3'!$R$2:$R$14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6.7385804541029</c:v>
                      </c:pt>
                      <c:pt idx="1">
                        <c:v>10.10787068115435</c:v>
                      </c:pt>
                      <c:pt idx="2">
                        <c:v>13.4771609082058</c:v>
                      </c:pt>
                      <c:pt idx="3">
                        <c:v>16.84645113525725</c:v>
                      </c:pt>
                      <c:pt idx="4">
                        <c:v>20.21574136230869</c:v>
                      </c:pt>
                      <c:pt idx="5">
                        <c:v>21.90038647583442</c:v>
                      </c:pt>
                      <c:pt idx="6">
                        <c:v>23.58503158936015</c:v>
                      </c:pt>
                      <c:pt idx="7">
                        <c:v>26.9543218164116</c:v>
                      </c:pt>
                      <c:pt idx="8">
                        <c:v>30.32361204346305</c:v>
                      </c:pt>
                      <c:pt idx="9">
                        <c:v>33.6929022705145</c:v>
                      </c:pt>
                      <c:pt idx="10">
                        <c:v>37.06219249756593</c:v>
                      </c:pt>
                      <c:pt idx="11">
                        <c:v>40.43148272461739</c:v>
                      </c:pt>
                      <c:pt idx="12">
                        <c:v>43.80077295166884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'1_1.3'!$AB$2:$AB$14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21030.78217379536</c:v>
                      </c:pt>
                      <c:pt idx="1">
                        <c:v>31817.47624581468</c:v>
                      </c:pt>
                      <c:pt idx="2">
                        <c:v>42929.73389997997</c:v>
                      </c:pt>
                      <c:pt idx="3">
                        <c:v>54476.0763303399</c:v>
                      </c:pt>
                      <c:pt idx="4">
                        <c:v>66565.02473094307</c:v>
                      </c:pt>
                      <c:pt idx="5">
                        <c:v>72846.88904322611</c:v>
                      </c:pt>
                      <c:pt idx="6">
                        <c:v>79305.10029583824</c:v>
                      </c:pt>
                      <c:pt idx="7">
                        <c:v>92804.82421907395</c:v>
                      </c:pt>
                      <c:pt idx="8">
                        <c:v>107172.717694699</c:v>
                      </c:pt>
                      <c:pt idx="9">
                        <c:v>122517.3019167618</c:v>
                      </c:pt>
                      <c:pt idx="10">
                        <c:v>138947.0980793112</c:v>
                      </c:pt>
                      <c:pt idx="11">
                        <c:v>156570.6273763959</c:v>
                      </c:pt>
                      <c:pt idx="12">
                        <c:v>175496.4110020644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0AE6-465F-AC27-C56485301962}"/>
                  </c:ext>
                </c:extLst>
              </c15:ser>
            </c15:filteredScatterSeries>
          </c:ext>
        </c:extLst>
      </c:scatterChart>
      <c:valAx>
        <c:axId val="2200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8816"/>
        <c:crossesAt val="0.0"/>
        <c:crossBetween val="midCat"/>
      </c:valAx>
      <c:valAx>
        <c:axId val="220108816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'1_2.2'!$B$64:$B$104</c:f>
              <c:numCache>
                <c:formatCode>General</c:formatCode>
                <c:ptCount val="41"/>
                <c:pt idx="0">
                  <c:v>0.0</c:v>
                </c:pt>
                <c:pt idx="1">
                  <c:v>0.371525478562616</c:v>
                </c:pt>
                <c:pt idx="2">
                  <c:v>0.669229733524492</c:v>
                </c:pt>
                <c:pt idx="3">
                  <c:v>0.954286303482865</c:v>
                </c:pt>
                <c:pt idx="4">
                  <c:v>1.228754642340385</c:v>
                </c:pt>
                <c:pt idx="5">
                  <c:v>1.499693515432742</c:v>
                </c:pt>
                <c:pt idx="6">
                  <c:v>1.770755546355583</c:v>
                </c:pt>
                <c:pt idx="7">
                  <c:v>2.047015596525347</c:v>
                </c:pt>
                <c:pt idx="8">
                  <c:v>2.33871948934476</c:v>
                </c:pt>
                <c:pt idx="9">
                  <c:v>2.653382735051096</c:v>
                </c:pt>
                <c:pt idx="10">
                  <c:v>2.994064348285154</c:v>
                </c:pt>
                <c:pt idx="11">
                  <c:v>3.21152615908174</c:v>
                </c:pt>
                <c:pt idx="12">
                  <c:v>3.433593190955635</c:v>
                </c:pt>
                <c:pt idx="13">
                  <c:v>3.662340012951001</c:v>
                </c:pt>
                <c:pt idx="14">
                  <c:v>3.898805391272563</c:v>
                </c:pt>
                <c:pt idx="15">
                  <c:v>4.144312089926908</c:v>
                </c:pt>
                <c:pt idx="16">
                  <c:v>4.398885858640005</c:v>
                </c:pt>
                <c:pt idx="17">
                  <c:v>4.661620996656067</c:v>
                </c:pt>
                <c:pt idx="18">
                  <c:v>4.93279592306188</c:v>
                </c:pt>
                <c:pt idx="19">
                  <c:v>5.214897991124484</c:v>
                </c:pt>
                <c:pt idx="20">
                  <c:v>5.510298344195874</c:v>
                </c:pt>
                <c:pt idx="21">
                  <c:v>5.933037765829898</c:v>
                </c:pt>
                <c:pt idx="22">
                  <c:v>6.36872170477664</c:v>
                </c:pt>
                <c:pt idx="23">
                  <c:v>6.819451500276221</c:v>
                </c:pt>
                <c:pt idx="24">
                  <c:v>7.28787657093047</c:v>
                </c:pt>
                <c:pt idx="25">
                  <c:v>7.776444012444323</c:v>
                </c:pt>
                <c:pt idx="26">
                  <c:v>8.28413705680683</c:v>
                </c:pt>
                <c:pt idx="27">
                  <c:v>8.809464987355248</c:v>
                </c:pt>
                <c:pt idx="28">
                  <c:v>9.35522969647514</c:v>
                </c:pt>
                <c:pt idx="29">
                  <c:v>9.927172344531911</c:v>
                </c:pt>
                <c:pt idx="30">
                  <c:v>10.53025344014495</c:v>
                </c:pt>
                <c:pt idx="31">
                  <c:v>11.27092430139944</c:v>
                </c:pt>
                <c:pt idx="32">
                  <c:v>12.03685189299681</c:v>
                </c:pt>
                <c:pt idx="33">
                  <c:v>12.83131698387095</c:v>
                </c:pt>
                <c:pt idx="34">
                  <c:v>13.65802964659532</c:v>
                </c:pt>
                <c:pt idx="35">
                  <c:v>14.52274145315043</c:v>
                </c:pt>
                <c:pt idx="36">
                  <c:v>15.43063876864521</c:v>
                </c:pt>
                <c:pt idx="37">
                  <c:v>16.38509088034188</c:v>
                </c:pt>
                <c:pt idx="38">
                  <c:v>17.38598634986656</c:v>
                </c:pt>
                <c:pt idx="39">
                  <c:v>18.43412212369835</c:v>
                </c:pt>
                <c:pt idx="40">
                  <c:v>19.53418125765328</c:v>
                </c:pt>
              </c:numCache>
            </c:numRef>
          </c:xVal>
          <c:yVal>
            <c:numRef>
              <c:f>'1_2.2'!$A$64:$A$104</c:f>
              <c:numCache>
                <c:formatCode>General</c:formatCode>
                <c:ptCount val="41"/>
                <c:pt idx="0">
                  <c:v>1.506156455240447</c:v>
                </c:pt>
                <c:pt idx="1">
                  <c:v>2.297200809716402</c:v>
                </c:pt>
                <c:pt idx="2">
                  <c:v>3.088245164192358</c:v>
                </c:pt>
                <c:pt idx="3">
                  <c:v>3.879289518668313</c:v>
                </c:pt>
                <c:pt idx="4">
                  <c:v>4.67033387314427</c:v>
                </c:pt>
                <c:pt idx="5">
                  <c:v>5.461378227620224</c:v>
                </c:pt>
                <c:pt idx="6">
                  <c:v>6.252422582096178</c:v>
                </c:pt>
                <c:pt idx="7">
                  <c:v>7.043466936572134</c:v>
                </c:pt>
                <c:pt idx="8">
                  <c:v>7.83451129104809</c:v>
                </c:pt>
                <c:pt idx="9">
                  <c:v>8.625555645524045</c:v>
                </c:pt>
                <c:pt idx="10">
                  <c:v>9.4166</c:v>
                </c:pt>
                <c:pt idx="11">
                  <c:v>9.89876963110761</c:v>
                </c:pt>
                <c:pt idx="12">
                  <c:v>10.38093926221523</c:v>
                </c:pt>
                <c:pt idx="13">
                  <c:v>10.86310889332284</c:v>
                </c:pt>
                <c:pt idx="14">
                  <c:v>11.34527852443045</c:v>
                </c:pt>
                <c:pt idx="15">
                  <c:v>11.82744815553806</c:v>
                </c:pt>
                <c:pt idx="16">
                  <c:v>12.30961778664567</c:v>
                </c:pt>
                <c:pt idx="17">
                  <c:v>12.79178741775329</c:v>
                </c:pt>
                <c:pt idx="18">
                  <c:v>13.2739570488609</c:v>
                </c:pt>
                <c:pt idx="19">
                  <c:v>13.75612667996851</c:v>
                </c:pt>
                <c:pt idx="20">
                  <c:v>14.23829631107612</c:v>
                </c:pt>
                <c:pt idx="21">
                  <c:v>14.88524023112494</c:v>
                </c:pt>
                <c:pt idx="22">
                  <c:v>15.53218415117376</c:v>
                </c:pt>
                <c:pt idx="23">
                  <c:v>16.17912807122258</c:v>
                </c:pt>
                <c:pt idx="24">
                  <c:v>16.8260719912714</c:v>
                </c:pt>
                <c:pt idx="25">
                  <c:v>17.47301591132022</c:v>
                </c:pt>
                <c:pt idx="26">
                  <c:v>18.11995983136904</c:v>
                </c:pt>
                <c:pt idx="27">
                  <c:v>18.76690375141786</c:v>
                </c:pt>
                <c:pt idx="28">
                  <c:v>19.41384767146668</c:v>
                </c:pt>
                <c:pt idx="29">
                  <c:v>20.0607915915155</c:v>
                </c:pt>
                <c:pt idx="30">
                  <c:v>20.70773551156432</c:v>
                </c:pt>
                <c:pt idx="31">
                  <c:v>21.41476196040788</c:v>
                </c:pt>
                <c:pt idx="32">
                  <c:v>22.12178840925145</c:v>
                </c:pt>
                <c:pt idx="33">
                  <c:v>22.82881485809502</c:v>
                </c:pt>
                <c:pt idx="34">
                  <c:v>23.53584130693859</c:v>
                </c:pt>
                <c:pt idx="35">
                  <c:v>24.24286775578216</c:v>
                </c:pt>
                <c:pt idx="36">
                  <c:v>24.94989420462572</c:v>
                </c:pt>
                <c:pt idx="37">
                  <c:v>25.65692065346929</c:v>
                </c:pt>
                <c:pt idx="38">
                  <c:v>26.36394710231286</c:v>
                </c:pt>
                <c:pt idx="39">
                  <c:v>27.07097355115643</c:v>
                </c:pt>
                <c:pt idx="40">
                  <c:v>27.778</c:v>
                </c:pt>
              </c:numCache>
            </c:numRef>
          </c:yVal>
          <c:smooth val="0"/>
        </c:ser>
        <c:ser>
          <c:idx val="1"/>
          <c:order val="1"/>
          <c:tx>
            <c:v>V vs T (actual)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'1_2.2'!$E$64:$E$107</c:f>
              <c:numCache>
                <c:formatCode>General</c:formatCode>
                <c:ptCount val="44"/>
                <c:pt idx="0">
                  <c:v>0.0</c:v>
                </c:pt>
                <c:pt idx="1">
                  <c:v>0.371525478562616</c:v>
                </c:pt>
                <c:pt idx="2">
                  <c:v>0.669229733524492</c:v>
                </c:pt>
                <c:pt idx="3">
                  <c:v>0.954286303482865</c:v>
                </c:pt>
                <c:pt idx="4">
                  <c:v>1.228754642340385</c:v>
                </c:pt>
                <c:pt idx="5">
                  <c:v>1.499693515432742</c:v>
                </c:pt>
                <c:pt idx="6">
                  <c:v>1.770755546355583</c:v>
                </c:pt>
                <c:pt idx="7">
                  <c:v>2.047015596525347</c:v>
                </c:pt>
                <c:pt idx="8">
                  <c:v>2.33871948934476</c:v>
                </c:pt>
                <c:pt idx="9">
                  <c:v>2.653382735051096</c:v>
                </c:pt>
                <c:pt idx="10">
                  <c:v>2.994064348285154</c:v>
                </c:pt>
                <c:pt idx="11">
                  <c:v>3.994064348285154</c:v>
                </c:pt>
                <c:pt idx="12">
                  <c:v>4.21152615908174</c:v>
                </c:pt>
                <c:pt idx="13">
                  <c:v>4.433593190955635</c:v>
                </c:pt>
                <c:pt idx="14">
                  <c:v>4.662340012951001</c:v>
                </c:pt>
                <c:pt idx="15">
                  <c:v>4.898805391272562</c:v>
                </c:pt>
                <c:pt idx="16">
                  <c:v>5.144312089926907</c:v>
                </c:pt>
                <c:pt idx="17">
                  <c:v>5.398885858640004</c:v>
                </c:pt>
                <c:pt idx="18">
                  <c:v>5.661620996656066</c:v>
                </c:pt>
                <c:pt idx="19">
                  <c:v>5.93279592306188</c:v>
                </c:pt>
                <c:pt idx="20">
                  <c:v>6.214897991124483</c:v>
                </c:pt>
                <c:pt idx="21">
                  <c:v>6.510298344195873</c:v>
                </c:pt>
                <c:pt idx="22">
                  <c:v>7.510298344195873</c:v>
                </c:pt>
                <c:pt idx="23">
                  <c:v>7.933037765829897</c:v>
                </c:pt>
                <c:pt idx="24">
                  <c:v>8.36872170477664</c:v>
                </c:pt>
                <c:pt idx="25">
                  <c:v>8.81945150027622</c:v>
                </c:pt>
                <c:pt idx="26">
                  <c:v>9.287876570930468</c:v>
                </c:pt>
                <c:pt idx="27">
                  <c:v>9.77644401244432</c:v>
                </c:pt>
                <c:pt idx="28">
                  <c:v>10.28413705680683</c:v>
                </c:pt>
                <c:pt idx="29">
                  <c:v>10.80946498735525</c:v>
                </c:pt>
                <c:pt idx="30">
                  <c:v>11.35522969647514</c:v>
                </c:pt>
                <c:pt idx="31">
                  <c:v>11.92717234453191</c:v>
                </c:pt>
                <c:pt idx="32">
                  <c:v>12.53025344014495</c:v>
                </c:pt>
                <c:pt idx="33">
                  <c:v>13.53025344014495</c:v>
                </c:pt>
                <c:pt idx="34">
                  <c:v>14.27092430139944</c:v>
                </c:pt>
                <c:pt idx="35">
                  <c:v>15.03685189299681</c:v>
                </c:pt>
                <c:pt idx="36">
                  <c:v>15.83131698387095</c:v>
                </c:pt>
                <c:pt idx="37">
                  <c:v>16.65802964659532</c:v>
                </c:pt>
                <c:pt idx="38">
                  <c:v>17.52274145315044</c:v>
                </c:pt>
                <c:pt idx="39">
                  <c:v>18.43063876864522</c:v>
                </c:pt>
                <c:pt idx="40">
                  <c:v>19.38509088034189</c:v>
                </c:pt>
                <c:pt idx="41">
                  <c:v>20.38598634986657</c:v>
                </c:pt>
                <c:pt idx="42">
                  <c:v>21.43412212369835</c:v>
                </c:pt>
                <c:pt idx="43">
                  <c:v>22.53418125765329</c:v>
                </c:pt>
              </c:numCache>
            </c:numRef>
          </c:xVal>
          <c:yVal>
            <c:numRef>
              <c:f>'1_2.2'!$D$64:$D$107</c:f>
              <c:numCache>
                <c:formatCode>General</c:formatCode>
                <c:ptCount val="44"/>
                <c:pt idx="0">
                  <c:v>1.506156455240447</c:v>
                </c:pt>
                <c:pt idx="1">
                  <c:v>2.297200809716402</c:v>
                </c:pt>
                <c:pt idx="2">
                  <c:v>3.088245164192358</c:v>
                </c:pt>
                <c:pt idx="3">
                  <c:v>3.879289518668313</c:v>
                </c:pt>
                <c:pt idx="4">
                  <c:v>4.67033387314427</c:v>
                </c:pt>
                <c:pt idx="5">
                  <c:v>5.461378227620224</c:v>
                </c:pt>
                <c:pt idx="6">
                  <c:v>6.252422582096178</c:v>
                </c:pt>
                <c:pt idx="7">
                  <c:v>7.043466936572134</c:v>
                </c:pt>
                <c:pt idx="8">
                  <c:v>7.83451129104809</c:v>
                </c:pt>
                <c:pt idx="9">
                  <c:v>8.625555645524045</c:v>
                </c:pt>
                <c:pt idx="10">
                  <c:v>9.4166</c:v>
                </c:pt>
                <c:pt idx="11">
                  <c:v>9.4166</c:v>
                </c:pt>
                <c:pt idx="12">
                  <c:v>9.89876963110761</c:v>
                </c:pt>
                <c:pt idx="13">
                  <c:v>10.38093926221523</c:v>
                </c:pt>
                <c:pt idx="14">
                  <c:v>10.86310889332284</c:v>
                </c:pt>
                <c:pt idx="15">
                  <c:v>11.34527852443045</c:v>
                </c:pt>
                <c:pt idx="16">
                  <c:v>11.82744815553806</c:v>
                </c:pt>
                <c:pt idx="17">
                  <c:v>12.30961778664567</c:v>
                </c:pt>
                <c:pt idx="18">
                  <c:v>12.79178741775329</c:v>
                </c:pt>
                <c:pt idx="19">
                  <c:v>13.2739570488609</c:v>
                </c:pt>
                <c:pt idx="20">
                  <c:v>13.75612667996851</c:v>
                </c:pt>
                <c:pt idx="21">
                  <c:v>14.23829631107612</c:v>
                </c:pt>
                <c:pt idx="22">
                  <c:v>14.23829631107612</c:v>
                </c:pt>
                <c:pt idx="23">
                  <c:v>14.88524023112494</c:v>
                </c:pt>
                <c:pt idx="24">
                  <c:v>15.53218415117376</c:v>
                </c:pt>
                <c:pt idx="25">
                  <c:v>16.17912807122258</c:v>
                </c:pt>
                <c:pt idx="26">
                  <c:v>16.8260719912714</c:v>
                </c:pt>
                <c:pt idx="27">
                  <c:v>17.47301591132022</c:v>
                </c:pt>
                <c:pt idx="28">
                  <c:v>18.11995983136904</c:v>
                </c:pt>
                <c:pt idx="29">
                  <c:v>18.76690375141786</c:v>
                </c:pt>
                <c:pt idx="30">
                  <c:v>19.41384767146668</c:v>
                </c:pt>
                <c:pt idx="31">
                  <c:v>20.0607915915155</c:v>
                </c:pt>
                <c:pt idx="32">
                  <c:v>20.70773551156432</c:v>
                </c:pt>
                <c:pt idx="33">
                  <c:v>20.70773551156432</c:v>
                </c:pt>
                <c:pt idx="34">
                  <c:v>21.41476196040788</c:v>
                </c:pt>
                <c:pt idx="35">
                  <c:v>22.12178840925145</c:v>
                </c:pt>
                <c:pt idx="36">
                  <c:v>22.82881485809502</c:v>
                </c:pt>
                <c:pt idx="37">
                  <c:v>23.53584130693859</c:v>
                </c:pt>
                <c:pt idx="38">
                  <c:v>24.24286775578216</c:v>
                </c:pt>
                <c:pt idx="39">
                  <c:v>24.94989420462572</c:v>
                </c:pt>
                <c:pt idx="40">
                  <c:v>25.65692065346929</c:v>
                </c:pt>
                <c:pt idx="41">
                  <c:v>26.36394710231286</c:v>
                </c:pt>
                <c:pt idx="42">
                  <c:v>27.07097355115643</c:v>
                </c:pt>
                <c:pt idx="43">
                  <c:v>27.778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5152"/>
        <c:axId val="183747472"/>
      </c:scatterChart>
      <c:valAx>
        <c:axId val="1837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7472"/>
        <c:crosses val="autoZero"/>
        <c:crossBetween val="midCat"/>
      </c:valAx>
      <c:valAx>
        <c:axId val="1837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ECE-15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NEDC!$E$2</c:f>
              <c:strCache>
                <c:ptCount val="1"/>
                <c:pt idx="0">
                  <c:v>v [m/s]</c:v>
                </c:pt>
              </c:strCache>
            </c:strRef>
          </c:tx>
          <c:xVal>
            <c:numRef>
              <c:f>NEDC!$C$3:$C$17</c:f>
              <c:numCache>
                <c:formatCode>General</c:formatCode>
                <c:ptCount val="15"/>
                <c:pt idx="0">
                  <c:v>0.0</c:v>
                </c:pt>
                <c:pt idx="1">
                  <c:v>11.0</c:v>
                </c:pt>
                <c:pt idx="2">
                  <c:v>15.0</c:v>
                </c:pt>
                <c:pt idx="3">
                  <c:v>27.0</c:v>
                </c:pt>
                <c:pt idx="4">
                  <c:v>32.0</c:v>
                </c:pt>
                <c:pt idx="5">
                  <c:v>49.0</c:v>
                </c:pt>
                <c:pt idx="6">
                  <c:v>61.0</c:v>
                </c:pt>
                <c:pt idx="7">
                  <c:v>85.0</c:v>
                </c:pt>
                <c:pt idx="8">
                  <c:v>96.0</c:v>
                </c:pt>
                <c:pt idx="9">
                  <c:v>117.0</c:v>
                </c:pt>
                <c:pt idx="10">
                  <c:v>143.0</c:v>
                </c:pt>
                <c:pt idx="11">
                  <c:v>155.0</c:v>
                </c:pt>
                <c:pt idx="12">
                  <c:v>163.0</c:v>
                </c:pt>
                <c:pt idx="13">
                  <c:v>176.0</c:v>
                </c:pt>
                <c:pt idx="14">
                  <c:v>188.0</c:v>
                </c:pt>
              </c:numCache>
            </c:numRef>
          </c:xVal>
          <c:yVal>
            <c:numRef>
              <c:f>NEDC!$E$3:$E$17</c:f>
              <c:numCache>
                <c:formatCode>0.00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0.0</c:v>
                </c:pt>
                <c:pt idx="5">
                  <c:v>0.0</c:v>
                </c:pt>
                <c:pt idx="6">
                  <c:v>8.88888888888889</c:v>
                </c:pt>
                <c:pt idx="7">
                  <c:v>8.88888888888889</c:v>
                </c:pt>
                <c:pt idx="8">
                  <c:v>0.0</c:v>
                </c:pt>
                <c:pt idx="9">
                  <c:v>0.0</c:v>
                </c:pt>
                <c:pt idx="10">
                  <c:v>13.88888888888889</c:v>
                </c:pt>
                <c:pt idx="11">
                  <c:v>13.88888888888889</c:v>
                </c:pt>
                <c:pt idx="12">
                  <c:v>8.88888888888889</c:v>
                </c:pt>
                <c:pt idx="13">
                  <c:v>8.88888888888889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81968"/>
        <c:axId val="251684288"/>
      </c:scatterChart>
      <c:valAx>
        <c:axId val="2516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684288"/>
        <c:crosses val="autoZero"/>
        <c:crossBetween val="midCat"/>
      </c:valAx>
      <c:valAx>
        <c:axId val="251684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68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5852488136"/>
          <c:y val="0.183003201029423"/>
          <c:w val="0.743284463179476"/>
          <c:h val="0.739050600017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NEDC!$V$2</c:f>
              <c:strCache>
                <c:ptCount val="1"/>
                <c:pt idx="0">
                  <c:v>v [m/s]</c:v>
                </c:pt>
              </c:strCache>
            </c:strRef>
          </c:tx>
          <c:xVal>
            <c:numRef>
              <c:f>NEDC!$T$3:$T$16</c:f>
              <c:numCache>
                <c:formatCode>General</c:formatCode>
                <c:ptCount val="14"/>
                <c:pt idx="0">
                  <c:v>0.0</c:v>
                </c:pt>
                <c:pt idx="1">
                  <c:v>20.0</c:v>
                </c:pt>
                <c:pt idx="2">
                  <c:v>61.0</c:v>
                </c:pt>
                <c:pt idx="3">
                  <c:v>111.0</c:v>
                </c:pt>
                <c:pt idx="4">
                  <c:v>119.0</c:v>
                </c:pt>
                <c:pt idx="5">
                  <c:v>188.0</c:v>
                </c:pt>
                <c:pt idx="6">
                  <c:v>201.0</c:v>
                </c:pt>
                <c:pt idx="7">
                  <c:v>251.0</c:v>
                </c:pt>
                <c:pt idx="8">
                  <c:v>286.0</c:v>
                </c:pt>
                <c:pt idx="9">
                  <c:v>316.0</c:v>
                </c:pt>
                <c:pt idx="10">
                  <c:v>336.0</c:v>
                </c:pt>
                <c:pt idx="11">
                  <c:v>346.0</c:v>
                </c:pt>
                <c:pt idx="12">
                  <c:v>380.0</c:v>
                </c:pt>
                <c:pt idx="13">
                  <c:v>400.0</c:v>
                </c:pt>
              </c:numCache>
            </c:numRef>
          </c:xVal>
          <c:yVal>
            <c:numRef>
              <c:f>NEDC!$V$3:$V$16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19.44444444444444</c:v>
                </c:pt>
                <c:pt idx="3">
                  <c:v>19.44444444444444</c:v>
                </c:pt>
                <c:pt idx="4">
                  <c:v>13.88888888888889</c:v>
                </c:pt>
                <c:pt idx="5">
                  <c:v>13.88888888888889</c:v>
                </c:pt>
                <c:pt idx="6">
                  <c:v>19.44444444444444</c:v>
                </c:pt>
                <c:pt idx="7">
                  <c:v>19.44444444444444</c:v>
                </c:pt>
                <c:pt idx="8">
                  <c:v>27.77777777777778</c:v>
                </c:pt>
                <c:pt idx="9">
                  <c:v>27.77777777777778</c:v>
                </c:pt>
                <c:pt idx="10">
                  <c:v>33.33333333333334</c:v>
                </c:pt>
                <c:pt idx="11">
                  <c:v>33.33333333333334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3872"/>
        <c:axId val="251706192"/>
      </c:scatterChart>
      <c:valAx>
        <c:axId val="251703872"/>
        <c:scaling>
          <c:orientation val="minMax"/>
          <c:max val="4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51706192"/>
        <c:crosses val="autoZero"/>
        <c:crossBetween val="midCat"/>
      </c:valAx>
      <c:valAx>
        <c:axId val="25170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70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Pnorm vs Vnorm </a:t>
            </a:r>
            <a:r>
              <a:rPr lang="en-US" sz="1800" b="1" i="0" u="sng" strike="noStrike" baseline="0"/>
              <a:t>tan</a:t>
            </a:r>
            <a:r>
              <a:rPr lang="el-GR" sz="1800" b="1" i="0" u="sng" strike="noStrike" baseline="0"/>
              <a:t>α</a:t>
            </a:r>
            <a:r>
              <a:rPr lang="it-IT" sz="1800" b="1" i="0" u="sng" strike="noStrike" baseline="0"/>
              <a:t>=0.3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'!$K$11:$K$25</c:f>
              <c:numCache>
                <c:formatCode>0.00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'!$L$11:$L$25</c:f>
              <c:numCache>
                <c:formatCode>0.00</c:formatCode>
                <c:ptCount val="15"/>
                <c:pt idx="0">
                  <c:v>0.0887123943916023</c:v>
                </c:pt>
                <c:pt idx="1">
                  <c:v>0.192772521176395</c:v>
                </c:pt>
                <c:pt idx="2">
                  <c:v>0.32752811274757</c:v>
                </c:pt>
                <c:pt idx="3">
                  <c:v>0.508326901498316</c:v>
                </c:pt>
                <c:pt idx="4">
                  <c:v>0.750516619821825</c:v>
                </c:pt>
                <c:pt idx="5">
                  <c:v>1.069445000111288</c:v>
                </c:pt>
                <c:pt idx="6">
                  <c:v>1.480459774759894</c:v>
                </c:pt>
                <c:pt idx="7">
                  <c:v>1.998908676160836</c:v>
                </c:pt>
                <c:pt idx="8">
                  <c:v>2.640139436707303</c:v>
                </c:pt>
                <c:pt idx="9">
                  <c:v>3.419499788792486</c:v>
                </c:pt>
                <c:pt idx="10">
                  <c:v>4.352337464809574</c:v>
                </c:pt>
                <c:pt idx="11">
                  <c:v>5.454000197151764</c:v>
                </c:pt>
                <c:pt idx="12">
                  <c:v>6.739835718212237</c:v>
                </c:pt>
                <c:pt idx="13">
                  <c:v>8.225191760384194</c:v>
                </c:pt>
                <c:pt idx="14">
                  <c:v>9.925416056060818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0672"/>
        <c:axId val="181594480"/>
      </c:scatterChart>
      <c:valAx>
        <c:axId val="209080672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94480"/>
        <c:crosses val="autoZero"/>
        <c:crossBetween val="midCat"/>
      </c:valAx>
      <c:valAx>
        <c:axId val="181594480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9080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86475864313"/>
          <c:y val="0.187100462972197"/>
          <c:w val="0.775924787543928"/>
          <c:h val="0.643804986914938"/>
        </c:manualLayout>
      </c:layout>
      <c:lineChart>
        <c:grouping val="standard"/>
        <c:varyColors val="0"/>
        <c:ser>
          <c:idx val="0"/>
          <c:order val="0"/>
          <c:tx>
            <c:strRef>
              <c:f>'1_1.1 '!$M$9</c:f>
              <c:strCache>
                <c:ptCount val="1"/>
                <c:pt idx="0">
                  <c:v>R [N]</c:v>
                </c:pt>
              </c:strCache>
            </c:strRef>
          </c:tx>
          <c:marker>
            <c:symbol val="none"/>
          </c:marker>
          <c:cat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cat>
          <c:val>
            <c:numRef>
              <c:f>'1_1.1 '!$M$10:$M$25</c:f>
              <c:numCache>
                <c:formatCode>0.00</c:formatCode>
                <c:ptCount val="16"/>
                <c:pt idx="0">
                  <c:v>1069.937719169575</c:v>
                </c:pt>
                <c:pt idx="1">
                  <c:v>1073.608164962744</c:v>
                </c:pt>
                <c:pt idx="2">
                  <c:v>1084.61950234225</c:v>
                </c:pt>
                <c:pt idx="3">
                  <c:v>1102.971731308091</c:v>
                </c:pt>
                <c:pt idx="4">
                  <c:v>1128.664851860271</c:v>
                </c:pt>
                <c:pt idx="5">
                  <c:v>1161.698863998787</c:v>
                </c:pt>
                <c:pt idx="6">
                  <c:v>1202.073767723641</c:v>
                </c:pt>
                <c:pt idx="7">
                  <c:v>1249.789563034831</c:v>
                </c:pt>
                <c:pt idx="8">
                  <c:v>1304.846249932359</c:v>
                </c:pt>
                <c:pt idx="9">
                  <c:v>1367.243828416223</c:v>
                </c:pt>
                <c:pt idx="10">
                  <c:v>1436.982298486424</c:v>
                </c:pt>
                <c:pt idx="11">
                  <c:v>1514.061660142962</c:v>
                </c:pt>
                <c:pt idx="12">
                  <c:v>1598.481913385838</c:v>
                </c:pt>
                <c:pt idx="13">
                  <c:v>1690.24305821505</c:v>
                </c:pt>
                <c:pt idx="14">
                  <c:v>1789.345094630599</c:v>
                </c:pt>
                <c:pt idx="15">
                  <c:v>1895.788022632486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4-4242-BF75-76910419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08480"/>
        <c:axId val="182010800"/>
      </c:lineChart>
      <c:catAx>
        <c:axId val="182008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010800"/>
        <c:crosses val="autoZero"/>
        <c:auto val="1"/>
        <c:lblAlgn val="ctr"/>
        <c:lblOffset val="100"/>
        <c:noMultiLvlLbl val="0"/>
      </c:catAx>
      <c:valAx>
        <c:axId val="182010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00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u="sng"/>
            </a:pPr>
            <a:r>
              <a:rPr lang="en-GB" u="sng"/>
              <a:t>Pnom</a:t>
            </a:r>
            <a:r>
              <a:rPr lang="en-GB" u="sng" baseline="0"/>
              <a:t> VS Vnorm </a:t>
            </a:r>
            <a:r>
              <a:rPr lang="en-US" sz="1800" b="1" i="0" u="sng" strike="noStrike" baseline="0"/>
              <a:t>tan</a:t>
            </a:r>
            <a:r>
              <a:rPr lang="el-GR" sz="1800" b="1" i="0" u="sng" strike="noStrike" baseline="0"/>
              <a:t>α</a:t>
            </a:r>
            <a:r>
              <a:rPr lang="it-IT" sz="1800" b="1" i="0" u="sng" strike="noStrike" baseline="0"/>
              <a:t>=0.4</a:t>
            </a:r>
            <a:endParaRPr lang="en-GB" u="sng"/>
          </a:p>
        </c:rich>
      </c:tx>
      <c:layout>
        <c:manualLayout>
          <c:xMode val="edge"/>
          <c:yMode val="edge"/>
          <c:x val="0.235239742620938"/>
          <c:y val="0.03312479720383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5649908493872"/>
          <c:y val="0.198308540977432"/>
          <c:w val="0.886852140724896"/>
          <c:h val="0.74936607396329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'!$Q$11:$Q$25</c:f>
              <c:numCache>
                <c:formatCode>0.00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'!$R$11:$R$25</c:f>
              <c:numCache>
                <c:formatCode>0.00</c:formatCode>
                <c:ptCount val="15"/>
                <c:pt idx="0">
                  <c:v>0.02938579672061</c:v>
                </c:pt>
                <c:pt idx="1">
                  <c:v>0.0593743774594795</c:v>
                </c:pt>
                <c:pt idx="2">
                  <c:v>0.0905685262348678</c:v>
                </c:pt>
                <c:pt idx="3">
                  <c:v>0.123571027065035</c:v>
                </c:pt>
                <c:pt idx="4">
                  <c:v>0.158984663968239</c:v>
                </c:pt>
                <c:pt idx="5">
                  <c:v>0.197412220962741</c:v>
                </c:pt>
                <c:pt idx="6">
                  <c:v>0.2394564820668</c:v>
                </c:pt>
                <c:pt idx="7">
                  <c:v>0.285720231298675</c:v>
                </c:pt>
                <c:pt idx="8">
                  <c:v>0.336806252676625</c:v>
                </c:pt>
                <c:pt idx="9">
                  <c:v>0.393317330218911</c:v>
                </c:pt>
                <c:pt idx="10">
                  <c:v>0.455856247943791</c:v>
                </c:pt>
                <c:pt idx="11">
                  <c:v>0.525025789869525</c:v>
                </c:pt>
                <c:pt idx="12">
                  <c:v>0.601428740014372</c:v>
                </c:pt>
                <c:pt idx="13">
                  <c:v>0.685667882396593</c:v>
                </c:pt>
                <c:pt idx="14">
                  <c:v>0.778346001034446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DF-4CCD-9D8F-0F934B877CD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1760"/>
        <c:axId val="181671856"/>
      </c:scatterChart>
      <c:valAx>
        <c:axId val="181571760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671856"/>
        <c:crosses val="autoZero"/>
        <c:crossBetween val="midCat"/>
      </c:valAx>
      <c:valAx>
        <c:axId val="181671856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7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566472987082"/>
          <c:y val="0.197251796783295"/>
          <c:w val="0.597103025781805"/>
          <c:h val="0.6812612835245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marker>
            <c:symbol val="none"/>
          </c:marker>
          <c:xVal>
            <c:numRef>
              <c:f>'1_1.1 '!$F$11:$F$25</c:f>
              <c:numCache>
                <c:formatCode>0.00</c:formatCode>
                <c:ptCount val="15"/>
                <c:pt idx="0">
                  <c:v>2.777777777777777</c:v>
                </c:pt>
                <c:pt idx="1">
                  <c:v>5.555555555555555</c:v>
                </c:pt>
                <c:pt idx="2">
                  <c:v>8.333333333333333</c:v>
                </c:pt>
                <c:pt idx="3">
                  <c:v>11.11111111111111</c:v>
                </c:pt>
                <c:pt idx="4">
                  <c:v>13.88888888888889</c:v>
                </c:pt>
                <c:pt idx="5">
                  <c:v>16.66666666666667</c:v>
                </c:pt>
                <c:pt idx="6">
                  <c:v>19.44444444444444</c:v>
                </c:pt>
                <c:pt idx="7">
                  <c:v>22.22222222222222</c:v>
                </c:pt>
                <c:pt idx="8">
                  <c:v>25.0</c:v>
                </c:pt>
                <c:pt idx="9">
                  <c:v>27.77777777777778</c:v>
                </c:pt>
                <c:pt idx="10">
                  <c:v>30.55555555555555</c:v>
                </c:pt>
                <c:pt idx="11">
                  <c:v>33.33333333333334</c:v>
                </c:pt>
                <c:pt idx="12">
                  <c:v>36.11111111111111</c:v>
                </c:pt>
                <c:pt idx="13">
                  <c:v>38.88888888888889</c:v>
                </c:pt>
                <c:pt idx="14">
                  <c:v>41.66666666666666</c:v>
                </c:pt>
              </c:numCache>
            </c:numRef>
          </c:xVal>
          <c:yVal>
            <c:numRef>
              <c:f>'1_1.1 '!$H$11:$H$25</c:f>
              <c:numCache>
                <c:formatCode>0.00</c:formatCode>
                <c:ptCount val="15"/>
                <c:pt idx="0">
                  <c:v>353.8247720979081</c:v>
                </c:pt>
                <c:pt idx="1">
                  <c:v>768.8631767832647</c:v>
                </c:pt>
                <c:pt idx="2">
                  <c:v>1306.328846643519</c:v>
                </c:pt>
                <c:pt idx="3">
                  <c:v>2027.435414266118</c:v>
                </c:pt>
                <c:pt idx="4">
                  <c:v>2993.396512238512</c:v>
                </c:pt>
                <c:pt idx="5">
                  <c:v>4265.425773148148</c:v>
                </c:pt>
                <c:pt idx="6">
                  <c:v>5904.736829582475</c:v>
                </c:pt>
                <c:pt idx="7">
                  <c:v>7972.543314128943</c:v>
                </c:pt>
                <c:pt idx="8">
                  <c:v>10530.058859375</c:v>
                </c:pt>
                <c:pt idx="9">
                  <c:v>13638.49709790809</c:v>
                </c:pt>
                <c:pt idx="10">
                  <c:v>17359.07166231567</c:v>
                </c:pt>
                <c:pt idx="11">
                  <c:v>21752.99618518519</c:v>
                </c:pt>
                <c:pt idx="12">
                  <c:v>26881.48429910407</c:v>
                </c:pt>
                <c:pt idx="13">
                  <c:v>32805.74963665981</c:v>
                </c:pt>
                <c:pt idx="14">
                  <c:v>39587.00583043981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8-43FB-818D-35F5FEEFCCC2}"/>
            </c:ext>
          </c:extLst>
        </c:ser>
        <c:ser>
          <c:idx val="1"/>
          <c:order val="1"/>
          <c:tx>
            <c:strRef>
              <c:f>'1_1.1 '!$I$9</c:f>
              <c:strCache>
                <c:ptCount val="1"/>
                <c:pt idx="0">
                  <c:v>AV</c:v>
                </c:pt>
              </c:strCache>
            </c:strRef>
          </c:tx>
          <c:marker>
            <c:symbol val="none"/>
          </c:marker>
          <c:xVal>
            <c:numRef>
              <c:f>'1_1.1 '!$F$11:$F$25</c:f>
              <c:numCache>
                <c:formatCode>0.00</c:formatCode>
                <c:ptCount val="15"/>
                <c:pt idx="0">
                  <c:v>2.777777777777777</c:v>
                </c:pt>
                <c:pt idx="1">
                  <c:v>5.555555555555555</c:v>
                </c:pt>
                <c:pt idx="2">
                  <c:v>8.333333333333333</c:v>
                </c:pt>
                <c:pt idx="3">
                  <c:v>11.11111111111111</c:v>
                </c:pt>
                <c:pt idx="4">
                  <c:v>13.88888888888889</c:v>
                </c:pt>
                <c:pt idx="5">
                  <c:v>16.66666666666667</c:v>
                </c:pt>
                <c:pt idx="6">
                  <c:v>19.44444444444444</c:v>
                </c:pt>
                <c:pt idx="7">
                  <c:v>22.22222222222222</c:v>
                </c:pt>
                <c:pt idx="8">
                  <c:v>25.0</c:v>
                </c:pt>
                <c:pt idx="9">
                  <c:v>27.77777777777778</c:v>
                </c:pt>
                <c:pt idx="10">
                  <c:v>30.55555555555555</c:v>
                </c:pt>
                <c:pt idx="11">
                  <c:v>33.33333333333334</c:v>
                </c:pt>
                <c:pt idx="12">
                  <c:v>36.11111111111111</c:v>
                </c:pt>
                <c:pt idx="13">
                  <c:v>38.88888888888889</c:v>
                </c:pt>
                <c:pt idx="14">
                  <c:v>41.66666666666666</c:v>
                </c:pt>
              </c:numCache>
            </c:numRef>
          </c:xVal>
          <c:yVal>
            <c:numRef>
              <c:f>'1_1.1 '!$I$11:$I$25</c:f>
              <c:numCache>
                <c:formatCode>0.00</c:formatCode>
                <c:ptCount val="15"/>
                <c:pt idx="0">
                  <c:v>343.6225</c:v>
                </c:pt>
                <c:pt idx="1">
                  <c:v>687.245</c:v>
                </c:pt>
                <c:pt idx="2">
                  <c:v>1030.8675</c:v>
                </c:pt>
                <c:pt idx="3">
                  <c:v>1374.49</c:v>
                </c:pt>
                <c:pt idx="4">
                  <c:v>1718.1125</c:v>
                </c:pt>
                <c:pt idx="5">
                  <c:v>2061.735</c:v>
                </c:pt>
                <c:pt idx="6">
                  <c:v>2405.3575</c:v>
                </c:pt>
                <c:pt idx="7">
                  <c:v>2748.98</c:v>
                </c:pt>
                <c:pt idx="8">
                  <c:v>3092.6025</c:v>
                </c:pt>
                <c:pt idx="9">
                  <c:v>3436.225</c:v>
                </c:pt>
                <c:pt idx="10">
                  <c:v>3779.8475</c:v>
                </c:pt>
                <c:pt idx="11">
                  <c:v>4123.47</c:v>
                </c:pt>
                <c:pt idx="12">
                  <c:v>4467.0925</c:v>
                </c:pt>
                <c:pt idx="13">
                  <c:v>4810.715</c:v>
                </c:pt>
                <c:pt idx="14">
                  <c:v>5154.3375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8-43FB-818D-35F5FEEFCCC2}"/>
            </c:ext>
          </c:extLst>
        </c:ser>
        <c:ser>
          <c:idx val="2"/>
          <c:order val="2"/>
          <c:tx>
            <c:strRef>
              <c:f>'1_1.1 '!$J$9</c:f>
              <c:strCache>
                <c:ptCount val="1"/>
                <c:pt idx="0">
                  <c:v>BV^3</c:v>
                </c:pt>
              </c:strCache>
            </c:strRef>
          </c:tx>
          <c:marker>
            <c:symbol val="none"/>
          </c:marker>
          <c:xVal>
            <c:numRef>
              <c:f>'1_1.1 '!$F$11:$F$25</c:f>
              <c:numCache>
                <c:formatCode>0.00</c:formatCode>
                <c:ptCount val="15"/>
                <c:pt idx="0">
                  <c:v>2.777777777777777</c:v>
                </c:pt>
                <c:pt idx="1">
                  <c:v>5.555555555555555</c:v>
                </c:pt>
                <c:pt idx="2">
                  <c:v>8.333333333333333</c:v>
                </c:pt>
                <c:pt idx="3">
                  <c:v>11.11111111111111</c:v>
                </c:pt>
                <c:pt idx="4">
                  <c:v>13.88888888888889</c:v>
                </c:pt>
                <c:pt idx="5">
                  <c:v>16.66666666666667</c:v>
                </c:pt>
                <c:pt idx="6">
                  <c:v>19.44444444444444</c:v>
                </c:pt>
                <c:pt idx="7">
                  <c:v>22.22222222222222</c:v>
                </c:pt>
                <c:pt idx="8">
                  <c:v>25.0</c:v>
                </c:pt>
                <c:pt idx="9">
                  <c:v>27.77777777777778</c:v>
                </c:pt>
                <c:pt idx="10">
                  <c:v>30.55555555555555</c:v>
                </c:pt>
                <c:pt idx="11">
                  <c:v>33.33333333333334</c:v>
                </c:pt>
                <c:pt idx="12">
                  <c:v>36.11111111111111</c:v>
                </c:pt>
                <c:pt idx="13">
                  <c:v>38.88888888888889</c:v>
                </c:pt>
                <c:pt idx="14">
                  <c:v>41.66666666666666</c:v>
                </c:pt>
              </c:numCache>
            </c:numRef>
          </c:xVal>
          <c:yVal>
            <c:numRef>
              <c:f>'1_1.1 '!$J$11:$J$25</c:f>
              <c:numCache>
                <c:formatCode>0.00</c:formatCode>
                <c:ptCount val="15"/>
                <c:pt idx="0">
                  <c:v>10.20227209790809</c:v>
                </c:pt>
                <c:pt idx="1">
                  <c:v>81.61817678326474</c:v>
                </c:pt>
                <c:pt idx="2">
                  <c:v>275.4613466435185</c:v>
                </c:pt>
                <c:pt idx="3">
                  <c:v>652.945414266118</c:v>
                </c:pt>
                <c:pt idx="4">
                  <c:v>1275.284012238512</c:v>
                </c:pt>
                <c:pt idx="5">
                  <c:v>2203.690773148148</c:v>
                </c:pt>
                <c:pt idx="6">
                  <c:v>3499.379329582475</c:v>
                </c:pt>
                <c:pt idx="7">
                  <c:v>5223.563314128944</c:v>
                </c:pt>
                <c:pt idx="8">
                  <c:v>7437.456359375</c:v>
                </c:pt>
                <c:pt idx="9">
                  <c:v>10202.27209790809</c:v>
                </c:pt>
                <c:pt idx="10">
                  <c:v>13579.22416231567</c:v>
                </c:pt>
                <c:pt idx="11">
                  <c:v>17629.52618518519</c:v>
                </c:pt>
                <c:pt idx="12">
                  <c:v>22414.39179910407</c:v>
                </c:pt>
                <c:pt idx="13">
                  <c:v>27995.0346366598</c:v>
                </c:pt>
                <c:pt idx="14">
                  <c:v>34432.6683304398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08-43FB-818D-35F5FEEF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7248"/>
        <c:axId val="182248464"/>
      </c:scatterChart>
      <c:valAx>
        <c:axId val="181747248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2248464"/>
        <c:crosses val="autoZero"/>
        <c:crossBetween val="midCat"/>
      </c:valAx>
      <c:valAx>
        <c:axId val="182248464"/>
        <c:scaling>
          <c:logBase val="10.0"/>
          <c:orientation val="minMax"/>
          <c:max val="10000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174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7407502781901"/>
          <c:y val="0.378160261183344"/>
          <c:w val="0.12277194345992"/>
          <c:h val="0.43280791186971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138998806214"/>
          <c:y val="0.166905751240061"/>
          <c:w val="0.704305089450441"/>
          <c:h val="0.690813806176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'1_1.1 '!$O$9</c:f>
              <c:strCache>
                <c:ptCount val="1"/>
                <c:pt idx="0">
                  <c:v>AV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'!$O$10:$O$25</c:f>
              <c:numCache>
                <c:formatCode>0.00</c:formatCode>
                <c:ptCount val="16"/>
                <c:pt idx="0">
                  <c:v>0.0</c:v>
                </c:pt>
                <c:pt idx="1">
                  <c:v>2972.049219915486</c:v>
                </c:pt>
                <c:pt idx="2">
                  <c:v>5944.098439830972</c:v>
                </c:pt>
                <c:pt idx="3">
                  <c:v>8916.147659746459</c:v>
                </c:pt>
                <c:pt idx="4">
                  <c:v>11888.19687966194</c:v>
                </c:pt>
                <c:pt idx="5">
                  <c:v>14860.24609957743</c:v>
                </c:pt>
                <c:pt idx="6">
                  <c:v>17832.29531949292</c:v>
                </c:pt>
                <c:pt idx="7">
                  <c:v>20804.3445394084</c:v>
                </c:pt>
                <c:pt idx="8">
                  <c:v>23776.39375932389</c:v>
                </c:pt>
                <c:pt idx="9">
                  <c:v>26748.44297923938</c:v>
                </c:pt>
                <c:pt idx="10">
                  <c:v>29720.49219915486</c:v>
                </c:pt>
                <c:pt idx="11">
                  <c:v>32692.54141907035</c:v>
                </c:pt>
                <c:pt idx="12">
                  <c:v>35664.59063898584</c:v>
                </c:pt>
                <c:pt idx="13">
                  <c:v>38636.63985890132</c:v>
                </c:pt>
                <c:pt idx="14">
                  <c:v>41608.6890788168</c:v>
                </c:pt>
                <c:pt idx="15">
                  <c:v>44580.73829873229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78-4C03-8994-619CEB14795C}"/>
            </c:ext>
          </c:extLst>
        </c:ser>
        <c:ser>
          <c:idx val="1"/>
          <c:order val="1"/>
          <c:tx>
            <c:strRef>
              <c:f>'1_1.1 '!$J$9</c:f>
              <c:strCache>
                <c:ptCount val="1"/>
                <c:pt idx="0">
                  <c:v>BV^3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'!$J$10:$J$25</c:f>
              <c:numCache>
                <c:formatCode>0.00</c:formatCode>
                <c:ptCount val="16"/>
                <c:pt idx="0">
                  <c:v>0.0</c:v>
                </c:pt>
                <c:pt idx="1">
                  <c:v>10.20227209790809</c:v>
                </c:pt>
                <c:pt idx="2">
                  <c:v>81.61817678326474</c:v>
                </c:pt>
                <c:pt idx="3">
                  <c:v>275.4613466435185</c:v>
                </c:pt>
                <c:pt idx="4">
                  <c:v>652.945414266118</c:v>
                </c:pt>
                <c:pt idx="5">
                  <c:v>1275.284012238512</c:v>
                </c:pt>
                <c:pt idx="6">
                  <c:v>2203.690773148148</c:v>
                </c:pt>
                <c:pt idx="7">
                  <c:v>3499.379329582475</c:v>
                </c:pt>
                <c:pt idx="8">
                  <c:v>5223.563314128944</c:v>
                </c:pt>
                <c:pt idx="9">
                  <c:v>7437.456359375</c:v>
                </c:pt>
                <c:pt idx="10">
                  <c:v>10202.27209790809</c:v>
                </c:pt>
                <c:pt idx="11">
                  <c:v>13579.22416231567</c:v>
                </c:pt>
                <c:pt idx="12">
                  <c:v>17629.52618518519</c:v>
                </c:pt>
                <c:pt idx="13">
                  <c:v>22414.39179910407</c:v>
                </c:pt>
                <c:pt idx="14">
                  <c:v>27995.0346366598</c:v>
                </c:pt>
                <c:pt idx="15">
                  <c:v>34432.6683304398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78-4C03-8994-619CEB14795C}"/>
            </c:ext>
          </c:extLst>
        </c:ser>
        <c:ser>
          <c:idx val="2"/>
          <c:order val="2"/>
          <c:tx>
            <c:strRef>
              <c:f>'1_1.1 '!$N$9</c:f>
              <c:strCache>
                <c:ptCount val="1"/>
                <c:pt idx="0">
                  <c:v>P [w]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'!$N$10:$N$25</c:f>
              <c:numCache>
                <c:formatCode>0.00</c:formatCode>
                <c:ptCount val="16"/>
                <c:pt idx="0">
                  <c:v>0.0</c:v>
                </c:pt>
                <c:pt idx="1">
                  <c:v>2982.244902674287</c:v>
                </c:pt>
                <c:pt idx="2">
                  <c:v>6025.663901901382</c:v>
                </c:pt>
                <c:pt idx="3">
                  <c:v>9191.431094234096</c:v>
                </c:pt>
                <c:pt idx="4">
                  <c:v>12540.72057622523</c:v>
                </c:pt>
                <c:pt idx="5">
                  <c:v>16134.7064444276</c:v>
                </c:pt>
                <c:pt idx="6">
                  <c:v>20034.56279539401</c:v>
                </c:pt>
                <c:pt idx="7">
                  <c:v>24301.46372567727</c:v>
                </c:pt>
                <c:pt idx="8">
                  <c:v>28996.58333183019</c:v>
                </c:pt>
                <c:pt idx="9">
                  <c:v>34181.09571040557</c:v>
                </c:pt>
                <c:pt idx="10">
                  <c:v>39916.17495795623</c:v>
                </c:pt>
                <c:pt idx="11">
                  <c:v>46262.99517103496</c:v>
                </c:pt>
                <c:pt idx="12">
                  <c:v>53282.7304461946</c:v>
                </c:pt>
                <c:pt idx="13">
                  <c:v>61036.5548799879</c:v>
                </c:pt>
                <c:pt idx="14">
                  <c:v>69585.64256896774</c:v>
                </c:pt>
                <c:pt idx="15">
                  <c:v>78991.1676096869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78-4C03-8994-619CEB14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52544"/>
        <c:axId val="222256576"/>
      </c:scatterChart>
      <c:valAx>
        <c:axId val="222252544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256576"/>
        <c:crosses val="autoZero"/>
        <c:crossBetween val="midCat"/>
      </c:valAx>
      <c:valAx>
        <c:axId val="222256576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25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u="sng"/>
            </a:pPr>
            <a:r>
              <a:rPr lang="en-US" u="sng"/>
              <a:t>Pnorm vs Vnorm tan</a:t>
            </a:r>
            <a:r>
              <a:rPr lang="el-GR" u="sng"/>
              <a:t>α</a:t>
            </a:r>
            <a:r>
              <a:rPr lang="it-IT" u="sng"/>
              <a:t>=0</a:t>
            </a:r>
          </a:p>
          <a:p>
            <a:pPr>
              <a:defRPr lang="en-US" u="sng"/>
            </a:pPr>
            <a:endParaRPr lang="en-US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7021733057167"/>
          <c:y val="0.224054676552929"/>
          <c:w val="0.88489697913519"/>
          <c:h val="0.725232914116696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'!$W$11:$W$25</c:f>
              <c:numCache>
                <c:formatCode>General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'!$X$11:$X$25</c:f>
              <c:numCache>
                <c:formatCode>General</c:formatCode>
                <c:ptCount val="15"/>
                <c:pt idx="0">
                  <c:v>0.0215064229973141</c:v>
                </c:pt>
                <c:pt idx="1">
                  <c:v>0.0432502654987773</c:v>
                </c:pt>
                <c:pt idx="2">
                  <c:v>0.0654689470085384</c:v>
                </c:pt>
                <c:pt idx="3">
                  <c:v>0.0883998870307464</c:v>
                </c:pt>
                <c:pt idx="4">
                  <c:v>0.11228050506955</c:v>
                </c:pt>
                <c:pt idx="5">
                  <c:v>0.137348220629099</c:v>
                </c:pt>
                <c:pt idx="6">
                  <c:v>0.163840453213542</c:v>
                </c:pt>
                <c:pt idx="7">
                  <c:v>0.191994622327027</c:v>
                </c:pt>
                <c:pt idx="8">
                  <c:v>0.222048147473705</c:v>
                </c:pt>
                <c:pt idx="9">
                  <c:v>0.254238448157723</c:v>
                </c:pt>
                <c:pt idx="10">
                  <c:v>0.288802943883231</c:v>
                </c:pt>
                <c:pt idx="11">
                  <c:v>0.325979054154378</c:v>
                </c:pt>
                <c:pt idx="12">
                  <c:v>0.366004198475312</c:v>
                </c:pt>
                <c:pt idx="13">
                  <c:v>0.409115796350183</c:v>
                </c:pt>
                <c:pt idx="14">
                  <c:v>0.45555126728314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71040"/>
        <c:axId val="222105696"/>
      </c:scatterChart>
      <c:valAx>
        <c:axId val="22227104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105696"/>
        <c:crosses val="autoZero"/>
        <c:crossBetween val="midCat"/>
      </c:valAx>
      <c:valAx>
        <c:axId val="222105696"/>
        <c:scaling>
          <c:logBase val="10.0"/>
          <c:orientation val="minMax"/>
          <c:min val="0.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27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u="sng"/>
            </a:pPr>
            <a:r>
              <a:rPr lang="en-US" u="sng"/>
              <a:t>Pnorm vs Vnorm tan</a:t>
            </a:r>
            <a:r>
              <a:rPr lang="el-GR" u="sng"/>
              <a:t>α</a:t>
            </a:r>
            <a:r>
              <a:rPr lang="it-IT" u="sng"/>
              <a:t>=0.1</a:t>
            </a:r>
            <a:endParaRPr lang="en-US" u="sng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'!$AC$11:$AC$25</c:f>
              <c:numCache>
                <c:formatCode>General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'!$AD$11:$AD$25</c:f>
              <c:numCache>
                <c:formatCode>0.00E+00</c:formatCode>
                <c:ptCount val="15"/>
                <c:pt idx="0">
                  <c:v>0.0179407258937596</c:v>
                </c:pt>
                <c:pt idx="1">
                  <c:v>0.0360191007393385</c:v>
                </c:pt>
                <c:pt idx="2">
                  <c:v>0.054372773488556</c:v>
                </c:pt>
                <c:pt idx="3">
                  <c:v>0.0731393930932316</c:v>
                </c:pt>
                <c:pt idx="4">
                  <c:v>0.0924566085051844</c:v>
                </c:pt>
                <c:pt idx="5">
                  <c:v>0.112462068676234</c:v>
                </c:pt>
                <c:pt idx="6">
                  <c:v>0.133293422558199</c:v>
                </c:pt>
                <c:pt idx="7">
                  <c:v>0.1550883191029</c:v>
                </c:pt>
                <c:pt idx="8">
                  <c:v>0.177984407262156</c:v>
                </c:pt>
                <c:pt idx="9">
                  <c:v>0.202119335987785</c:v>
                </c:pt>
                <c:pt idx="10">
                  <c:v>0.227630754231607</c:v>
                </c:pt>
                <c:pt idx="11">
                  <c:v>0.254656310945443</c:v>
                </c:pt>
                <c:pt idx="12">
                  <c:v>0.28333365508111</c:v>
                </c:pt>
                <c:pt idx="13">
                  <c:v>0.313800435590428</c:v>
                </c:pt>
                <c:pt idx="14">
                  <c:v>0.346194301425217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69248"/>
        <c:axId val="222071568"/>
      </c:scatterChart>
      <c:valAx>
        <c:axId val="22206924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071568"/>
        <c:crosses val="autoZero"/>
        <c:crossBetween val="midCat"/>
      </c:valAx>
      <c:valAx>
        <c:axId val="222071568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06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Pnorm vs Vnorm </a:t>
            </a:r>
            <a:r>
              <a:rPr lang="en-US" sz="1800" b="1" i="0" u="sng" strike="noStrike" baseline="0"/>
              <a:t>tan</a:t>
            </a:r>
            <a:r>
              <a:rPr lang="el-GR" sz="1800" b="1" i="0" u="sng" strike="noStrike" baseline="0"/>
              <a:t>α</a:t>
            </a:r>
            <a:r>
              <a:rPr lang="it-IT" sz="1800" b="1" i="0" u="sng" strike="noStrike" baseline="0"/>
              <a:t>=0.2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'!$AI$11:$AI$25</c:f>
              <c:numCache>
                <c:formatCode>General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'!$AJ$11:$AJ$25</c:f>
              <c:numCache>
                <c:formatCode>0.00E+00</c:formatCode>
                <c:ptCount val="15"/>
                <c:pt idx="0">
                  <c:v>0.0158048708330553</c:v>
                </c:pt>
                <c:pt idx="1">
                  <c:v>0.0317042098409117</c:v>
                </c:pt>
                <c:pt idx="2">
                  <c:v>0.0477924851983703</c:v>
                </c:pt>
                <c:pt idx="3">
                  <c:v>0.0641641650802322</c:v>
                </c:pt>
                <c:pt idx="4">
                  <c:v>0.0809137176612984</c:v>
                </c:pt>
                <c:pt idx="5">
                  <c:v>0.0981356111163702</c:v>
                </c:pt>
                <c:pt idx="6">
                  <c:v>0.115924313620248</c:v>
                </c:pt>
                <c:pt idx="7">
                  <c:v>0.134374293347734</c:v>
                </c:pt>
                <c:pt idx="8">
                  <c:v>0.153580018473629</c:v>
                </c:pt>
                <c:pt idx="9">
                  <c:v>0.173635957172734</c:v>
                </c:pt>
                <c:pt idx="10">
                  <c:v>0.194636577619849</c:v>
                </c:pt>
                <c:pt idx="11">
                  <c:v>0.216676347989777</c:v>
                </c:pt>
                <c:pt idx="12">
                  <c:v>0.239849736457318</c:v>
                </c:pt>
                <c:pt idx="13">
                  <c:v>0.264251211197272</c:v>
                </c:pt>
                <c:pt idx="14">
                  <c:v>0.289975240384443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9264"/>
        <c:axId val="222061312"/>
      </c:scatterChart>
      <c:valAx>
        <c:axId val="22205926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061312"/>
        <c:crosses val="autoZero"/>
        <c:crossBetween val="midCat"/>
      </c:valAx>
      <c:valAx>
        <c:axId val="222061312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2059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16708</xdr:colOff>
      <xdr:row>28</xdr:row>
      <xdr:rowOff>22642</xdr:rowOff>
    </xdr:from>
    <xdr:to>
      <xdr:col>11</xdr:col>
      <xdr:colOff>587115</xdr:colOff>
      <xdr:row>43</xdr:row>
      <xdr:rowOff>32167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</xdr:colOff>
      <xdr:row>61</xdr:row>
      <xdr:rowOff>49410</xdr:rowOff>
    </xdr:from>
    <xdr:to>
      <xdr:col>12</xdr:col>
      <xdr:colOff>3933</xdr:colOff>
      <xdr:row>76</xdr:row>
      <xdr:rowOff>6692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144945</xdr:colOff>
      <xdr:row>28</xdr:row>
      <xdr:rowOff>33199</xdr:rowOff>
    </xdr:from>
    <xdr:to>
      <xdr:col>18</xdr:col>
      <xdr:colOff>128855</xdr:colOff>
      <xdr:row>43</xdr:row>
      <xdr:rowOff>10355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93696</xdr:colOff>
      <xdr:row>61</xdr:row>
      <xdr:rowOff>55787</xdr:rowOff>
    </xdr:from>
    <xdr:to>
      <xdr:col>18</xdr:col>
      <xdr:colOff>168088</xdr:colOff>
      <xdr:row>76</xdr:row>
      <xdr:rowOff>56029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48377</xdr:colOff>
      <xdr:row>43</xdr:row>
      <xdr:rowOff>144947</xdr:rowOff>
    </xdr:from>
    <xdr:to>
      <xdr:col>12</xdr:col>
      <xdr:colOff>7342</xdr:colOff>
      <xdr:row>59</xdr:row>
      <xdr:rowOff>76747</xdr:rowOff>
    </xdr:to>
    <xdr:graphicFrame macro="[0]!Grafico9_Click">
      <xdr:nvGraphicFramePr>
        <xdr:cNvPr id="10" name="Grafic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37475</xdr:colOff>
      <xdr:row>43</xdr:row>
      <xdr:rowOff>144946</xdr:rowOff>
    </xdr:from>
    <xdr:to>
      <xdr:col>18</xdr:col>
      <xdr:colOff>112426</xdr:colOff>
      <xdr:row>59</xdr:row>
      <xdr:rowOff>62459</xdr:rowOff>
    </xdr:to>
    <xdr:graphicFrame macro="">
      <xdr:nvGraphicFramePr>
        <xdr:cNvPr id="11" name="Grafico 7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270597</xdr:colOff>
      <xdr:row>27</xdr:row>
      <xdr:rowOff>140709</xdr:rowOff>
    </xdr:from>
    <xdr:to>
      <xdr:col>24</xdr:col>
      <xdr:colOff>371651</xdr:colOff>
      <xdr:row>42</xdr:row>
      <xdr:rowOff>125752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454603</xdr:colOff>
      <xdr:row>27</xdr:row>
      <xdr:rowOff>173181</xdr:rowOff>
    </xdr:from>
    <xdr:to>
      <xdr:col>31</xdr:col>
      <xdr:colOff>68582</xdr:colOff>
      <xdr:row>42</xdr:row>
      <xdr:rowOff>158224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196712</xdr:colOff>
      <xdr:row>28</xdr:row>
      <xdr:rowOff>10353</xdr:rowOff>
    </xdr:from>
    <xdr:to>
      <xdr:col>37</xdr:col>
      <xdr:colOff>339180</xdr:colOff>
      <xdr:row>42</xdr:row>
      <xdr:rowOff>93281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46</xdr:row>
      <xdr:rowOff>9524</xdr:rowOff>
    </xdr:from>
    <xdr:to>
      <xdr:col>15</xdr:col>
      <xdr:colOff>4764</xdr:colOff>
      <xdr:row>71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207170</xdr:colOff>
      <xdr:row>46</xdr:row>
      <xdr:rowOff>0</xdr:rowOff>
    </xdr:from>
    <xdr:to>
      <xdr:col>23</xdr:col>
      <xdr:colOff>511970</xdr:colOff>
      <xdr:row>71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0.21755</cdr:x>
      <cdr:y>0.02667</cdr:y>
    </cdr:from>
    <cdr:to>
      <cdr:x>0.84644</cdr:x>
      <cdr:y>0.144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33476" y="95251"/>
          <a:ext cx="32766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0.19561</cdr:x>
      <cdr:y>0.04</cdr:y>
    </cdr:from>
    <cdr:to>
      <cdr:x>0.78062</cdr:x>
      <cdr:y>0.15733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019176" y="142876"/>
          <a:ext cx="30480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/>
            <a:t>Pmax</a:t>
          </a:r>
          <a:r>
            <a:rPr lang="en-GB" sz="2000" baseline="0"/>
            <a:t> [w] VS V[m/s]</a:t>
          </a:r>
          <a:endParaRPr lang="en-GB" sz="20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0.11776</cdr:x>
      <cdr:y>0.03022</cdr:y>
    </cdr:from>
    <cdr:to>
      <cdr:x>0.60425</cdr:x>
      <cdr:y>0.17857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81025" y="104775"/>
          <a:ext cx="24003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/>
            <a:t>Pmax[w] VS V</a:t>
          </a:r>
          <a:r>
            <a:rPr lang="en-GB" sz="2000" baseline="0"/>
            <a:t> [m/s] </a:t>
          </a:r>
          <a:endParaRPr lang="en-GB" sz="2000"/>
        </a:p>
      </cdr:txBody>
    </cdr:sp>
  </cdr:relSizeAnchor>
  <cdr:relSizeAnchor xmlns:cdr="http://schemas.openxmlformats.org/drawingml/2006/chartDrawing">
    <cdr:from>
      <cdr:x>0.72394</cdr:x>
      <cdr:y>0.04121</cdr:y>
    </cdr:from>
    <cdr:to>
      <cdr:x>0.96139</cdr:x>
      <cdr:y>0.15385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3571875" y="142875"/>
          <a:ext cx="11715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/>
            <a:t>WET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569594</xdr:colOff>
      <xdr:row>14</xdr:row>
      <xdr:rowOff>180513</xdr:rowOff>
    </xdr:from>
    <xdr:to>
      <xdr:col>28</xdr:col>
      <xdr:colOff>143159</xdr:colOff>
      <xdr:row>40</xdr:row>
      <xdr:rowOff>167829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CA53675-F12B-4A78-9634-0A4FC440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597645</xdr:colOff>
      <xdr:row>63</xdr:row>
      <xdr:rowOff>137457</xdr:rowOff>
    </xdr:from>
    <xdr:to>
      <xdr:col>21</xdr:col>
      <xdr:colOff>493058</xdr:colOff>
      <xdr:row>95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18</xdr:row>
      <xdr:rowOff>76200</xdr:rowOff>
    </xdr:from>
    <xdr:to>
      <xdr:col>25</xdr:col>
      <xdr:colOff>314325</xdr:colOff>
      <xdr:row>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0</xdr:row>
      <xdr:rowOff>85725</xdr:rowOff>
    </xdr:from>
    <xdr:to>
      <xdr:col>27</xdr:col>
      <xdr:colOff>561975</xdr:colOff>
      <xdr:row>17</xdr:row>
      <xdr:rowOff>95249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0.26915</cdr:x>
      <cdr:y>0</cdr:y>
    </cdr:from>
    <cdr:to>
      <cdr:x>0.78784</cdr:x>
      <cdr:y>0.1216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C446B7AB-C779-42FD-A47F-394DD1D3D34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4973" y="0"/>
          <a:ext cx="1975275" cy="34750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0.23123</cdr:x>
      <cdr:y>0.04264</cdr:y>
    </cdr:from>
    <cdr:to>
      <cdr:x>0.84915</cdr:x>
      <cdr:y>0.1528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852357" y="124238"/>
          <a:ext cx="2277717" cy="320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 b="1">
              <a:solidFill>
                <a:sysClr val="windowText" lastClr="000000"/>
              </a:solidFill>
            </a:rPr>
            <a:t>log[P]</a:t>
          </a:r>
          <a:r>
            <a:rPr lang="en-GB" sz="2000" b="1" baseline="0">
              <a:solidFill>
                <a:sysClr val="windowText" lastClr="000000"/>
              </a:solidFill>
            </a:rPr>
            <a:t> VS log[v]</a:t>
          </a:r>
          <a:endParaRPr lang="en-GB" sz="2000" b="1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</cdr:x>
      <cdr:y>0.01071</cdr:y>
    </cdr:from>
    <cdr:to>
      <cdr:x>0.87511</cdr:x>
      <cdr:y>0.12141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076739" y="31060"/>
          <a:ext cx="2277717" cy="320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2000" b="1">
              <a:solidFill>
                <a:sysClr val="windowText" lastClr="000000"/>
              </a:solidFill>
            </a:rPr>
            <a:t>log[P]</a:t>
          </a:r>
          <a:r>
            <a:rPr lang="en-GB" sz="2000" b="1" baseline="0">
              <a:solidFill>
                <a:sysClr val="windowText" lastClr="000000"/>
              </a:solidFill>
            </a:rPr>
            <a:t> VS log[v]</a:t>
          </a:r>
          <a:endParaRPr lang="en-GB" sz="2000" b="1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78</xdr:row>
      <xdr:rowOff>23812</xdr:rowOff>
    </xdr:from>
    <xdr:to>
      <xdr:col>17</xdr:col>
      <xdr:colOff>238125</xdr:colOff>
      <xdr:row>93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94</xdr:row>
      <xdr:rowOff>76200</xdr:rowOff>
    </xdr:from>
    <xdr:to>
      <xdr:col>17</xdr:col>
      <xdr:colOff>247650</xdr:colOff>
      <xdr:row>109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13138</xdr:colOff>
      <xdr:row>111</xdr:row>
      <xdr:rowOff>13138</xdr:rowOff>
    </xdr:from>
    <xdr:to>
      <xdr:col>11</xdr:col>
      <xdr:colOff>727513</xdr:colOff>
      <xdr:row>126</xdr:row>
      <xdr:rowOff>89338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456406</xdr:colOff>
      <xdr:row>78</xdr:row>
      <xdr:rowOff>59531</xdr:rowOff>
    </xdr:from>
    <xdr:to>
      <xdr:col>12</xdr:col>
      <xdr:colOff>377031</xdr:colOff>
      <xdr:row>80</xdr:row>
      <xdr:rowOff>89298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8860234" y="15934531"/>
          <a:ext cx="684610" cy="406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[N*m]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0.7852</cdr:x>
      <cdr:y>0.78413</cdr:y>
    </cdr:from>
    <cdr:to>
      <cdr:x>0.94301</cdr:x>
      <cdr:y>0.89374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554412" y="2129235"/>
          <a:ext cx="714375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[rpm]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0.02253</cdr:x>
      <cdr:y>0.04502</cdr:y>
    </cdr:from>
    <cdr:to>
      <cdr:x>0.13212</cdr:x>
      <cdr:y>0.13636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01997" y="122238"/>
          <a:ext cx="496094" cy="248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[w]</a:t>
          </a:r>
        </a:p>
      </cdr:txBody>
    </cdr:sp>
  </cdr:relSizeAnchor>
  <cdr:relSizeAnchor xmlns:cdr="http://schemas.openxmlformats.org/drawingml/2006/chartDrawing">
    <cdr:from>
      <cdr:x>0.82036</cdr:x>
      <cdr:y>0.81234</cdr:y>
    </cdr:from>
    <cdr:to>
      <cdr:x>0.94968</cdr:x>
      <cdr:y>0.90734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3713560" y="2205832"/>
          <a:ext cx="585390" cy="257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[rpm]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0.06346</cdr:x>
      <cdr:y>0.07308</cdr:y>
    </cdr:from>
    <cdr:to>
      <cdr:x>0.14682</cdr:x>
      <cdr:y>0.16064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BCC3BDB0-33DF-4532-A4A0-30C33E4A28D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87734" y="198438"/>
          <a:ext cx="377985" cy="2377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0.00538</cdr:x>
      <cdr:y>0.00898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686C3C33-68EF-4EC8-ACC4-A184E4654C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15</xdr:row>
      <xdr:rowOff>88900</xdr:rowOff>
    </xdr:from>
    <xdr:to>
      <xdr:col>23</xdr:col>
      <xdr:colOff>330200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1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colo'/Downloads/Copia%20di%20LAB1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 refreshError="1">
        <row r="3">
          <cell r="B3">
            <v>970</v>
          </cell>
        </row>
        <row r="5">
          <cell r="B5">
            <v>0.28100000000000003</v>
          </cell>
        </row>
        <row r="8">
          <cell r="J8" t="str">
            <v>Pmax WET  [w]</v>
          </cell>
          <cell r="L8" t="str">
            <v>Pn</v>
          </cell>
        </row>
        <row r="9">
          <cell r="F9">
            <v>0</v>
          </cell>
          <cell r="I9">
            <v>0</v>
          </cell>
          <cell r="J9">
            <v>0</v>
          </cell>
          <cell r="L9">
            <v>0</v>
          </cell>
        </row>
        <row r="10">
          <cell r="F10">
            <v>2.7777777777777777</v>
          </cell>
          <cell r="I10">
            <v>14277.950628170294</v>
          </cell>
          <cell r="J10">
            <v>10250.836348429953</v>
          </cell>
          <cell r="L10">
            <v>353.81337877229078</v>
          </cell>
        </row>
        <row r="11">
          <cell r="F11">
            <v>5.5555555555555554</v>
          </cell>
          <cell r="I11">
            <v>28116.57969855073</v>
          </cell>
          <cell r="J11">
            <v>19915.910619806767</v>
          </cell>
          <cell r="L11">
            <v>768.8403635116598</v>
          </cell>
        </row>
        <row r="12">
          <cell r="F12">
            <v>8.3333333333333339</v>
          </cell>
          <cell r="I12">
            <v>41515.887211141315</v>
          </cell>
          <cell r="J12">
            <v>28995.222814130444</v>
          </cell>
          <cell r="L12">
            <v>1306.2945601851854</v>
          </cell>
        </row>
        <row r="13">
          <cell r="F13">
            <v>11.111111111111111</v>
          </cell>
          <cell r="I13">
            <v>54475.873165942045</v>
          </cell>
          <cell r="J13">
            <v>37488.77293140097</v>
          </cell>
          <cell r="L13">
            <v>2027.3895747599449</v>
          </cell>
        </row>
        <row r="14">
          <cell r="B14">
            <v>0.08</v>
          </cell>
          <cell r="F14">
            <v>13.888888888888889</v>
          </cell>
          <cell r="I14">
            <v>66996.53756295293</v>
          </cell>
          <cell r="J14">
            <v>45396.560971618368</v>
          </cell>
          <cell r="L14">
            <v>2993.3390132030181</v>
          </cell>
        </row>
        <row r="15">
          <cell r="B15">
            <v>1.6</v>
          </cell>
          <cell r="F15">
            <v>16.666666666666668</v>
          </cell>
          <cell r="I15">
            <v>79077.880402173934</v>
          </cell>
          <cell r="J15">
            <v>52718.58693478263</v>
          </cell>
          <cell r="L15">
            <v>4265.3564814814827</v>
          </cell>
        </row>
        <row r="16">
          <cell r="F16">
            <v>19.444444444444443</v>
          </cell>
          <cell r="I16">
            <v>90719.901683605087</v>
          </cell>
          <cell r="J16">
            <v>59454.850820893727</v>
          </cell>
          <cell r="L16">
            <v>5904.6555855624138</v>
          </cell>
        </row>
        <row r="17">
          <cell r="F17">
            <v>22.222222222222221</v>
          </cell>
          <cell r="I17">
            <v>101922.6014072464</v>
          </cell>
          <cell r="J17">
            <v>65605.352629951696</v>
          </cell>
          <cell r="L17">
            <v>7972.4499314128943</v>
          </cell>
        </row>
        <row r="18">
          <cell r="F18">
            <v>25</v>
          </cell>
          <cell r="I18">
            <v>112685.97957309785</v>
          </cell>
          <cell r="J18">
            <v>71170.092361956544</v>
          </cell>
          <cell r="L18">
            <v>10529.953125</v>
          </cell>
        </row>
        <row r="19">
          <cell r="F19">
            <v>27.777777777777779</v>
          </cell>
          <cell r="I19">
            <v>123010.03618115945</v>
          </cell>
          <cell r="J19">
            <v>76149.070016908241</v>
          </cell>
          <cell r="L19">
            <v>13638.378772290811</v>
          </cell>
        </row>
        <row r="20">
          <cell r="F20">
            <v>30.555555555555554</v>
          </cell>
          <cell r="I20">
            <v>132894.77123143116</v>
          </cell>
          <cell r="J20">
            <v>80542.285594806759</v>
          </cell>
          <cell r="L20">
            <v>17358.940479252396</v>
          </cell>
        </row>
        <row r="21">
          <cell r="F21">
            <v>33.333333333333336</v>
          </cell>
          <cell r="I21">
            <v>142340.18472391312</v>
          </cell>
          <cell r="J21">
            <v>84349.739095652199</v>
          </cell>
          <cell r="L21">
            <v>21752.851851851861</v>
          </cell>
        </row>
        <row r="22">
          <cell r="F22">
            <v>36.111111111111107</v>
          </cell>
          <cell r="I22">
            <v>151346.27665860509</v>
          </cell>
          <cell r="J22">
            <v>87571.430519444461</v>
          </cell>
          <cell r="L22">
            <v>26881.326496056234</v>
          </cell>
        </row>
        <row r="23">
          <cell r="F23">
            <v>38.888888888888886</v>
          </cell>
          <cell r="I23">
            <v>159913.04703550728</v>
          </cell>
          <cell r="J23">
            <v>90207.359866183586</v>
          </cell>
          <cell r="L23">
            <v>32805.578017832646</v>
          </cell>
        </row>
        <row r="24">
          <cell r="F24">
            <v>41.666666666666664</v>
          </cell>
          <cell r="I24">
            <v>168040.4958546196</v>
          </cell>
          <cell r="J24">
            <v>92257.527135869575</v>
          </cell>
          <cell r="L24">
            <v>39586.820023148146</v>
          </cell>
        </row>
        <row r="25">
          <cell r="F25">
            <v>44.444444444444443</v>
          </cell>
          <cell r="I25">
            <v>175728.62311594209</v>
          </cell>
          <cell r="J25">
            <v>93721.932328502429</v>
          </cell>
          <cell r="L25">
            <v>47286.266117969819</v>
          </cell>
        </row>
        <row r="26">
          <cell r="B26">
            <v>0.26050000000000001</v>
          </cell>
          <cell r="F26">
            <v>47.222222222222221</v>
          </cell>
          <cell r="I26">
            <v>182977.42881947468</v>
          </cell>
          <cell r="J26">
            <v>94600.575444082147</v>
          </cell>
          <cell r="L26">
            <v>55965.129908264746</v>
          </cell>
        </row>
        <row r="27">
          <cell r="F27">
            <v>50</v>
          </cell>
          <cell r="I27">
            <v>189786.91296521743</v>
          </cell>
          <cell r="J27">
            <v>94893.456482608715</v>
          </cell>
          <cell r="L27">
            <v>65684.625</v>
          </cell>
        </row>
        <row r="28">
          <cell r="F28">
            <v>52.777777777777779</v>
          </cell>
          <cell r="I28">
            <v>196157.07555317035</v>
          </cell>
          <cell r="J28">
            <v>94600.575444082147</v>
          </cell>
          <cell r="L28">
            <v>76505.96499914267</v>
          </cell>
        </row>
        <row r="29">
          <cell r="F29">
            <v>55.555555555555557</v>
          </cell>
          <cell r="I29">
            <v>202087.9165833334</v>
          </cell>
          <cell r="J29">
            <v>93721.932328502444</v>
          </cell>
          <cell r="L29">
            <v>88490.363511659816</v>
          </cell>
        </row>
        <row r="30">
          <cell r="F30">
            <v>58.333333333333329</v>
          </cell>
          <cell r="I30">
            <v>207579.43605570655</v>
          </cell>
          <cell r="J30">
            <v>92257.52713586959</v>
          </cell>
          <cell r="L30">
            <v>101699.03414351851</v>
          </cell>
        </row>
        <row r="31">
          <cell r="F31">
            <v>61.111111111111107</v>
          </cell>
          <cell r="I31">
            <v>212631.63397028987</v>
          </cell>
          <cell r="J31">
            <v>90207.359866183586</v>
          </cell>
          <cell r="L31">
            <v>116193.19050068584</v>
          </cell>
        </row>
        <row r="32">
          <cell r="F32">
            <v>63.888888888888886</v>
          </cell>
          <cell r="I32">
            <v>217244.51032708341</v>
          </cell>
          <cell r="J32">
            <v>87571.430519444475</v>
          </cell>
          <cell r="L32">
            <v>132034.04618912892</v>
          </cell>
        </row>
        <row r="33">
          <cell r="F33">
            <v>66.666666666666671</v>
          </cell>
          <cell r="I33">
            <v>221418.06512608705</v>
          </cell>
          <cell r="J33">
            <v>84349.739095652185</v>
          </cell>
          <cell r="L33">
            <v>149282.81481481486</v>
          </cell>
        </row>
        <row r="34">
          <cell r="F34">
            <v>69.444444444444443</v>
          </cell>
          <cell r="I34">
            <v>225152.29836730074</v>
          </cell>
          <cell r="J34">
            <v>80542.285594806774</v>
          </cell>
          <cell r="L34">
            <v>168000.70998371052</v>
          </cell>
        </row>
        <row r="35">
          <cell r="F35">
            <v>72.222222222222214</v>
          </cell>
          <cell r="I35">
            <v>228447.21005072468</v>
          </cell>
          <cell r="J35">
            <v>76149.070016908241</v>
          </cell>
          <cell r="L35">
            <v>188248.94530178318</v>
          </cell>
        </row>
        <row r="36">
          <cell r="F36">
            <v>75</v>
          </cell>
          <cell r="I36">
            <v>231302.80017635878</v>
          </cell>
          <cell r="J36">
            <v>71170.092361956558</v>
          </cell>
          <cell r="L36">
            <v>210088.734375</v>
          </cell>
        </row>
        <row r="37">
          <cell r="F37">
            <v>77.777777777777771</v>
          </cell>
          <cell r="I37">
            <v>233719.06874420299</v>
          </cell>
          <cell r="J37">
            <v>65605.352629951711</v>
          </cell>
          <cell r="L37">
            <v>233581.29080932779</v>
          </cell>
        </row>
        <row r="38">
          <cell r="F38">
            <v>80.555555555555557</v>
          </cell>
          <cell r="I38">
            <v>235696.01575425727</v>
          </cell>
          <cell r="J38">
            <v>59454.850820893727</v>
          </cell>
          <cell r="L38">
            <v>258787.82821073389</v>
          </cell>
        </row>
        <row r="39">
          <cell r="F39">
            <v>83.333333333333329</v>
          </cell>
          <cell r="I39">
            <v>237233.64120652177</v>
          </cell>
          <cell r="J39">
            <v>52718.586934782645</v>
          </cell>
          <cell r="L39">
            <v>285769.56018518511</v>
          </cell>
        </row>
      </sheetData>
      <sheetData sheetId="1" refreshError="1">
        <row r="2">
          <cell r="A2">
            <v>0.19650000000000001</v>
          </cell>
        </row>
        <row r="3">
          <cell r="A3">
            <v>0.28570000000000001</v>
          </cell>
        </row>
        <row r="4">
          <cell r="A4">
            <v>0.41549999999999998</v>
          </cell>
        </row>
        <row r="5">
          <cell r="A5">
            <v>0.60440000000000005</v>
          </cell>
        </row>
        <row r="6">
          <cell r="A6">
            <v>0.879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5">
          <cell r="B25">
            <v>0.245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pln_team1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J63"/>
  <sheetViews>
    <sheetView zoomScale="92" zoomScaleNormal="92" zoomScalePageLayoutView="92" workbookViewId="0">
      <selection activeCell="G2" sqref="G2:H3"/>
    </sheetView>
  </sheetViews>
  <sheetFormatPr baseColWidth="10" defaultColWidth="8.6640625" defaultRowHeight="15" x14ac:dyDescent="0.2"/>
  <cols>
    <col min="1" max="1" width="11.5" bestFit="1" customWidth="1"/>
    <col min="5" max="5" width="9.33203125" bestFit="1" customWidth="1"/>
    <col min="6" max="6" width="7.6640625" bestFit="1" customWidth="1"/>
    <col min="7" max="9" width="9.33203125" bestFit="1" customWidth="1"/>
    <col min="10" max="10" width="9.33203125" customWidth="1"/>
    <col min="11" max="13" width="9.33203125" bestFit="1" customWidth="1"/>
    <col min="14" max="14" width="9.5" bestFit="1" customWidth="1"/>
    <col min="15" max="16" width="9.5" customWidth="1"/>
    <col min="17" max="18" width="9.33203125" bestFit="1" customWidth="1"/>
    <col min="19" max="20" width="9.5" bestFit="1" customWidth="1"/>
  </cols>
  <sheetData>
    <row r="1" spans="1:36" x14ac:dyDescent="0.2">
      <c r="A1" s="2" t="s">
        <v>0</v>
      </c>
      <c r="B1" s="3">
        <v>0.35</v>
      </c>
      <c r="D1" s="1"/>
      <c r="E1" s="1"/>
      <c r="F1" s="1"/>
      <c r="G1" s="51" t="s">
        <v>16</v>
      </c>
      <c r="H1" s="51"/>
      <c r="I1" s="1"/>
      <c r="J1" s="1"/>
      <c r="K1" s="1"/>
      <c r="L1" s="1"/>
      <c r="M1" s="60" t="s">
        <v>24</v>
      </c>
      <c r="N1" s="60"/>
      <c r="O1" s="21"/>
      <c r="P1" s="21"/>
      <c r="Q1" s="1"/>
      <c r="R1" s="1"/>
      <c r="S1" s="61" t="s">
        <v>26</v>
      </c>
      <c r="T1" s="61"/>
      <c r="U1" s="1"/>
      <c r="Y1" s="62" t="s">
        <v>30</v>
      </c>
      <c r="Z1" s="62"/>
      <c r="AA1" s="62"/>
      <c r="AE1" s="64" t="s">
        <v>32</v>
      </c>
      <c r="AF1" s="64"/>
      <c r="AG1" s="64"/>
    </row>
    <row r="2" spans="1:36" x14ac:dyDescent="0.2">
      <c r="A2" s="4" t="s">
        <v>361</v>
      </c>
      <c r="B2" s="5">
        <v>1.82</v>
      </c>
      <c r="D2" s="1"/>
      <c r="E2" s="1"/>
      <c r="F2" s="1"/>
      <c r="G2" s="51" t="s">
        <v>17</v>
      </c>
      <c r="H2" s="51">
        <f>$B$3*$B$16*($B$17*COS(B20)+SIN(B20))</f>
        <v>123.7041</v>
      </c>
      <c r="I2" s="1"/>
      <c r="J2" s="1"/>
      <c r="K2" s="1"/>
      <c r="L2" s="1"/>
      <c r="M2" s="60" t="s">
        <v>17</v>
      </c>
      <c r="N2" s="73">
        <f>$B$3*$B$16*($B$17*COS(B21)+SIN(B21))</f>
        <v>1069.9377191695751</v>
      </c>
      <c r="O2" s="21"/>
      <c r="P2" s="21"/>
      <c r="Q2" s="1"/>
      <c r="R2" s="1"/>
      <c r="S2" s="61" t="s">
        <v>17</v>
      </c>
      <c r="T2" s="69">
        <f>$B$3*$B$16*($B$17*COS(B22)+SIN(B22))</f>
        <v>1987.4841570981553</v>
      </c>
      <c r="U2" s="1"/>
      <c r="Y2" s="62" t="s">
        <v>17</v>
      </c>
      <c r="Z2" s="62">
        <f>$B$3*$B$16*($B$17*COS(B23)+SIN(B23))</f>
        <v>2852.8033132532992</v>
      </c>
      <c r="AA2" s="62"/>
      <c r="AE2" s="64" t="s">
        <v>17</v>
      </c>
      <c r="AF2" s="64">
        <f>$B$3*$B$16*($B$17*COS(B24)+SIN(B24))</f>
        <v>3648.8986323996842</v>
      </c>
      <c r="AG2" s="64"/>
    </row>
    <row r="3" spans="1:36" x14ac:dyDescent="0.2">
      <c r="A3" s="4" t="s">
        <v>362</v>
      </c>
      <c r="B3" s="5">
        <v>970</v>
      </c>
      <c r="D3" s="1"/>
      <c r="E3" s="1"/>
      <c r="F3" s="1"/>
      <c r="G3" s="51" t="s">
        <v>18</v>
      </c>
      <c r="H3" s="52">
        <f>$B$3*$B$16*$B$19*COS(B20)+0.5*$B$18*$B$2*$B$1</f>
        <v>0.47599720699999998</v>
      </c>
      <c r="I3" s="1"/>
      <c r="J3" s="1"/>
      <c r="K3" s="1"/>
      <c r="L3" s="1"/>
      <c r="M3" s="60" t="s">
        <v>18</v>
      </c>
      <c r="N3" s="73">
        <f>$B$3*$B$16*$B$19*COS(B21)+0.5*$B$18*$B$2*$B$1</f>
        <v>0.47568977479463653</v>
      </c>
      <c r="O3" s="22"/>
      <c r="P3" s="22"/>
      <c r="Q3" s="1"/>
      <c r="R3" s="1"/>
      <c r="S3" s="61" t="s">
        <v>18</v>
      </c>
      <c r="T3" s="69">
        <f>$B$3*$B$16*$B$19*COS(B22)+0.5*$B$18*$B$2*$B$1</f>
        <v>0.47479423409722527</v>
      </c>
      <c r="U3" s="1"/>
      <c r="Y3" s="62" t="s">
        <v>18</v>
      </c>
      <c r="Z3" s="70">
        <f>$B$3*$B$16*$B$19*COS(B23)+0.5*$B$18*$B$2*$B$1</f>
        <v>0.47338466316063571</v>
      </c>
      <c r="AA3" s="62"/>
      <c r="AE3" s="64" t="s">
        <v>18</v>
      </c>
      <c r="AF3" s="71">
        <f>$B$3*$B$16*$B$19*COS(B24)+0.5*$B$18*$B$2*$B$1</f>
        <v>0.47156653776494417</v>
      </c>
      <c r="AG3" s="64"/>
    </row>
    <row r="4" spans="1:36" x14ac:dyDescent="0.2">
      <c r="A4" s="4" t="s">
        <v>365</v>
      </c>
      <c r="B4">
        <f>C4/1000000</f>
        <v>1.0399999999999999E-3</v>
      </c>
      <c r="C4" s="5">
        <v>1040</v>
      </c>
      <c r="D4" s="1"/>
      <c r="E4" s="1"/>
      <c r="F4" s="1"/>
      <c r="G4" s="51" t="s">
        <v>373</v>
      </c>
      <c r="H4" s="51">
        <f>SQRT(H2/H3)</f>
        <v>16.120920815304387</v>
      </c>
      <c r="I4" s="1"/>
      <c r="J4" s="1"/>
      <c r="K4" s="1"/>
      <c r="L4" s="1"/>
      <c r="M4" s="60" t="s">
        <v>373</v>
      </c>
      <c r="N4" s="60">
        <f>H4</f>
        <v>16.120920815304387</v>
      </c>
      <c r="O4" s="21"/>
      <c r="P4" s="21"/>
      <c r="Q4" s="1"/>
      <c r="R4" s="1"/>
      <c r="S4" s="61" t="s">
        <v>373</v>
      </c>
      <c r="T4" s="69">
        <f>N4</f>
        <v>16.120920815304387</v>
      </c>
      <c r="U4" s="1"/>
      <c r="Y4" s="63" t="s">
        <v>373</v>
      </c>
      <c r="Z4" s="63">
        <f>T4</f>
        <v>16.120920815304387</v>
      </c>
      <c r="AA4" s="62"/>
      <c r="AE4" s="80" t="s">
        <v>373</v>
      </c>
      <c r="AF4" s="65">
        <f>Z4</f>
        <v>16.120920815304387</v>
      </c>
      <c r="AG4" s="64"/>
    </row>
    <row r="5" spans="1:36" x14ac:dyDescent="0.2">
      <c r="A5" s="4" t="s">
        <v>4</v>
      </c>
      <c r="B5" s="5">
        <v>0.28100000000000003</v>
      </c>
      <c r="D5" s="1"/>
      <c r="E5" s="1"/>
      <c r="F5" s="1"/>
      <c r="G5" s="51" t="s">
        <v>374</v>
      </c>
      <c r="H5" s="51">
        <f>2*H2*SQRT(H2/H3)</f>
        <v>3988.4480012569907</v>
      </c>
      <c r="I5" s="1"/>
      <c r="J5" s="1"/>
      <c r="K5" s="1"/>
      <c r="L5" s="1"/>
      <c r="M5" s="60" t="s">
        <v>374</v>
      </c>
      <c r="N5" s="73">
        <f>2*N2*SQRT(N2/N3)</f>
        <v>101485.92978534631</v>
      </c>
      <c r="O5" s="21"/>
      <c r="P5" s="21"/>
      <c r="Q5" s="1"/>
      <c r="R5" s="1"/>
      <c r="S5" s="61" t="s">
        <v>374</v>
      </c>
      <c r="T5" s="69">
        <f>2*T2*SQRT(T2/T3)</f>
        <v>257177.3936640727</v>
      </c>
      <c r="U5" s="1"/>
      <c r="Y5" s="63" t="s">
        <v>374</v>
      </c>
      <c r="Z5" s="62">
        <f>2*Z2*SQRT(Z2/T3)</f>
        <v>442267.49637272739</v>
      </c>
      <c r="AA5" s="62"/>
      <c r="AE5" s="80" t="s">
        <v>374</v>
      </c>
      <c r="AF5" s="68">
        <f>2*AF2*SQRT(AF2/AF3)</f>
        <v>641950.00067341502</v>
      </c>
      <c r="AG5" s="64"/>
    </row>
    <row r="6" spans="1:36" x14ac:dyDescent="0.2">
      <c r="A6" s="4" t="s">
        <v>366</v>
      </c>
      <c r="B6" s="5">
        <v>850</v>
      </c>
      <c r="D6" s="1"/>
      <c r="E6" s="1"/>
      <c r="F6" s="1"/>
      <c r="G6" s="51" t="s">
        <v>19</v>
      </c>
      <c r="H6" s="51"/>
      <c r="I6" s="1"/>
      <c r="J6" s="1"/>
      <c r="K6" s="1"/>
      <c r="L6" s="1"/>
      <c r="M6" s="60" t="s">
        <v>25</v>
      </c>
      <c r="N6" s="60"/>
      <c r="O6" s="21"/>
      <c r="P6" s="21"/>
      <c r="Q6" s="1"/>
      <c r="R6" s="1"/>
      <c r="S6" s="61" t="s">
        <v>29</v>
      </c>
      <c r="T6" s="61"/>
      <c r="U6" s="1"/>
      <c r="Y6" s="62" t="s">
        <v>31</v>
      </c>
      <c r="Z6" s="62"/>
      <c r="AA6" s="62"/>
      <c r="AE6" s="64" t="s">
        <v>33</v>
      </c>
      <c r="AF6" s="64"/>
      <c r="AG6" s="64"/>
    </row>
    <row r="7" spans="1:36" x14ac:dyDescent="0.2">
      <c r="A7" s="4" t="s">
        <v>36</v>
      </c>
      <c r="B7" s="5">
        <v>0.9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36" x14ac:dyDescent="0.2">
      <c r="A8" s="4" t="s">
        <v>367</v>
      </c>
      <c r="B8" s="5">
        <v>2.2999999999999998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36" x14ac:dyDescent="0.2">
      <c r="A9" s="4" t="s">
        <v>368</v>
      </c>
      <c r="B9" s="5">
        <v>1.1499999999999999</v>
      </c>
      <c r="D9" s="1"/>
      <c r="E9" s="59" t="s">
        <v>20</v>
      </c>
      <c r="F9" s="59" t="s">
        <v>21</v>
      </c>
      <c r="G9" s="51" t="s">
        <v>377</v>
      </c>
      <c r="H9" s="51" t="s">
        <v>375</v>
      </c>
      <c r="I9" s="51" t="s">
        <v>27</v>
      </c>
      <c r="J9" s="51" t="s">
        <v>28</v>
      </c>
      <c r="K9" s="51" t="s">
        <v>376</v>
      </c>
      <c r="L9" s="51" t="s">
        <v>23</v>
      </c>
      <c r="M9" s="60" t="s">
        <v>377</v>
      </c>
      <c r="N9" s="60" t="s">
        <v>375</v>
      </c>
      <c r="O9" s="60" t="s">
        <v>27</v>
      </c>
      <c r="P9" s="60" t="s">
        <v>28</v>
      </c>
      <c r="Q9" s="60" t="s">
        <v>22</v>
      </c>
      <c r="R9" s="60" t="s">
        <v>23</v>
      </c>
      <c r="S9" s="61" t="s">
        <v>377</v>
      </c>
      <c r="T9" s="61" t="s">
        <v>375</v>
      </c>
      <c r="U9" s="61" t="s">
        <v>27</v>
      </c>
      <c r="V9" s="61" t="s">
        <v>28</v>
      </c>
      <c r="W9" s="61" t="s">
        <v>22</v>
      </c>
      <c r="X9" s="61" t="s">
        <v>23</v>
      </c>
      <c r="Y9" s="63" t="s">
        <v>377</v>
      </c>
      <c r="Z9" s="63" t="s">
        <v>375</v>
      </c>
      <c r="AA9" s="63" t="s">
        <v>27</v>
      </c>
      <c r="AB9" s="63" t="s">
        <v>28</v>
      </c>
      <c r="AC9" s="63" t="s">
        <v>22</v>
      </c>
      <c r="AD9" s="63" t="s">
        <v>23</v>
      </c>
      <c r="AE9" s="80" t="s">
        <v>377</v>
      </c>
      <c r="AF9" s="80" t="s">
        <v>375</v>
      </c>
      <c r="AG9" s="65" t="s">
        <v>27</v>
      </c>
      <c r="AH9" s="65" t="s">
        <v>28</v>
      </c>
      <c r="AI9" s="65" t="s">
        <v>22</v>
      </c>
      <c r="AJ9" s="65" t="s">
        <v>23</v>
      </c>
    </row>
    <row r="10" spans="1:36" x14ac:dyDescent="0.2">
      <c r="A10" s="4" t="s">
        <v>369</v>
      </c>
      <c r="B10" s="5">
        <v>0.5</v>
      </c>
      <c r="D10" s="1"/>
      <c r="E10" s="7">
        <v>0</v>
      </c>
      <c r="F10" s="59">
        <f>E10/3.6</f>
        <v>0</v>
      </c>
      <c r="G10" s="51">
        <f>$H$2+$H$3*F10^2</f>
        <v>123.7041</v>
      </c>
      <c r="H10" s="51">
        <f t="shared" ref="H10:H25" si="0">G10*F10</f>
        <v>0</v>
      </c>
      <c r="I10" s="51">
        <f>$H$2*F10</f>
        <v>0</v>
      </c>
      <c r="J10" s="51">
        <f>$H$3*F10^3</f>
        <v>0</v>
      </c>
      <c r="K10" s="51">
        <f>F10/$H$4</f>
        <v>0</v>
      </c>
      <c r="L10" s="51">
        <f t="shared" ref="L10:L25" si="1">H10/$H$5</f>
        <v>0</v>
      </c>
      <c r="M10" s="60">
        <f t="shared" ref="M10:M25" si="2">$N$2+$N$3*F10^2</f>
        <v>1069.9377191695751</v>
      </c>
      <c r="N10" s="60">
        <f t="shared" ref="N10:N25" si="3">M10*F10</f>
        <v>0</v>
      </c>
      <c r="O10" s="60">
        <f t="shared" ref="O10:O25" si="4">$N$2*F10</f>
        <v>0</v>
      </c>
      <c r="P10" s="60">
        <f>$N$3*F10^3</f>
        <v>0</v>
      </c>
      <c r="Q10" s="60">
        <f t="shared" ref="Q10:Q25" si="5">F10/$N$4</f>
        <v>0</v>
      </c>
      <c r="R10" s="60">
        <f t="shared" ref="R10:R25" si="6">N10/$N$5</f>
        <v>0</v>
      </c>
      <c r="S10" s="61">
        <f t="shared" ref="S10:S25" si="7">$T$2+$T$3*F10^2</f>
        <v>1987.4841570981553</v>
      </c>
      <c r="T10" s="61">
        <f t="shared" ref="T10:T25" si="8">S10*F10</f>
        <v>0</v>
      </c>
      <c r="U10" s="61">
        <f t="shared" ref="U10:U25" si="9">$T$2*F10</f>
        <v>0</v>
      </c>
      <c r="V10" s="66">
        <f>$T$3*F10^3</f>
        <v>0</v>
      </c>
      <c r="W10" s="66">
        <f t="shared" ref="W10:W25" si="10">F10/$T$4</f>
        <v>0</v>
      </c>
      <c r="X10" s="66">
        <f t="shared" ref="X10:X25" si="11">T10/$T$5</f>
        <v>0</v>
      </c>
      <c r="Y10" s="67">
        <f t="shared" ref="Y10:Y25" si="12">$Z$2+$Z$3*F10^2</f>
        <v>2852.8033132532992</v>
      </c>
      <c r="Z10" s="67">
        <f t="shared" ref="Z10:Z25" si="13">$Z$2*F10+$Z$3*F10^3</f>
        <v>0</v>
      </c>
      <c r="AA10" s="62">
        <f t="shared" ref="AA10:AA25" si="14">$Z$2*F10</f>
        <v>0</v>
      </c>
      <c r="AB10" s="67">
        <f t="shared" ref="AB10:AB25" si="15">$Z$3*F10^3</f>
        <v>0</v>
      </c>
      <c r="AC10" s="62">
        <f t="shared" ref="AC10:AC25" si="16">F10/$Z$4</f>
        <v>0</v>
      </c>
      <c r="AD10" s="67">
        <f t="shared" ref="AD10:AD25" si="17">Z10/$Z$5</f>
        <v>0</v>
      </c>
      <c r="AE10" s="72">
        <f t="shared" ref="AE10:AE25" si="18">$AF$2+$AF$3*F10^2</f>
        <v>3648.8986323996842</v>
      </c>
      <c r="AF10" s="72">
        <f t="shared" ref="AF10:AF25" si="19">$AF$2*F10+$AF$3*F10^3</f>
        <v>0</v>
      </c>
      <c r="AG10" s="72">
        <f t="shared" ref="AG10:AG25" si="20">$AF$2*F10</f>
        <v>0</v>
      </c>
      <c r="AH10" s="72">
        <f t="shared" ref="AH10:AH25" si="21">$AF$3*F10^3</f>
        <v>0</v>
      </c>
      <c r="AI10" s="64">
        <f t="shared" ref="AI10:AI25" si="22">F10/$AF$4</f>
        <v>0</v>
      </c>
      <c r="AJ10" s="68">
        <f>AF10/$AF$5</f>
        <v>0</v>
      </c>
    </row>
    <row r="11" spans="1:36" x14ac:dyDescent="0.2">
      <c r="A11" s="10" t="s">
        <v>9</v>
      </c>
      <c r="B11" s="5"/>
      <c r="D11" s="1"/>
      <c r="E11" s="7">
        <v>10</v>
      </c>
      <c r="F11" s="59">
        <f t="shared" ref="F11:F25" si="23">E11/3.6</f>
        <v>2.7777777777777777</v>
      </c>
      <c r="G11" s="51">
        <f t="shared" ref="G11:G24" si="24">$H$2+$H$3*F11^2</f>
        <v>127.37691795524691</v>
      </c>
      <c r="H11" s="51">
        <f t="shared" si="0"/>
        <v>353.82477209790807</v>
      </c>
      <c r="I11" s="51">
        <f t="shared" ref="I11:I25" si="25">$H$2*F11</f>
        <v>343.6225</v>
      </c>
      <c r="J11" s="51">
        <f t="shared" ref="J11:J25" si="26">$H$3*F11^3</f>
        <v>10.202272097908093</v>
      </c>
      <c r="K11" s="51">
        <f t="shared" ref="K11:K25" si="27">F11/$H$4</f>
        <v>0.17230887798547437</v>
      </c>
      <c r="L11" s="51">
        <f t="shared" si="1"/>
        <v>8.8712394391602306E-2</v>
      </c>
      <c r="M11" s="60">
        <f t="shared" si="2"/>
        <v>1073.6081649627436</v>
      </c>
      <c r="N11" s="60">
        <f t="shared" si="3"/>
        <v>2982.2449026742875</v>
      </c>
      <c r="O11" s="60">
        <f t="shared" si="4"/>
        <v>2972.049219915486</v>
      </c>
      <c r="P11" s="60">
        <f t="shared" ref="P11:P25" si="28">$N$3*F11^3</f>
        <v>10.195682758801366</v>
      </c>
      <c r="Q11" s="60">
        <f t="shared" si="5"/>
        <v>0.17230887798547437</v>
      </c>
      <c r="R11" s="60">
        <f t="shared" si="6"/>
        <v>2.9385796720610011E-2</v>
      </c>
      <c r="S11" s="61">
        <f t="shared" si="7"/>
        <v>1991.1476928550783</v>
      </c>
      <c r="T11" s="61">
        <f t="shared" si="8"/>
        <v>5530.9658134863284</v>
      </c>
      <c r="U11" s="69">
        <f t="shared" si="9"/>
        <v>5520.7893252726535</v>
      </c>
      <c r="V11" s="66">
        <f t="shared" ref="V11:V25" si="29">$T$3*F11^3</f>
        <v>10.176488213675094</v>
      </c>
      <c r="W11" s="66">
        <f t="shared" si="10"/>
        <v>0.17230887798547437</v>
      </c>
      <c r="X11" s="66">
        <f t="shared" si="11"/>
        <v>2.1506422997314152E-2</v>
      </c>
      <c r="Y11" s="67">
        <f t="shared" si="12"/>
        <v>2856.4559726912671</v>
      </c>
      <c r="Z11" s="67">
        <f t="shared" si="13"/>
        <v>7934.5999241424079</v>
      </c>
      <c r="AA11" s="62">
        <f t="shared" si="14"/>
        <v>7924.4536479258304</v>
      </c>
      <c r="AB11" s="67">
        <f t="shared" si="15"/>
        <v>10.146276216577411</v>
      </c>
      <c r="AC11" s="62">
        <f t="shared" si="16"/>
        <v>0.17230887798547437</v>
      </c>
      <c r="AD11" s="70">
        <f t="shared" si="17"/>
        <v>1.7940725893759571E-2</v>
      </c>
      <c r="AE11" s="81">
        <f t="shared" si="18"/>
        <v>3652.5372630923148</v>
      </c>
      <c r="AF11" s="72">
        <f t="shared" si="19"/>
        <v>10145.936841923096</v>
      </c>
      <c r="AG11" s="72">
        <f t="shared" si="20"/>
        <v>10135.829534443566</v>
      </c>
      <c r="AH11" s="72">
        <f t="shared" si="21"/>
        <v>10.107307479529839</v>
      </c>
      <c r="AI11" s="64">
        <f t="shared" si="22"/>
        <v>0.17230887798547437</v>
      </c>
      <c r="AJ11" s="71">
        <f t="shared" ref="AJ11:AJ25" si="30">AF11/$AF$5</f>
        <v>1.5804870833055314E-2</v>
      </c>
    </row>
    <row r="12" spans="1:36" x14ac:dyDescent="0.2">
      <c r="A12" s="4" t="s">
        <v>5</v>
      </c>
      <c r="B12" s="5">
        <v>5</v>
      </c>
      <c r="D12" s="1"/>
      <c r="E12" s="7">
        <v>20</v>
      </c>
      <c r="F12" s="59">
        <f t="shared" si="23"/>
        <v>5.5555555555555554</v>
      </c>
      <c r="G12" s="51">
        <f t="shared" si="24"/>
        <v>138.39537182098766</v>
      </c>
      <c r="H12" s="51">
        <f t="shared" si="0"/>
        <v>768.86317678326475</v>
      </c>
      <c r="I12" s="51">
        <f t="shared" si="25"/>
        <v>687.245</v>
      </c>
      <c r="J12" s="51">
        <f t="shared" si="26"/>
        <v>81.618176783264744</v>
      </c>
      <c r="K12" s="51">
        <f t="shared" si="27"/>
        <v>0.34461775597094874</v>
      </c>
      <c r="L12" s="51">
        <f t="shared" si="1"/>
        <v>0.19277252117639529</v>
      </c>
      <c r="M12" s="60">
        <f t="shared" si="2"/>
        <v>1084.619502342249</v>
      </c>
      <c r="N12" s="60">
        <f t="shared" si="3"/>
        <v>6025.6639019013828</v>
      </c>
      <c r="O12" s="60">
        <f t="shared" si="4"/>
        <v>5944.098439830972</v>
      </c>
      <c r="P12" s="60">
        <f t="shared" si="28"/>
        <v>81.565462070410931</v>
      </c>
      <c r="Q12" s="60">
        <f t="shared" si="5"/>
        <v>0.34461775597094874</v>
      </c>
      <c r="R12" s="60">
        <f t="shared" si="6"/>
        <v>5.9374377459479481E-2</v>
      </c>
      <c r="S12" s="61">
        <f t="shared" si="7"/>
        <v>2002.1383001258473</v>
      </c>
      <c r="T12" s="61">
        <f t="shared" si="8"/>
        <v>11122.990556254706</v>
      </c>
      <c r="U12" s="69">
        <f t="shared" si="9"/>
        <v>11041.578650545307</v>
      </c>
      <c r="V12" s="66">
        <f t="shared" si="29"/>
        <v>81.411905709400756</v>
      </c>
      <c r="W12" s="66">
        <f t="shared" si="10"/>
        <v>0.34461775597094874</v>
      </c>
      <c r="X12" s="66">
        <f t="shared" si="11"/>
        <v>4.3250265498777279E-2</v>
      </c>
      <c r="Y12" s="67">
        <f t="shared" si="12"/>
        <v>2867.4139510051705</v>
      </c>
      <c r="Z12" s="67">
        <f t="shared" si="13"/>
        <v>15930.077505584281</v>
      </c>
      <c r="AA12" s="62">
        <f t="shared" si="14"/>
        <v>15848.907295851661</v>
      </c>
      <c r="AB12" s="67">
        <f t="shared" si="15"/>
        <v>81.170209732619284</v>
      </c>
      <c r="AC12" s="62">
        <f t="shared" si="16"/>
        <v>0.34461775597094874</v>
      </c>
      <c r="AD12" s="70">
        <f t="shared" si="17"/>
        <v>3.6019100739338471E-2</v>
      </c>
      <c r="AE12" s="72">
        <f t="shared" si="18"/>
        <v>3663.4531551702071</v>
      </c>
      <c r="AF12" s="72">
        <f t="shared" si="19"/>
        <v>20352.517528723372</v>
      </c>
      <c r="AG12" s="72">
        <f t="shared" si="20"/>
        <v>20271.659068887133</v>
      </c>
      <c r="AH12" s="72">
        <f t="shared" si="21"/>
        <v>80.858459836238708</v>
      </c>
      <c r="AI12" s="64">
        <f t="shared" si="22"/>
        <v>0.34461775597094874</v>
      </c>
      <c r="AJ12" s="71">
        <f t="shared" si="30"/>
        <v>3.1704209840911726E-2</v>
      </c>
    </row>
    <row r="13" spans="1:36" x14ac:dyDescent="0.2">
      <c r="A13" s="4" t="s">
        <v>372</v>
      </c>
      <c r="B13" s="5">
        <v>1</v>
      </c>
      <c r="D13" s="1"/>
      <c r="E13" s="7">
        <v>30</v>
      </c>
      <c r="F13" s="59">
        <f t="shared" si="23"/>
        <v>8.3333333333333339</v>
      </c>
      <c r="G13" s="51">
        <f t="shared" si="24"/>
        <v>156.75946159722221</v>
      </c>
      <c r="H13" s="51">
        <f t="shared" si="0"/>
        <v>1306.3288466435185</v>
      </c>
      <c r="I13" s="51">
        <f t="shared" si="25"/>
        <v>1030.8675000000001</v>
      </c>
      <c r="J13" s="51">
        <f t="shared" si="26"/>
        <v>275.46134664351854</v>
      </c>
      <c r="K13" s="51">
        <f t="shared" si="27"/>
        <v>0.51692663395642313</v>
      </c>
      <c r="L13" s="51">
        <f t="shared" si="1"/>
        <v>0.32752811274756966</v>
      </c>
      <c r="M13" s="60">
        <f t="shared" si="2"/>
        <v>1102.9717313080914</v>
      </c>
      <c r="N13" s="60">
        <f t="shared" si="3"/>
        <v>9191.4310942340962</v>
      </c>
      <c r="O13" s="60">
        <f t="shared" si="4"/>
        <v>8916.1476597464589</v>
      </c>
      <c r="P13" s="60">
        <f t="shared" si="28"/>
        <v>275.28343448763695</v>
      </c>
      <c r="Q13" s="60">
        <f t="shared" si="5"/>
        <v>0.51692663395642313</v>
      </c>
      <c r="R13" s="60">
        <f t="shared" si="6"/>
        <v>9.0568526234867872E-2</v>
      </c>
      <c r="S13" s="61">
        <f t="shared" si="7"/>
        <v>2020.4559789104626</v>
      </c>
      <c r="T13" s="61">
        <f t="shared" si="8"/>
        <v>16837.133157587188</v>
      </c>
      <c r="U13" s="69">
        <f t="shared" si="9"/>
        <v>16562.367975817961</v>
      </c>
      <c r="V13" s="66">
        <f t="shared" si="29"/>
        <v>274.76518176922764</v>
      </c>
      <c r="W13" s="66">
        <f t="shared" si="10"/>
        <v>0.51692663395642313</v>
      </c>
      <c r="X13" s="66">
        <f t="shared" si="11"/>
        <v>6.5468947008538378E-2</v>
      </c>
      <c r="Y13" s="67">
        <f t="shared" si="12"/>
        <v>2885.6772481950102</v>
      </c>
      <c r="Z13" s="67">
        <f t="shared" si="13"/>
        <v>24047.310401625084</v>
      </c>
      <c r="AA13" s="62">
        <f t="shared" si="14"/>
        <v>23773.360943777494</v>
      </c>
      <c r="AB13" s="67">
        <f t="shared" si="15"/>
        <v>273.94945784759017</v>
      </c>
      <c r="AC13" s="62">
        <f t="shared" si="16"/>
        <v>0.51692663395642313</v>
      </c>
      <c r="AD13" s="70">
        <f t="shared" si="17"/>
        <v>5.4372773488556035E-2</v>
      </c>
      <c r="AE13" s="72">
        <f t="shared" si="18"/>
        <v>3681.6463086333611</v>
      </c>
      <c r="AF13" s="72">
        <f t="shared" si="19"/>
        <v>30680.38590527801</v>
      </c>
      <c r="AG13" s="72">
        <f t="shared" si="20"/>
        <v>30407.488603330705</v>
      </c>
      <c r="AH13" s="72">
        <f t="shared" si="21"/>
        <v>272.89730194730572</v>
      </c>
      <c r="AI13" s="64">
        <f t="shared" si="22"/>
        <v>0.51692663395642313</v>
      </c>
      <c r="AJ13" s="71">
        <f t="shared" si="30"/>
        <v>4.779248519837033E-2</v>
      </c>
    </row>
    <row r="14" spans="1:36" x14ac:dyDescent="0.2">
      <c r="A14" s="4" t="s">
        <v>370</v>
      </c>
      <c r="B14" s="5">
        <v>0.08</v>
      </c>
      <c r="D14" s="1"/>
      <c r="E14" s="7">
        <v>40</v>
      </c>
      <c r="F14" s="59">
        <f t="shared" si="23"/>
        <v>11.111111111111111</v>
      </c>
      <c r="G14" s="51">
        <f t="shared" si="24"/>
        <v>182.46918728395062</v>
      </c>
      <c r="H14" s="51">
        <f t="shared" si="0"/>
        <v>2027.435414266118</v>
      </c>
      <c r="I14" s="51">
        <f t="shared" si="25"/>
        <v>1374.49</v>
      </c>
      <c r="J14" s="51">
        <f t="shared" si="26"/>
        <v>652.94541426611795</v>
      </c>
      <c r="K14" s="51">
        <f t="shared" si="27"/>
        <v>0.68923551194189747</v>
      </c>
      <c r="L14" s="51">
        <f t="shared" si="1"/>
        <v>0.50832690149831605</v>
      </c>
      <c r="M14" s="60">
        <f t="shared" si="2"/>
        <v>1128.664851860271</v>
      </c>
      <c r="N14" s="60">
        <f t="shared" si="3"/>
        <v>12540.720576225232</v>
      </c>
      <c r="O14" s="60">
        <f t="shared" si="4"/>
        <v>11888.196879661944</v>
      </c>
      <c r="P14" s="60">
        <f t="shared" si="28"/>
        <v>652.52369656328744</v>
      </c>
      <c r="Q14" s="60">
        <f t="shared" si="5"/>
        <v>0.68923551194189747</v>
      </c>
      <c r="R14" s="60">
        <f t="shared" si="6"/>
        <v>0.12357102706503463</v>
      </c>
      <c r="S14" s="61">
        <f t="shared" si="7"/>
        <v>2046.1007292089239</v>
      </c>
      <c r="T14" s="61">
        <f t="shared" si="8"/>
        <v>22734.45254676582</v>
      </c>
      <c r="U14" s="69">
        <f t="shared" si="9"/>
        <v>22083.157301090614</v>
      </c>
      <c r="V14" s="66">
        <f t="shared" si="29"/>
        <v>651.29524567520605</v>
      </c>
      <c r="W14" s="66">
        <f t="shared" si="10"/>
        <v>0.68923551194189747</v>
      </c>
      <c r="X14" s="66">
        <f t="shared" si="11"/>
        <v>8.8399887030746388E-2</v>
      </c>
      <c r="Y14" s="67">
        <f t="shared" si="12"/>
        <v>2911.2458642607849</v>
      </c>
      <c r="Z14" s="67">
        <f t="shared" si="13"/>
        <v>32347.176269564276</v>
      </c>
      <c r="AA14" s="62">
        <f t="shared" si="14"/>
        <v>31697.814591703322</v>
      </c>
      <c r="AB14" s="67">
        <f t="shared" si="15"/>
        <v>649.36167786095427</v>
      </c>
      <c r="AC14" s="62">
        <f t="shared" si="16"/>
        <v>0.68923551194189747</v>
      </c>
      <c r="AD14" s="70">
        <f t="shared" si="17"/>
        <v>7.3139393093231572E-2</v>
      </c>
      <c r="AE14" s="72">
        <f t="shared" si="18"/>
        <v>3707.1167234817763</v>
      </c>
      <c r="AF14" s="72">
        <f t="shared" si="19"/>
        <v>41190.185816464174</v>
      </c>
      <c r="AG14" s="72">
        <f t="shared" si="20"/>
        <v>40543.318137774266</v>
      </c>
      <c r="AH14" s="72">
        <f t="shared" si="21"/>
        <v>646.86767868990967</v>
      </c>
      <c r="AI14" s="64">
        <f t="shared" si="22"/>
        <v>0.68923551194189747</v>
      </c>
      <c r="AJ14" s="71">
        <f t="shared" si="30"/>
        <v>6.4164165080232205E-2</v>
      </c>
    </row>
    <row r="15" spans="1:36" x14ac:dyDescent="0.2">
      <c r="A15" s="4" t="s">
        <v>371</v>
      </c>
      <c r="B15" s="5">
        <v>1.6</v>
      </c>
      <c r="D15" s="1"/>
      <c r="E15" s="7">
        <v>50</v>
      </c>
      <c r="F15" s="59">
        <f t="shared" si="23"/>
        <v>13.888888888888889</v>
      </c>
      <c r="G15" s="51">
        <f t="shared" si="24"/>
        <v>215.52454888117285</v>
      </c>
      <c r="H15" s="51">
        <f t="shared" si="0"/>
        <v>2993.3965122385121</v>
      </c>
      <c r="I15" s="51">
        <f t="shared" si="25"/>
        <v>1718.1125</v>
      </c>
      <c r="J15" s="51">
        <f t="shared" si="26"/>
        <v>1275.2840122385117</v>
      </c>
      <c r="K15" s="51">
        <f t="shared" si="27"/>
        <v>0.86154438992737192</v>
      </c>
      <c r="L15" s="51">
        <f t="shared" si="1"/>
        <v>0.75051661982182538</v>
      </c>
      <c r="M15" s="60">
        <f t="shared" si="2"/>
        <v>1161.6988639987874</v>
      </c>
      <c r="N15" s="60">
        <f t="shared" si="3"/>
        <v>16134.706444427602</v>
      </c>
      <c r="O15" s="60">
        <f t="shared" si="4"/>
        <v>14860.246099577433</v>
      </c>
      <c r="P15" s="60">
        <f t="shared" si="28"/>
        <v>1274.4603448501707</v>
      </c>
      <c r="Q15" s="60">
        <f t="shared" si="5"/>
        <v>0.86154438992737192</v>
      </c>
      <c r="R15" s="60">
        <f t="shared" si="6"/>
        <v>0.15898466396823921</v>
      </c>
      <c r="S15" s="61">
        <f t="shared" si="7"/>
        <v>2079.072551021231</v>
      </c>
      <c r="T15" s="61">
        <f t="shared" si="8"/>
        <v>28876.007653072655</v>
      </c>
      <c r="U15" s="69">
        <f t="shared" si="9"/>
        <v>27603.946626363268</v>
      </c>
      <c r="V15" s="66">
        <f t="shared" si="29"/>
        <v>1272.0610267093871</v>
      </c>
      <c r="W15" s="66">
        <f t="shared" si="10"/>
        <v>0.86154438992737192</v>
      </c>
      <c r="X15" s="66">
        <f t="shared" si="11"/>
        <v>0.11228050506955033</v>
      </c>
      <c r="Y15" s="67">
        <f t="shared" si="12"/>
        <v>2944.1197992024959</v>
      </c>
      <c r="Z15" s="67">
        <f t="shared" si="13"/>
        <v>40890.55276670133</v>
      </c>
      <c r="AA15" s="62">
        <f t="shared" si="14"/>
        <v>39622.268239629157</v>
      </c>
      <c r="AB15" s="67">
        <f t="shared" si="15"/>
        <v>1268.2845270721764</v>
      </c>
      <c r="AC15" s="62">
        <f t="shared" si="16"/>
        <v>0.86154438992737192</v>
      </c>
      <c r="AD15" s="70">
        <f t="shared" si="17"/>
        <v>9.2456608505184432E-2</v>
      </c>
      <c r="AE15" s="72">
        <f t="shared" si="18"/>
        <v>3739.8643997154527</v>
      </c>
      <c r="AF15" s="72">
        <f t="shared" si="19"/>
        <v>51942.561107159061</v>
      </c>
      <c r="AG15" s="72">
        <f t="shared" si="20"/>
        <v>50679.147672217834</v>
      </c>
      <c r="AH15" s="72">
        <f t="shared" si="21"/>
        <v>1263.41343494123</v>
      </c>
      <c r="AI15" s="64">
        <f t="shared" si="22"/>
        <v>0.86154438992737192</v>
      </c>
      <c r="AJ15" s="71">
        <f t="shared" si="30"/>
        <v>8.0913717661298457E-2</v>
      </c>
    </row>
    <row r="16" spans="1:36" x14ac:dyDescent="0.2">
      <c r="A16" s="4" t="s">
        <v>364</v>
      </c>
      <c r="B16" s="5">
        <v>9.81</v>
      </c>
      <c r="D16" s="1"/>
      <c r="E16" s="7">
        <v>60</v>
      </c>
      <c r="F16" s="59">
        <f t="shared" si="23"/>
        <v>16.666666666666668</v>
      </c>
      <c r="G16" s="51">
        <f t="shared" si="24"/>
        <v>255.9255463888889</v>
      </c>
      <c r="H16" s="51">
        <f t="shared" si="0"/>
        <v>4265.4257731481484</v>
      </c>
      <c r="I16" s="51">
        <f t="shared" si="25"/>
        <v>2061.7350000000001</v>
      </c>
      <c r="J16" s="51">
        <f t="shared" si="26"/>
        <v>2203.6907731481483</v>
      </c>
      <c r="K16" s="51">
        <f t="shared" si="27"/>
        <v>1.0338532679128463</v>
      </c>
      <c r="L16" s="51">
        <f t="shared" si="1"/>
        <v>1.0694450001112878</v>
      </c>
      <c r="M16" s="60">
        <f t="shared" si="2"/>
        <v>1202.0737677236407</v>
      </c>
      <c r="N16" s="60">
        <f t="shared" si="3"/>
        <v>20034.562795394013</v>
      </c>
      <c r="O16" s="60">
        <f t="shared" si="4"/>
        <v>17832.295319492918</v>
      </c>
      <c r="P16" s="60">
        <f t="shared" si="28"/>
        <v>2202.2674759010956</v>
      </c>
      <c r="Q16" s="60">
        <f t="shared" si="5"/>
        <v>1.0338532679128463</v>
      </c>
      <c r="R16" s="60">
        <f t="shared" si="6"/>
        <v>0.19741222096274108</v>
      </c>
      <c r="S16" s="61">
        <f t="shared" si="7"/>
        <v>2119.3714443473846</v>
      </c>
      <c r="T16" s="61">
        <f t="shared" si="8"/>
        <v>35322.857405789742</v>
      </c>
      <c r="U16" s="69">
        <f t="shared" si="9"/>
        <v>33124.735951635921</v>
      </c>
      <c r="V16" s="66">
        <f t="shared" si="29"/>
        <v>2198.1214541538211</v>
      </c>
      <c r="W16" s="66">
        <f t="shared" si="10"/>
        <v>1.0338532679128463</v>
      </c>
      <c r="X16" s="66">
        <f t="shared" si="11"/>
        <v>0.13734822062909915</v>
      </c>
      <c r="Y16" s="67">
        <f t="shared" si="12"/>
        <v>2984.2990530201423</v>
      </c>
      <c r="Z16" s="67">
        <f t="shared" si="13"/>
        <v>49738.317550335712</v>
      </c>
      <c r="AA16" s="62">
        <f t="shared" si="14"/>
        <v>47546.721887554988</v>
      </c>
      <c r="AB16" s="67">
        <f t="shared" si="15"/>
        <v>2191.5956627807213</v>
      </c>
      <c r="AC16" s="62">
        <f t="shared" si="16"/>
        <v>1.0338532679128463</v>
      </c>
      <c r="AD16" s="70">
        <f t="shared" si="17"/>
        <v>0.11246206867623394</v>
      </c>
      <c r="AE16" s="72">
        <f t="shared" si="18"/>
        <v>3779.8893373343908</v>
      </c>
      <c r="AF16" s="72">
        <f t="shared" si="19"/>
        <v>62998.155622239858</v>
      </c>
      <c r="AG16" s="72">
        <f t="shared" si="20"/>
        <v>60814.97720666141</v>
      </c>
      <c r="AH16" s="72">
        <f t="shared" si="21"/>
        <v>2183.1784155784458</v>
      </c>
      <c r="AI16" s="64">
        <f t="shared" si="22"/>
        <v>1.0338532679128463</v>
      </c>
      <c r="AJ16" s="71">
        <f t="shared" si="30"/>
        <v>9.8135611116370217E-2</v>
      </c>
    </row>
    <row r="17" spans="1:36" x14ac:dyDescent="0.2">
      <c r="A17" s="4" t="s">
        <v>14</v>
      </c>
      <c r="B17" s="5">
        <v>1.2999999999999999E-2</v>
      </c>
      <c r="D17" s="1"/>
      <c r="E17" s="7">
        <v>70</v>
      </c>
      <c r="F17" s="59">
        <f t="shared" si="23"/>
        <v>19.444444444444443</v>
      </c>
      <c r="G17" s="51">
        <f t="shared" si="24"/>
        <v>303.67217980709876</v>
      </c>
      <c r="H17" s="51">
        <f t="shared" si="0"/>
        <v>5904.7368295824754</v>
      </c>
      <c r="I17" s="51">
        <f t="shared" si="25"/>
        <v>2405.3574999999996</v>
      </c>
      <c r="J17" s="51">
        <f t="shared" si="26"/>
        <v>3499.3793295824753</v>
      </c>
      <c r="K17" s="51">
        <f t="shared" si="27"/>
        <v>1.2061621458983205</v>
      </c>
      <c r="L17" s="51">
        <f t="shared" si="1"/>
        <v>1.4804597747598944</v>
      </c>
      <c r="M17" s="60">
        <f t="shared" si="2"/>
        <v>1249.7895630348312</v>
      </c>
      <c r="N17" s="60">
        <f t="shared" si="3"/>
        <v>24301.463725677269</v>
      </c>
      <c r="O17" s="60">
        <f t="shared" si="4"/>
        <v>20804.344539408401</v>
      </c>
      <c r="P17" s="60">
        <f t="shared" si="28"/>
        <v>3497.1191862688679</v>
      </c>
      <c r="Q17" s="60">
        <f t="shared" si="5"/>
        <v>1.2061621458983205</v>
      </c>
      <c r="R17" s="60">
        <f t="shared" si="6"/>
        <v>0.23945648206679968</v>
      </c>
      <c r="S17" s="61">
        <f t="shared" si="7"/>
        <v>2166.9974091873837</v>
      </c>
      <c r="T17" s="61">
        <f t="shared" si="8"/>
        <v>42136.060734199127</v>
      </c>
      <c r="U17" s="69">
        <f t="shared" si="9"/>
        <v>38645.525276908571</v>
      </c>
      <c r="V17" s="66">
        <f t="shared" si="29"/>
        <v>3490.5354572905571</v>
      </c>
      <c r="W17" s="66">
        <f t="shared" si="10"/>
        <v>1.2061621458983205</v>
      </c>
      <c r="X17" s="66">
        <f t="shared" si="11"/>
        <v>0.16384045321354182</v>
      </c>
      <c r="Y17" s="67">
        <f t="shared" si="12"/>
        <v>3031.7836257137246</v>
      </c>
      <c r="Z17" s="67">
        <f t="shared" si="13"/>
        <v>58951.348277766861</v>
      </c>
      <c r="AA17" s="62">
        <f t="shared" si="14"/>
        <v>55471.175535480812</v>
      </c>
      <c r="AB17" s="67">
        <f t="shared" si="15"/>
        <v>3480.1727422860513</v>
      </c>
      <c r="AC17" s="62">
        <f t="shared" si="16"/>
        <v>1.2061621458983205</v>
      </c>
      <c r="AD17" s="70">
        <f t="shared" si="17"/>
        <v>0.13329342255819937</v>
      </c>
      <c r="AE17" s="72">
        <f t="shared" si="18"/>
        <v>3827.1915363385906</v>
      </c>
      <c r="AF17" s="72">
        <f t="shared" si="19"/>
        <v>74417.613206583701</v>
      </c>
      <c r="AG17" s="72">
        <f t="shared" si="20"/>
        <v>70950.806741104971</v>
      </c>
      <c r="AH17" s="72">
        <f t="shared" si="21"/>
        <v>3466.806465478734</v>
      </c>
      <c r="AI17" s="64">
        <f t="shared" si="22"/>
        <v>1.2061621458983205</v>
      </c>
      <c r="AJ17" s="71">
        <f t="shared" si="30"/>
        <v>0.11592431362024851</v>
      </c>
    </row>
    <row r="18" spans="1:36" x14ac:dyDescent="0.2">
      <c r="A18" s="4" t="s">
        <v>363</v>
      </c>
      <c r="B18" s="5">
        <v>1.3</v>
      </c>
      <c r="D18" s="1"/>
      <c r="E18" s="7">
        <v>80</v>
      </c>
      <c r="F18" s="59">
        <f t="shared" si="23"/>
        <v>22.222222222222221</v>
      </c>
      <c r="G18" s="51">
        <f t="shared" si="24"/>
        <v>358.76444913580247</v>
      </c>
      <c r="H18" s="51">
        <f t="shared" si="0"/>
        <v>7972.5433141289432</v>
      </c>
      <c r="I18" s="51">
        <f t="shared" si="25"/>
        <v>2748.98</v>
      </c>
      <c r="J18" s="51">
        <f t="shared" si="26"/>
        <v>5223.5633141289436</v>
      </c>
      <c r="K18" s="51">
        <f t="shared" si="27"/>
        <v>1.3784710238837949</v>
      </c>
      <c r="L18" s="51">
        <f t="shared" si="1"/>
        <v>1.9989086761608359</v>
      </c>
      <c r="M18" s="60">
        <f t="shared" si="2"/>
        <v>1304.8462499323587</v>
      </c>
      <c r="N18" s="60">
        <f t="shared" si="3"/>
        <v>28996.583331830192</v>
      </c>
      <c r="O18" s="60">
        <f t="shared" si="4"/>
        <v>23776.393759323888</v>
      </c>
      <c r="P18" s="60">
        <f t="shared" si="28"/>
        <v>5220.1895725062996</v>
      </c>
      <c r="Q18" s="60">
        <f t="shared" si="5"/>
        <v>1.3784710238837949</v>
      </c>
      <c r="R18" s="60">
        <f t="shared" si="6"/>
        <v>0.28572023129867458</v>
      </c>
      <c r="S18" s="61">
        <f t="shared" si="7"/>
        <v>2221.9504455412293</v>
      </c>
      <c r="T18" s="61">
        <f t="shared" si="8"/>
        <v>49376.676567582872</v>
      </c>
      <c r="U18" s="69">
        <f t="shared" si="9"/>
        <v>44166.314602181228</v>
      </c>
      <c r="V18" s="66">
        <f t="shared" si="29"/>
        <v>5210.3619654016484</v>
      </c>
      <c r="W18" s="66">
        <f t="shared" si="10"/>
        <v>1.3784710238837949</v>
      </c>
      <c r="X18" s="66">
        <f t="shared" si="11"/>
        <v>0.19199462232702733</v>
      </c>
      <c r="Y18" s="67">
        <f t="shared" si="12"/>
        <v>3086.5735172832428</v>
      </c>
      <c r="Z18" s="67">
        <f t="shared" si="13"/>
        <v>68590.522606294282</v>
      </c>
      <c r="AA18" s="62">
        <f t="shared" si="14"/>
        <v>63395.629183406643</v>
      </c>
      <c r="AB18" s="67">
        <f t="shared" si="15"/>
        <v>5194.8934228876342</v>
      </c>
      <c r="AC18" s="62">
        <f t="shared" si="16"/>
        <v>1.3784710238837949</v>
      </c>
      <c r="AD18" s="70">
        <f t="shared" si="17"/>
        <v>0.15508831910290016</v>
      </c>
      <c r="AE18" s="72">
        <f t="shared" si="18"/>
        <v>3881.7709967280516</v>
      </c>
      <c r="AF18" s="72">
        <f t="shared" si="19"/>
        <v>86261.577705067815</v>
      </c>
      <c r="AG18" s="72">
        <f t="shared" si="20"/>
        <v>81086.636275548532</v>
      </c>
      <c r="AH18" s="72">
        <f t="shared" si="21"/>
        <v>5174.9414295192773</v>
      </c>
      <c r="AI18" s="64">
        <f t="shared" si="22"/>
        <v>1.3784710238837949</v>
      </c>
      <c r="AJ18" s="71">
        <f t="shared" si="30"/>
        <v>0.13437429334773449</v>
      </c>
    </row>
    <row r="19" spans="1:36" x14ac:dyDescent="0.2">
      <c r="A19" s="4" t="s">
        <v>360</v>
      </c>
      <c r="B19" s="6">
        <v>6.5100000000000004E-6</v>
      </c>
      <c r="D19" s="1"/>
      <c r="E19" s="7">
        <v>90</v>
      </c>
      <c r="F19" s="59">
        <f t="shared" si="23"/>
        <v>25</v>
      </c>
      <c r="G19" s="51">
        <f t="shared" si="24"/>
        <v>421.20235437499997</v>
      </c>
      <c r="H19" s="51">
        <f t="shared" si="0"/>
        <v>10530.058859375</v>
      </c>
      <c r="I19" s="51">
        <f t="shared" si="25"/>
        <v>3092.6025</v>
      </c>
      <c r="J19" s="51">
        <f t="shared" si="26"/>
        <v>7437.4563593749999</v>
      </c>
      <c r="K19" s="51">
        <f t="shared" si="27"/>
        <v>1.5507799018692694</v>
      </c>
      <c r="L19" s="51">
        <f t="shared" si="1"/>
        <v>2.6401394367073032</v>
      </c>
      <c r="M19" s="60">
        <f t="shared" si="2"/>
        <v>1367.2438284162229</v>
      </c>
      <c r="N19" s="60">
        <f t="shared" si="3"/>
        <v>34181.095710405571</v>
      </c>
      <c r="O19" s="60">
        <f t="shared" si="4"/>
        <v>26748.442979239378</v>
      </c>
      <c r="P19" s="60">
        <f t="shared" si="28"/>
        <v>7432.6527311661957</v>
      </c>
      <c r="Q19" s="60">
        <f t="shared" si="5"/>
        <v>1.5507799018692694</v>
      </c>
      <c r="R19" s="60">
        <f t="shared" si="6"/>
        <v>0.33680625267662501</v>
      </c>
      <c r="S19" s="61">
        <f t="shared" si="7"/>
        <v>2284.230553408921</v>
      </c>
      <c r="T19" s="61">
        <f t="shared" si="8"/>
        <v>57105.763835223028</v>
      </c>
      <c r="U19" s="69">
        <f t="shared" si="9"/>
        <v>49687.103927453878</v>
      </c>
      <c r="V19" s="66">
        <f t="shared" si="29"/>
        <v>7418.6599077691444</v>
      </c>
      <c r="W19" s="66">
        <f t="shared" si="10"/>
        <v>1.5507799018692694</v>
      </c>
      <c r="X19" s="66">
        <f t="shared" si="11"/>
        <v>0.22204814747370472</v>
      </c>
      <c r="Y19" s="67">
        <f t="shared" si="12"/>
        <v>3148.6687277286965</v>
      </c>
      <c r="Z19" s="67">
        <f t="shared" si="13"/>
        <v>78716.718193217413</v>
      </c>
      <c r="AA19" s="62">
        <f t="shared" si="14"/>
        <v>71320.082831332475</v>
      </c>
      <c r="AB19" s="67">
        <f t="shared" si="15"/>
        <v>7396.6353618849325</v>
      </c>
      <c r="AC19" s="62">
        <f t="shared" si="16"/>
        <v>1.5507799018692694</v>
      </c>
      <c r="AD19" s="70">
        <f t="shared" si="17"/>
        <v>0.17798440726215556</v>
      </c>
      <c r="AE19" s="72">
        <f t="shared" si="18"/>
        <v>3943.6277185027743</v>
      </c>
      <c r="AF19" s="72">
        <f t="shared" si="19"/>
        <v>98590.692962569359</v>
      </c>
      <c r="AG19" s="72">
        <f t="shared" si="20"/>
        <v>91222.465809992107</v>
      </c>
      <c r="AH19" s="72">
        <f t="shared" si="21"/>
        <v>7368.227152577253</v>
      </c>
      <c r="AI19" s="64">
        <f t="shared" si="22"/>
        <v>1.5507799018692694</v>
      </c>
      <c r="AJ19" s="71">
        <f t="shared" si="30"/>
        <v>0.1535800184736292</v>
      </c>
    </row>
    <row r="20" spans="1:36" x14ac:dyDescent="0.2">
      <c r="A20" s="13" t="s">
        <v>379</v>
      </c>
      <c r="B20" s="14">
        <v>0</v>
      </c>
      <c r="D20" s="1"/>
      <c r="E20" s="7">
        <v>100</v>
      </c>
      <c r="F20" s="59">
        <f t="shared" si="23"/>
        <v>27.777777777777779</v>
      </c>
      <c r="G20" s="51">
        <f t="shared" si="24"/>
        <v>490.98589552469133</v>
      </c>
      <c r="H20" s="51">
        <f t="shared" si="0"/>
        <v>13638.497097908094</v>
      </c>
      <c r="I20" s="51">
        <f t="shared" si="25"/>
        <v>3436.2249999999999</v>
      </c>
      <c r="J20" s="51">
        <f t="shared" si="26"/>
        <v>10202.272097908093</v>
      </c>
      <c r="K20" s="51">
        <f t="shared" si="27"/>
        <v>1.7230887798547438</v>
      </c>
      <c r="L20" s="51">
        <f t="shared" si="1"/>
        <v>3.4194997887924861</v>
      </c>
      <c r="M20" s="60">
        <f t="shared" si="2"/>
        <v>1436.9822984864243</v>
      </c>
      <c r="N20" s="60">
        <f t="shared" si="3"/>
        <v>39916.174957956231</v>
      </c>
      <c r="O20" s="60">
        <f t="shared" si="4"/>
        <v>29720.492199154865</v>
      </c>
      <c r="P20" s="60">
        <f t="shared" si="28"/>
        <v>10195.682758801366</v>
      </c>
      <c r="Q20" s="60">
        <f t="shared" si="5"/>
        <v>1.7230887798547438</v>
      </c>
      <c r="R20" s="60">
        <f t="shared" si="6"/>
        <v>0.39331733021891063</v>
      </c>
      <c r="S20" s="61">
        <f t="shared" si="7"/>
        <v>2353.8377327904586</v>
      </c>
      <c r="T20" s="61">
        <f t="shared" si="8"/>
        <v>65384.381466401632</v>
      </c>
      <c r="U20" s="69">
        <f t="shared" si="9"/>
        <v>55207.893252726535</v>
      </c>
      <c r="V20" s="66">
        <f t="shared" si="29"/>
        <v>10176.488213675097</v>
      </c>
      <c r="W20" s="66">
        <f t="shared" si="10"/>
        <v>1.7230887798547438</v>
      </c>
      <c r="X20" s="66">
        <f t="shared" si="11"/>
        <v>0.25423844815772284</v>
      </c>
      <c r="Y20" s="67">
        <f t="shared" si="12"/>
        <v>3218.069257050086</v>
      </c>
      <c r="Z20" s="67">
        <f t="shared" si="13"/>
        <v>89390.812695835717</v>
      </c>
      <c r="AA20" s="62">
        <f t="shared" si="14"/>
        <v>79244.536479258313</v>
      </c>
      <c r="AB20" s="67">
        <f t="shared" si="15"/>
        <v>10146.276216577411</v>
      </c>
      <c r="AC20" s="62">
        <f t="shared" si="16"/>
        <v>1.7230887798547438</v>
      </c>
      <c r="AD20" s="70">
        <f t="shared" si="17"/>
        <v>0.20211933598778489</v>
      </c>
      <c r="AE20" s="72">
        <f t="shared" si="18"/>
        <v>4012.7617016627582</v>
      </c>
      <c r="AF20" s="72">
        <f t="shared" si="19"/>
        <v>111465.60282396551</v>
      </c>
      <c r="AG20" s="72">
        <f t="shared" si="20"/>
        <v>101358.29534443567</v>
      </c>
      <c r="AH20" s="72">
        <f t="shared" si="21"/>
        <v>10107.30747952984</v>
      </c>
      <c r="AI20" s="64">
        <f t="shared" si="22"/>
        <v>1.7230887798547438</v>
      </c>
      <c r="AJ20" s="71">
        <f t="shared" si="30"/>
        <v>0.17363595717273378</v>
      </c>
    </row>
    <row r="21" spans="1:36" x14ac:dyDescent="0.2">
      <c r="A21" s="11" t="s">
        <v>378</v>
      </c>
      <c r="B21" s="12">
        <f>ATAN(0.1)</f>
        <v>9.9668652491162038E-2</v>
      </c>
      <c r="D21" s="1"/>
      <c r="E21" s="7">
        <v>110</v>
      </c>
      <c r="F21" s="59">
        <f t="shared" si="23"/>
        <v>30.555555555555554</v>
      </c>
      <c r="G21" s="51">
        <f t="shared" si="24"/>
        <v>568.11507258487643</v>
      </c>
      <c r="H21" s="51">
        <f t="shared" si="0"/>
        <v>17359.071662315666</v>
      </c>
      <c r="I21" s="51">
        <f t="shared" si="25"/>
        <v>3779.8474999999999</v>
      </c>
      <c r="J21" s="51">
        <f t="shared" si="26"/>
        <v>13579.224162315668</v>
      </c>
      <c r="K21" s="51">
        <f t="shared" si="27"/>
        <v>1.8953976578402181</v>
      </c>
      <c r="L21" s="51">
        <f t="shared" si="1"/>
        <v>4.3523374648095743</v>
      </c>
      <c r="M21" s="60">
        <f t="shared" si="2"/>
        <v>1514.0616601429624</v>
      </c>
      <c r="N21" s="60">
        <f t="shared" si="3"/>
        <v>46262.995171034956</v>
      </c>
      <c r="O21" s="60">
        <f t="shared" si="4"/>
        <v>32692.541419070349</v>
      </c>
      <c r="P21" s="60">
        <f t="shared" si="28"/>
        <v>13570.453751964615</v>
      </c>
      <c r="Q21" s="60">
        <f t="shared" si="5"/>
        <v>1.8953976578402181</v>
      </c>
      <c r="R21" s="60">
        <f t="shared" si="6"/>
        <v>0.45585624794379065</v>
      </c>
      <c r="S21" s="61">
        <f t="shared" si="7"/>
        <v>2430.7719836858423</v>
      </c>
      <c r="T21" s="61">
        <f t="shared" si="8"/>
        <v>74273.588390400735</v>
      </c>
      <c r="U21" s="69">
        <f t="shared" si="9"/>
        <v>60728.682577999185</v>
      </c>
      <c r="V21" s="66">
        <f t="shared" si="29"/>
        <v>13544.905812401548</v>
      </c>
      <c r="W21" s="66">
        <f t="shared" si="10"/>
        <v>1.8953976578402181</v>
      </c>
      <c r="X21" s="66">
        <f t="shared" si="11"/>
        <v>0.28880294388323074</v>
      </c>
      <c r="Y21" s="67">
        <f t="shared" si="12"/>
        <v>3294.7751052474114</v>
      </c>
      <c r="Z21" s="67">
        <f t="shared" si="13"/>
        <v>100673.68377144868</v>
      </c>
      <c r="AA21" s="62">
        <f t="shared" si="14"/>
        <v>87168.990127184137</v>
      </c>
      <c r="AB21" s="67">
        <f t="shared" si="15"/>
        <v>13504.693644264531</v>
      </c>
      <c r="AC21" s="62">
        <f t="shared" si="16"/>
        <v>1.8953976578402181</v>
      </c>
      <c r="AD21" s="70">
        <f t="shared" si="17"/>
        <v>0.2276307542316075</v>
      </c>
      <c r="AE21" s="72">
        <f t="shared" si="18"/>
        <v>4089.1729462080039</v>
      </c>
      <c r="AF21" s="72">
        <f t="shared" si="19"/>
        <v>124946.95113413344</v>
      </c>
      <c r="AG21" s="72">
        <f t="shared" si="20"/>
        <v>111494.12487887923</v>
      </c>
      <c r="AH21" s="72">
        <f t="shared" si="21"/>
        <v>13452.826255254211</v>
      </c>
      <c r="AI21" s="64">
        <f t="shared" si="22"/>
        <v>1.8953976578402181</v>
      </c>
      <c r="AJ21" s="71">
        <f t="shared" si="30"/>
        <v>0.19463657761984929</v>
      </c>
    </row>
    <row r="22" spans="1:36" x14ac:dyDescent="0.2">
      <c r="A22" s="15" t="s">
        <v>380</v>
      </c>
      <c r="B22" s="16">
        <f>ATAN(0.2)</f>
        <v>0.19739555984988078</v>
      </c>
      <c r="D22" s="1"/>
      <c r="E22" s="7">
        <v>120</v>
      </c>
      <c r="F22" s="59">
        <f t="shared" si="23"/>
        <v>33.333333333333336</v>
      </c>
      <c r="G22" s="51">
        <f t="shared" si="24"/>
        <v>652.58988555555561</v>
      </c>
      <c r="H22" s="51">
        <f t="shared" si="0"/>
        <v>21752.996185185188</v>
      </c>
      <c r="I22" s="51">
        <f t="shared" si="25"/>
        <v>4123.47</v>
      </c>
      <c r="J22" s="51">
        <f t="shared" si="26"/>
        <v>17629.526185185186</v>
      </c>
      <c r="K22" s="51">
        <f t="shared" si="27"/>
        <v>2.0677065358256925</v>
      </c>
      <c r="L22" s="51">
        <f t="shared" si="1"/>
        <v>5.454000197151764</v>
      </c>
      <c r="M22" s="60">
        <f t="shared" si="2"/>
        <v>1598.481913385838</v>
      </c>
      <c r="N22" s="60">
        <f t="shared" si="3"/>
        <v>53282.730446194604</v>
      </c>
      <c r="O22" s="60">
        <f t="shared" si="4"/>
        <v>35664.590638985836</v>
      </c>
      <c r="P22" s="60">
        <f t="shared" si="28"/>
        <v>17618.139807208765</v>
      </c>
      <c r="Q22" s="60">
        <f t="shared" si="5"/>
        <v>2.0677065358256925</v>
      </c>
      <c r="R22" s="60">
        <f t="shared" si="6"/>
        <v>0.52502578986952508</v>
      </c>
      <c r="S22" s="61">
        <f t="shared" si="7"/>
        <v>2515.0333060950725</v>
      </c>
      <c r="T22" s="61">
        <f t="shared" si="8"/>
        <v>83834.443536502426</v>
      </c>
      <c r="U22" s="69">
        <f t="shared" si="9"/>
        <v>66249.471903271842</v>
      </c>
      <c r="V22" s="66">
        <f t="shared" si="29"/>
        <v>17584.971633230569</v>
      </c>
      <c r="W22" s="66">
        <f t="shared" si="10"/>
        <v>2.0677065358256925</v>
      </c>
      <c r="X22" s="66">
        <f t="shared" si="11"/>
        <v>0.32597905415437756</v>
      </c>
      <c r="Y22" s="67">
        <f t="shared" si="12"/>
        <v>3378.7862723206722</v>
      </c>
      <c r="Z22" s="67">
        <f t="shared" si="13"/>
        <v>112626.20907735574</v>
      </c>
      <c r="AA22" s="62">
        <f t="shared" si="14"/>
        <v>95093.443775109976</v>
      </c>
      <c r="AB22" s="67">
        <f t="shared" si="15"/>
        <v>17532.765302245771</v>
      </c>
      <c r="AC22" s="62">
        <f t="shared" si="16"/>
        <v>2.0677065358256925</v>
      </c>
      <c r="AD22" s="70">
        <f t="shared" si="17"/>
        <v>0.25465631094544278</v>
      </c>
      <c r="AE22" s="72">
        <f t="shared" si="18"/>
        <v>4172.8614521385116</v>
      </c>
      <c r="AF22" s="72">
        <f t="shared" si="19"/>
        <v>139095.38173795037</v>
      </c>
      <c r="AG22" s="72">
        <f t="shared" si="20"/>
        <v>121629.95441332282</v>
      </c>
      <c r="AH22" s="72">
        <f t="shared" si="21"/>
        <v>17465.427324627566</v>
      </c>
      <c r="AI22" s="64">
        <f t="shared" si="22"/>
        <v>2.0677065358256925</v>
      </c>
      <c r="AJ22" s="71">
        <f t="shared" si="30"/>
        <v>0.21667634798977689</v>
      </c>
    </row>
    <row r="23" spans="1:36" x14ac:dyDescent="0.2">
      <c r="A23" s="17" t="s">
        <v>381</v>
      </c>
      <c r="B23" s="18">
        <f>ATAN(0.3)</f>
        <v>0.2914567944778671</v>
      </c>
      <c r="D23" s="1"/>
      <c r="E23" s="7">
        <v>130</v>
      </c>
      <c r="F23" s="59">
        <f t="shared" si="23"/>
        <v>36.111111111111107</v>
      </c>
      <c r="G23" s="51">
        <f t="shared" si="24"/>
        <v>744.41033443672825</v>
      </c>
      <c r="H23" s="51">
        <f t="shared" si="0"/>
        <v>26881.484299104071</v>
      </c>
      <c r="I23" s="51">
        <f t="shared" si="25"/>
        <v>4467.0924999999997</v>
      </c>
      <c r="J23" s="51">
        <f t="shared" si="26"/>
        <v>22414.391799104073</v>
      </c>
      <c r="K23" s="51">
        <f t="shared" si="27"/>
        <v>2.2400154138111668</v>
      </c>
      <c r="L23" s="51">
        <f t="shared" si="1"/>
        <v>6.7398357182122375</v>
      </c>
      <c r="M23" s="60">
        <f t="shared" si="2"/>
        <v>1690.24305821505</v>
      </c>
      <c r="N23" s="60">
        <f t="shared" si="3"/>
        <v>61036.554879987911</v>
      </c>
      <c r="O23" s="60">
        <f t="shared" si="4"/>
        <v>38636.639858901319</v>
      </c>
      <c r="P23" s="60">
        <f t="shared" si="28"/>
        <v>22399.915021086596</v>
      </c>
      <c r="Q23" s="60">
        <f t="shared" si="5"/>
        <v>2.2400154138111668</v>
      </c>
      <c r="R23" s="60">
        <f t="shared" si="6"/>
        <v>0.60142874001437252</v>
      </c>
      <c r="S23" s="61">
        <f t="shared" si="7"/>
        <v>2606.6217000181477</v>
      </c>
      <c r="T23" s="61">
        <f t="shared" si="8"/>
        <v>94128.00583398866</v>
      </c>
      <c r="U23" s="69">
        <f t="shared" si="9"/>
        <v>71770.261228544492</v>
      </c>
      <c r="V23" s="66">
        <f t="shared" si="29"/>
        <v>22357.744605444179</v>
      </c>
      <c r="W23" s="66">
        <f t="shared" si="10"/>
        <v>2.2400154138111668</v>
      </c>
      <c r="X23" s="66">
        <f t="shared" si="11"/>
        <v>0.36600419847531179</v>
      </c>
      <c r="Y23" s="67">
        <f t="shared" si="12"/>
        <v>3470.1027582698689</v>
      </c>
      <c r="Z23" s="67">
        <f t="shared" si="13"/>
        <v>125309.26627085634</v>
      </c>
      <c r="AA23" s="62">
        <f t="shared" si="14"/>
        <v>103017.89742303579</v>
      </c>
      <c r="AB23" s="67">
        <f t="shared" si="15"/>
        <v>22291.368847820566</v>
      </c>
      <c r="AC23" s="62">
        <f t="shared" si="16"/>
        <v>2.2400154138111668</v>
      </c>
      <c r="AD23" s="70">
        <f t="shared" si="17"/>
        <v>0.28333365508110986</v>
      </c>
      <c r="AE23" s="72">
        <f t="shared" si="18"/>
        <v>4263.8272194542797</v>
      </c>
      <c r="AF23" s="72">
        <f t="shared" si="19"/>
        <v>153971.53848029341</v>
      </c>
      <c r="AG23" s="72">
        <f t="shared" si="20"/>
        <v>131765.78394776635</v>
      </c>
      <c r="AH23" s="72">
        <f t="shared" si="21"/>
        <v>22205.754532527051</v>
      </c>
      <c r="AI23" s="64">
        <f t="shared" si="22"/>
        <v>2.2400154138111668</v>
      </c>
      <c r="AJ23" s="71">
        <f t="shared" si="30"/>
        <v>0.23984973645731755</v>
      </c>
    </row>
    <row r="24" spans="1:36" ht="16" thickBot="1" x14ac:dyDescent="0.25">
      <c r="A24" s="19" t="s">
        <v>382</v>
      </c>
      <c r="B24" s="20">
        <f>ATAN(0.4)</f>
        <v>0.3805063771123649</v>
      </c>
      <c r="D24" s="1"/>
      <c r="E24" s="7">
        <v>140</v>
      </c>
      <c r="F24" s="59">
        <f t="shared" si="23"/>
        <v>38.888888888888886</v>
      </c>
      <c r="G24" s="51">
        <f t="shared" si="24"/>
        <v>843.57641922839503</v>
      </c>
      <c r="H24" s="51">
        <f t="shared" si="0"/>
        <v>32805.749636659806</v>
      </c>
      <c r="I24" s="51">
        <f t="shared" si="25"/>
        <v>4810.7149999999992</v>
      </c>
      <c r="J24" s="51">
        <f t="shared" si="26"/>
        <v>27995.034636659802</v>
      </c>
      <c r="K24" s="51">
        <f t="shared" si="27"/>
        <v>2.412324291796641</v>
      </c>
      <c r="L24" s="51">
        <f t="shared" si="1"/>
        <v>8.2251917603841935</v>
      </c>
      <c r="M24" s="60">
        <f t="shared" si="2"/>
        <v>1789.3450946305993</v>
      </c>
      <c r="N24" s="60">
        <f t="shared" si="3"/>
        <v>69585.642568967742</v>
      </c>
      <c r="O24" s="60">
        <f t="shared" si="4"/>
        <v>41608.689078816802</v>
      </c>
      <c r="P24" s="60">
        <f t="shared" si="28"/>
        <v>27976.953490150943</v>
      </c>
      <c r="Q24" s="60">
        <f t="shared" si="5"/>
        <v>2.412324291796641</v>
      </c>
      <c r="R24" s="60">
        <f t="shared" si="6"/>
        <v>0.68566788239659315</v>
      </c>
      <c r="S24" s="61">
        <f t="shared" si="7"/>
        <v>2705.53716545507</v>
      </c>
      <c r="T24" s="69">
        <f t="shared" si="8"/>
        <v>105215.33421214161</v>
      </c>
      <c r="U24" s="69">
        <f t="shared" si="9"/>
        <v>77291.050553817142</v>
      </c>
      <c r="V24" s="66">
        <f t="shared" si="29"/>
        <v>27924.283658324457</v>
      </c>
      <c r="W24" s="66">
        <f t="shared" si="10"/>
        <v>2.412324291796641</v>
      </c>
      <c r="X24" s="66">
        <f t="shared" si="11"/>
        <v>0.40911579635018297</v>
      </c>
      <c r="Y24" s="67">
        <f t="shared" si="12"/>
        <v>3568.724563095001</v>
      </c>
      <c r="Z24" s="67">
        <f t="shared" si="13"/>
        <v>138783.73300925002</v>
      </c>
      <c r="AA24" s="62">
        <f t="shared" si="14"/>
        <v>110942.35107096162</v>
      </c>
      <c r="AB24" s="67">
        <f t="shared" si="15"/>
        <v>27841.38193828841</v>
      </c>
      <c r="AC24" s="62">
        <f t="shared" si="16"/>
        <v>2.412324291796641</v>
      </c>
      <c r="AD24" s="70">
        <f t="shared" si="17"/>
        <v>0.31380043559042831</v>
      </c>
      <c r="AE24" s="72">
        <f t="shared" si="18"/>
        <v>4362.0702481553099</v>
      </c>
      <c r="AF24" s="72">
        <f t="shared" si="19"/>
        <v>169636.06520603981</v>
      </c>
      <c r="AG24" s="72">
        <f t="shared" si="20"/>
        <v>141901.61348220994</v>
      </c>
      <c r="AH24" s="72">
        <f t="shared" si="21"/>
        <v>27734.451723829872</v>
      </c>
      <c r="AI24" s="64">
        <f t="shared" si="22"/>
        <v>2.412324291796641</v>
      </c>
      <c r="AJ24" s="71">
        <f t="shared" si="30"/>
        <v>0.26425121119727252</v>
      </c>
    </row>
    <row r="25" spans="1:36" ht="16" thickBot="1" x14ac:dyDescent="0.25">
      <c r="D25" s="1"/>
      <c r="E25" s="8">
        <v>150</v>
      </c>
      <c r="F25" s="59">
        <f t="shared" si="23"/>
        <v>41.666666666666664</v>
      </c>
      <c r="G25" s="51">
        <f>$H$2+$H$3*F25^2</f>
        <v>950.08813993055549</v>
      </c>
      <c r="H25" s="51">
        <f t="shared" si="0"/>
        <v>39587.005830439812</v>
      </c>
      <c r="I25" s="51">
        <f t="shared" si="25"/>
        <v>5154.3374999999996</v>
      </c>
      <c r="J25" s="51">
        <f t="shared" si="26"/>
        <v>34432.668330439803</v>
      </c>
      <c r="K25" s="51">
        <f t="shared" si="27"/>
        <v>2.5846331697821157</v>
      </c>
      <c r="L25" s="51">
        <f t="shared" si="1"/>
        <v>9.9254160560608184</v>
      </c>
      <c r="M25" s="60">
        <f t="shared" si="2"/>
        <v>1895.7880226324855</v>
      </c>
      <c r="N25" s="60">
        <f t="shared" si="3"/>
        <v>78991.167609686891</v>
      </c>
      <c r="O25" s="60">
        <f t="shared" si="4"/>
        <v>44580.738298732293</v>
      </c>
      <c r="P25" s="60">
        <f t="shared" si="28"/>
        <v>34410.429310954605</v>
      </c>
      <c r="Q25" s="60">
        <f t="shared" si="5"/>
        <v>2.5846331697821157</v>
      </c>
      <c r="R25" s="60">
        <f t="shared" si="6"/>
        <v>0.77834600103444618</v>
      </c>
      <c r="S25" s="61">
        <f t="shared" si="7"/>
        <v>2811.7797024058382</v>
      </c>
      <c r="T25" s="69">
        <f t="shared" si="8"/>
        <v>117157.48760024326</v>
      </c>
      <c r="U25" s="69">
        <f t="shared" si="9"/>
        <v>82811.839879089792</v>
      </c>
      <c r="V25" s="66">
        <f t="shared" si="29"/>
        <v>34345.647721153444</v>
      </c>
      <c r="W25" s="66">
        <f t="shared" si="10"/>
        <v>2.5846331697821157</v>
      </c>
      <c r="X25" s="66">
        <f t="shared" si="11"/>
        <v>0.45555126728313983</v>
      </c>
      <c r="Y25" s="67">
        <f t="shared" si="12"/>
        <v>3674.6516867960695</v>
      </c>
      <c r="Z25" s="67">
        <f t="shared" si="13"/>
        <v>153110.48694983622</v>
      </c>
      <c r="AA25" s="62">
        <f t="shared" si="14"/>
        <v>118866.80471888746</v>
      </c>
      <c r="AB25" s="67">
        <f t="shared" si="15"/>
        <v>34243.682230948754</v>
      </c>
      <c r="AC25" s="62">
        <f t="shared" si="16"/>
        <v>2.5846331697821157</v>
      </c>
      <c r="AD25" s="70">
        <f t="shared" si="17"/>
        <v>0.3461943014252174</v>
      </c>
      <c r="AE25" s="72">
        <f t="shared" si="18"/>
        <v>4467.5905382416013</v>
      </c>
      <c r="AF25" s="72">
        <f t="shared" si="19"/>
        <v>186149.60576006671</v>
      </c>
      <c r="AG25" s="72">
        <f t="shared" si="20"/>
        <v>152037.4430166535</v>
      </c>
      <c r="AH25" s="72">
        <f t="shared" si="21"/>
        <v>34112.162743413202</v>
      </c>
      <c r="AI25" s="64">
        <f t="shared" si="22"/>
        <v>2.5846331697821157</v>
      </c>
      <c r="AJ25" s="71">
        <f t="shared" si="30"/>
        <v>0.28997524038444278</v>
      </c>
    </row>
    <row r="26" spans="1:36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36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AB27" s="9"/>
    </row>
    <row r="28" spans="1:36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36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36" x14ac:dyDescent="0.2">
      <c r="D30" s="1"/>
      <c r="E30" s="79" t="s">
        <v>37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36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36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4:23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4:23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4:23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4:23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4:23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4:23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4:23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4:23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4:23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4:23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4:23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4:23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4:23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4:23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4:23" x14ac:dyDescent="0.2">
      <c r="D47" s="1"/>
      <c r="E47" s="82" t="s">
        <v>38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4:23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9"/>
    </row>
    <row r="49" spans="4:21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5" spans="4:21" x14ac:dyDescent="0.2">
      <c r="U55" s="9"/>
    </row>
    <row r="63" spans="4:21" x14ac:dyDescent="0.2">
      <c r="D63" s="83" t="s">
        <v>39</v>
      </c>
      <c r="E63" s="8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34"/>
  <sheetViews>
    <sheetView topLeftCell="A12" zoomScale="83" zoomScaleNormal="83" zoomScalePageLayoutView="83" workbookViewId="0">
      <selection activeCell="D27" sqref="D27"/>
    </sheetView>
  </sheetViews>
  <sheetFormatPr baseColWidth="10" defaultColWidth="11.5" defaultRowHeight="15" x14ac:dyDescent="0.2"/>
  <cols>
    <col min="1" max="3" width="11.5" style="25"/>
    <col min="4" max="4" width="25.83203125" style="25" bestFit="1" customWidth="1"/>
    <col min="5" max="16384" width="11.5" style="25"/>
  </cols>
  <sheetData>
    <row r="1" spans="1:17" x14ac:dyDescent="0.2">
      <c r="A1" s="2" t="s">
        <v>0</v>
      </c>
      <c r="B1" s="3">
        <v>0.35</v>
      </c>
    </row>
    <row r="2" spans="1:17" ht="45" x14ac:dyDescent="0.2">
      <c r="A2" s="4" t="s">
        <v>361</v>
      </c>
      <c r="B2" s="5">
        <v>1.82</v>
      </c>
      <c r="D2" s="28" t="s">
        <v>286</v>
      </c>
      <c r="E2" s="29" t="s">
        <v>384</v>
      </c>
      <c r="F2" s="30"/>
      <c r="G2" s="28" t="s">
        <v>286</v>
      </c>
      <c r="H2" s="29" t="s">
        <v>384</v>
      </c>
      <c r="J2" s="28" t="s">
        <v>286</v>
      </c>
      <c r="K2" s="29" t="s">
        <v>384</v>
      </c>
      <c r="M2" s="28" t="s">
        <v>286</v>
      </c>
      <c r="N2" s="29" t="s">
        <v>384</v>
      </c>
      <c r="P2" s="28" t="s">
        <v>286</v>
      </c>
      <c r="Q2" s="29" t="s">
        <v>384</v>
      </c>
    </row>
    <row r="3" spans="1:17" x14ac:dyDescent="0.2">
      <c r="A3" s="4" t="s">
        <v>362</v>
      </c>
      <c r="B3" s="5">
        <v>970</v>
      </c>
      <c r="D3" s="31">
        <v>6500</v>
      </c>
      <c r="E3" s="31" t="s">
        <v>383</v>
      </c>
      <c r="F3" s="31"/>
      <c r="G3" s="31">
        <v>6000</v>
      </c>
      <c r="H3" s="31" t="s">
        <v>383</v>
      </c>
      <c r="I3" s="31"/>
      <c r="J3" s="31">
        <v>5500</v>
      </c>
      <c r="K3" s="31" t="s">
        <v>383</v>
      </c>
      <c r="L3" s="31"/>
      <c r="M3" s="31">
        <v>5000</v>
      </c>
      <c r="N3" s="31" t="s">
        <v>383</v>
      </c>
      <c r="O3" s="31"/>
      <c r="P3" s="31">
        <v>4500</v>
      </c>
      <c r="Q3" s="31" t="s">
        <v>383</v>
      </c>
    </row>
    <row r="4" spans="1:17" x14ac:dyDescent="0.2">
      <c r="A4" s="4" t="s">
        <v>365</v>
      </c>
      <c r="B4" s="84">
        <f>1040/1000000</f>
        <v>1.0399999999999999E-3</v>
      </c>
      <c r="D4" s="42" t="s">
        <v>40</v>
      </c>
      <c r="G4" s="42" t="s">
        <v>56</v>
      </c>
      <c r="J4" s="42" t="s">
        <v>73</v>
      </c>
      <c r="M4" s="42" t="s">
        <v>92</v>
      </c>
      <c r="P4" s="42" t="s">
        <v>111</v>
      </c>
    </row>
    <row r="5" spans="1:17" x14ac:dyDescent="0.2">
      <c r="A5" s="4" t="s">
        <v>4</v>
      </c>
      <c r="B5" s="5">
        <v>0.28100000000000003</v>
      </c>
      <c r="D5" s="25" t="s">
        <v>41</v>
      </c>
      <c r="G5" s="25" t="s">
        <v>57</v>
      </c>
      <c r="J5" s="25" t="s">
        <v>74</v>
      </c>
      <c r="M5" s="25" t="s">
        <v>93</v>
      </c>
      <c r="P5" s="25" t="s">
        <v>112</v>
      </c>
    </row>
    <row r="6" spans="1:17" x14ac:dyDescent="0.2">
      <c r="A6" s="4" t="s">
        <v>366</v>
      </c>
      <c r="B6" s="5">
        <v>850</v>
      </c>
      <c r="D6" s="25" t="s">
        <v>42</v>
      </c>
      <c r="G6" s="25" t="s">
        <v>58</v>
      </c>
      <c r="J6" s="25" t="s">
        <v>75</v>
      </c>
      <c r="M6" s="25" t="s">
        <v>94</v>
      </c>
      <c r="P6" s="25" t="s">
        <v>113</v>
      </c>
    </row>
    <row r="7" spans="1:17" x14ac:dyDescent="0.2">
      <c r="A7" s="4" t="s">
        <v>36</v>
      </c>
      <c r="B7" s="5">
        <v>0.9</v>
      </c>
      <c r="D7" s="25" t="s">
        <v>43</v>
      </c>
      <c r="G7" s="25" t="s">
        <v>59</v>
      </c>
      <c r="J7" s="25" t="s">
        <v>76</v>
      </c>
      <c r="M7" s="25" t="s">
        <v>95</v>
      </c>
      <c r="P7" s="25" t="s">
        <v>114</v>
      </c>
    </row>
    <row r="8" spans="1:17" x14ac:dyDescent="0.2">
      <c r="A8" s="4" t="s">
        <v>367</v>
      </c>
      <c r="B8" s="5">
        <v>2.2999999999999998</v>
      </c>
      <c r="D8" s="25" t="s">
        <v>44</v>
      </c>
      <c r="G8" s="25" t="s">
        <v>60</v>
      </c>
      <c r="J8" s="25" t="s">
        <v>77</v>
      </c>
      <c r="M8" s="25" t="s">
        <v>96</v>
      </c>
      <c r="P8" s="25" t="s">
        <v>115</v>
      </c>
    </row>
    <row r="9" spans="1:17" x14ac:dyDescent="0.2">
      <c r="A9" s="4" t="s">
        <v>368</v>
      </c>
      <c r="B9" s="5">
        <v>1.1499999999999999</v>
      </c>
      <c r="D9" s="25" t="s">
        <v>45</v>
      </c>
      <c r="G9" s="25" t="s">
        <v>61</v>
      </c>
      <c r="J9" s="25" t="s">
        <v>78</v>
      </c>
      <c r="M9" s="25" t="s">
        <v>97</v>
      </c>
      <c r="P9" s="25" t="s">
        <v>116</v>
      </c>
    </row>
    <row r="10" spans="1:17" x14ac:dyDescent="0.2">
      <c r="A10" s="4" t="s">
        <v>369</v>
      </c>
      <c r="B10" s="5">
        <v>0.5</v>
      </c>
      <c r="D10" s="25" t="s">
        <v>46</v>
      </c>
      <c r="G10" s="25" t="s">
        <v>62</v>
      </c>
      <c r="J10" s="25" t="s">
        <v>79</v>
      </c>
      <c r="M10" s="25" t="s">
        <v>98</v>
      </c>
      <c r="P10" s="25" t="s">
        <v>117</v>
      </c>
    </row>
    <row r="11" spans="1:17" x14ac:dyDescent="0.2">
      <c r="A11" s="10" t="s">
        <v>9</v>
      </c>
      <c r="B11" s="5"/>
      <c r="D11" s="25" t="s">
        <v>47</v>
      </c>
      <c r="G11" s="25" t="s">
        <v>63</v>
      </c>
      <c r="J11" s="25" t="s">
        <v>80</v>
      </c>
      <c r="M11" s="25" t="s">
        <v>99</v>
      </c>
      <c r="P11" s="25" t="s">
        <v>118</v>
      </c>
    </row>
    <row r="12" spans="1:17" x14ac:dyDescent="0.2">
      <c r="A12" s="4" t="s">
        <v>5</v>
      </c>
      <c r="B12" s="5">
        <v>5</v>
      </c>
      <c r="D12" s="25" t="s">
        <v>48</v>
      </c>
      <c r="G12" s="25" t="s">
        <v>64</v>
      </c>
      <c r="J12" s="25" t="s">
        <v>81</v>
      </c>
      <c r="M12" s="25" t="s">
        <v>100</v>
      </c>
      <c r="P12" s="25" t="s">
        <v>119</v>
      </c>
    </row>
    <row r="13" spans="1:17" x14ac:dyDescent="0.2">
      <c r="A13" s="4" t="s">
        <v>372</v>
      </c>
      <c r="B13" s="5">
        <v>1</v>
      </c>
      <c r="D13" s="25" t="s">
        <v>49</v>
      </c>
      <c r="G13" s="25" t="s">
        <v>65</v>
      </c>
      <c r="J13" s="25" t="s">
        <v>82</v>
      </c>
      <c r="M13" s="25" t="s">
        <v>101</v>
      </c>
      <c r="P13" s="25" t="s">
        <v>120</v>
      </c>
    </row>
    <row r="14" spans="1:17" x14ac:dyDescent="0.2">
      <c r="A14" s="4" t="s">
        <v>370</v>
      </c>
      <c r="B14" s="5">
        <v>0.08</v>
      </c>
      <c r="D14" s="25" t="s">
        <v>50</v>
      </c>
      <c r="G14" s="25" t="s">
        <v>66</v>
      </c>
      <c r="J14" s="25" t="s">
        <v>83</v>
      </c>
      <c r="M14" s="25" t="s">
        <v>102</v>
      </c>
      <c r="P14" s="25" t="s">
        <v>121</v>
      </c>
    </row>
    <row r="15" spans="1:17" x14ac:dyDescent="0.2">
      <c r="A15" s="4" t="s">
        <v>371</v>
      </c>
      <c r="B15" s="5">
        <v>1.6</v>
      </c>
      <c r="D15" s="25" t="s">
        <v>51</v>
      </c>
      <c r="G15" s="25" t="s">
        <v>67</v>
      </c>
      <c r="J15" s="25" t="s">
        <v>84</v>
      </c>
      <c r="M15" s="25" t="s">
        <v>103</v>
      </c>
      <c r="P15" s="25" t="s">
        <v>122</v>
      </c>
    </row>
    <row r="16" spans="1:17" x14ac:dyDescent="0.2">
      <c r="A16" s="4" t="s">
        <v>364</v>
      </c>
      <c r="B16" s="5">
        <v>9.81</v>
      </c>
      <c r="D16" s="25" t="s">
        <v>52</v>
      </c>
      <c r="G16" s="25" t="s">
        <v>68</v>
      </c>
      <c r="J16" s="25" t="s">
        <v>85</v>
      </c>
      <c r="M16" s="25" t="s">
        <v>104</v>
      </c>
      <c r="P16" s="25" t="s">
        <v>123</v>
      </c>
    </row>
    <row r="17" spans="1:20" x14ac:dyDescent="0.2">
      <c r="A17" s="4" t="s">
        <v>14</v>
      </c>
      <c r="B17" s="5">
        <v>1.2999999999999999E-2</v>
      </c>
      <c r="D17" s="25" t="s">
        <v>53</v>
      </c>
      <c r="G17" s="25" t="s">
        <v>69</v>
      </c>
      <c r="J17" s="25" t="s">
        <v>86</v>
      </c>
      <c r="M17" s="25" t="s">
        <v>105</v>
      </c>
      <c r="P17" s="25" t="s">
        <v>124</v>
      </c>
    </row>
    <row r="18" spans="1:20" x14ac:dyDescent="0.2">
      <c r="A18" s="4" t="s">
        <v>363</v>
      </c>
      <c r="B18" s="5">
        <v>1.3</v>
      </c>
      <c r="D18" s="25" t="s">
        <v>54</v>
      </c>
      <c r="G18" s="25" t="s">
        <v>70</v>
      </c>
      <c r="J18" s="25" t="s">
        <v>87</v>
      </c>
      <c r="M18" s="25" t="s">
        <v>106</v>
      </c>
      <c r="P18" s="25" t="s">
        <v>125</v>
      </c>
    </row>
    <row r="19" spans="1:20" x14ac:dyDescent="0.2">
      <c r="A19" s="4" t="s">
        <v>360</v>
      </c>
      <c r="B19" s="6">
        <v>6.5100000000000004E-6</v>
      </c>
      <c r="D19" s="25" t="s">
        <v>55</v>
      </c>
      <c r="G19" s="25" t="s">
        <v>71</v>
      </c>
      <c r="J19" s="25" t="s">
        <v>88</v>
      </c>
      <c r="M19" s="25" t="s">
        <v>107</v>
      </c>
      <c r="P19" s="25" t="s">
        <v>126</v>
      </c>
    </row>
    <row r="20" spans="1:20" x14ac:dyDescent="0.2">
      <c r="A20" s="13" t="s">
        <v>379</v>
      </c>
      <c r="B20" s="14">
        <v>0</v>
      </c>
      <c r="G20" s="25" t="s">
        <v>72</v>
      </c>
      <c r="J20" s="25" t="s">
        <v>89</v>
      </c>
      <c r="M20" s="25" t="s">
        <v>108</v>
      </c>
      <c r="P20" s="25" t="s">
        <v>127</v>
      </c>
    </row>
    <row r="21" spans="1:20" x14ac:dyDescent="0.2">
      <c r="A21" s="11" t="s">
        <v>378</v>
      </c>
      <c r="B21" s="12">
        <f>ATAN(0.1)</f>
        <v>9.9668652491162038E-2</v>
      </c>
      <c r="J21" s="25" t="s">
        <v>90</v>
      </c>
      <c r="M21" s="25" t="s">
        <v>109</v>
      </c>
      <c r="P21" s="25" t="s">
        <v>128</v>
      </c>
    </row>
    <row r="22" spans="1:20" x14ac:dyDescent="0.2">
      <c r="A22" s="15" t="s">
        <v>380</v>
      </c>
      <c r="B22" s="16">
        <f>ATAN(0.2)</f>
        <v>0.19739555984988078</v>
      </c>
      <c r="J22" s="25" t="s">
        <v>91</v>
      </c>
      <c r="M22" s="25" t="s">
        <v>110</v>
      </c>
      <c r="P22" s="25" t="s">
        <v>129</v>
      </c>
    </row>
    <row r="23" spans="1:20" x14ac:dyDescent="0.2">
      <c r="A23" s="17" t="s">
        <v>381</v>
      </c>
      <c r="B23" s="18">
        <f>ATAN(0.3)</f>
        <v>0.2914567944778671</v>
      </c>
      <c r="P23" s="25" t="s">
        <v>130</v>
      </c>
    </row>
    <row r="24" spans="1:20" ht="16" thickBot="1" x14ac:dyDescent="0.25">
      <c r="A24" s="19" t="s">
        <v>382</v>
      </c>
      <c r="B24" s="20">
        <f>ATAN(0.4)</f>
        <v>0.3805063771123649</v>
      </c>
      <c r="P24" s="25" t="s">
        <v>131</v>
      </c>
    </row>
    <row r="27" spans="1:20" ht="45" x14ac:dyDescent="0.2">
      <c r="D27" s="28" t="s">
        <v>286</v>
      </c>
      <c r="E27" s="29" t="s">
        <v>384</v>
      </c>
      <c r="G27" s="28" t="s">
        <v>286</v>
      </c>
      <c r="H27" s="29" t="s">
        <v>384</v>
      </c>
      <c r="J27" s="28" t="s">
        <v>286</v>
      </c>
      <c r="K27" s="29" t="s">
        <v>384</v>
      </c>
      <c r="M27" s="28" t="s">
        <v>286</v>
      </c>
      <c r="N27" s="29" t="s">
        <v>384</v>
      </c>
      <c r="P27" s="28" t="s">
        <v>286</v>
      </c>
      <c r="Q27" s="29" t="s">
        <v>384</v>
      </c>
      <c r="S27" s="56" t="s">
        <v>344</v>
      </c>
    </row>
    <row r="28" spans="1:20" x14ac:dyDescent="0.2">
      <c r="D28" s="31">
        <v>4000</v>
      </c>
      <c r="E28" s="31" t="s">
        <v>383</v>
      </c>
      <c r="F28" s="31"/>
      <c r="G28" s="31">
        <v>3500</v>
      </c>
      <c r="H28" s="31" t="s">
        <v>383</v>
      </c>
      <c r="I28" s="31"/>
      <c r="J28" s="31">
        <v>3250</v>
      </c>
      <c r="K28" s="31" t="s">
        <v>383</v>
      </c>
      <c r="L28" s="31"/>
      <c r="M28" s="31">
        <v>3000</v>
      </c>
      <c r="N28" s="31" t="s">
        <v>383</v>
      </c>
      <c r="O28" s="31"/>
      <c r="P28" s="31">
        <v>2500</v>
      </c>
      <c r="Q28" s="31" t="s">
        <v>383</v>
      </c>
      <c r="S28" s="57">
        <v>1000</v>
      </c>
      <c r="T28" s="86">
        <v>5.9850000000000003</v>
      </c>
    </row>
    <row r="29" spans="1:20" x14ac:dyDescent="0.2">
      <c r="D29" s="42" t="s">
        <v>132</v>
      </c>
      <c r="G29" s="42" t="s">
        <v>154</v>
      </c>
      <c r="J29" s="42" t="s">
        <v>176</v>
      </c>
      <c r="M29" s="42" t="s">
        <v>198</v>
      </c>
      <c r="P29" s="42" t="s">
        <v>220</v>
      </c>
      <c r="S29" s="57">
        <v>1500</v>
      </c>
      <c r="T29" s="86">
        <v>8.5785</v>
      </c>
    </row>
    <row r="30" spans="1:20" x14ac:dyDescent="0.2">
      <c r="D30" s="25" t="s">
        <v>133</v>
      </c>
      <c r="G30" s="25" t="s">
        <v>155</v>
      </c>
      <c r="J30" s="25" t="s">
        <v>177</v>
      </c>
      <c r="M30" s="25" t="s">
        <v>199</v>
      </c>
      <c r="P30" s="25" t="s">
        <v>221</v>
      </c>
      <c r="S30" s="57">
        <v>2000</v>
      </c>
      <c r="T30" s="86">
        <v>8.8409999999999993</v>
      </c>
    </row>
    <row r="31" spans="1:20" x14ac:dyDescent="0.2">
      <c r="D31" s="25" t="s">
        <v>134</v>
      </c>
      <c r="G31" s="25" t="s">
        <v>156</v>
      </c>
      <c r="J31" s="25" t="s">
        <v>178</v>
      </c>
      <c r="M31" s="25" t="s">
        <v>200</v>
      </c>
      <c r="P31" s="25" t="s">
        <v>222</v>
      </c>
      <c r="S31" s="57">
        <v>2500</v>
      </c>
      <c r="T31" s="86">
        <v>9.3345000000000002</v>
      </c>
    </row>
    <row r="32" spans="1:20" x14ac:dyDescent="0.2">
      <c r="D32" s="25" t="s">
        <v>135</v>
      </c>
      <c r="G32" s="25" t="s">
        <v>157</v>
      </c>
      <c r="J32" s="25" t="s">
        <v>179</v>
      </c>
      <c r="M32" s="25" t="s">
        <v>201</v>
      </c>
      <c r="P32" s="25" t="s">
        <v>223</v>
      </c>
      <c r="S32" s="57">
        <v>3000</v>
      </c>
      <c r="T32" s="86">
        <v>9.5129999999999999</v>
      </c>
    </row>
    <row r="33" spans="4:20" x14ac:dyDescent="0.2">
      <c r="D33" s="25" t="s">
        <v>136</v>
      </c>
      <c r="G33" s="25" t="s">
        <v>158</v>
      </c>
      <c r="J33" s="25" t="s">
        <v>180</v>
      </c>
      <c r="M33" s="25" t="s">
        <v>202</v>
      </c>
      <c r="P33" s="25" t="s">
        <v>224</v>
      </c>
      <c r="S33" s="56">
        <v>3250</v>
      </c>
      <c r="T33" s="86">
        <v>9.6705000000000005</v>
      </c>
    </row>
    <row r="34" spans="4:20" x14ac:dyDescent="0.2">
      <c r="D34" s="25" t="s">
        <v>137</v>
      </c>
      <c r="G34" s="25" t="s">
        <v>159</v>
      </c>
      <c r="J34" s="25" t="s">
        <v>181</v>
      </c>
      <c r="M34" s="25" t="s">
        <v>203</v>
      </c>
      <c r="P34" s="25" t="s">
        <v>225</v>
      </c>
      <c r="S34" s="57">
        <v>3500</v>
      </c>
      <c r="T34" s="86">
        <v>9.6074999999999999</v>
      </c>
    </row>
    <row r="35" spans="4:20" x14ac:dyDescent="0.2">
      <c r="D35" s="25" t="s">
        <v>138</v>
      </c>
      <c r="G35" s="25" t="s">
        <v>160</v>
      </c>
      <c r="J35" s="25" t="s">
        <v>182</v>
      </c>
      <c r="M35" s="25" t="s">
        <v>204</v>
      </c>
      <c r="P35" s="25" t="s">
        <v>226</v>
      </c>
      <c r="S35" s="57">
        <v>4000</v>
      </c>
      <c r="T35" s="86">
        <v>9.6285000000000007</v>
      </c>
    </row>
    <row r="36" spans="4:20" x14ac:dyDescent="0.2">
      <c r="D36" s="25" t="s">
        <v>139</v>
      </c>
      <c r="G36" s="25" t="s">
        <v>161</v>
      </c>
      <c r="J36" s="25" t="s">
        <v>183</v>
      </c>
      <c r="M36" s="25" t="s">
        <v>205</v>
      </c>
      <c r="P36" s="25" t="s">
        <v>227</v>
      </c>
      <c r="S36" s="57">
        <v>4500</v>
      </c>
      <c r="T36" s="86">
        <v>9.4815000000000005</v>
      </c>
    </row>
    <row r="37" spans="4:20" x14ac:dyDescent="0.2">
      <c r="D37" s="25" t="s">
        <v>140</v>
      </c>
      <c r="G37" s="25" t="s">
        <v>162</v>
      </c>
      <c r="J37" s="25" t="s">
        <v>184</v>
      </c>
      <c r="M37" s="25" t="s">
        <v>206</v>
      </c>
      <c r="P37" s="25" t="s">
        <v>228</v>
      </c>
      <c r="S37" s="57">
        <v>5000</v>
      </c>
      <c r="T37" s="86">
        <v>8.9250000000000007</v>
      </c>
    </row>
    <row r="38" spans="4:20" x14ac:dyDescent="0.2">
      <c r="D38" s="25" t="s">
        <v>141</v>
      </c>
      <c r="G38" s="25" t="s">
        <v>163</v>
      </c>
      <c r="J38" s="25" t="s">
        <v>185</v>
      </c>
      <c r="M38" s="25" t="s">
        <v>207</v>
      </c>
      <c r="P38" s="25" t="s">
        <v>229</v>
      </c>
      <c r="S38" s="57">
        <v>5500</v>
      </c>
      <c r="T38" s="86">
        <v>8.2530000000000001</v>
      </c>
    </row>
    <row r="39" spans="4:20" x14ac:dyDescent="0.2">
      <c r="D39" s="25" t="s">
        <v>142</v>
      </c>
      <c r="G39" s="25" t="s">
        <v>164</v>
      </c>
      <c r="J39" s="25" t="s">
        <v>186</v>
      </c>
      <c r="M39" s="25" t="s">
        <v>208</v>
      </c>
      <c r="P39" s="25" t="s">
        <v>230</v>
      </c>
      <c r="S39" s="57">
        <v>6000</v>
      </c>
      <c r="T39" s="86">
        <v>7.7910000000000004</v>
      </c>
    </row>
    <row r="40" spans="4:20" x14ac:dyDescent="0.2">
      <c r="D40" s="25" t="s">
        <v>143</v>
      </c>
      <c r="G40" s="25" t="s">
        <v>165</v>
      </c>
      <c r="J40" s="25" t="s">
        <v>187</v>
      </c>
      <c r="M40" s="25" t="s">
        <v>209</v>
      </c>
      <c r="P40" s="25" t="s">
        <v>231</v>
      </c>
      <c r="S40" s="57">
        <v>6500</v>
      </c>
      <c r="T40" s="86">
        <v>7.1189999999999998</v>
      </c>
    </row>
    <row r="41" spans="4:20" x14ac:dyDescent="0.2">
      <c r="D41" s="25" t="s">
        <v>144</v>
      </c>
      <c r="G41" s="25" t="s">
        <v>166</v>
      </c>
      <c r="J41" s="25" t="s">
        <v>188</v>
      </c>
      <c r="M41" s="25" t="s">
        <v>210</v>
      </c>
      <c r="P41" s="25" t="s">
        <v>232</v>
      </c>
      <c r="T41" s="9"/>
    </row>
    <row r="42" spans="4:20" x14ac:dyDescent="0.2">
      <c r="D42" s="25" t="s">
        <v>145</v>
      </c>
      <c r="G42" s="25" t="s">
        <v>167</v>
      </c>
      <c r="J42" s="25" t="s">
        <v>189</v>
      </c>
      <c r="M42" s="25" t="s">
        <v>211</v>
      </c>
      <c r="P42" s="25" t="s">
        <v>233</v>
      </c>
    </row>
    <row r="43" spans="4:20" x14ac:dyDescent="0.2">
      <c r="D43" s="25" t="s">
        <v>146</v>
      </c>
      <c r="G43" s="25" t="s">
        <v>168</v>
      </c>
      <c r="J43" s="25" t="s">
        <v>190</v>
      </c>
      <c r="M43" s="25" t="s">
        <v>212</v>
      </c>
      <c r="P43" s="25" t="s">
        <v>234</v>
      </c>
    </row>
    <row r="44" spans="4:20" x14ac:dyDescent="0.2">
      <c r="D44" s="25" t="s">
        <v>147</v>
      </c>
      <c r="G44" s="25" t="s">
        <v>169</v>
      </c>
      <c r="J44" s="25" t="s">
        <v>191</v>
      </c>
      <c r="M44" s="25" t="s">
        <v>213</v>
      </c>
      <c r="P44" s="25" t="s">
        <v>235</v>
      </c>
    </row>
    <row r="45" spans="4:20" x14ac:dyDescent="0.2">
      <c r="D45" s="25" t="s">
        <v>148</v>
      </c>
      <c r="G45" s="25" t="s">
        <v>170</v>
      </c>
      <c r="J45" s="25" t="s">
        <v>192</v>
      </c>
      <c r="M45" s="25" t="s">
        <v>214</v>
      </c>
      <c r="P45" s="25" t="s">
        <v>236</v>
      </c>
    </row>
    <row r="46" spans="4:20" x14ac:dyDescent="0.2">
      <c r="D46" s="25" t="s">
        <v>149</v>
      </c>
      <c r="G46" s="25" t="s">
        <v>171</v>
      </c>
      <c r="J46" s="25" t="s">
        <v>193</v>
      </c>
      <c r="M46" s="25" t="s">
        <v>215</v>
      </c>
      <c r="P46" s="25" t="s">
        <v>237</v>
      </c>
    </row>
    <row r="47" spans="4:20" x14ac:dyDescent="0.2">
      <c r="D47" s="25" t="s">
        <v>150</v>
      </c>
      <c r="G47" s="25" t="s">
        <v>172</v>
      </c>
      <c r="J47" s="25" t="s">
        <v>194</v>
      </c>
      <c r="M47" s="25" t="s">
        <v>216</v>
      </c>
      <c r="P47" s="25" t="s">
        <v>238</v>
      </c>
    </row>
    <row r="48" spans="4:20" x14ac:dyDescent="0.2">
      <c r="D48" s="25" t="s">
        <v>151</v>
      </c>
      <c r="G48" s="25" t="s">
        <v>173</v>
      </c>
      <c r="J48" s="25" t="s">
        <v>195</v>
      </c>
      <c r="M48" s="25" t="s">
        <v>217</v>
      </c>
      <c r="P48" s="25" t="s">
        <v>239</v>
      </c>
    </row>
    <row r="49" spans="4:16" x14ac:dyDescent="0.2">
      <c r="D49" s="25" t="s">
        <v>152</v>
      </c>
      <c r="G49" s="25" t="s">
        <v>174</v>
      </c>
      <c r="J49" s="25" t="s">
        <v>196</v>
      </c>
      <c r="M49" s="25" t="s">
        <v>218</v>
      </c>
      <c r="P49" s="25" t="s">
        <v>240</v>
      </c>
    </row>
    <row r="50" spans="4:16" x14ac:dyDescent="0.2">
      <c r="D50" s="25" t="s">
        <v>153</v>
      </c>
      <c r="G50" s="25" t="s">
        <v>175</v>
      </c>
      <c r="J50" s="25" t="s">
        <v>197</v>
      </c>
      <c r="M50" s="25" t="s">
        <v>219</v>
      </c>
    </row>
    <row r="53" spans="4:16" ht="45" x14ac:dyDescent="0.2">
      <c r="D53" s="28" t="s">
        <v>286</v>
      </c>
      <c r="E53" s="29" t="s">
        <v>384</v>
      </c>
      <c r="G53" s="28" t="s">
        <v>286</v>
      </c>
      <c r="H53" s="29" t="s">
        <v>384</v>
      </c>
      <c r="J53" s="28" t="s">
        <v>286</v>
      </c>
      <c r="K53" s="29" t="s">
        <v>384</v>
      </c>
    </row>
    <row r="54" spans="4:16" x14ac:dyDescent="0.2">
      <c r="D54" s="31">
        <v>2000</v>
      </c>
      <c r="E54" s="31"/>
      <c r="F54" s="31"/>
      <c r="G54" s="31">
        <v>1500</v>
      </c>
      <c r="H54" s="31"/>
      <c r="I54" s="31"/>
      <c r="J54" s="31">
        <v>1000</v>
      </c>
      <c r="K54" s="31"/>
    </row>
    <row r="55" spans="4:16" x14ac:dyDescent="0.2">
      <c r="D55" s="42" t="s">
        <v>241</v>
      </c>
      <c r="G55" s="42" t="s">
        <v>261</v>
      </c>
      <c r="J55" s="25" t="s">
        <v>279</v>
      </c>
    </row>
    <row r="56" spans="4:16" x14ac:dyDescent="0.2">
      <c r="D56" s="25" t="s">
        <v>242</v>
      </c>
      <c r="G56" s="25" t="s">
        <v>262</v>
      </c>
      <c r="J56" s="25" t="s">
        <v>280</v>
      </c>
    </row>
    <row r="57" spans="4:16" x14ac:dyDescent="0.2">
      <c r="D57" s="25" t="s">
        <v>243</v>
      </c>
      <c r="G57" s="25" t="s">
        <v>263</v>
      </c>
      <c r="J57" s="25" t="s">
        <v>281</v>
      </c>
    </row>
    <row r="58" spans="4:16" x14ac:dyDescent="0.2">
      <c r="D58" s="25" t="s">
        <v>244</v>
      </c>
      <c r="G58" s="25" t="s">
        <v>264</v>
      </c>
      <c r="J58" s="25" t="s">
        <v>282</v>
      </c>
    </row>
    <row r="59" spans="4:16" x14ac:dyDescent="0.2">
      <c r="D59" s="25" t="s">
        <v>245</v>
      </c>
      <c r="G59" s="25" t="s">
        <v>265</v>
      </c>
      <c r="J59" s="25" t="s">
        <v>283</v>
      </c>
    </row>
    <row r="60" spans="4:16" x14ac:dyDescent="0.2">
      <c r="D60" s="25" t="s">
        <v>246</v>
      </c>
      <c r="G60" s="25" t="s">
        <v>266</v>
      </c>
      <c r="J60" s="25" t="s">
        <v>284</v>
      </c>
    </row>
    <row r="61" spans="4:16" x14ac:dyDescent="0.2">
      <c r="D61" s="25" t="s">
        <v>247</v>
      </c>
      <c r="G61" s="25" t="s">
        <v>267</v>
      </c>
      <c r="J61" s="25" t="s">
        <v>285</v>
      </c>
    </row>
    <row r="62" spans="4:16" x14ac:dyDescent="0.2">
      <c r="D62" s="25" t="s">
        <v>248</v>
      </c>
      <c r="G62" s="25" t="s">
        <v>268</v>
      </c>
    </row>
    <row r="63" spans="4:16" x14ac:dyDescent="0.2">
      <c r="D63" s="25" t="s">
        <v>249</v>
      </c>
      <c r="G63" s="25" t="s">
        <v>269</v>
      </c>
    </row>
    <row r="64" spans="4:16" x14ac:dyDescent="0.2">
      <c r="D64" s="25" t="s">
        <v>250</v>
      </c>
      <c r="G64" s="25" t="s">
        <v>270</v>
      </c>
    </row>
    <row r="65" spans="1:20" x14ac:dyDescent="0.2">
      <c r="D65" s="25" t="s">
        <v>251</v>
      </c>
      <c r="G65" s="25" t="s">
        <v>271</v>
      </c>
    </row>
    <row r="66" spans="1:20" x14ac:dyDescent="0.2">
      <c r="D66" s="25" t="s">
        <v>252</v>
      </c>
      <c r="G66" s="25" t="s">
        <v>272</v>
      </c>
    </row>
    <row r="67" spans="1:20" x14ac:dyDescent="0.2">
      <c r="D67" s="25" t="s">
        <v>253</v>
      </c>
      <c r="G67" s="25" t="s">
        <v>273</v>
      </c>
    </row>
    <row r="68" spans="1:20" x14ac:dyDescent="0.2">
      <c r="D68" s="25" t="s">
        <v>254</v>
      </c>
      <c r="G68" s="25" t="s">
        <v>274</v>
      </c>
    </row>
    <row r="69" spans="1:20" x14ac:dyDescent="0.2">
      <c r="D69" s="25" t="s">
        <v>255</v>
      </c>
      <c r="G69" s="25" t="s">
        <v>275</v>
      </c>
    </row>
    <row r="70" spans="1:20" x14ac:dyDescent="0.2">
      <c r="D70" s="25" t="s">
        <v>256</v>
      </c>
      <c r="G70" s="25" t="s">
        <v>276</v>
      </c>
    </row>
    <row r="71" spans="1:20" x14ac:dyDescent="0.2">
      <c r="D71" s="25" t="s">
        <v>257</v>
      </c>
      <c r="G71" s="25" t="s">
        <v>277</v>
      </c>
    </row>
    <row r="72" spans="1:20" x14ac:dyDescent="0.2">
      <c r="D72" s="25" t="s">
        <v>258</v>
      </c>
      <c r="G72" s="25" t="s">
        <v>278</v>
      </c>
    </row>
    <row r="73" spans="1:20" x14ac:dyDescent="0.2">
      <c r="D73" s="25" t="s">
        <v>259</v>
      </c>
    </row>
    <row r="74" spans="1:20" x14ac:dyDescent="0.2">
      <c r="D74" s="25" t="s">
        <v>260</v>
      </c>
    </row>
    <row r="76" spans="1:20" x14ac:dyDescent="0.2">
      <c r="D76" s="33"/>
      <c r="E76" s="33"/>
    </row>
    <row r="77" spans="1:20" x14ac:dyDescent="0.2">
      <c r="A77" s="36" t="s">
        <v>287</v>
      </c>
      <c r="B77" s="36"/>
      <c r="D77" s="40"/>
      <c r="E77" s="41"/>
      <c r="F77" s="34"/>
      <c r="G77" s="39" t="s">
        <v>313</v>
      </c>
      <c r="H77" s="35"/>
      <c r="I77" s="35"/>
    </row>
    <row r="78" spans="1:20" x14ac:dyDescent="0.2">
      <c r="C78" s="34"/>
      <c r="I78" s="34"/>
      <c r="L78" s="34"/>
      <c r="O78" s="34"/>
    </row>
    <row r="79" spans="1:20" x14ac:dyDescent="0.2">
      <c r="C79" s="34"/>
      <c r="E79" s="34"/>
      <c r="F79" s="38" t="s">
        <v>288</v>
      </c>
      <c r="G79" s="122">
        <f>(S28*T28 *0.5*100000*$B$4)/60</f>
        <v>5187</v>
      </c>
      <c r="I79" s="42" t="s">
        <v>314</v>
      </c>
      <c r="J79" s="42" t="s">
        <v>315</v>
      </c>
      <c r="O79" s="34"/>
      <c r="T79" s="58"/>
    </row>
    <row r="80" spans="1:20" x14ac:dyDescent="0.2">
      <c r="E80" s="34"/>
      <c r="F80" s="36" t="s">
        <v>289</v>
      </c>
      <c r="G80" s="122">
        <f t="shared" ref="G80:G91" si="0">(S29*T29 *0.5*100000*$B$4)/60</f>
        <v>11152.049999999997</v>
      </c>
      <c r="I80" s="25">
        <f>MAX(G79:G91)</f>
        <v>40513.199999999997</v>
      </c>
      <c r="J80" s="25">
        <f>S39*2*PI()/60</f>
        <v>628.31853071795865</v>
      </c>
      <c r="T80" s="33"/>
    </row>
    <row r="81" spans="1:20" x14ac:dyDescent="0.2">
      <c r="E81" s="34"/>
      <c r="F81" s="36" t="s">
        <v>290</v>
      </c>
      <c r="G81" s="122">
        <f t="shared" si="0"/>
        <v>15324.399999999998</v>
      </c>
      <c r="T81" s="33"/>
    </row>
    <row r="82" spans="1:20" x14ac:dyDescent="0.2">
      <c r="E82" s="34"/>
      <c r="F82" s="36" t="s">
        <v>291</v>
      </c>
      <c r="G82" s="122">
        <f t="shared" si="0"/>
        <v>20224.75</v>
      </c>
      <c r="T82" s="33"/>
    </row>
    <row r="83" spans="1:20" x14ac:dyDescent="0.2">
      <c r="F83" s="37" t="s">
        <v>292</v>
      </c>
      <c r="G83" s="122">
        <f t="shared" si="0"/>
        <v>24733.799999999996</v>
      </c>
      <c r="T83" s="33"/>
    </row>
    <row r="84" spans="1:20" x14ac:dyDescent="0.2">
      <c r="F84" s="44" t="s">
        <v>390</v>
      </c>
      <c r="G84" s="122">
        <f t="shared" si="0"/>
        <v>27238.574999999997</v>
      </c>
      <c r="T84" s="33"/>
    </row>
    <row r="85" spans="1:20" x14ac:dyDescent="0.2">
      <c r="F85" s="37" t="s">
        <v>293</v>
      </c>
      <c r="G85" s="122">
        <f t="shared" si="0"/>
        <v>29142.749999999996</v>
      </c>
      <c r="J85" s="9"/>
      <c r="T85" s="33"/>
    </row>
    <row r="86" spans="1:20" x14ac:dyDescent="0.2">
      <c r="F86" s="37" t="s">
        <v>294</v>
      </c>
      <c r="G86" s="122">
        <f t="shared" si="0"/>
        <v>33378.799999999996</v>
      </c>
      <c r="T86" s="33"/>
    </row>
    <row r="87" spans="1:20" x14ac:dyDescent="0.2">
      <c r="F87" s="37" t="s">
        <v>295</v>
      </c>
      <c r="G87" s="122">
        <f t="shared" si="0"/>
        <v>36977.85</v>
      </c>
      <c r="I87" s="34"/>
      <c r="L87" s="34"/>
      <c r="O87" s="34"/>
      <c r="T87" s="33"/>
    </row>
    <row r="88" spans="1:20" x14ac:dyDescent="0.2">
      <c r="F88" s="37" t="s">
        <v>296</v>
      </c>
      <c r="G88" s="122">
        <f t="shared" si="0"/>
        <v>38675</v>
      </c>
      <c r="T88" s="33"/>
    </row>
    <row r="89" spans="1:20" x14ac:dyDescent="0.2">
      <c r="F89" s="37" t="s">
        <v>297</v>
      </c>
      <c r="G89" s="122">
        <f t="shared" si="0"/>
        <v>39339.300000000003</v>
      </c>
      <c r="T89" s="33"/>
    </row>
    <row r="90" spans="1:20" x14ac:dyDescent="0.2">
      <c r="F90" s="37" t="s">
        <v>298</v>
      </c>
      <c r="G90" s="122">
        <f t="shared" si="0"/>
        <v>40513.199999999997</v>
      </c>
      <c r="T90" s="33"/>
    </row>
    <row r="91" spans="1:20" x14ac:dyDescent="0.2">
      <c r="F91" s="37" t="s">
        <v>299</v>
      </c>
      <c r="G91" s="122">
        <f t="shared" si="0"/>
        <v>40103.699999999997</v>
      </c>
      <c r="T91" s="33"/>
    </row>
    <row r="92" spans="1:20" x14ac:dyDescent="0.2">
      <c r="T92" s="33"/>
    </row>
    <row r="93" spans="1:20" x14ac:dyDescent="0.2">
      <c r="T93" s="33"/>
    </row>
    <row r="94" spans="1:20" x14ac:dyDescent="0.2">
      <c r="A94" s="37" t="s">
        <v>300</v>
      </c>
      <c r="B94" s="25" t="s">
        <v>385</v>
      </c>
      <c r="F94" s="37" t="s">
        <v>301</v>
      </c>
      <c r="G94" s="42">
        <f>G79/(S28*2*PI()/60)</f>
        <v>49.532201389059672</v>
      </c>
      <c r="T94" s="33"/>
    </row>
    <row r="95" spans="1:20" x14ac:dyDescent="0.2">
      <c r="F95" s="37" t="s">
        <v>302</v>
      </c>
      <c r="G95" s="42">
        <f t="shared" ref="G95:G106" si="1">G80/(S29*2*PI()/60)</f>
        <v>70.996155324318835</v>
      </c>
    </row>
    <row r="96" spans="1:20" x14ac:dyDescent="0.2">
      <c r="F96" s="37" t="s">
        <v>303</v>
      </c>
      <c r="G96" s="42">
        <f t="shared" si="1"/>
        <v>73.168620297523219</v>
      </c>
    </row>
    <row r="97" spans="1:11" x14ac:dyDescent="0.2">
      <c r="F97" s="37" t="s">
        <v>304</v>
      </c>
      <c r="G97" s="42">
        <f t="shared" si="1"/>
        <v>77.252854447147442</v>
      </c>
    </row>
    <row r="98" spans="1:11" x14ac:dyDescent="0.2">
      <c r="F98" s="37" t="s">
        <v>305</v>
      </c>
      <c r="G98" s="42">
        <f t="shared" si="1"/>
        <v>78.730130628926403</v>
      </c>
    </row>
    <row r="99" spans="1:11" x14ac:dyDescent="0.2">
      <c r="F99" s="44" t="s">
        <v>391</v>
      </c>
      <c r="G99" s="42">
        <f t="shared" si="1"/>
        <v>80.033609612849034</v>
      </c>
    </row>
    <row r="100" spans="1:11" x14ac:dyDescent="0.2">
      <c r="F100" s="37" t="s">
        <v>306</v>
      </c>
      <c r="G100" s="42">
        <f t="shared" si="1"/>
        <v>79.512218019279985</v>
      </c>
    </row>
    <row r="101" spans="1:11" x14ac:dyDescent="0.2">
      <c r="F101" s="37" t="s">
        <v>307</v>
      </c>
      <c r="G101" s="42">
        <f t="shared" si="1"/>
        <v>79.686015217136344</v>
      </c>
    </row>
    <row r="102" spans="1:11" x14ac:dyDescent="0.2">
      <c r="F102" s="37" t="s">
        <v>308</v>
      </c>
      <c r="G102" s="42">
        <f t="shared" si="1"/>
        <v>78.469434832141886</v>
      </c>
    </row>
    <row r="103" spans="1:11" x14ac:dyDescent="0.2">
      <c r="F103" s="37" t="s">
        <v>309</v>
      </c>
      <c r="G103" s="42">
        <f t="shared" si="1"/>
        <v>73.863809088948628</v>
      </c>
    </row>
    <row r="104" spans="1:11" x14ac:dyDescent="0.2">
      <c r="F104" s="37" t="s">
        <v>310</v>
      </c>
      <c r="G104" s="42">
        <f t="shared" si="1"/>
        <v>68.302298757545458</v>
      </c>
    </row>
    <row r="105" spans="1:11" x14ac:dyDescent="0.2">
      <c r="F105" s="37" t="s">
        <v>311</v>
      </c>
      <c r="G105" s="42">
        <f t="shared" si="1"/>
        <v>64.478760404705739</v>
      </c>
    </row>
    <row r="106" spans="1:11" x14ac:dyDescent="0.2">
      <c r="F106" s="37" t="s">
        <v>312</v>
      </c>
      <c r="G106" s="42">
        <f t="shared" si="1"/>
        <v>58.917250073302547</v>
      </c>
    </row>
    <row r="109" spans="1:11" x14ac:dyDescent="0.2">
      <c r="K109" s="9"/>
    </row>
    <row r="111" spans="1:11" x14ac:dyDescent="0.2">
      <c r="A111" s="42"/>
      <c r="B111" s="43"/>
    </row>
    <row r="112" spans="1:11" x14ac:dyDescent="0.2">
      <c r="B112" s="85" t="s">
        <v>387</v>
      </c>
      <c r="C112" s="85" t="s">
        <v>388</v>
      </c>
      <c r="D112" s="85" t="s">
        <v>389</v>
      </c>
      <c r="E112" s="44" t="s">
        <v>316</v>
      </c>
    </row>
    <row r="113" spans="1:5" x14ac:dyDescent="0.2">
      <c r="A113" s="85" t="s">
        <v>386</v>
      </c>
      <c r="B113" s="25">
        <f>I80/J80</f>
        <v>64.478760404705739</v>
      </c>
      <c r="C113" s="25">
        <f>I80/(J80^2)</f>
        <v>0.10262113442846896</v>
      </c>
      <c r="D113" s="25">
        <f>-I80/(J80^3)</f>
        <v>-1.6332660809988716E-4</v>
      </c>
    </row>
    <row r="114" spans="1:5" x14ac:dyDescent="0.2">
      <c r="A114" s="25">
        <f>S28*2*PI()/60</f>
        <v>104.71975511965977</v>
      </c>
      <c r="B114" s="25">
        <f>$B$113*A114</f>
        <v>6752.1999999999989</v>
      </c>
      <c r="C114" s="25">
        <f>$C$113*A114^2</f>
        <v>1125.3666666666663</v>
      </c>
      <c r="D114" s="9">
        <f>$D$113*A114^3</f>
        <v>-187.56111111111099</v>
      </c>
      <c r="E114" s="25">
        <f>SUM(B114:D114)</f>
        <v>7690.0055555555546</v>
      </c>
    </row>
    <row r="115" spans="1:5" x14ac:dyDescent="0.2">
      <c r="A115" s="25">
        <f t="shared" ref="A115:A126" si="2">S29*2*PI()/60</f>
        <v>157.07963267948966</v>
      </c>
      <c r="B115" s="25">
        <f t="shared" ref="B115:B126" si="3">$B$113*A115</f>
        <v>10128.299999999999</v>
      </c>
      <c r="C115" s="25">
        <f t="shared" ref="C115:C126" si="4">$C$113*A115^2</f>
        <v>2532.0749999999998</v>
      </c>
      <c r="D115" s="25">
        <f t="shared" ref="D115:D126" si="5">$D$113*A115^3</f>
        <v>-633.01874999999995</v>
      </c>
      <c r="E115" s="25">
        <f t="shared" ref="E115:E126" si="6">SUM(B115:D115)</f>
        <v>12027.356250000001</v>
      </c>
    </row>
    <row r="116" spans="1:5" x14ac:dyDescent="0.2">
      <c r="A116" s="25">
        <f t="shared" si="2"/>
        <v>209.43951023931953</v>
      </c>
      <c r="B116" s="25">
        <f t="shared" si="3"/>
        <v>13504.399999999998</v>
      </c>
      <c r="C116" s="25">
        <f t="shared" si="4"/>
        <v>4501.4666666666653</v>
      </c>
      <c r="D116" s="25">
        <f t="shared" si="5"/>
        <v>-1500.4888888888879</v>
      </c>
      <c r="E116" s="25">
        <f t="shared" si="6"/>
        <v>16505.377777777772</v>
      </c>
    </row>
    <row r="117" spans="1:5" x14ac:dyDescent="0.2">
      <c r="A117" s="25">
        <f t="shared" si="2"/>
        <v>261.79938779914943</v>
      </c>
      <c r="B117" s="25">
        <f t="shared" si="3"/>
        <v>16880.5</v>
      </c>
      <c r="C117" s="25">
        <f t="shared" si="4"/>
        <v>7033.5416666666661</v>
      </c>
      <c r="D117" s="25">
        <f t="shared" si="5"/>
        <v>-2930.6423611111109</v>
      </c>
      <c r="E117" s="25">
        <f t="shared" si="6"/>
        <v>20983.399305555555</v>
      </c>
    </row>
    <row r="118" spans="1:5" x14ac:dyDescent="0.2">
      <c r="A118" s="25">
        <f t="shared" si="2"/>
        <v>314.15926535897933</v>
      </c>
      <c r="B118" s="25">
        <f t="shared" si="3"/>
        <v>20256.599999999999</v>
      </c>
      <c r="C118" s="25">
        <f t="shared" si="4"/>
        <v>10128.299999999999</v>
      </c>
      <c r="D118" s="25">
        <f t="shared" si="5"/>
        <v>-5064.1499999999996</v>
      </c>
      <c r="E118" s="25">
        <f t="shared" si="6"/>
        <v>25320.75</v>
      </c>
    </row>
    <row r="119" spans="1:5" x14ac:dyDescent="0.2">
      <c r="A119" s="25">
        <f t="shared" si="2"/>
        <v>340.33920413889427</v>
      </c>
      <c r="B119" s="25">
        <f t="shared" ref="B119" si="7">$B$113*A119</f>
        <v>21944.649999999998</v>
      </c>
      <c r="C119" s="25">
        <f t="shared" ref="C119" si="8">$C$113*A119^2</f>
        <v>11886.685416666665</v>
      </c>
      <c r="D119" s="25">
        <f t="shared" ref="D119" si="9">$D$113*A119^3</f>
        <v>-6438.6212673611099</v>
      </c>
      <c r="E119" s="25">
        <f t="shared" ref="E119" si="10">SUM(B119:D119)</f>
        <v>27392.714149305553</v>
      </c>
    </row>
    <row r="120" spans="1:5" x14ac:dyDescent="0.2">
      <c r="A120" s="25">
        <f t="shared" si="2"/>
        <v>366.51914291880917</v>
      </c>
      <c r="B120" s="25">
        <f t="shared" si="3"/>
        <v>23632.699999999997</v>
      </c>
      <c r="C120" s="25">
        <f t="shared" si="4"/>
        <v>13785.741666666661</v>
      </c>
      <c r="D120" s="25">
        <f t="shared" si="5"/>
        <v>-8041.682638888884</v>
      </c>
      <c r="E120" s="25">
        <f t="shared" si="6"/>
        <v>29376.759027777774</v>
      </c>
    </row>
    <row r="121" spans="1:5" x14ac:dyDescent="0.2">
      <c r="A121" s="25">
        <f t="shared" si="2"/>
        <v>418.87902047863906</v>
      </c>
      <c r="B121" s="25">
        <f t="shared" si="3"/>
        <v>27008.799999999996</v>
      </c>
      <c r="C121" s="25">
        <f t="shared" si="4"/>
        <v>18005.866666666661</v>
      </c>
      <c r="D121" s="25">
        <f t="shared" si="5"/>
        <v>-12003.911111111103</v>
      </c>
      <c r="E121" s="25">
        <f t="shared" si="6"/>
        <v>33010.755555555552</v>
      </c>
    </row>
    <row r="122" spans="1:5" x14ac:dyDescent="0.2">
      <c r="A122" s="25">
        <f t="shared" si="2"/>
        <v>471.23889803846902</v>
      </c>
      <c r="B122" s="25">
        <f t="shared" si="3"/>
        <v>30384.9</v>
      </c>
      <c r="C122" s="25">
        <f t="shared" si="4"/>
        <v>22788.674999999999</v>
      </c>
      <c r="D122" s="25">
        <f t="shared" si="5"/>
        <v>-17091.506249999999</v>
      </c>
      <c r="E122" s="25">
        <f t="shared" si="6"/>
        <v>36082.068749999999</v>
      </c>
    </row>
    <row r="123" spans="1:5" x14ac:dyDescent="0.2">
      <c r="A123" s="25">
        <f t="shared" si="2"/>
        <v>523.59877559829886</v>
      </c>
      <c r="B123" s="25">
        <f t="shared" si="3"/>
        <v>33761</v>
      </c>
      <c r="C123" s="25">
        <f t="shared" si="4"/>
        <v>28134.166666666664</v>
      </c>
      <c r="D123" s="25">
        <f t="shared" si="5"/>
        <v>-23445.138888888887</v>
      </c>
      <c r="E123" s="25">
        <f t="shared" si="6"/>
        <v>38450.027777777781</v>
      </c>
    </row>
    <row r="124" spans="1:5" x14ac:dyDescent="0.2">
      <c r="A124" s="25">
        <f t="shared" si="2"/>
        <v>575.95865315812864</v>
      </c>
      <c r="B124" s="25">
        <f t="shared" si="3"/>
        <v>37137.099999999991</v>
      </c>
      <c r="C124" s="25">
        <f t="shared" si="4"/>
        <v>34042.341666666645</v>
      </c>
      <c r="D124" s="25">
        <f t="shared" si="5"/>
        <v>-31205.479861111082</v>
      </c>
      <c r="E124" s="25">
        <f t="shared" si="6"/>
        <v>39973.961805555555</v>
      </c>
    </row>
    <row r="125" spans="1:5" x14ac:dyDescent="0.2">
      <c r="A125" s="25">
        <f t="shared" si="2"/>
        <v>628.31853071795865</v>
      </c>
      <c r="B125" s="25">
        <f t="shared" si="3"/>
        <v>40513.199999999997</v>
      </c>
      <c r="C125" s="25">
        <f t="shared" si="4"/>
        <v>40513.199999999997</v>
      </c>
      <c r="D125" s="25">
        <f t="shared" si="5"/>
        <v>-40513.199999999997</v>
      </c>
      <c r="E125" s="25">
        <f t="shared" si="6"/>
        <v>40513.199999999997</v>
      </c>
    </row>
    <row r="126" spans="1:5" x14ac:dyDescent="0.2">
      <c r="A126" s="25">
        <f t="shared" si="2"/>
        <v>680.67840827778855</v>
      </c>
      <c r="B126" s="25">
        <f t="shared" si="3"/>
        <v>43889.299999999996</v>
      </c>
      <c r="C126" s="25">
        <f t="shared" si="4"/>
        <v>47546.741666666661</v>
      </c>
      <c r="D126" s="25">
        <f t="shared" si="5"/>
        <v>-51508.970138888879</v>
      </c>
      <c r="E126" s="25">
        <f t="shared" si="6"/>
        <v>39927.071527777778</v>
      </c>
    </row>
    <row r="134" spans="10:10" x14ac:dyDescent="0.2">
      <c r="J134" s="9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B30"/>
  <sheetViews>
    <sheetView topLeftCell="E1" zoomScale="66" zoomScaleNormal="66" zoomScalePageLayoutView="66" workbookViewId="0">
      <selection activeCell="G29" sqref="G29"/>
    </sheetView>
  </sheetViews>
  <sheetFormatPr baseColWidth="10" defaultColWidth="8.83203125" defaultRowHeight="15" x14ac:dyDescent="0.2"/>
  <cols>
    <col min="5" max="5" width="10.1640625" customWidth="1"/>
    <col min="6" max="6" width="10.1640625" bestFit="1" customWidth="1"/>
    <col min="12" max="12" width="8.83203125" style="78"/>
    <col min="19" max="19" width="14.6640625" bestFit="1" customWidth="1"/>
    <col min="20" max="23" width="15.1640625" bestFit="1" customWidth="1"/>
    <col min="24" max="24" width="16.1640625" bestFit="1" customWidth="1"/>
    <col min="25" max="26" width="16.5" bestFit="1" customWidth="1"/>
    <col min="27" max="27" width="16.5" customWidth="1"/>
    <col min="28" max="28" width="16.5" bestFit="1" customWidth="1"/>
  </cols>
  <sheetData>
    <row r="1" spans="1:28" x14ac:dyDescent="0.2">
      <c r="K1" s="88" t="s">
        <v>317</v>
      </c>
      <c r="L1" s="123" t="s">
        <v>318</v>
      </c>
      <c r="M1" s="88" t="s">
        <v>319</v>
      </c>
      <c r="N1" s="88" t="s">
        <v>320</v>
      </c>
      <c r="O1" s="88" t="s">
        <v>321</v>
      </c>
      <c r="P1" s="88" t="s">
        <v>322</v>
      </c>
      <c r="Q1" s="88" t="s">
        <v>323</v>
      </c>
      <c r="R1" s="88" t="s">
        <v>324</v>
      </c>
      <c r="S1" s="88" t="s">
        <v>347</v>
      </c>
      <c r="T1" s="88" t="s">
        <v>348</v>
      </c>
      <c r="U1" s="88" t="s">
        <v>349</v>
      </c>
      <c r="V1" s="88" t="s">
        <v>350</v>
      </c>
      <c r="W1" s="88" t="s">
        <v>351</v>
      </c>
      <c r="X1" s="88" t="s">
        <v>355</v>
      </c>
      <c r="Y1" s="88" t="s">
        <v>356</v>
      </c>
      <c r="Z1" s="88" t="s">
        <v>357</v>
      </c>
      <c r="AA1" s="88" t="s">
        <v>358</v>
      </c>
      <c r="AB1" s="88" t="s">
        <v>359</v>
      </c>
    </row>
    <row r="2" spans="1:28" x14ac:dyDescent="0.2">
      <c r="A2" t="s">
        <v>325</v>
      </c>
      <c r="B2">
        <f>(F2/(2*B30))^(1/3)</f>
        <v>33.708147510858161</v>
      </c>
      <c r="E2" t="s">
        <v>326</v>
      </c>
      <c r="F2">
        <f>MAX(L2:L14)</f>
        <v>36461.879999999997</v>
      </c>
      <c r="H2" s="45"/>
      <c r="I2" s="55">
        <v>1000</v>
      </c>
      <c r="J2" s="119" t="s">
        <v>327</v>
      </c>
      <c r="K2" s="125">
        <f>'1_1.2'!G79</f>
        <v>5187</v>
      </c>
      <c r="L2" s="125">
        <f t="shared" ref="L2:L14" si="0">K2*$B$15</f>
        <v>4668.3</v>
      </c>
      <c r="M2" s="124">
        <f>'1_1.2'!G94</f>
        <v>49.532201389059672</v>
      </c>
      <c r="N2" s="124">
        <f t="shared" ref="N2:N14" si="1">I2*$B$5*$F$15*$F$3*2*PI()/60</f>
        <v>1.5061564552404474</v>
      </c>
      <c r="O2" s="124">
        <f t="shared" ref="O2:O14" si="2">I2*$B$5*$F$16*$F$3*2*PI()/60</f>
        <v>2.1905071247809413</v>
      </c>
      <c r="P2" s="124">
        <f t="shared" ref="P2:P14" si="3">I2*$B$5*$F$17*$F$3*2*PI()/60</f>
        <v>3.1858054633175867</v>
      </c>
      <c r="Q2" s="124">
        <f t="shared" ref="Q2:Q14" si="4">I2*$B$5*$F$18*$F$3*2*PI()/60</f>
        <v>4.6333364248332023</v>
      </c>
      <c r="R2" s="124">
        <f t="shared" ref="R2:R14" si="5">I2*$B$5*$F$19*$F$3*2*PI()/60</f>
        <v>6.7385804541028991</v>
      </c>
      <c r="S2" s="126">
        <f t="shared" ref="S2:S14" si="6">$F$21*N2+$F$22*N2^3</f>
        <v>187.94408119950776</v>
      </c>
      <c r="T2" s="126">
        <f t="shared" ref="T2:T14" si="7">$F$21*O2+$F$22*O2^3</f>
        <v>275.97780355822022</v>
      </c>
      <c r="U2" s="126">
        <f t="shared" ref="U2:U14" si="8">$F$21*P2+$F$22*P2^3</f>
        <v>409.48803191475167</v>
      </c>
      <c r="V2" s="126">
        <f t="shared" ref="V2:V14" si="9">$F$21*Q2+$F$22*Q2^3</f>
        <v>620.50899768762565</v>
      </c>
      <c r="W2" s="126">
        <f t="shared" ref="W2:W14" si="10">$F$21*R2+$F$22*R2^3</f>
        <v>979.2397517314871</v>
      </c>
      <c r="X2" s="116">
        <f t="shared" ref="X2:X14" si="11">$F$25*N2+$F$26*N2^3</f>
        <v>4669.9156910115807</v>
      </c>
      <c r="Y2" s="116">
        <f t="shared" ref="Y2:Y14" si="12">$F$25*O2+$F$26*O2^3</f>
        <v>6794.4006846197126</v>
      </c>
      <c r="Z2" s="116">
        <f t="shared" ref="Z2:Z14" si="13">$F$25*P2+$F$26*P2^3</f>
        <v>9889.6264300106595</v>
      </c>
      <c r="AA2" s="116">
        <f t="shared" ref="AA2:AA14" si="14">$F$25*Q2+$F$26*Q2^3</f>
        <v>14407.963924528467</v>
      </c>
      <c r="AB2" s="116">
        <f t="shared" ref="AB2:AB14" si="15">$F$25*R2+$F$26*R2^3</f>
        <v>21030.782173795364</v>
      </c>
    </row>
    <row r="3" spans="1:28" x14ac:dyDescent="0.2">
      <c r="A3" t="s">
        <v>328</v>
      </c>
      <c r="B3">
        <f>SQRT(1+(4*(B29^3))/(27*(F2^2)*B30))</f>
        <v>1.0002215582295062</v>
      </c>
      <c r="E3" t="s">
        <v>329</v>
      </c>
      <c r="F3">
        <f>0.98*F4</f>
        <v>0.26053300000000001</v>
      </c>
      <c r="H3" s="45"/>
      <c r="I3" s="55">
        <v>1500</v>
      </c>
      <c r="J3" s="117" t="s">
        <v>327</v>
      </c>
      <c r="K3" s="125">
        <f>'1_1.2'!G80</f>
        <v>11152.049999999997</v>
      </c>
      <c r="L3" s="125">
        <f t="shared" si="0"/>
        <v>10036.844999999998</v>
      </c>
      <c r="M3" s="124">
        <f>'1_1.2'!G95</f>
        <v>70.996155324318835</v>
      </c>
      <c r="N3" s="124">
        <f t="shared" si="1"/>
        <v>2.2592346828606718</v>
      </c>
      <c r="O3" s="124">
        <f t="shared" si="2"/>
        <v>3.2857606871714129</v>
      </c>
      <c r="P3" s="124">
        <f t="shared" si="3"/>
        <v>4.7787081949763799</v>
      </c>
      <c r="Q3" s="124">
        <f t="shared" si="4"/>
        <v>6.9500046372498021</v>
      </c>
      <c r="R3" s="124">
        <f t="shared" si="5"/>
        <v>10.107870681154347</v>
      </c>
      <c r="S3" s="126">
        <f t="shared" si="6"/>
        <v>284.96553263325779</v>
      </c>
      <c r="T3" s="126">
        <f t="shared" si="7"/>
        <v>423.34750123159199</v>
      </c>
      <c r="U3" s="126">
        <f t="shared" si="8"/>
        <v>643.08986218456494</v>
      </c>
      <c r="V3" s="126">
        <f t="shared" si="9"/>
        <v>1019.5377813872198</v>
      </c>
      <c r="W3" s="126">
        <f t="shared" si="10"/>
        <v>1741.9528551830363</v>
      </c>
      <c r="X3" s="116">
        <f t="shared" si="11"/>
        <v>7007.9029571640831</v>
      </c>
      <c r="Y3" s="116">
        <f t="shared" si="12"/>
        <v>10200.920327709853</v>
      </c>
      <c r="Z3" s="116">
        <f t="shared" si="13"/>
        <v>14863.108284060105</v>
      </c>
      <c r="AA3" s="116">
        <f t="shared" si="14"/>
        <v>21700.138218387023</v>
      </c>
      <c r="AB3" s="116">
        <f t="shared" si="15"/>
        <v>31817.47624581468</v>
      </c>
    </row>
    <row r="4" spans="1:28" x14ac:dyDescent="0.2">
      <c r="A4" t="s">
        <v>330</v>
      </c>
      <c r="B4">
        <f>B2*((B3+1)^(1/3)-(B3-1)^(1/3))</f>
        <v>40.431482724617396</v>
      </c>
      <c r="E4" t="s">
        <v>331</v>
      </c>
      <c r="F4">
        <f>(13*25.4/2+155*0.65)/1000</f>
        <v>0.26585000000000003</v>
      </c>
      <c r="H4" s="45"/>
      <c r="I4" s="55">
        <v>2000</v>
      </c>
      <c r="J4" s="117" t="s">
        <v>327</v>
      </c>
      <c r="K4" s="125">
        <f>'1_1.2'!G81</f>
        <v>15324.399999999998</v>
      </c>
      <c r="L4" s="125">
        <f t="shared" si="0"/>
        <v>13791.96</v>
      </c>
      <c r="M4" s="124">
        <f>'1_1.2'!G96</f>
        <v>73.168620297523219</v>
      </c>
      <c r="N4" s="124">
        <f t="shared" si="1"/>
        <v>3.0123129104808948</v>
      </c>
      <c r="O4" s="124">
        <f t="shared" si="2"/>
        <v>4.3810142495618827</v>
      </c>
      <c r="P4" s="124">
        <f t="shared" si="3"/>
        <v>6.3716109266351735</v>
      </c>
      <c r="Q4" s="124">
        <f t="shared" si="4"/>
        <v>9.2666728496664046</v>
      </c>
      <c r="R4" s="124">
        <f t="shared" si="5"/>
        <v>13.477160908205798</v>
      </c>
      <c r="S4" s="126">
        <f t="shared" si="6"/>
        <v>385.64627706780306</v>
      </c>
      <c r="T4" s="126">
        <f t="shared" si="7"/>
        <v>581.97415397807742</v>
      </c>
      <c r="U4" s="126">
        <f t="shared" si="8"/>
        <v>911.32106962930334</v>
      </c>
      <c r="V4" s="126">
        <f t="shared" si="9"/>
        <v>1525.0957069137517</v>
      </c>
      <c r="W4" s="126">
        <f t="shared" si="10"/>
        <v>2832.3778317375541</v>
      </c>
      <c r="X4" s="116">
        <f t="shared" si="11"/>
        <v>9349.5255280926358</v>
      </c>
      <c r="Y4" s="116">
        <f t="shared" si="12"/>
        <v>13618.623131736327</v>
      </c>
      <c r="Z4" s="116">
        <f t="shared" si="13"/>
        <v>19870.992504962494</v>
      </c>
      <c r="AA4" s="116">
        <f t="shared" si="14"/>
        <v>29098.143310158779</v>
      </c>
      <c r="AB4" s="116">
        <f t="shared" si="15"/>
        <v>42929.733899979976</v>
      </c>
    </row>
    <row r="5" spans="1:28" x14ac:dyDescent="0.2">
      <c r="A5" t="s">
        <v>332</v>
      </c>
      <c r="B5">
        <v>0.28100000000000003</v>
      </c>
      <c r="E5" s="46" t="s">
        <v>333</v>
      </c>
      <c r="F5" s="46">
        <f>ATAN(B6)</f>
        <v>0.31874756042064445</v>
      </c>
      <c r="H5" s="45"/>
      <c r="I5" s="55">
        <v>2500</v>
      </c>
      <c r="J5" s="117" t="s">
        <v>327</v>
      </c>
      <c r="K5" s="125">
        <f>'1_1.2'!G82</f>
        <v>20224.75</v>
      </c>
      <c r="L5" s="125">
        <f t="shared" si="0"/>
        <v>18202.275000000001</v>
      </c>
      <c r="M5" s="124">
        <f>'1_1.2'!G97</f>
        <v>77.252854447147442</v>
      </c>
      <c r="N5" s="124">
        <f t="shared" si="1"/>
        <v>3.7653911381011187</v>
      </c>
      <c r="O5" s="124">
        <f t="shared" si="2"/>
        <v>5.4762678119523551</v>
      </c>
      <c r="P5" s="124">
        <f t="shared" si="3"/>
        <v>7.964513658293968</v>
      </c>
      <c r="Q5" s="124">
        <f t="shared" si="4"/>
        <v>11.583341062083006</v>
      </c>
      <c r="R5" s="124">
        <f t="shared" si="5"/>
        <v>16.846451135257251</v>
      </c>
      <c r="S5" s="126">
        <f t="shared" si="6"/>
        <v>491.20607883674211</v>
      </c>
      <c r="T5" s="126">
        <f t="shared" si="7"/>
        <v>755.61008015538175</v>
      </c>
      <c r="U5" s="126">
        <f t="shared" si="8"/>
        <v>1225.7247799739418</v>
      </c>
      <c r="V5" s="126">
        <f t="shared" si="9"/>
        <v>2172.6924882095341</v>
      </c>
      <c r="W5" s="126">
        <f t="shared" si="10"/>
        <v>4359.7519724293634</v>
      </c>
      <c r="X5" s="116">
        <f t="shared" si="11"/>
        <v>11695.995172055929</v>
      </c>
      <c r="Y5" s="116">
        <f t="shared" si="12"/>
        <v>17051.23681701126</v>
      </c>
      <c r="Z5" s="116">
        <f t="shared" si="13"/>
        <v>24924.746548335468</v>
      </c>
      <c r="AA5" s="116">
        <f t="shared" si="14"/>
        <v>36637.25613248146</v>
      </c>
      <c r="AB5" s="116">
        <f t="shared" si="15"/>
        <v>54476.0763303399</v>
      </c>
    </row>
    <row r="6" spans="1:28" x14ac:dyDescent="0.2">
      <c r="A6" t="s">
        <v>334</v>
      </c>
      <c r="B6">
        <v>0.33</v>
      </c>
      <c r="E6" s="46"/>
      <c r="F6" s="46"/>
      <c r="H6" s="45"/>
      <c r="I6" s="55">
        <v>3000</v>
      </c>
      <c r="J6" s="117" t="s">
        <v>327</v>
      </c>
      <c r="K6" s="125">
        <f>'1_1.2'!G83</f>
        <v>24733.799999999996</v>
      </c>
      <c r="L6" s="125">
        <f t="shared" si="0"/>
        <v>22260.42</v>
      </c>
      <c r="M6" s="124">
        <f>'1_1.2'!G98</f>
        <v>78.730130628926403</v>
      </c>
      <c r="N6" s="124">
        <f t="shared" si="1"/>
        <v>4.5184693657213435</v>
      </c>
      <c r="O6" s="124">
        <f t="shared" si="2"/>
        <v>6.5715213743428258</v>
      </c>
      <c r="P6" s="124">
        <f t="shared" si="3"/>
        <v>9.5574163899527598</v>
      </c>
      <c r="Q6" s="124">
        <f t="shared" si="4"/>
        <v>13.900009274499604</v>
      </c>
      <c r="R6" s="124">
        <f t="shared" si="5"/>
        <v>20.215741362308695</v>
      </c>
      <c r="S6" s="126">
        <f t="shared" si="6"/>
        <v>602.86470227367352</v>
      </c>
      <c r="T6" s="126">
        <f t="shared" si="7"/>
        <v>948.00759812120896</v>
      </c>
      <c r="U6" s="126">
        <f t="shared" si="8"/>
        <v>1597.8441189434545</v>
      </c>
      <c r="V6" s="126">
        <f t="shared" si="9"/>
        <v>2997.8378392168779</v>
      </c>
      <c r="W6" s="126">
        <f t="shared" si="10"/>
        <v>6433.3125682927785</v>
      </c>
      <c r="X6" s="116">
        <f t="shared" si="11"/>
        <v>14048.523657312648</v>
      </c>
      <c r="Y6" s="116">
        <f t="shared" si="12"/>
        <v>20502.489103846747</v>
      </c>
      <c r="Z6" s="116">
        <f t="shared" si="13"/>
        <v>30035.837869796673</v>
      </c>
      <c r="AA6" s="116">
        <f t="shared" si="14"/>
        <v>44352.753617992777</v>
      </c>
      <c r="AB6" s="116">
        <f t="shared" si="15"/>
        <v>66565.024730943071</v>
      </c>
    </row>
    <row r="7" spans="1:28" x14ac:dyDescent="0.2">
      <c r="A7" t="s">
        <v>315</v>
      </c>
      <c r="B7">
        <v>6000</v>
      </c>
      <c r="C7" t="s">
        <v>327</v>
      </c>
      <c r="D7" s="1">
        <f>(B7*2*PI())/60</f>
        <v>628.31853071795865</v>
      </c>
      <c r="E7" s="46" t="s">
        <v>335</v>
      </c>
      <c r="F7" s="46"/>
      <c r="H7" s="45"/>
      <c r="I7" s="55">
        <v>3250</v>
      </c>
      <c r="J7" s="117" t="s">
        <v>327</v>
      </c>
      <c r="K7" s="125">
        <f>'1_1.2'!G84</f>
        <v>27238.574999999997</v>
      </c>
      <c r="L7" s="125">
        <f t="shared" si="0"/>
        <v>24514.717499999999</v>
      </c>
      <c r="M7" s="124">
        <f>'1_1.2'!G99</f>
        <v>80.033609612849034</v>
      </c>
      <c r="N7" s="124">
        <f t="shared" si="1"/>
        <v>4.8950084795314535</v>
      </c>
      <c r="O7" s="124">
        <f t="shared" si="2"/>
        <v>7.1191481555380607</v>
      </c>
      <c r="P7" s="124">
        <f t="shared" si="3"/>
        <v>10.353867755782158</v>
      </c>
      <c r="Q7" s="124">
        <f t="shared" si="4"/>
        <v>15.058343380707905</v>
      </c>
      <c r="R7" s="124">
        <f t="shared" si="5"/>
        <v>21.90038647583442</v>
      </c>
      <c r="S7" s="126">
        <f t="shared" si="6"/>
        <v>661.36224847188555</v>
      </c>
      <c r="T7" s="126">
        <f t="shared" si="7"/>
        <v>1052.4145535116013</v>
      </c>
      <c r="U7" s="126">
        <f t="shared" si="8"/>
        <v>1809.1543759515944</v>
      </c>
      <c r="V7" s="126">
        <f t="shared" si="9"/>
        <v>3488.0880139693591</v>
      </c>
      <c r="W7" s="126">
        <f t="shared" si="10"/>
        <v>7709.0494403620687</v>
      </c>
      <c r="X7" s="116">
        <f t="shared" si="11"/>
        <v>15227.43864300687</v>
      </c>
      <c r="Y7" s="116">
        <f t="shared" si="12"/>
        <v>22236.269635447239</v>
      </c>
      <c r="Z7" s="116">
        <f t="shared" si="13"/>
        <v>32616.468589690881</v>
      </c>
      <c r="AA7" s="116">
        <f t="shared" si="14"/>
        <v>48287.670650893473</v>
      </c>
      <c r="AB7" s="116">
        <f t="shared" si="15"/>
        <v>72846.889043226111</v>
      </c>
    </row>
    <row r="8" spans="1:28" ht="16" thickBot="1" x14ac:dyDescent="0.25">
      <c r="A8" t="s">
        <v>301</v>
      </c>
      <c r="B8" s="25">
        <f>'1_1.2'!G94</f>
        <v>49.532201389059672</v>
      </c>
      <c r="E8" s="46"/>
      <c r="F8" s="46"/>
      <c r="H8" s="45"/>
      <c r="I8" s="55">
        <v>3500</v>
      </c>
      <c r="J8" s="117" t="s">
        <v>327</v>
      </c>
      <c r="K8" s="125">
        <f>'1_1.2'!G85</f>
        <v>29142.749999999996</v>
      </c>
      <c r="L8" s="125">
        <f t="shared" si="0"/>
        <v>26228.474999999999</v>
      </c>
      <c r="M8" s="124">
        <f>'1_1.2'!G100</f>
        <v>79.512218019279985</v>
      </c>
      <c r="N8" s="124">
        <f t="shared" si="1"/>
        <v>5.2715475933415661</v>
      </c>
      <c r="O8" s="124">
        <f t="shared" si="2"/>
        <v>7.6667749367332956</v>
      </c>
      <c r="P8" s="124">
        <f t="shared" si="3"/>
        <v>11.150319121611554</v>
      </c>
      <c r="Q8" s="124">
        <f t="shared" si="4"/>
        <v>16.216677486916204</v>
      </c>
      <c r="R8" s="124">
        <f t="shared" si="5"/>
        <v>23.585031589360149</v>
      </c>
      <c r="S8" s="126">
        <f t="shared" si="6"/>
        <v>721.84191171219538</v>
      </c>
      <c r="T8" s="126">
        <f t="shared" si="7"/>
        <v>1162.9190262332636</v>
      </c>
      <c r="U8" s="126">
        <f t="shared" si="8"/>
        <v>2039.2222122628177</v>
      </c>
      <c r="V8" s="126">
        <f t="shared" si="9"/>
        <v>4036.0414738780978</v>
      </c>
      <c r="W8" s="126">
        <f t="shared" si="10"/>
        <v>9162.2969103621363</v>
      </c>
      <c r="X8" s="116">
        <f t="shared" si="11"/>
        <v>16408.322752121465</v>
      </c>
      <c r="Y8" s="116">
        <f t="shared" si="12"/>
        <v>23976.107712554913</v>
      </c>
      <c r="Z8" s="116">
        <f t="shared" si="13"/>
        <v>35215.733924963759</v>
      </c>
      <c r="AA8" s="116">
        <f t="shared" si="14"/>
        <v>52279.912699330489</v>
      </c>
      <c r="AB8" s="116">
        <f t="shared" si="15"/>
        <v>79305.100295838245</v>
      </c>
    </row>
    <row r="9" spans="1:28" x14ac:dyDescent="0.2">
      <c r="A9" s="23" t="s">
        <v>0</v>
      </c>
      <c r="B9" s="24">
        <v>0.35</v>
      </c>
      <c r="C9" s="34"/>
      <c r="E9" s="46" t="s">
        <v>336</v>
      </c>
      <c r="F9" s="87">
        <f>B4/(B5*F3*D7)</f>
        <v>0.87896329526352035</v>
      </c>
      <c r="H9" s="45"/>
      <c r="I9" s="55">
        <v>4000</v>
      </c>
      <c r="J9" s="117" t="s">
        <v>327</v>
      </c>
      <c r="K9" s="125">
        <f>'1_1.2'!G86</f>
        <v>33378.799999999996</v>
      </c>
      <c r="L9" s="125">
        <f t="shared" si="0"/>
        <v>30040.92</v>
      </c>
      <c r="M9" s="124">
        <f>'1_1.2'!G101</f>
        <v>79.686015217136344</v>
      </c>
      <c r="N9" s="124">
        <f t="shared" si="1"/>
        <v>6.0246258209617896</v>
      </c>
      <c r="O9" s="124">
        <f t="shared" si="2"/>
        <v>8.7620284991237654</v>
      </c>
      <c r="P9" s="124">
        <f t="shared" si="3"/>
        <v>12.743221853270347</v>
      </c>
      <c r="Q9" s="124">
        <f t="shared" si="4"/>
        <v>18.533345699332809</v>
      </c>
      <c r="R9" s="124">
        <f t="shared" si="5"/>
        <v>26.954321816411596</v>
      </c>
      <c r="S9" s="126">
        <f t="shared" si="6"/>
        <v>849.35747148590644</v>
      </c>
      <c r="T9" s="126">
        <f t="shared" si="7"/>
        <v>1404.0966828492508</v>
      </c>
      <c r="U9" s="126">
        <f t="shared" si="8"/>
        <v>2561.4021856570057</v>
      </c>
      <c r="V9" s="126">
        <f t="shared" si="9"/>
        <v>5322.813106135507</v>
      </c>
      <c r="W9" s="126">
        <f t="shared" si="10"/>
        <v>12655.942289671748</v>
      </c>
      <c r="X9" s="116">
        <f t="shared" si="11"/>
        <v>18776.604224741077</v>
      </c>
      <c r="Y9" s="116">
        <f t="shared" si="12"/>
        <v>27475.82036344786</v>
      </c>
      <c r="Z9" s="116">
        <f t="shared" si="13"/>
        <v>40475.902169454377</v>
      </c>
      <c r="AA9" s="116">
        <f t="shared" si="14"/>
        <v>60454.010309132325</v>
      </c>
      <c r="AB9" s="116">
        <f t="shared" si="15"/>
        <v>92804.824219073955</v>
      </c>
    </row>
    <row r="10" spans="1:28" x14ac:dyDescent="0.2">
      <c r="A10" s="26" t="s">
        <v>1</v>
      </c>
      <c r="B10" s="27">
        <v>1.82</v>
      </c>
      <c r="C10" s="34"/>
      <c r="E10" s="46" t="s">
        <v>337</v>
      </c>
      <c r="F10" s="46">
        <f>(B8*B15)/(B5*F3*B11*B24*(B25*COS(F5)+SIN(F5)))</f>
        <v>0.19645921720419829</v>
      </c>
      <c r="H10" s="45"/>
      <c r="I10" s="55">
        <v>4500</v>
      </c>
      <c r="J10" s="117" t="s">
        <v>327</v>
      </c>
      <c r="K10" s="125">
        <f>'1_1.2'!G87</f>
        <v>36977.85</v>
      </c>
      <c r="L10" s="125">
        <f t="shared" si="0"/>
        <v>33280.065000000002</v>
      </c>
      <c r="M10" s="124">
        <f>'1_1.2'!G102</f>
        <v>78.469434832141886</v>
      </c>
      <c r="N10" s="124">
        <f t="shared" si="1"/>
        <v>6.7777040485820139</v>
      </c>
      <c r="O10" s="124">
        <f t="shared" si="2"/>
        <v>9.8572820615142405</v>
      </c>
      <c r="P10" s="124">
        <f t="shared" si="3"/>
        <v>14.336124584929141</v>
      </c>
      <c r="Q10" s="124">
        <f t="shared" si="4"/>
        <v>20.850013911749407</v>
      </c>
      <c r="R10" s="124">
        <f t="shared" si="5"/>
        <v>30.323612043463054</v>
      </c>
      <c r="S10" s="126">
        <f t="shared" si="6"/>
        <v>986.63114592840498</v>
      </c>
      <c r="T10" s="126">
        <f t="shared" si="7"/>
        <v>1675.2928863268762</v>
      </c>
      <c r="U10" s="126">
        <f t="shared" si="8"/>
        <v>3175.9271648509939</v>
      </c>
      <c r="V10" s="126">
        <f t="shared" si="9"/>
        <v>6893.6624499314148</v>
      </c>
      <c r="W10" s="126">
        <f t="shared" si="10"/>
        <v>17023.485997255953</v>
      </c>
      <c r="X10" s="116">
        <f t="shared" si="11"/>
        <v>21154.579843430165</v>
      </c>
      <c r="Y10" s="116">
        <f t="shared" si="12"/>
        <v>31005.354776837728</v>
      </c>
      <c r="Z10" s="116">
        <f t="shared" si="13"/>
        <v>45827.810058886163</v>
      </c>
      <c r="AA10" s="116">
        <f t="shared" si="14"/>
        <v>68910.323380035989</v>
      </c>
      <c r="AB10" s="116">
        <f t="shared" si="15"/>
        <v>107172.71769469896</v>
      </c>
    </row>
    <row r="11" spans="1:28" x14ac:dyDescent="0.2">
      <c r="A11" s="26" t="s">
        <v>2</v>
      </c>
      <c r="B11" s="27">
        <v>970</v>
      </c>
      <c r="C11" s="34"/>
      <c r="E11" s="46" t="s">
        <v>338</v>
      </c>
      <c r="F11" s="46">
        <f>F10*(F9/F10)^(1/(B28-1))</f>
        <v>0.2857241779347427</v>
      </c>
      <c r="H11" s="45"/>
      <c r="I11" s="55">
        <v>5000</v>
      </c>
      <c r="J11" s="117" t="s">
        <v>327</v>
      </c>
      <c r="K11" s="125">
        <f>'1_1.2'!G88</f>
        <v>38675</v>
      </c>
      <c r="L11" s="125">
        <f t="shared" si="0"/>
        <v>34807.5</v>
      </c>
      <c r="M11" s="124">
        <f>'1_1.2'!G103</f>
        <v>73.863809088948628</v>
      </c>
      <c r="N11" s="124">
        <f t="shared" si="1"/>
        <v>7.5307822762022374</v>
      </c>
      <c r="O11" s="124">
        <f t="shared" si="2"/>
        <v>10.95253562390471</v>
      </c>
      <c r="P11" s="124">
        <f t="shared" si="3"/>
        <v>15.929027316587936</v>
      </c>
      <c r="Q11" s="124">
        <f t="shared" si="4"/>
        <v>23.166682124166012</v>
      </c>
      <c r="R11" s="124">
        <f t="shared" si="5"/>
        <v>33.692902270514502</v>
      </c>
      <c r="S11" s="126">
        <f t="shared" si="6"/>
        <v>1134.8826993732896</v>
      </c>
      <c r="T11" s="126">
        <f t="shared" si="7"/>
        <v>1980.2599550238419</v>
      </c>
      <c r="U11" s="126">
        <f t="shared" si="8"/>
        <v>3894.3402755697575</v>
      </c>
      <c r="V11" s="126">
        <f t="shared" si="9"/>
        <v>8784.0992192081394</v>
      </c>
      <c r="W11" s="126">
        <f t="shared" si="10"/>
        <v>22374.165324149046</v>
      </c>
      <c r="X11" s="116">
        <f t="shared" si="11"/>
        <v>23543.461376447412</v>
      </c>
      <c r="Y11" s="116">
        <f t="shared" si="12"/>
        <v>34568.438673036595</v>
      </c>
      <c r="Z11" s="116">
        <f t="shared" si="13"/>
        <v>51282.925048876772</v>
      </c>
      <c r="AA11" s="116">
        <f t="shared" si="14"/>
        <v>77684.128844679246</v>
      </c>
      <c r="AB11" s="116">
        <f t="shared" si="15"/>
        <v>122517.30191676185</v>
      </c>
    </row>
    <row r="12" spans="1:28" x14ac:dyDescent="0.2">
      <c r="A12" s="26" t="s">
        <v>3</v>
      </c>
      <c r="B12" s="27">
        <v>1040</v>
      </c>
      <c r="C12" s="34"/>
      <c r="E12" s="46" t="s">
        <v>339</v>
      </c>
      <c r="F12" s="46">
        <f>F11*(F9/F10)^(1/(B28-1))</f>
        <v>0.41554836173265536</v>
      </c>
      <c r="H12" s="45"/>
      <c r="I12" s="55">
        <v>5500</v>
      </c>
      <c r="J12" s="117" t="s">
        <v>327</v>
      </c>
      <c r="K12" s="125">
        <f>'1_1.2'!G89</f>
        <v>39339.300000000003</v>
      </c>
      <c r="L12" s="125">
        <f t="shared" si="0"/>
        <v>35405.370000000003</v>
      </c>
      <c r="M12" s="124">
        <f>'1_1.2'!G104</f>
        <v>68.302298757545458</v>
      </c>
      <c r="N12" s="124">
        <f t="shared" si="1"/>
        <v>8.2838605038224618</v>
      </c>
      <c r="O12" s="124">
        <f t="shared" si="2"/>
        <v>12.04778918629518</v>
      </c>
      <c r="P12" s="124">
        <f t="shared" si="3"/>
        <v>17.521930048246734</v>
      </c>
      <c r="Q12" s="124">
        <f t="shared" si="4"/>
        <v>25.483350336582607</v>
      </c>
      <c r="R12" s="124">
        <f t="shared" si="5"/>
        <v>37.062192497565938</v>
      </c>
      <c r="S12" s="126">
        <f t="shared" si="6"/>
        <v>1295.3318961541586</v>
      </c>
      <c r="T12" s="126">
        <f t="shared" si="7"/>
        <v>2322.7502072978541</v>
      </c>
      <c r="U12" s="126">
        <f t="shared" si="8"/>
        <v>4728.1846435382731</v>
      </c>
      <c r="V12" s="126">
        <f t="shared" si="9"/>
        <v>11029.63312790798</v>
      </c>
      <c r="W12" s="126">
        <f t="shared" si="10"/>
        <v>28817.21756138534</v>
      </c>
      <c r="X12" s="116">
        <f t="shared" si="11"/>
        <v>25944.460592051506</v>
      </c>
      <c r="Y12" s="116">
        <f t="shared" si="12"/>
        <v>38168.799772356586</v>
      </c>
      <c r="Z12" s="116">
        <f t="shared" si="13"/>
        <v>56852.714595043864</v>
      </c>
      <c r="AA12" s="116">
        <f t="shared" si="14"/>
        <v>86810.703635699785</v>
      </c>
      <c r="AB12" s="116">
        <f t="shared" si="15"/>
        <v>138947.09807931122</v>
      </c>
    </row>
    <row r="13" spans="1:28" x14ac:dyDescent="0.2">
      <c r="A13" s="10" t="s">
        <v>332</v>
      </c>
      <c r="B13" s="27">
        <v>0.28100000000000003</v>
      </c>
      <c r="C13" s="34"/>
      <c r="E13" s="46" t="s">
        <v>340</v>
      </c>
      <c r="F13" s="46">
        <f>F12*(F9/F10)^(1/(B28-1))</f>
        <v>0.60436061864576518</v>
      </c>
      <c r="H13" s="45"/>
      <c r="I13" s="55">
        <v>6000</v>
      </c>
      <c r="J13" s="117" t="s">
        <v>327</v>
      </c>
      <c r="K13" s="125">
        <f>'1_1.2'!G90</f>
        <v>40513.199999999997</v>
      </c>
      <c r="L13" s="125">
        <f t="shared" si="0"/>
        <v>36461.879999999997</v>
      </c>
      <c r="M13" s="124">
        <f>'1_1.2'!G105</f>
        <v>64.478760404705739</v>
      </c>
      <c r="N13" s="124">
        <f t="shared" si="1"/>
        <v>9.036938731442687</v>
      </c>
      <c r="O13" s="124">
        <f t="shared" si="2"/>
        <v>13.143042748685652</v>
      </c>
      <c r="P13" s="124">
        <f t="shared" si="3"/>
        <v>19.11483277990552</v>
      </c>
      <c r="Q13" s="124">
        <f t="shared" si="4"/>
        <v>27.800018548999208</v>
      </c>
      <c r="R13" s="124">
        <f t="shared" si="5"/>
        <v>40.431482724617389</v>
      </c>
      <c r="S13" s="126">
        <f t="shared" si="6"/>
        <v>1469.1985006046107</v>
      </c>
      <c r="T13" s="126">
        <f t="shared" si="7"/>
        <v>2706.5159615066177</v>
      </c>
      <c r="U13" s="126">
        <f t="shared" si="8"/>
        <v>5689.0033944815059</v>
      </c>
      <c r="V13" s="126">
        <f t="shared" si="9"/>
        <v>13665.773889973265</v>
      </c>
      <c r="W13" s="126">
        <f t="shared" si="10"/>
        <v>36461.879999999204</v>
      </c>
      <c r="X13" s="116">
        <f t="shared" si="11"/>
        <v>28358.789258501132</v>
      </c>
      <c r="Y13" s="116">
        <f t="shared" si="12"/>
        <v>41810.165795109817</v>
      </c>
      <c r="Z13" s="116">
        <f t="shared" si="13"/>
        <v>62548.646153005022</v>
      </c>
      <c r="AA13" s="116">
        <f t="shared" si="14"/>
        <v>96325.324685735366</v>
      </c>
      <c r="AB13" s="116">
        <f t="shared" si="15"/>
        <v>156570.62737639589</v>
      </c>
    </row>
    <row r="14" spans="1:28" x14ac:dyDescent="0.2">
      <c r="A14" s="26" t="s">
        <v>34</v>
      </c>
      <c r="B14" s="27">
        <v>850</v>
      </c>
      <c r="C14" s="34"/>
      <c r="E14" s="46"/>
      <c r="F14" s="46"/>
      <c r="H14" s="45"/>
      <c r="I14" s="55">
        <v>6500</v>
      </c>
      <c r="J14" s="120" t="s">
        <v>327</v>
      </c>
      <c r="K14" s="125">
        <f>'1_1.2'!G91</f>
        <v>40103.699999999997</v>
      </c>
      <c r="L14" s="125">
        <f t="shared" si="0"/>
        <v>36093.33</v>
      </c>
      <c r="M14" s="124">
        <f>'1_1.2'!G106</f>
        <v>58.917250073302547</v>
      </c>
      <c r="N14" s="124">
        <f t="shared" si="1"/>
        <v>9.7900169590629069</v>
      </c>
      <c r="O14" s="124">
        <f t="shared" si="2"/>
        <v>14.238296311076121</v>
      </c>
      <c r="P14" s="124">
        <f t="shared" si="3"/>
        <v>20.707735511564316</v>
      </c>
      <c r="Q14" s="124">
        <f t="shared" si="4"/>
        <v>30.11668676141581</v>
      </c>
      <c r="R14" s="124">
        <f t="shared" si="5"/>
        <v>43.80077295166884</v>
      </c>
      <c r="S14" s="126">
        <f t="shared" si="6"/>
        <v>1657.702277058243</v>
      </c>
      <c r="T14" s="126">
        <f t="shared" si="7"/>
        <v>3135.309536007836</v>
      </c>
      <c r="U14" s="126">
        <f t="shared" si="8"/>
        <v>6788.3396541244456</v>
      </c>
      <c r="V14" s="126">
        <f t="shared" si="9"/>
        <v>16728.031219346303</v>
      </c>
      <c r="W14" s="126">
        <f t="shared" si="10"/>
        <v>45417.38993102494</v>
      </c>
      <c r="X14" s="116">
        <f t="shared" si="11"/>
        <v>30787.659144054953</v>
      </c>
      <c r="Y14" s="116">
        <f t="shared" si="12"/>
        <v>45496.2644616084</v>
      </c>
      <c r="Z14" s="116">
        <f t="shared" si="13"/>
        <v>68382.187178377979</v>
      </c>
      <c r="AA14" s="116">
        <f t="shared" si="14"/>
        <v>106263.26892742373</v>
      </c>
      <c r="AB14" s="116">
        <f t="shared" si="15"/>
        <v>175496.41100206444</v>
      </c>
    </row>
    <row r="15" spans="1:28" x14ac:dyDescent="0.2">
      <c r="A15" s="26" t="s">
        <v>36</v>
      </c>
      <c r="B15" s="27">
        <v>0.9</v>
      </c>
      <c r="C15" s="34"/>
      <c r="E15" s="46" t="s">
        <v>341</v>
      </c>
      <c r="F15" s="46">
        <f>F10</f>
        <v>0.19645921720419829</v>
      </c>
      <c r="H15" s="45"/>
      <c r="I15" s="53"/>
      <c r="J15" s="53"/>
      <c r="K15" s="45"/>
      <c r="L15" s="77"/>
      <c r="R15" s="45"/>
    </row>
    <row r="16" spans="1:28" x14ac:dyDescent="0.2">
      <c r="A16" s="26" t="s">
        <v>6</v>
      </c>
      <c r="B16" s="27">
        <v>2.2999999999999998</v>
      </c>
      <c r="C16" s="34"/>
      <c r="E16" s="46" t="s">
        <v>338</v>
      </c>
      <c r="F16" s="46">
        <f t="shared" ref="F16:F18" si="16">F11</f>
        <v>0.2857241779347427</v>
      </c>
    </row>
    <row r="17" spans="1:25" x14ac:dyDescent="0.2">
      <c r="A17" s="26" t="s">
        <v>7</v>
      </c>
      <c r="B17" s="27">
        <v>1.1499999999999999</v>
      </c>
      <c r="C17" s="34"/>
      <c r="E17" s="46" t="s">
        <v>339</v>
      </c>
      <c r="F17" s="46">
        <f t="shared" si="16"/>
        <v>0.41554836173265536</v>
      </c>
    </row>
    <row r="18" spans="1:25" x14ac:dyDescent="0.2">
      <c r="A18" s="26" t="s">
        <v>8</v>
      </c>
      <c r="B18" s="27">
        <v>0.5</v>
      </c>
      <c r="C18" s="34"/>
      <c r="E18" s="46" t="s">
        <v>340</v>
      </c>
      <c r="F18" s="46">
        <f t="shared" si="16"/>
        <v>0.60436061864576518</v>
      </c>
    </row>
    <row r="19" spans="1:25" x14ac:dyDescent="0.2">
      <c r="A19" s="26" t="s">
        <v>9</v>
      </c>
      <c r="B19" s="27"/>
      <c r="C19" s="34"/>
      <c r="E19" s="46" t="s">
        <v>342</v>
      </c>
      <c r="F19" s="46">
        <f>F9</f>
        <v>0.87896329526352035</v>
      </c>
    </row>
    <row r="20" spans="1:25" x14ac:dyDescent="0.2">
      <c r="A20" s="26" t="s">
        <v>5</v>
      </c>
      <c r="B20" s="27">
        <v>5</v>
      </c>
      <c r="C20" s="34"/>
      <c r="E20" s="46"/>
      <c r="F20" s="46"/>
    </row>
    <row r="21" spans="1:25" x14ac:dyDescent="0.2">
      <c r="A21" s="26" t="s">
        <v>10</v>
      </c>
      <c r="B21" s="27">
        <v>1</v>
      </c>
      <c r="C21" s="34"/>
      <c r="E21" s="46" t="s">
        <v>346</v>
      </c>
      <c r="F21" s="1">
        <f>'1_1.1 '!H2</f>
        <v>123.7041</v>
      </c>
    </row>
    <row r="22" spans="1:25" x14ac:dyDescent="0.2">
      <c r="A22" s="26" t="s">
        <v>11</v>
      </c>
      <c r="B22" s="27">
        <v>0.08</v>
      </c>
      <c r="C22" s="34"/>
      <c r="E22" s="46" t="s">
        <v>345</v>
      </c>
      <c r="F22">
        <f>'1_1.1 '!H3</f>
        <v>0.47599720699999998</v>
      </c>
    </row>
    <row r="23" spans="1:25" x14ac:dyDescent="0.2">
      <c r="A23" s="26" t="s">
        <v>12</v>
      </c>
      <c r="B23" s="27">
        <v>1.6</v>
      </c>
      <c r="C23" s="34"/>
    </row>
    <row r="24" spans="1:25" x14ac:dyDescent="0.2">
      <c r="A24" s="26" t="s">
        <v>13</v>
      </c>
      <c r="B24" s="27">
        <v>9.81</v>
      </c>
      <c r="C24" s="34"/>
      <c r="E24" s="46" t="s">
        <v>353</v>
      </c>
      <c r="F24" s="9">
        <f>ATAN(0.33)</f>
        <v>0.31874756042064445</v>
      </c>
    </row>
    <row r="25" spans="1:25" x14ac:dyDescent="0.2">
      <c r="A25" s="26" t="s">
        <v>14</v>
      </c>
      <c r="B25" s="27">
        <v>1.2999999999999999E-2</v>
      </c>
      <c r="C25" s="34"/>
      <c r="E25" s="46" t="s">
        <v>352</v>
      </c>
      <c r="F25">
        <f>B11*B24*(B25*COS(F24)+SIN(F24))</f>
        <v>3099.4787983395386</v>
      </c>
    </row>
    <row r="26" spans="1:25" x14ac:dyDescent="0.2">
      <c r="A26" s="26" t="s">
        <v>35</v>
      </c>
      <c r="B26" s="27">
        <v>1.3</v>
      </c>
      <c r="C26" s="34"/>
      <c r="E26" s="46" t="s">
        <v>354</v>
      </c>
      <c r="F26" s="75">
        <f>B11*B24*B27*COS(F24) + 0.5*B10*B9*B26</f>
        <v>0.47287684249909739</v>
      </c>
    </row>
    <row r="27" spans="1:25" x14ac:dyDescent="0.2">
      <c r="A27" s="26" t="s">
        <v>15</v>
      </c>
      <c r="B27" s="32">
        <v>6.5100000000000004E-6</v>
      </c>
      <c r="C27" s="47"/>
    </row>
    <row r="28" spans="1:25" x14ac:dyDescent="0.2">
      <c r="A28" s="48" t="s">
        <v>343</v>
      </c>
      <c r="B28" s="49">
        <v>5</v>
      </c>
    </row>
    <row r="29" spans="1:25" x14ac:dyDescent="0.2">
      <c r="A29" s="51" t="s">
        <v>17</v>
      </c>
      <c r="B29" s="51">
        <v>123.7041</v>
      </c>
      <c r="C29" s="21"/>
    </row>
    <row r="30" spans="1:25" x14ac:dyDescent="0.2">
      <c r="A30" s="51" t="s">
        <v>18</v>
      </c>
      <c r="B30" s="52">
        <v>0.47599720699999998</v>
      </c>
      <c r="C30" s="50"/>
      <c r="Y30" s="42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39"/>
  <sheetViews>
    <sheetView topLeftCell="E1" zoomScale="81" zoomScaleNormal="81" zoomScalePageLayoutView="81" workbookViewId="0">
      <selection activeCell="K1" sqref="K1"/>
    </sheetView>
  </sheetViews>
  <sheetFormatPr baseColWidth="10" defaultColWidth="8.83203125" defaultRowHeight="15" x14ac:dyDescent="0.2"/>
  <sheetData>
    <row r="1" spans="1:12" x14ac:dyDescent="0.2">
      <c r="A1" s="2" t="s">
        <v>0</v>
      </c>
      <c r="B1" s="3">
        <v>0.35</v>
      </c>
    </row>
    <row r="2" spans="1:12" x14ac:dyDescent="0.2">
      <c r="A2" s="4" t="s">
        <v>361</v>
      </c>
      <c r="B2" s="5">
        <v>1.82</v>
      </c>
      <c r="H2" s="89" t="s">
        <v>392</v>
      </c>
      <c r="I2">
        <f>$B$25*($B$17+$B$19*((F9)^2))</f>
        <v>3.1849999999999999E-3</v>
      </c>
    </row>
    <row r="3" spans="1:12" x14ac:dyDescent="0.2">
      <c r="A3" s="4" t="s">
        <v>362</v>
      </c>
      <c r="B3" s="5">
        <v>970</v>
      </c>
      <c r="H3" s="90" t="s">
        <v>393</v>
      </c>
      <c r="I3">
        <f>($B$25*($B$17+$B$19*((F9)^2)))</f>
        <v>3.1849999999999999E-3</v>
      </c>
    </row>
    <row r="4" spans="1:12" x14ac:dyDescent="0.2">
      <c r="A4" s="4" t="s">
        <v>365</v>
      </c>
      <c r="B4" s="91">
        <v>1.4E-3</v>
      </c>
      <c r="H4" s="90"/>
    </row>
    <row r="5" spans="1:12" x14ac:dyDescent="0.2">
      <c r="A5" s="4" t="s">
        <v>332</v>
      </c>
      <c r="B5" s="5">
        <v>0.28100000000000003</v>
      </c>
      <c r="H5" s="89" t="s">
        <v>394</v>
      </c>
      <c r="I5">
        <v>123.7</v>
      </c>
    </row>
    <row r="6" spans="1:12" x14ac:dyDescent="0.2">
      <c r="A6" s="4" t="s">
        <v>366</v>
      </c>
      <c r="B6" s="5">
        <v>850</v>
      </c>
      <c r="H6" s="89" t="s">
        <v>395</v>
      </c>
      <c r="I6">
        <v>0.475997</v>
      </c>
    </row>
    <row r="7" spans="1:12" x14ac:dyDescent="0.2">
      <c r="A7" s="4" t="s">
        <v>36</v>
      </c>
      <c r="B7" s="5">
        <v>0.9</v>
      </c>
    </row>
    <row r="8" spans="1:12" x14ac:dyDescent="0.2">
      <c r="A8" s="4" t="s">
        <v>367</v>
      </c>
      <c r="B8" s="5">
        <v>2.2999999999999998</v>
      </c>
      <c r="E8" s="59" t="s">
        <v>20</v>
      </c>
      <c r="F8" s="59" t="s">
        <v>21</v>
      </c>
      <c r="G8" s="92" t="s">
        <v>396</v>
      </c>
      <c r="H8" s="92" t="s">
        <v>397</v>
      </c>
      <c r="I8" s="93" t="s">
        <v>398</v>
      </c>
      <c r="J8" s="94" t="s">
        <v>399</v>
      </c>
      <c r="K8" s="92" t="s">
        <v>400</v>
      </c>
      <c r="L8" s="92" t="s">
        <v>401</v>
      </c>
    </row>
    <row r="9" spans="1:12" x14ac:dyDescent="0.2">
      <c r="A9" s="4" t="s">
        <v>368</v>
      </c>
      <c r="B9" s="5">
        <v>1.1499999999999999</v>
      </c>
      <c r="E9" s="95">
        <v>0</v>
      </c>
      <c r="F9" s="59">
        <f>E9/3.6</f>
        <v>0</v>
      </c>
      <c r="G9" s="92">
        <f>($B$3*$B$16*(($B$8-$B$9-($B$25*($B$17+$B$19*((F9)^2))))*COS($B$20)-$B$10*SIN($B$20)-(($B$18*$B$2*$B$1*$B$10)/(2*$B$3*$B$16))*F9^2))/($B$8+($B$25*($B$17+$B$19*((F9)^2)))-($B$25*($B$17+$B$19*((F9)^2))))</f>
        <v>4744.6728241304354</v>
      </c>
      <c r="H9" s="92">
        <f>($B$3*$B$16*(($B$9+($B$25*($B$17+$B$19*((F9)^2))))*COS($B$20)-$B$10*SIN($B$20)+(($B$18*$B$2*$B$1*$B$10)/(2*$B$3*$B$16))*F9^2))/($B$8+($B$25*($B$17+$B$19*((F9)^2)))-($B$25*($B$17+$B$19*((F9)^2))))</f>
        <v>4771.0271758695662</v>
      </c>
      <c r="I9" s="96">
        <f>F9*($G$9)*($B$21-$B$23*F9)</f>
        <v>0</v>
      </c>
      <c r="J9" s="92">
        <f>F9*($G$9)*($B$22-$B$24*F9)</f>
        <v>0</v>
      </c>
      <c r="K9" s="92">
        <f>$I$5+$I$6*F9^2</f>
        <v>123.7</v>
      </c>
      <c r="L9" s="92">
        <f>K9*F9</f>
        <v>0</v>
      </c>
    </row>
    <row r="10" spans="1:12" x14ac:dyDescent="0.2">
      <c r="A10" s="4" t="s">
        <v>369</v>
      </c>
      <c r="B10" s="5">
        <v>0.5</v>
      </c>
      <c r="E10" s="95">
        <f>E9+10</f>
        <v>10</v>
      </c>
      <c r="F10" s="59">
        <f t="shared" ref="F10:F39" si="0">E10/3.6</f>
        <v>2.7777777777777777</v>
      </c>
      <c r="G10" s="92">
        <f t="shared" ref="G10:G39" si="1">($B$3*$B$16*(($B$8-$B$9-($B$25*($B$17+$B$19*((F10)^2))))*COS($B$20)-$B$10*SIN($B$20)-(($B$18*$B$2*$B$1*$B$10)/(2*$B$3*$B$16))*F10^2))/($B$8+($B$25*($B$17+$B$19*((F10)^2)))-($B$25*($B$17+$B$19*((F10)^2))))</f>
        <v>4743.9273797339138</v>
      </c>
      <c r="H10" s="92">
        <f t="shared" ref="H10:H39" si="2">($B$3*$B$16*(($B$9+($B$25*($B$17+$B$19*((F10)^2))))*COS($B$20)-$B$10*SIN($B$20)+(($B$18*$B$2*$B$1*$B$10)/(2*$B$3*$B$16))*F10^2))/($B$8+($B$25*($B$17+$B$19*((F10)^2)))-($B$25*($B$17+$B$19*((F10)^2))))</f>
        <v>4771.7726202660861</v>
      </c>
      <c r="I10" s="96">
        <f>F10*($G$9)*($B$21-$B$23*F10)</f>
        <v>14277.950628170294</v>
      </c>
      <c r="J10" s="92">
        <f t="shared" ref="J10:J39" si="3">F10*($G$9)*($B$22-$B$24*F10)</f>
        <v>10250.836348429953</v>
      </c>
      <c r="K10" s="92">
        <f t="shared" ref="K10:K39" si="4">$I$5+$I$6*F10^2</f>
        <v>127.37281635802469</v>
      </c>
      <c r="L10" s="92">
        <f t="shared" ref="L10:L39" si="5">K10*F10</f>
        <v>353.81337877229078</v>
      </c>
    </row>
    <row r="11" spans="1:12" x14ac:dyDescent="0.2">
      <c r="A11" s="10" t="s">
        <v>9</v>
      </c>
      <c r="B11" s="5"/>
      <c r="E11" s="95">
        <f t="shared" ref="E11:E39" si="6">E10+10</f>
        <v>20</v>
      </c>
      <c r="F11" s="59">
        <f t="shared" si="0"/>
        <v>5.5555555555555554</v>
      </c>
      <c r="G11" s="92">
        <f t="shared" si="1"/>
        <v>4741.6910465443507</v>
      </c>
      <c r="H11" s="92">
        <f t="shared" si="2"/>
        <v>4774.00895345565</v>
      </c>
      <c r="I11" s="96">
        <f t="shared" ref="I11:I39" si="7">F11*($G$9)*($B$21-$B$23*F11)</f>
        <v>28116.57969855073</v>
      </c>
      <c r="J11" s="92">
        <f t="shared" si="3"/>
        <v>19915.910619806767</v>
      </c>
      <c r="K11" s="92">
        <f t="shared" si="4"/>
        <v>138.39126543209878</v>
      </c>
      <c r="L11" s="92">
        <f t="shared" si="5"/>
        <v>768.8403635116598</v>
      </c>
    </row>
    <row r="12" spans="1:12" x14ac:dyDescent="0.2">
      <c r="A12" s="4" t="s">
        <v>5</v>
      </c>
      <c r="B12" s="5">
        <v>5</v>
      </c>
      <c r="E12" s="95">
        <f t="shared" si="6"/>
        <v>30</v>
      </c>
      <c r="F12" s="59">
        <f t="shared" si="0"/>
        <v>8.3333333333333339</v>
      </c>
      <c r="G12" s="92">
        <f t="shared" si="1"/>
        <v>4737.9638245617452</v>
      </c>
      <c r="H12" s="92">
        <f t="shared" si="2"/>
        <v>4777.7361754382546</v>
      </c>
      <c r="I12" s="96">
        <f t="shared" si="7"/>
        <v>41515.887211141315</v>
      </c>
      <c r="J12" s="92">
        <f t="shared" si="3"/>
        <v>28995.222814130444</v>
      </c>
      <c r="K12" s="92">
        <f t="shared" si="4"/>
        <v>156.75534722222224</v>
      </c>
      <c r="L12" s="92">
        <f t="shared" si="5"/>
        <v>1306.2945601851854</v>
      </c>
    </row>
    <row r="13" spans="1:12" x14ac:dyDescent="0.2">
      <c r="A13" s="4" t="s">
        <v>372</v>
      </c>
      <c r="B13" s="5">
        <v>1</v>
      </c>
      <c r="E13" s="95">
        <f t="shared" si="6"/>
        <v>40</v>
      </c>
      <c r="F13" s="59">
        <f t="shared" si="0"/>
        <v>11.111111111111111</v>
      </c>
      <c r="G13" s="92">
        <f t="shared" si="1"/>
        <v>4732.7457137860983</v>
      </c>
      <c r="H13" s="92">
        <f t="shared" si="2"/>
        <v>4782.9542862139033</v>
      </c>
      <c r="I13" s="96">
        <f t="shared" si="7"/>
        <v>54475.873165942045</v>
      </c>
      <c r="J13" s="92">
        <f t="shared" si="3"/>
        <v>37488.77293140097</v>
      </c>
      <c r="K13" s="92">
        <f t="shared" si="4"/>
        <v>182.46506172839506</v>
      </c>
      <c r="L13" s="92">
        <f t="shared" si="5"/>
        <v>2027.3895747599449</v>
      </c>
    </row>
    <row r="14" spans="1:12" x14ac:dyDescent="0.2">
      <c r="A14" s="4" t="s">
        <v>370</v>
      </c>
      <c r="B14" s="5">
        <v>0.08</v>
      </c>
      <c r="E14" s="95">
        <f t="shared" si="6"/>
        <v>50</v>
      </c>
      <c r="F14" s="59">
        <f t="shared" si="0"/>
        <v>13.888888888888889</v>
      </c>
      <c r="G14" s="92">
        <f t="shared" si="1"/>
        <v>4726.0367142174082</v>
      </c>
      <c r="H14" s="92">
        <f t="shared" si="2"/>
        <v>4789.6632857825916</v>
      </c>
      <c r="I14" s="96">
        <f t="shared" si="7"/>
        <v>66996.53756295293</v>
      </c>
      <c r="J14" s="92">
        <f t="shared" si="3"/>
        <v>45396.560971618368</v>
      </c>
      <c r="K14" s="92">
        <f t="shared" si="4"/>
        <v>215.52040895061731</v>
      </c>
      <c r="L14" s="92">
        <f t="shared" si="5"/>
        <v>2993.3390132030181</v>
      </c>
    </row>
    <row r="15" spans="1:12" x14ac:dyDescent="0.2">
      <c r="A15" s="4" t="s">
        <v>371</v>
      </c>
      <c r="B15" s="5">
        <v>1.6</v>
      </c>
      <c r="E15" s="95">
        <f t="shared" si="6"/>
        <v>60</v>
      </c>
      <c r="F15" s="59">
        <f t="shared" si="0"/>
        <v>16.666666666666668</v>
      </c>
      <c r="G15" s="92">
        <f t="shared" si="1"/>
        <v>4717.8368258556766</v>
      </c>
      <c r="H15" s="92">
        <f t="shared" si="2"/>
        <v>4797.8631741443251</v>
      </c>
      <c r="I15" s="96">
        <f t="shared" si="7"/>
        <v>79077.880402173934</v>
      </c>
      <c r="J15" s="92">
        <f t="shared" si="3"/>
        <v>52718.58693478263</v>
      </c>
      <c r="K15" s="92">
        <f t="shared" si="4"/>
        <v>255.92138888888894</v>
      </c>
      <c r="L15" s="92">
        <f t="shared" si="5"/>
        <v>4265.3564814814827</v>
      </c>
    </row>
    <row r="16" spans="1:12" x14ac:dyDescent="0.2">
      <c r="A16" s="4" t="s">
        <v>364</v>
      </c>
      <c r="B16" s="5">
        <v>9.81</v>
      </c>
      <c r="E16" s="95">
        <f t="shared" si="6"/>
        <v>70</v>
      </c>
      <c r="F16" s="59">
        <f t="shared" si="0"/>
        <v>19.444444444444443</v>
      </c>
      <c r="G16" s="92">
        <f t="shared" si="1"/>
        <v>4708.1460487009026</v>
      </c>
      <c r="H16" s="92">
        <f t="shared" si="2"/>
        <v>4807.553951299099</v>
      </c>
      <c r="I16" s="96">
        <f t="shared" si="7"/>
        <v>90719.901683605087</v>
      </c>
      <c r="J16" s="92">
        <f t="shared" si="3"/>
        <v>59454.850820893727</v>
      </c>
      <c r="K16" s="92">
        <f t="shared" si="4"/>
        <v>303.66800154320987</v>
      </c>
      <c r="L16" s="92">
        <f t="shared" si="5"/>
        <v>5904.6555855624138</v>
      </c>
    </row>
    <row r="17" spans="1:12" x14ac:dyDescent="0.2">
      <c r="A17" s="4" t="s">
        <v>14</v>
      </c>
      <c r="B17" s="5">
        <v>1.2999999999999999E-2</v>
      </c>
      <c r="E17" s="95">
        <f t="shared" si="6"/>
        <v>80</v>
      </c>
      <c r="F17" s="59">
        <f t="shared" si="0"/>
        <v>22.222222222222221</v>
      </c>
      <c r="G17" s="92">
        <f t="shared" si="1"/>
        <v>4696.9643827530872</v>
      </c>
      <c r="H17" s="92">
        <f t="shared" si="2"/>
        <v>4818.7356172469135</v>
      </c>
      <c r="I17" s="96">
        <f t="shared" si="7"/>
        <v>101922.6014072464</v>
      </c>
      <c r="J17" s="92">
        <f t="shared" si="3"/>
        <v>65605.352629951696</v>
      </c>
      <c r="K17" s="92">
        <f t="shared" si="4"/>
        <v>358.76024691358026</v>
      </c>
      <c r="L17" s="92">
        <f t="shared" si="5"/>
        <v>7972.4499314128943</v>
      </c>
    </row>
    <row r="18" spans="1:12" x14ac:dyDescent="0.2">
      <c r="A18" s="4" t="s">
        <v>363</v>
      </c>
      <c r="B18" s="5">
        <v>1.3</v>
      </c>
      <c r="E18" s="95">
        <f t="shared" si="6"/>
        <v>90</v>
      </c>
      <c r="F18" s="59">
        <f t="shared" si="0"/>
        <v>25</v>
      </c>
      <c r="G18" s="92">
        <f t="shared" si="1"/>
        <v>4684.2918280122285</v>
      </c>
      <c r="H18" s="92">
        <f t="shared" si="2"/>
        <v>4831.4081719877722</v>
      </c>
      <c r="I18" s="96">
        <f t="shared" si="7"/>
        <v>112685.97957309785</v>
      </c>
      <c r="J18" s="92">
        <f t="shared" si="3"/>
        <v>71170.092361956544</v>
      </c>
      <c r="K18" s="92">
        <f t="shared" si="4"/>
        <v>421.198125</v>
      </c>
      <c r="L18" s="92">
        <f t="shared" si="5"/>
        <v>10529.953125</v>
      </c>
    </row>
    <row r="19" spans="1:12" x14ac:dyDescent="0.2">
      <c r="A19" s="4" t="s">
        <v>360</v>
      </c>
      <c r="B19" s="6">
        <v>6.5100000000000004E-6</v>
      </c>
      <c r="E19" s="95">
        <f t="shared" si="6"/>
        <v>100</v>
      </c>
      <c r="F19" s="59">
        <f t="shared" si="0"/>
        <v>27.777777777777779</v>
      </c>
      <c r="G19" s="92">
        <f t="shared" si="1"/>
        <v>4670.1283844783275</v>
      </c>
      <c r="H19" s="92">
        <f t="shared" si="2"/>
        <v>4845.5716155216724</v>
      </c>
      <c r="I19" s="96">
        <f t="shared" si="7"/>
        <v>123010.03618115945</v>
      </c>
      <c r="J19" s="92">
        <f t="shared" si="3"/>
        <v>76149.070016908241</v>
      </c>
      <c r="K19" s="92">
        <f t="shared" si="4"/>
        <v>490.98163580246916</v>
      </c>
      <c r="L19" s="92">
        <f t="shared" si="5"/>
        <v>13638.378772290811</v>
      </c>
    </row>
    <row r="20" spans="1:12" x14ac:dyDescent="0.2">
      <c r="A20" s="13" t="s">
        <v>379</v>
      </c>
      <c r="B20" s="14">
        <v>0</v>
      </c>
      <c r="E20" s="95">
        <f t="shared" si="6"/>
        <v>110</v>
      </c>
      <c r="F20" s="59">
        <f t="shared" si="0"/>
        <v>30.555555555555554</v>
      </c>
      <c r="G20" s="92">
        <f t="shared" si="1"/>
        <v>4654.4740521513859</v>
      </c>
      <c r="H20" s="92">
        <f t="shared" si="2"/>
        <v>4861.2259478486149</v>
      </c>
      <c r="I20" s="96">
        <f t="shared" si="7"/>
        <v>132894.77123143116</v>
      </c>
      <c r="J20" s="92">
        <f t="shared" si="3"/>
        <v>80542.285594806759</v>
      </c>
      <c r="K20" s="92">
        <f t="shared" si="4"/>
        <v>568.1107793209876</v>
      </c>
      <c r="L20" s="92">
        <f t="shared" si="5"/>
        <v>17358.940479252396</v>
      </c>
    </row>
    <row r="21" spans="1:12" x14ac:dyDescent="0.2">
      <c r="A21" s="93" t="s">
        <v>402</v>
      </c>
      <c r="B21" s="93">
        <v>1.1000000000000001</v>
      </c>
      <c r="E21" s="95">
        <f t="shared" si="6"/>
        <v>120</v>
      </c>
      <c r="F21" s="59">
        <f t="shared" si="0"/>
        <v>33.333333333333336</v>
      </c>
      <c r="G21" s="92">
        <f t="shared" si="1"/>
        <v>4637.3288310314019</v>
      </c>
      <c r="H21" s="92">
        <f t="shared" si="2"/>
        <v>4878.3711689685997</v>
      </c>
      <c r="I21" s="96">
        <f t="shared" si="7"/>
        <v>142340.18472391312</v>
      </c>
      <c r="J21" s="92">
        <f t="shared" si="3"/>
        <v>84349.739095652199</v>
      </c>
      <c r="K21" s="92">
        <f t="shared" si="4"/>
        <v>652.58555555555574</v>
      </c>
      <c r="L21" s="92">
        <f t="shared" si="5"/>
        <v>21752.851851851861</v>
      </c>
    </row>
    <row r="22" spans="1:12" x14ac:dyDescent="0.2">
      <c r="A22" s="97" t="s">
        <v>403</v>
      </c>
      <c r="B22" s="97">
        <v>0.8</v>
      </c>
      <c r="E22" s="95">
        <f t="shared" si="6"/>
        <v>130</v>
      </c>
      <c r="F22" s="59">
        <f t="shared" si="0"/>
        <v>36.111111111111107</v>
      </c>
      <c r="G22" s="92">
        <f t="shared" si="1"/>
        <v>4618.6927211183747</v>
      </c>
      <c r="H22" s="92">
        <f t="shared" si="2"/>
        <v>4897.0072788816251</v>
      </c>
      <c r="I22" s="96">
        <f t="shared" si="7"/>
        <v>151346.27665860509</v>
      </c>
      <c r="J22" s="92">
        <f t="shared" si="3"/>
        <v>87571.430519444461</v>
      </c>
      <c r="K22" s="92">
        <f t="shared" si="4"/>
        <v>744.40596450617272</v>
      </c>
      <c r="L22" s="92">
        <f t="shared" si="5"/>
        <v>26881.326496056234</v>
      </c>
    </row>
    <row r="23" spans="1:12" x14ac:dyDescent="0.2">
      <c r="A23" s="93" t="s">
        <v>404</v>
      </c>
      <c r="B23" s="98">
        <v>6.0000000000000001E-3</v>
      </c>
      <c r="E23" s="95">
        <f t="shared" si="6"/>
        <v>140</v>
      </c>
      <c r="F23" s="59">
        <f t="shared" si="0"/>
        <v>38.888888888888886</v>
      </c>
      <c r="G23" s="92">
        <f t="shared" si="1"/>
        <v>4598.5657224123061</v>
      </c>
      <c r="H23" s="92">
        <f t="shared" si="2"/>
        <v>4917.1342775876956</v>
      </c>
      <c r="I23" s="96">
        <f t="shared" si="7"/>
        <v>159913.04703550728</v>
      </c>
      <c r="J23" s="92">
        <f t="shared" si="3"/>
        <v>90207.359866183586</v>
      </c>
      <c r="K23" s="92">
        <f t="shared" si="4"/>
        <v>843.57200617283945</v>
      </c>
      <c r="L23" s="92">
        <f t="shared" si="5"/>
        <v>32805.578017832646</v>
      </c>
    </row>
    <row r="24" spans="1:12" x14ac:dyDescent="0.2">
      <c r="A24" s="97" t="s">
        <v>405</v>
      </c>
      <c r="B24" s="99">
        <v>8.0000000000000002E-3</v>
      </c>
      <c r="E24" s="95">
        <f t="shared" si="6"/>
        <v>150</v>
      </c>
      <c r="F24" s="59">
        <f t="shared" si="0"/>
        <v>41.666666666666664</v>
      </c>
      <c r="G24" s="92">
        <f t="shared" si="1"/>
        <v>4576.947834913195</v>
      </c>
      <c r="H24" s="92">
        <f t="shared" si="2"/>
        <v>4938.7521650868057</v>
      </c>
      <c r="I24" s="96">
        <f t="shared" si="7"/>
        <v>168040.4958546196</v>
      </c>
      <c r="J24" s="92">
        <f t="shared" si="3"/>
        <v>92257.527135869575</v>
      </c>
      <c r="K24" s="92">
        <f t="shared" si="4"/>
        <v>950.08368055555547</v>
      </c>
      <c r="L24" s="92">
        <f t="shared" si="5"/>
        <v>39586.820023148146</v>
      </c>
    </row>
    <row r="25" spans="1:12" x14ac:dyDescent="0.2">
      <c r="A25" s="92" t="s">
        <v>406</v>
      </c>
      <c r="B25" s="92">
        <v>0.245</v>
      </c>
      <c r="E25" s="95">
        <f t="shared" si="6"/>
        <v>160</v>
      </c>
      <c r="F25" s="59">
        <f>E25/3.6</f>
        <v>44.444444444444443</v>
      </c>
      <c r="G25" s="92">
        <f t="shared" si="1"/>
        <v>4553.8390586210417</v>
      </c>
      <c r="H25" s="92">
        <f t="shared" si="2"/>
        <v>4961.8609413789582</v>
      </c>
      <c r="I25" s="96">
        <f t="shared" si="7"/>
        <v>175728.62311594209</v>
      </c>
      <c r="J25" s="92">
        <f t="shared" si="3"/>
        <v>93721.932328502429</v>
      </c>
      <c r="K25" s="92">
        <f t="shared" si="4"/>
        <v>1063.9409876543209</v>
      </c>
      <c r="L25" s="92">
        <f t="shared" si="5"/>
        <v>47286.266117969819</v>
      </c>
    </row>
    <row r="26" spans="1:12" x14ac:dyDescent="0.2">
      <c r="A26" s="92" t="s">
        <v>407</v>
      </c>
      <c r="B26" s="92">
        <v>0.26050000000000001</v>
      </c>
      <c r="E26" s="95">
        <f t="shared" si="6"/>
        <v>170</v>
      </c>
      <c r="F26" s="59">
        <f t="shared" si="0"/>
        <v>47.222222222222221</v>
      </c>
      <c r="G26" s="92">
        <f t="shared" si="1"/>
        <v>4529.2393935358459</v>
      </c>
      <c r="H26" s="92">
        <f t="shared" si="2"/>
        <v>4986.4606064641548</v>
      </c>
      <c r="I26" s="96">
        <f t="shared" si="7"/>
        <v>182977.42881947468</v>
      </c>
      <c r="J26" s="92">
        <f t="shared" si="3"/>
        <v>94600.575444082147</v>
      </c>
      <c r="K26" s="92">
        <f t="shared" si="4"/>
        <v>1185.1439274691359</v>
      </c>
      <c r="L26" s="92">
        <f t="shared" si="5"/>
        <v>55965.129908264746</v>
      </c>
    </row>
    <row r="27" spans="1:12" x14ac:dyDescent="0.2">
      <c r="E27" s="95">
        <f t="shared" si="6"/>
        <v>180</v>
      </c>
      <c r="F27" s="59">
        <f t="shared" si="0"/>
        <v>50</v>
      </c>
      <c r="G27" s="92">
        <f t="shared" si="1"/>
        <v>4503.1488396576096</v>
      </c>
      <c r="H27" s="92">
        <f t="shared" si="2"/>
        <v>5012.5511603423911</v>
      </c>
      <c r="I27" s="96">
        <f t="shared" si="7"/>
        <v>189786.91296521743</v>
      </c>
      <c r="J27" s="92">
        <f t="shared" si="3"/>
        <v>94893.456482608715</v>
      </c>
      <c r="K27" s="92">
        <f t="shared" si="4"/>
        <v>1313.6925000000001</v>
      </c>
      <c r="L27" s="92">
        <f t="shared" si="5"/>
        <v>65684.625</v>
      </c>
    </row>
    <row r="28" spans="1:12" x14ac:dyDescent="0.2">
      <c r="E28" s="95">
        <f t="shared" si="6"/>
        <v>190</v>
      </c>
      <c r="F28" s="59">
        <f t="shared" si="0"/>
        <v>52.777777777777779</v>
      </c>
      <c r="G28" s="92">
        <f t="shared" si="1"/>
        <v>4475.5673969863301</v>
      </c>
      <c r="H28" s="92">
        <f t="shared" si="2"/>
        <v>5040.1326030136706</v>
      </c>
      <c r="I28" s="96">
        <f t="shared" si="7"/>
        <v>196157.07555317035</v>
      </c>
      <c r="J28" s="92">
        <f t="shared" si="3"/>
        <v>94600.575444082147</v>
      </c>
      <c r="K28" s="92">
        <f t="shared" si="4"/>
        <v>1449.5867052469137</v>
      </c>
      <c r="L28" s="92">
        <f t="shared" si="5"/>
        <v>76505.96499914267</v>
      </c>
    </row>
    <row r="29" spans="1:12" x14ac:dyDescent="0.2">
      <c r="E29" s="95">
        <f t="shared" si="6"/>
        <v>200</v>
      </c>
      <c r="F29" s="59">
        <f t="shared" si="0"/>
        <v>55.555555555555557</v>
      </c>
      <c r="G29" s="92">
        <f t="shared" si="1"/>
        <v>4446.4950655220082</v>
      </c>
      <c r="H29" s="92">
        <f t="shared" si="2"/>
        <v>5069.2049344779925</v>
      </c>
      <c r="I29" s="96">
        <f t="shared" si="7"/>
        <v>202087.9165833334</v>
      </c>
      <c r="J29" s="92">
        <f t="shared" si="3"/>
        <v>93721.932328502444</v>
      </c>
      <c r="K29" s="92">
        <f t="shared" si="4"/>
        <v>1592.8265432098767</v>
      </c>
      <c r="L29" s="92">
        <f t="shared" si="5"/>
        <v>88490.363511659816</v>
      </c>
    </row>
    <row r="30" spans="1:12" x14ac:dyDescent="0.2">
      <c r="E30" s="95">
        <f t="shared" si="6"/>
        <v>210</v>
      </c>
      <c r="F30" s="59">
        <f t="shared" si="0"/>
        <v>58.333333333333329</v>
      </c>
      <c r="G30" s="92">
        <f t="shared" si="1"/>
        <v>4415.9318452646439</v>
      </c>
      <c r="H30" s="92">
        <f t="shared" si="2"/>
        <v>5099.7681547353568</v>
      </c>
      <c r="I30" s="96">
        <f t="shared" si="7"/>
        <v>207579.43605570655</v>
      </c>
      <c r="J30" s="92">
        <f t="shared" si="3"/>
        <v>92257.52713586959</v>
      </c>
      <c r="K30" s="92">
        <f t="shared" si="4"/>
        <v>1743.4120138888889</v>
      </c>
      <c r="L30" s="92">
        <f t="shared" si="5"/>
        <v>101699.03414351851</v>
      </c>
    </row>
    <row r="31" spans="1:12" x14ac:dyDescent="0.2">
      <c r="E31" s="95">
        <f t="shared" si="6"/>
        <v>220</v>
      </c>
      <c r="F31" s="59">
        <f t="shared" si="0"/>
        <v>61.111111111111107</v>
      </c>
      <c r="G31" s="92">
        <f t="shared" si="1"/>
        <v>4383.8777362142382</v>
      </c>
      <c r="H31" s="92">
        <f t="shared" si="2"/>
        <v>5131.8222637857616</v>
      </c>
      <c r="I31" s="96">
        <f t="shared" si="7"/>
        <v>212631.63397028987</v>
      </c>
      <c r="J31" s="92">
        <f t="shared" si="3"/>
        <v>90207.359866183586</v>
      </c>
      <c r="K31" s="92">
        <f t="shared" si="4"/>
        <v>1901.3431172839503</v>
      </c>
      <c r="L31" s="92">
        <f t="shared" si="5"/>
        <v>116193.19050068584</v>
      </c>
    </row>
    <row r="32" spans="1:12" x14ac:dyDescent="0.2">
      <c r="E32" s="95">
        <f t="shared" si="6"/>
        <v>230</v>
      </c>
      <c r="F32" s="59">
        <f t="shared" si="0"/>
        <v>63.888888888888886</v>
      </c>
      <c r="G32" s="92">
        <f t="shared" si="1"/>
        <v>4350.3327383707901</v>
      </c>
      <c r="H32" s="92">
        <f t="shared" si="2"/>
        <v>5165.3672616292106</v>
      </c>
      <c r="I32" s="96">
        <f t="shared" si="7"/>
        <v>217244.51032708341</v>
      </c>
      <c r="J32" s="92">
        <f t="shared" si="3"/>
        <v>87571.430519444475</v>
      </c>
      <c r="K32" s="92">
        <f t="shared" si="4"/>
        <v>2066.6198533950615</v>
      </c>
      <c r="L32" s="92">
        <f t="shared" si="5"/>
        <v>132034.04618912892</v>
      </c>
    </row>
    <row r="33" spans="5:12" x14ac:dyDescent="0.2">
      <c r="E33" s="95">
        <f t="shared" si="6"/>
        <v>240</v>
      </c>
      <c r="F33" s="59">
        <f t="shared" si="0"/>
        <v>66.666666666666671</v>
      </c>
      <c r="G33" s="92">
        <f t="shared" si="1"/>
        <v>4315.2968517342997</v>
      </c>
      <c r="H33" s="92">
        <f t="shared" si="2"/>
        <v>5200.403148265701</v>
      </c>
      <c r="I33" s="96">
        <f t="shared" si="7"/>
        <v>221418.06512608705</v>
      </c>
      <c r="J33" s="92">
        <f t="shared" si="3"/>
        <v>84349.739095652185</v>
      </c>
      <c r="K33" s="92">
        <f t="shared" si="4"/>
        <v>2239.2422222222226</v>
      </c>
      <c r="L33" s="92">
        <f t="shared" si="5"/>
        <v>149282.81481481486</v>
      </c>
    </row>
    <row r="34" spans="5:12" x14ac:dyDescent="0.2">
      <c r="E34" s="95">
        <f t="shared" si="6"/>
        <v>250</v>
      </c>
      <c r="F34" s="59">
        <f t="shared" si="0"/>
        <v>69.444444444444443</v>
      </c>
      <c r="G34" s="92">
        <f t="shared" si="1"/>
        <v>4278.7700763047678</v>
      </c>
      <c r="H34" s="92">
        <f t="shared" si="2"/>
        <v>5236.9299236952329</v>
      </c>
      <c r="I34" s="96">
        <f t="shared" si="7"/>
        <v>225152.29836730074</v>
      </c>
      <c r="J34" s="92">
        <f t="shared" si="3"/>
        <v>80542.285594806774</v>
      </c>
      <c r="K34" s="92">
        <f t="shared" si="4"/>
        <v>2419.2102237654317</v>
      </c>
      <c r="L34" s="92">
        <f t="shared" si="5"/>
        <v>168000.70998371052</v>
      </c>
    </row>
    <row r="35" spans="5:12" x14ac:dyDescent="0.2">
      <c r="E35" s="95">
        <f t="shared" si="6"/>
        <v>260</v>
      </c>
      <c r="F35" s="59">
        <f t="shared" si="0"/>
        <v>72.222222222222214</v>
      </c>
      <c r="G35" s="92">
        <f t="shared" si="1"/>
        <v>4240.7524120821936</v>
      </c>
      <c r="H35" s="92">
        <f t="shared" si="2"/>
        <v>5274.9475879178071</v>
      </c>
      <c r="I35" s="96">
        <f t="shared" si="7"/>
        <v>228447.21005072468</v>
      </c>
      <c r="J35" s="92">
        <f t="shared" si="3"/>
        <v>76149.070016908241</v>
      </c>
      <c r="K35" s="92">
        <f t="shared" si="4"/>
        <v>2606.5238580246905</v>
      </c>
      <c r="L35" s="92">
        <f t="shared" si="5"/>
        <v>188248.94530178318</v>
      </c>
    </row>
    <row r="36" spans="5:12" x14ac:dyDescent="0.2">
      <c r="E36" s="95">
        <f t="shared" si="6"/>
        <v>270</v>
      </c>
      <c r="F36" s="59">
        <f t="shared" si="0"/>
        <v>75</v>
      </c>
      <c r="G36" s="92">
        <f t="shared" si="1"/>
        <v>4201.243859066577</v>
      </c>
      <c r="H36" s="92">
        <f t="shared" si="2"/>
        <v>5314.4561409334237</v>
      </c>
      <c r="I36" s="96">
        <f t="shared" si="7"/>
        <v>231302.80017635878</v>
      </c>
      <c r="J36" s="92">
        <f t="shared" si="3"/>
        <v>71170.092361956558</v>
      </c>
      <c r="K36" s="92">
        <f t="shared" si="4"/>
        <v>2801.183125</v>
      </c>
      <c r="L36" s="92">
        <f t="shared" si="5"/>
        <v>210088.734375</v>
      </c>
    </row>
    <row r="37" spans="5:12" x14ac:dyDescent="0.2">
      <c r="E37" s="95">
        <f t="shared" si="6"/>
        <v>280</v>
      </c>
      <c r="F37" s="59">
        <f t="shared" si="0"/>
        <v>77.777777777777771</v>
      </c>
      <c r="G37" s="92">
        <f t="shared" si="1"/>
        <v>4160.244417257918</v>
      </c>
      <c r="H37" s="92">
        <f t="shared" si="2"/>
        <v>5355.4555827420818</v>
      </c>
      <c r="I37" s="96">
        <f t="shared" si="7"/>
        <v>233719.06874420299</v>
      </c>
      <c r="J37" s="92">
        <f t="shared" si="3"/>
        <v>65605.352629951711</v>
      </c>
      <c r="K37" s="92">
        <f t="shared" si="4"/>
        <v>3003.1880246913574</v>
      </c>
      <c r="L37" s="92">
        <f t="shared" si="5"/>
        <v>233581.29080932779</v>
      </c>
    </row>
    <row r="38" spans="5:12" x14ac:dyDescent="0.2">
      <c r="E38" s="95">
        <f t="shared" si="6"/>
        <v>290</v>
      </c>
      <c r="F38" s="59">
        <f t="shared" si="0"/>
        <v>80.555555555555557</v>
      </c>
      <c r="G38" s="92">
        <f t="shared" si="1"/>
        <v>4117.7540866562167</v>
      </c>
      <c r="H38" s="92">
        <f t="shared" si="2"/>
        <v>5397.945913343784</v>
      </c>
      <c r="I38" s="96">
        <f t="shared" si="7"/>
        <v>235696.01575425727</v>
      </c>
      <c r="J38" s="92">
        <f t="shared" si="3"/>
        <v>59454.850820893727</v>
      </c>
      <c r="K38" s="92">
        <f t="shared" si="4"/>
        <v>3212.5385570987655</v>
      </c>
      <c r="L38" s="92">
        <f t="shared" si="5"/>
        <v>258787.82821073389</v>
      </c>
    </row>
    <row r="39" spans="5:12" x14ac:dyDescent="0.2">
      <c r="E39" s="95">
        <f t="shared" si="6"/>
        <v>300</v>
      </c>
      <c r="F39" s="59">
        <f t="shared" si="0"/>
        <v>83.333333333333329</v>
      </c>
      <c r="G39" s="92">
        <f t="shared" si="1"/>
        <v>4073.7728672614735</v>
      </c>
      <c r="H39" s="92">
        <f t="shared" si="2"/>
        <v>5441.9271327385268</v>
      </c>
      <c r="I39" s="96">
        <f t="shared" si="7"/>
        <v>237233.64120652177</v>
      </c>
      <c r="J39" s="92">
        <f t="shared" si="3"/>
        <v>52718.586934782645</v>
      </c>
      <c r="K39" s="92">
        <f t="shared" si="4"/>
        <v>3429.2347222222215</v>
      </c>
      <c r="L39" s="92">
        <f t="shared" si="5"/>
        <v>285769.56018518511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F107"/>
  <sheetViews>
    <sheetView zoomScale="69" workbookViewId="0">
      <selection activeCell="K14" sqref="K14"/>
    </sheetView>
  </sheetViews>
  <sheetFormatPr baseColWidth="10" defaultColWidth="8.83203125" defaultRowHeight="15" x14ac:dyDescent="0.2"/>
  <cols>
    <col min="1" max="1" width="17.33203125" customWidth="1"/>
    <col min="3" max="3" width="8.5" customWidth="1"/>
    <col min="4" max="4" width="10.1640625" customWidth="1"/>
    <col min="5" max="5" width="12.5" customWidth="1"/>
    <col min="6" max="6" width="12.1640625" customWidth="1"/>
    <col min="7" max="8" width="13.33203125" customWidth="1"/>
    <col min="9" max="9" width="12.33203125" customWidth="1"/>
    <col min="10" max="11" width="10.5" customWidth="1"/>
    <col min="12" max="12" width="9.83203125" customWidth="1"/>
    <col min="18" max="18" width="10.5" customWidth="1"/>
    <col min="25" max="25" width="11.1640625" customWidth="1"/>
    <col min="32" max="32" width="10.83203125" customWidth="1"/>
  </cols>
  <sheetData>
    <row r="1" spans="1:14" x14ac:dyDescent="0.2">
      <c r="A1" s="114" t="s">
        <v>408</v>
      </c>
      <c r="B1" s="114" t="s">
        <v>409</v>
      </c>
      <c r="D1" s="54" t="s">
        <v>430</v>
      </c>
      <c r="E1" s="54" t="s">
        <v>347</v>
      </c>
      <c r="F1" s="54" t="s">
        <v>348</v>
      </c>
      <c r="G1" s="54" t="s">
        <v>349</v>
      </c>
      <c r="H1" s="54" t="s">
        <v>350</v>
      </c>
      <c r="I1" s="54" t="s">
        <v>351</v>
      </c>
      <c r="J1" s="54" t="s">
        <v>320</v>
      </c>
      <c r="K1" s="54" t="s">
        <v>321</v>
      </c>
      <c r="L1" s="54" t="s">
        <v>322</v>
      </c>
      <c r="M1" s="54" t="s">
        <v>323</v>
      </c>
      <c r="N1" s="54" t="s">
        <v>324</v>
      </c>
    </row>
    <row r="2" spans="1:14" x14ac:dyDescent="0.2">
      <c r="A2" s="115">
        <v>0.19650000000000001</v>
      </c>
      <c r="B2" s="116">
        <f>[1]Foglio1!$B$3 + [1]Foglio1!$B$15/([1]Foglio1!$B$26*[1]Foglio1!$B$5)^2 + [1]Foglio1!$B$14/([1]Foglio1!$B$26*[1]Foglio1!$B$5*[1]Foglio2!A2)^2</f>
        <v>1655.2681423746067</v>
      </c>
      <c r="D2" s="127">
        <v>4668.3</v>
      </c>
      <c r="E2" s="126">
        <v>187.94408119950776</v>
      </c>
      <c r="F2" s="126">
        <v>275.97780355822022</v>
      </c>
      <c r="G2" s="126">
        <v>409.48803191475167</v>
      </c>
      <c r="H2" s="126">
        <v>620.50899768762565</v>
      </c>
      <c r="I2" s="126">
        <v>979.2397517314871</v>
      </c>
      <c r="J2" s="92">
        <v>1.5061564552404474</v>
      </c>
      <c r="K2" s="92">
        <v>2.1905071247809413</v>
      </c>
      <c r="L2" s="92">
        <v>3.1858054633175867</v>
      </c>
      <c r="M2" s="92">
        <v>4.6333364248332023</v>
      </c>
      <c r="N2" s="92">
        <v>6.7385804541028991</v>
      </c>
    </row>
    <row r="3" spans="1:14" x14ac:dyDescent="0.2">
      <c r="A3" s="115">
        <v>0.28570000000000001</v>
      </c>
      <c r="B3" s="116">
        <f>[1]Foglio1!$B$3 + [1]Foglio1!$B$15/([1]Foglio1!$B$26*[1]Foglio1!$B$5)^2 + [1]Foglio1!$B$14/([1]Foglio1!$B$26*[1]Foglio1!$B$5*[1]Foglio2!A3)^2</f>
        <v>1451.5131014047688</v>
      </c>
      <c r="D3" s="127">
        <v>10036.844999999998</v>
      </c>
      <c r="E3" s="126">
        <v>284.96553263325779</v>
      </c>
      <c r="F3" s="126">
        <v>423.34750123159199</v>
      </c>
      <c r="G3" s="126">
        <v>643.08986218456494</v>
      </c>
      <c r="H3" s="126">
        <v>1019.5377813872198</v>
      </c>
      <c r="I3" s="126">
        <v>1741.9528551830363</v>
      </c>
      <c r="J3" s="92">
        <v>2.2592346828606718</v>
      </c>
      <c r="K3" s="92">
        <v>3.2857606871714129</v>
      </c>
      <c r="L3" s="92">
        <v>4.7787081949763799</v>
      </c>
      <c r="M3" s="92">
        <v>6.9500046372498021</v>
      </c>
      <c r="N3" s="92">
        <v>10.107870681154347</v>
      </c>
    </row>
    <row r="4" spans="1:14" x14ac:dyDescent="0.2">
      <c r="A4" s="115">
        <v>0.41549999999999998</v>
      </c>
      <c r="B4" s="116">
        <f>[1]Foglio1!$B$3 + [1]Foglio1!$B$15/([1]Foglio1!$B$26*[1]Foglio1!$B$5)^2 + [1]Foglio1!$B$14/([1]Foglio1!$B$26*[1]Foglio1!$B$5*[1]Foglio2!A4)^2</f>
        <v>1355.0822603135161</v>
      </c>
      <c r="D4" s="127">
        <v>13791.96</v>
      </c>
      <c r="E4" s="126">
        <v>385.64627706780306</v>
      </c>
      <c r="F4" s="126">
        <v>581.97415397807742</v>
      </c>
      <c r="G4" s="126">
        <v>911.32106962930334</v>
      </c>
      <c r="H4" s="126">
        <v>1525.0957069137517</v>
      </c>
      <c r="I4" s="126">
        <v>2832.3778317375541</v>
      </c>
      <c r="J4" s="92">
        <v>3.0123129104808948</v>
      </c>
      <c r="K4" s="92">
        <v>4.3810142495618827</v>
      </c>
      <c r="L4" s="92">
        <v>6.3716109266351735</v>
      </c>
      <c r="M4" s="92">
        <v>9.2666728496664046</v>
      </c>
      <c r="N4" s="92">
        <v>13.477160908205798</v>
      </c>
    </row>
    <row r="5" spans="1:14" x14ac:dyDescent="0.2">
      <c r="A5" s="115">
        <v>0.60440000000000005</v>
      </c>
      <c r="B5" s="116">
        <f>[1]Foglio1!$B$3 + [1]Foglio1!$B$15/([1]Foglio1!$B$26*[1]Foglio1!$B$5)^2 + [1]Foglio1!$B$14/([1]Foglio1!$B$26*[1]Foglio1!$B$5*[1]Foglio2!A5)^2</f>
        <v>1309.4722181159279</v>
      </c>
      <c r="D5" s="127">
        <v>18202.275000000001</v>
      </c>
      <c r="E5" s="126">
        <v>491.20607883674211</v>
      </c>
      <c r="F5" s="126">
        <v>755.61008015538175</v>
      </c>
      <c r="G5" s="126">
        <v>1225.7247799739418</v>
      </c>
      <c r="H5" s="126">
        <v>2172.6924882095341</v>
      </c>
      <c r="I5" s="126">
        <v>4359.7519724293634</v>
      </c>
      <c r="J5" s="92">
        <v>3.7653911381011187</v>
      </c>
      <c r="K5" s="92">
        <v>5.4762678119523551</v>
      </c>
      <c r="L5" s="92">
        <v>7.964513658293968</v>
      </c>
      <c r="M5" s="92">
        <v>11.583341062083006</v>
      </c>
      <c r="N5" s="92">
        <v>16.846451135257251</v>
      </c>
    </row>
    <row r="6" spans="1:14" x14ac:dyDescent="0.2">
      <c r="A6" s="115">
        <v>0.879</v>
      </c>
      <c r="B6" s="116">
        <f>[1]Foglio1!$B$3 + [1]Foglio1!$B$15/([1]Foglio1!$B$26*[1]Foglio1!$B$5)^2 + [1]Foglio1!$B$14/([1]Foglio1!$B$26*[1]Foglio1!$B$5*[1]Foglio2!A6)^2</f>
        <v>1287.9248595864449</v>
      </c>
      <c r="D6" s="127">
        <v>22260.42</v>
      </c>
      <c r="E6" s="126">
        <v>602.86470227367352</v>
      </c>
      <c r="F6" s="126">
        <v>948.00759812120896</v>
      </c>
      <c r="G6" s="126">
        <v>1597.8441189434545</v>
      </c>
      <c r="H6" s="126">
        <v>2997.8378392168779</v>
      </c>
      <c r="I6" s="126">
        <v>6433.3125682927785</v>
      </c>
      <c r="J6" s="92">
        <v>4.5184693657213435</v>
      </c>
      <c r="K6" s="92">
        <v>6.5715213743428258</v>
      </c>
      <c r="L6" s="92">
        <v>9.5574163899527598</v>
      </c>
      <c r="M6" s="92">
        <v>13.900009274499604</v>
      </c>
      <c r="N6" s="92">
        <v>20.215741362308695</v>
      </c>
    </row>
    <row r="7" spans="1:14" x14ac:dyDescent="0.2">
      <c r="D7" s="127">
        <v>24514.717499999999</v>
      </c>
      <c r="E7" s="126">
        <v>661.36224847188555</v>
      </c>
      <c r="F7" s="126">
        <v>1052.4145535116013</v>
      </c>
      <c r="G7" s="126">
        <v>1809.1543759515944</v>
      </c>
      <c r="H7" s="126">
        <v>3488.0880139693591</v>
      </c>
      <c r="I7" s="126">
        <v>7709.0494403620687</v>
      </c>
      <c r="J7" s="92">
        <v>4.8950084795314535</v>
      </c>
      <c r="K7" s="92">
        <v>7.1191481555380607</v>
      </c>
      <c r="L7" s="92">
        <v>10.353867755782158</v>
      </c>
      <c r="M7" s="92">
        <v>15.058343380707905</v>
      </c>
      <c r="N7" s="92">
        <v>21.90038647583442</v>
      </c>
    </row>
    <row r="8" spans="1:14" x14ac:dyDescent="0.2">
      <c r="A8" s="74"/>
      <c r="D8" s="127">
        <v>26228.474999999999</v>
      </c>
      <c r="E8" s="126">
        <v>721.84191171219538</v>
      </c>
      <c r="F8" s="126">
        <v>1162.9190262332636</v>
      </c>
      <c r="G8" s="126">
        <v>2039.2222122628177</v>
      </c>
      <c r="H8" s="126">
        <v>4036.0414738780978</v>
      </c>
      <c r="I8" s="126">
        <v>9162.2969103621363</v>
      </c>
      <c r="J8" s="92">
        <v>5.2715475933415661</v>
      </c>
      <c r="K8" s="92">
        <v>7.6667749367332956</v>
      </c>
      <c r="L8" s="92">
        <v>11.150319121611554</v>
      </c>
      <c r="M8" s="92">
        <v>16.216677486916204</v>
      </c>
      <c r="N8" s="92">
        <v>23.585031589360149</v>
      </c>
    </row>
    <row r="9" spans="1:14" x14ac:dyDescent="0.2">
      <c r="A9" s="45"/>
      <c r="D9" s="127">
        <v>30040.92</v>
      </c>
      <c r="E9" s="126">
        <v>849.35747148590644</v>
      </c>
      <c r="F9" s="126">
        <v>1404.0966828492508</v>
      </c>
      <c r="G9" s="126">
        <v>2561.4021856570057</v>
      </c>
      <c r="H9" s="126">
        <v>5322.813106135507</v>
      </c>
      <c r="I9" s="116">
        <v>12655.942289671748</v>
      </c>
      <c r="J9" s="92">
        <v>6.0246258209617896</v>
      </c>
      <c r="K9" s="92">
        <v>8.7620284991237654</v>
      </c>
      <c r="L9" s="92">
        <v>12.743221853270347</v>
      </c>
      <c r="M9" s="92">
        <v>18.533345699332809</v>
      </c>
      <c r="N9" s="92">
        <v>26.954321816411596</v>
      </c>
    </row>
    <row r="10" spans="1:14" x14ac:dyDescent="0.2">
      <c r="A10" s="45"/>
      <c r="D10" s="127">
        <v>33280.065000000002</v>
      </c>
      <c r="E10" s="126">
        <v>986.63114592840498</v>
      </c>
      <c r="F10" s="126">
        <v>1675.2928863268762</v>
      </c>
      <c r="G10" s="126">
        <v>3175.9271648509939</v>
      </c>
      <c r="H10" s="126">
        <v>6893.6624499314148</v>
      </c>
      <c r="I10" s="116">
        <v>17023.485997255953</v>
      </c>
      <c r="J10" s="92">
        <v>6.7777040485820139</v>
      </c>
      <c r="K10" s="92">
        <v>9.8572820615142405</v>
      </c>
      <c r="L10" s="92">
        <v>14.336124584929141</v>
      </c>
      <c r="M10" s="92">
        <v>20.850013911749407</v>
      </c>
      <c r="N10" s="92">
        <v>30.323612043463054</v>
      </c>
    </row>
    <row r="11" spans="1:14" x14ac:dyDescent="0.2">
      <c r="A11" s="45"/>
      <c r="D11" s="127">
        <v>34807.5</v>
      </c>
      <c r="E11" s="126">
        <v>1134.8826993732896</v>
      </c>
      <c r="F11" s="126">
        <v>1980.2599550238419</v>
      </c>
      <c r="G11" s="126">
        <v>3894.3402755697575</v>
      </c>
      <c r="H11" s="126">
        <v>8784.0992192081394</v>
      </c>
      <c r="I11" s="116">
        <v>22374.165324149046</v>
      </c>
      <c r="J11" s="92">
        <v>7.5307822762022374</v>
      </c>
      <c r="K11" s="92">
        <v>10.95253562390471</v>
      </c>
      <c r="L11" s="92">
        <v>15.929027316587936</v>
      </c>
      <c r="M11" s="92">
        <v>23.166682124166012</v>
      </c>
      <c r="N11" s="92">
        <v>33.692902270514502</v>
      </c>
    </row>
    <row r="12" spans="1:14" x14ac:dyDescent="0.2">
      <c r="A12" s="45"/>
      <c r="D12" s="127">
        <v>35405.370000000003</v>
      </c>
      <c r="E12" s="126">
        <v>1295.3318961541586</v>
      </c>
      <c r="F12" s="126">
        <v>2322.7502072978541</v>
      </c>
      <c r="G12" s="126">
        <v>4728.1846435382731</v>
      </c>
      <c r="H12" s="116">
        <v>11029.63312790798</v>
      </c>
      <c r="I12" s="116">
        <v>28817.21756138534</v>
      </c>
      <c r="J12" s="92">
        <v>8.2838605038224618</v>
      </c>
      <c r="K12" s="92">
        <v>12.04778918629518</v>
      </c>
      <c r="L12" s="92">
        <v>17.521930048246734</v>
      </c>
      <c r="M12" s="92">
        <v>25.483350336582607</v>
      </c>
      <c r="N12" s="92">
        <v>37.062192497565938</v>
      </c>
    </row>
    <row r="13" spans="1:14" x14ac:dyDescent="0.2">
      <c r="A13" s="45"/>
      <c r="D13" s="127">
        <v>36461.879999999997</v>
      </c>
      <c r="E13" s="126">
        <v>1469.1985006046107</v>
      </c>
      <c r="F13" s="126">
        <v>2706.5159615066177</v>
      </c>
      <c r="G13" s="126">
        <v>5689.0033944815059</v>
      </c>
      <c r="H13" s="116">
        <v>13665.773889973265</v>
      </c>
      <c r="I13" s="116">
        <v>36461.879999999204</v>
      </c>
      <c r="J13" s="92">
        <v>9.036938731442687</v>
      </c>
      <c r="K13" s="92">
        <v>13.143042748685652</v>
      </c>
      <c r="L13" s="92">
        <v>19.11483277990552</v>
      </c>
      <c r="M13" s="92">
        <v>27.800018548999208</v>
      </c>
      <c r="N13" s="92">
        <v>40.431482724617389</v>
      </c>
    </row>
    <row r="14" spans="1:14" x14ac:dyDescent="0.2">
      <c r="A14" s="45"/>
      <c r="D14" s="127">
        <v>36093.33</v>
      </c>
      <c r="E14" s="126">
        <v>1657.702277058243</v>
      </c>
      <c r="F14" s="126">
        <v>3135.309536007836</v>
      </c>
      <c r="G14" s="126">
        <v>6788.3396541244456</v>
      </c>
      <c r="H14" s="116">
        <v>16728.031219346303</v>
      </c>
      <c r="I14" s="116">
        <v>45417.38993102494</v>
      </c>
      <c r="J14" s="92">
        <v>9.7900169590629069</v>
      </c>
      <c r="K14" s="92">
        <v>14.238296311076121</v>
      </c>
      <c r="L14" s="92">
        <v>20.707735511564316</v>
      </c>
      <c r="M14" s="92">
        <v>30.11668676141581</v>
      </c>
      <c r="N14" s="92">
        <v>43.80077295166884</v>
      </c>
    </row>
    <row r="15" spans="1:14" x14ac:dyDescent="0.2">
      <c r="A15" s="45"/>
      <c r="D15" s="118"/>
      <c r="E15" s="121"/>
      <c r="F15" s="1"/>
    </row>
    <row r="16" spans="1:14" x14ac:dyDescent="0.2">
      <c r="A16" s="74"/>
      <c r="E16" s="118"/>
      <c r="F16" s="76" t="s">
        <v>432</v>
      </c>
      <c r="G16" s="54" t="s">
        <v>433</v>
      </c>
      <c r="H16" s="54" t="s">
        <v>434</v>
      </c>
      <c r="I16" s="54" t="s">
        <v>435</v>
      </c>
      <c r="J16" s="54" t="s">
        <v>436</v>
      </c>
    </row>
    <row r="17" spans="1:12" ht="21" x14ac:dyDescent="0.25">
      <c r="A17" s="128" t="s">
        <v>431</v>
      </c>
      <c r="D17" s="55">
        <v>1000</v>
      </c>
      <c r="E17" s="119" t="s">
        <v>327</v>
      </c>
      <c r="F17" s="92">
        <f>(D2-E2)/($B$2*J2)</f>
        <v>1.7971075616477752</v>
      </c>
      <c r="G17" s="92">
        <f t="shared" ref="G17:G29" si="0">(D2-F2)/(K2*$B$3)</f>
        <v>1.3814289714180124</v>
      </c>
      <c r="H17" s="92">
        <f t="shared" ref="H17:H29" si="1">(D2-G2)/(L2*$B$4)</f>
        <v>0.98651468238030349</v>
      </c>
      <c r="I17" s="92">
        <f t="shared" ref="I17:I29" si="2">(D2-H2)/(M2*$B$5)</f>
        <v>0.66715686086314197</v>
      </c>
      <c r="J17" s="92">
        <f t="shared" ref="J17:J28" si="3">(D2-I2)/(N2*$B$6)</f>
        <v>0.42506642658569543</v>
      </c>
      <c r="L17" s="158" t="s">
        <v>439</v>
      </c>
    </row>
    <row r="18" spans="1:12" x14ac:dyDescent="0.2">
      <c r="A18" s="74"/>
      <c r="D18" s="55">
        <v>1500</v>
      </c>
      <c r="E18" s="117" t="s">
        <v>327</v>
      </c>
      <c r="F18" s="92">
        <f t="shared" ref="F18:F29" si="4">(D3-E3)/($B$2*J3)</f>
        <v>2.6077059722782594</v>
      </c>
      <c r="G18" s="92">
        <f t="shared" si="0"/>
        <v>2.0156936532284586</v>
      </c>
      <c r="H18" s="92">
        <f t="shared" si="1"/>
        <v>1.4506514078865349</v>
      </c>
      <c r="I18" s="92">
        <f t="shared" si="2"/>
        <v>0.99082163974894377</v>
      </c>
      <c r="J18" s="92">
        <f t="shared" si="3"/>
        <v>0.63717765964308437</v>
      </c>
    </row>
    <row r="19" spans="1:12" x14ac:dyDescent="0.2">
      <c r="A19" s="74"/>
      <c r="D19" s="55">
        <v>2000</v>
      </c>
      <c r="E19" s="117" t="s">
        <v>327</v>
      </c>
      <c r="F19" s="92">
        <f t="shared" si="4"/>
        <v>2.6886912783208072</v>
      </c>
      <c r="G19" s="92">
        <f t="shared" si="0"/>
        <v>2.0773358992766742</v>
      </c>
      <c r="H19" s="92">
        <f t="shared" si="1"/>
        <v>1.4918408606054319</v>
      </c>
      <c r="I19" s="92">
        <f t="shared" si="2"/>
        <v>1.0109122073909413</v>
      </c>
      <c r="J19" s="92">
        <f t="shared" si="3"/>
        <v>0.63140069768745977</v>
      </c>
    </row>
    <row r="20" spans="1:12" x14ac:dyDescent="0.2">
      <c r="A20" s="74"/>
      <c r="D20" s="55">
        <v>2500</v>
      </c>
      <c r="E20" s="117" t="s">
        <v>327</v>
      </c>
      <c r="F20" s="92">
        <f t="shared" si="4"/>
        <v>2.8416220907386092</v>
      </c>
      <c r="G20" s="92">
        <f t="shared" si="0"/>
        <v>2.1948597845959612</v>
      </c>
      <c r="H20" s="92">
        <f t="shared" si="1"/>
        <v>1.5729847829606776</v>
      </c>
      <c r="I20" s="92">
        <f t="shared" si="2"/>
        <v>1.0567982332490549</v>
      </c>
      <c r="J20" s="92">
        <f t="shared" si="3"/>
        <v>0.63799357042448368</v>
      </c>
    </row>
    <row r="21" spans="1:12" x14ac:dyDescent="0.2">
      <c r="A21" s="74"/>
      <c r="D21" s="55">
        <v>3000</v>
      </c>
      <c r="E21" s="117" t="s">
        <v>327</v>
      </c>
      <c r="F21" s="92">
        <f t="shared" si="4"/>
        <v>2.8956744432608192</v>
      </c>
      <c r="G21" s="92">
        <f t="shared" si="0"/>
        <v>2.2343218177857809</v>
      </c>
      <c r="H21" s="92">
        <f t="shared" si="1"/>
        <v>1.5954319839439464</v>
      </c>
      <c r="I21" s="92">
        <f t="shared" si="2"/>
        <v>1.0582861812088755</v>
      </c>
      <c r="J21" s="92">
        <f t="shared" si="3"/>
        <v>0.60788489447426131</v>
      </c>
    </row>
    <row r="22" spans="1:12" x14ac:dyDescent="0.2">
      <c r="A22" s="53"/>
      <c r="D22" s="55">
        <v>3250</v>
      </c>
      <c r="E22" s="117" t="s">
        <v>327</v>
      </c>
      <c r="F22" s="92">
        <f t="shared" si="4"/>
        <v>2.9439313009323778</v>
      </c>
      <c r="G22" s="92">
        <f t="shared" si="0"/>
        <v>2.2705007354544411</v>
      </c>
      <c r="H22" s="92">
        <f t="shared" si="1"/>
        <v>1.618318518544124</v>
      </c>
      <c r="I22" s="92">
        <f t="shared" si="2"/>
        <v>1.0663411695544405</v>
      </c>
      <c r="J22" s="92">
        <f t="shared" si="3"/>
        <v>0.59581780372206994</v>
      </c>
    </row>
    <row r="23" spans="1:12" x14ac:dyDescent="0.2">
      <c r="A23" s="53"/>
      <c r="D23" s="55">
        <v>3500</v>
      </c>
      <c r="E23" s="117" t="s">
        <v>327</v>
      </c>
      <c r="F23" s="92">
        <f t="shared" si="4"/>
        <v>2.9231200139251063</v>
      </c>
      <c r="G23" s="92">
        <f t="shared" si="0"/>
        <v>2.2523903990540548</v>
      </c>
      <c r="H23" s="92">
        <f t="shared" si="1"/>
        <v>1.6009195059049151</v>
      </c>
      <c r="I23" s="92">
        <f t="shared" si="2"/>
        <v>1.045073316549576</v>
      </c>
      <c r="J23" s="92">
        <f t="shared" si="3"/>
        <v>0.5618356397282861</v>
      </c>
    </row>
    <row r="24" spans="1:12" x14ac:dyDescent="0.2">
      <c r="D24" s="55">
        <v>4000</v>
      </c>
      <c r="E24" s="117" t="s">
        <v>327</v>
      </c>
      <c r="F24" s="92">
        <f t="shared" si="4"/>
        <v>2.927243879005907</v>
      </c>
      <c r="G24" s="92">
        <f t="shared" si="0"/>
        <v>2.2516413647738691</v>
      </c>
      <c r="H24" s="92">
        <f t="shared" si="1"/>
        <v>1.5913444871322051</v>
      </c>
      <c r="I24" s="92">
        <f t="shared" si="2"/>
        <v>1.018509514965664</v>
      </c>
      <c r="J24" s="92">
        <f t="shared" si="3"/>
        <v>0.50078948663617218</v>
      </c>
    </row>
    <row r="25" spans="1:12" x14ac:dyDescent="0.2">
      <c r="D25" s="55">
        <v>4500</v>
      </c>
      <c r="E25" s="117" t="s">
        <v>327</v>
      </c>
      <c r="F25" s="92">
        <f t="shared" si="4"/>
        <v>2.8784803520332689</v>
      </c>
      <c r="G25" s="92">
        <f t="shared" si="0"/>
        <v>2.2088921875874368</v>
      </c>
      <c r="H25" s="92">
        <f t="shared" si="1"/>
        <v>1.5496326830282214</v>
      </c>
      <c r="I25" s="92">
        <f t="shared" si="2"/>
        <v>0.96644589520656987</v>
      </c>
      <c r="J25" s="92">
        <f t="shared" si="3"/>
        <v>0.41625331115139846</v>
      </c>
    </row>
    <row r="26" spans="1:12" x14ac:dyDescent="0.2">
      <c r="D26" s="55">
        <v>5000</v>
      </c>
      <c r="E26" s="117" t="s">
        <v>327</v>
      </c>
      <c r="F26" s="92">
        <f t="shared" si="4"/>
        <v>2.7012726786950862</v>
      </c>
      <c r="G26" s="92">
        <f t="shared" si="0"/>
        <v>2.0648986309137518</v>
      </c>
      <c r="H26" s="92">
        <f t="shared" si="1"/>
        <v>1.4321499129546658</v>
      </c>
      <c r="I26" s="92">
        <f t="shared" si="2"/>
        <v>0.85783531629861087</v>
      </c>
      <c r="J26" s="92">
        <f t="shared" si="3"/>
        <v>0.28652246293285827</v>
      </c>
    </row>
    <row r="27" spans="1:12" x14ac:dyDescent="0.2">
      <c r="B27" s="42"/>
      <c r="D27" s="55">
        <v>5500</v>
      </c>
      <c r="E27" s="117" t="s">
        <v>327</v>
      </c>
      <c r="F27" s="92">
        <f t="shared" si="4"/>
        <v>2.4876029946756608</v>
      </c>
      <c r="G27" s="92">
        <f t="shared" si="0"/>
        <v>1.891784113199259</v>
      </c>
      <c r="H27" s="92">
        <f t="shared" si="1"/>
        <v>1.2920160489929444</v>
      </c>
      <c r="I27" s="92">
        <f t="shared" si="2"/>
        <v>0.7304742976880092</v>
      </c>
      <c r="J27" s="92">
        <f t="shared" si="3"/>
        <v>0.13801999456972616</v>
      </c>
    </row>
    <row r="28" spans="1:12" x14ac:dyDescent="0.2">
      <c r="D28" s="55">
        <v>6000</v>
      </c>
      <c r="E28" s="117" t="s">
        <v>327</v>
      </c>
      <c r="F28" s="92">
        <f t="shared" si="4"/>
        <v>2.3393086644826107</v>
      </c>
      <c r="G28" s="92">
        <f t="shared" si="0"/>
        <v>1.7693995620096639</v>
      </c>
      <c r="H28" s="92">
        <f t="shared" si="1"/>
        <v>1.18804237809033</v>
      </c>
      <c r="I28" s="92">
        <f t="shared" si="2"/>
        <v>0.62620898590450735</v>
      </c>
      <c r="J28" s="92">
        <f t="shared" si="3"/>
        <v>1.5230230074206935E-14</v>
      </c>
    </row>
    <row r="29" spans="1:12" x14ac:dyDescent="0.2">
      <c r="D29" s="55">
        <v>6500</v>
      </c>
      <c r="E29" s="120" t="s">
        <v>327</v>
      </c>
      <c r="F29" s="92">
        <f t="shared" si="4"/>
        <v>2.1249866371383659</v>
      </c>
      <c r="G29" s="92">
        <f t="shared" si="0"/>
        <v>1.5947115224214745</v>
      </c>
      <c r="H29" s="92">
        <f t="shared" si="1"/>
        <v>1.044343368701955</v>
      </c>
      <c r="I29" s="92">
        <f t="shared" si="2"/>
        <v>0.49104435316779121</v>
      </c>
      <c r="J29" s="129">
        <f>0</f>
        <v>0</v>
      </c>
    </row>
    <row r="31" spans="1:12" x14ac:dyDescent="0.2">
      <c r="E31" t="s">
        <v>438</v>
      </c>
      <c r="F31">
        <f>MAX(F17:F29)</f>
        <v>2.9439313009323778</v>
      </c>
      <c r="G31">
        <f>MAX(G17:G29)</f>
        <v>2.2705007354544411</v>
      </c>
      <c r="H31">
        <f t="shared" ref="H31:J31" si="5">MAX(H17:H29)</f>
        <v>1.618318518544124</v>
      </c>
      <c r="I31">
        <f t="shared" si="5"/>
        <v>1.0663411695544405</v>
      </c>
      <c r="J31">
        <f t="shared" si="5"/>
        <v>0.63799357042448368</v>
      </c>
    </row>
    <row r="32" spans="1:12" x14ac:dyDescent="0.2">
      <c r="E32" t="s">
        <v>437</v>
      </c>
      <c r="F32">
        <f>1/F31</f>
        <v>0.33968183961469761</v>
      </c>
      <c r="G32">
        <f>1/G31</f>
        <v>0.44043148032711377</v>
      </c>
      <c r="H32">
        <f>1/H31</f>
        <v>0.6179253271473546</v>
      </c>
      <c r="I32">
        <f t="shared" ref="I32:J32" si="6">1/I31</f>
        <v>0.93778616877170706</v>
      </c>
      <c r="J32">
        <f t="shared" si="6"/>
        <v>1.5674139150566335</v>
      </c>
    </row>
    <row r="37" spans="1:32" x14ac:dyDescent="0.2">
      <c r="I37" s="9"/>
    </row>
    <row r="46" spans="1:32" x14ac:dyDescent="0.2">
      <c r="E46" s="92"/>
      <c r="F46" s="161"/>
      <c r="G46" s="127"/>
      <c r="H46" s="127"/>
      <c r="I46" s="127"/>
      <c r="J46" s="127"/>
      <c r="K46" s="127"/>
      <c r="L46" s="127"/>
      <c r="M46" s="161"/>
      <c r="N46" s="127"/>
      <c r="O46" s="127"/>
      <c r="P46" s="127"/>
      <c r="Q46" s="127"/>
      <c r="R46" s="127"/>
      <c r="S46" s="127"/>
      <c r="T46" s="161"/>
      <c r="U46" s="127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</row>
    <row r="47" spans="1:32" x14ac:dyDescent="0.2">
      <c r="A47" s="159" t="s">
        <v>448</v>
      </c>
      <c r="E47" s="169" t="s">
        <v>447</v>
      </c>
      <c r="F47" s="94" t="s">
        <v>449</v>
      </c>
      <c r="G47" s="94" t="s">
        <v>450</v>
      </c>
      <c r="H47" s="94" t="s">
        <v>454</v>
      </c>
      <c r="I47" s="94" t="s">
        <v>465</v>
      </c>
      <c r="J47" s="94" t="s">
        <v>461</v>
      </c>
      <c r="K47" s="94" t="s">
        <v>471</v>
      </c>
      <c r="L47" s="164"/>
      <c r="M47" s="163" t="s">
        <v>451</v>
      </c>
      <c r="N47" s="163" t="s">
        <v>452</v>
      </c>
      <c r="O47" s="163" t="s">
        <v>453</v>
      </c>
      <c r="P47" s="163" t="s">
        <v>466</v>
      </c>
      <c r="Q47" s="163" t="s">
        <v>462</v>
      </c>
      <c r="R47" s="163" t="s">
        <v>472</v>
      </c>
      <c r="S47" s="165"/>
      <c r="T47" s="166" t="s">
        <v>455</v>
      </c>
      <c r="U47" s="166" t="s">
        <v>456</v>
      </c>
      <c r="V47" s="166" t="s">
        <v>457</v>
      </c>
      <c r="W47" s="166" t="s">
        <v>467</v>
      </c>
      <c r="X47" s="166" t="s">
        <v>463</v>
      </c>
      <c r="Y47" s="166" t="s">
        <v>473</v>
      </c>
      <c r="Z47" s="167"/>
      <c r="AA47" s="168" t="s">
        <v>458</v>
      </c>
      <c r="AB47" s="168" t="s">
        <v>459</v>
      </c>
      <c r="AC47" s="168" t="s">
        <v>460</v>
      </c>
      <c r="AD47" s="168" t="s">
        <v>468</v>
      </c>
      <c r="AE47" s="168" t="s">
        <v>464</v>
      </c>
      <c r="AF47" s="168" t="s">
        <v>474</v>
      </c>
    </row>
    <row r="48" spans="1:32" x14ac:dyDescent="0.2">
      <c r="A48" s="160">
        <f>(9.4166-J2)/10</f>
        <v>0.79104435447595534</v>
      </c>
      <c r="E48" s="169">
        <v>1</v>
      </c>
      <c r="F48" s="92">
        <f>J2</f>
        <v>1.5061564552404474</v>
      </c>
      <c r="G48" s="92">
        <f>F17</f>
        <v>1.7971075616477752</v>
      </c>
      <c r="H48" s="92">
        <f>1/G48</f>
        <v>0.55644972028446416</v>
      </c>
      <c r="I48" s="171"/>
      <c r="J48" s="92">
        <f>0</f>
        <v>0</v>
      </c>
      <c r="K48" s="92">
        <f>0</f>
        <v>0</v>
      </c>
      <c r="L48" s="164"/>
      <c r="M48" s="92">
        <f>9.4166</f>
        <v>9.4166000000000007</v>
      </c>
      <c r="N48" s="92">
        <f>G58</f>
        <v>2.2312591023030937</v>
      </c>
      <c r="O48" s="92">
        <f>1/N48</f>
        <v>0.44817744338512966</v>
      </c>
      <c r="P48" s="92"/>
      <c r="Q48" s="92" t="e">
        <f ca="1">J58</f>
        <v>#NAME?</v>
      </c>
      <c r="R48" s="92" t="e">
        <f ca="1">K58+1</f>
        <v>#NAME?</v>
      </c>
      <c r="S48" s="165"/>
      <c r="T48" s="92">
        <f>K14</f>
        <v>14.238296311076121</v>
      </c>
      <c r="U48" s="162">
        <f>FORECAST(T48,H24:H25,L9:L10)</f>
        <v>1.5521944174729472</v>
      </c>
      <c r="V48" s="92">
        <f>1/U48</f>
        <v>0.64424919246137458</v>
      </c>
      <c r="W48" s="171"/>
      <c r="X48" s="127" t="e">
        <f ca="1">Q58</f>
        <v>#NAME?</v>
      </c>
      <c r="Y48" s="92" t="e">
        <f ca="1">R58+1</f>
        <v>#NAME?</v>
      </c>
      <c r="Z48" s="167"/>
      <c r="AA48" s="92">
        <f>T58</f>
        <v>20.707735511564316</v>
      </c>
      <c r="AB48" s="92">
        <f>FORECAST(AA48,I24:I25,M9:M10)</f>
        <v>0.96964338740138079</v>
      </c>
      <c r="AC48" s="92">
        <f>1/AB48</f>
        <v>1.0313069866644211</v>
      </c>
      <c r="AD48" s="171"/>
      <c r="AE48" s="127" t="e">
        <f ca="1">X58</f>
        <v>#NAME?</v>
      </c>
      <c r="AF48" s="92" t="e">
        <f ca="1">Y58+1</f>
        <v>#NAME?</v>
      </c>
    </row>
    <row r="49" spans="1:32" x14ac:dyDescent="0.2">
      <c r="A49" s="160">
        <f>(K14-9.4166)/10</f>
        <v>0.48216963110761207</v>
      </c>
      <c r="E49" s="169">
        <f>E48+1</f>
        <v>2</v>
      </c>
      <c r="F49" s="92">
        <f t="shared" ref="F49:F58" si="7">$F$48+E48*$A$48</f>
        <v>2.2972008097164025</v>
      </c>
      <c r="G49" s="92">
        <f>FORECAST(F49,F18:F19,J3:J4)</f>
        <v>2.6117888129313185</v>
      </c>
      <c r="H49" s="92">
        <f t="shared" ref="H49:H58" si="8">1/G49</f>
        <v>0.38287934883895097</v>
      </c>
      <c r="I49" s="92" t="e">
        <f ca="1">CurveIntegration(F48:F49,H48:H49)</f>
        <v>#NAME?</v>
      </c>
      <c r="J49" s="92" t="e">
        <f t="shared" ref="J49:J58" ca="1" si="9">I49+J48</f>
        <v>#NAME?</v>
      </c>
      <c r="K49" s="92" t="e">
        <f ca="1">K48+I49</f>
        <v>#NAME?</v>
      </c>
      <c r="L49" s="164"/>
      <c r="M49" s="92">
        <f t="shared" ref="M49:M58" si="10">$M$48+E48*$A$49</f>
        <v>9.8987696311076121</v>
      </c>
      <c r="N49" s="92">
        <f>FORECAST(M49,G25:G26,K10:K11)</f>
        <v>2.2034377951904305</v>
      </c>
      <c r="O49" s="92">
        <f t="shared" ref="O49:O58" si="11">1/N49</f>
        <v>0.45383627447198971</v>
      </c>
      <c r="P49" s="92" t="e">
        <f t="shared" ref="P49:P58" ca="1" si="12">CurveIntegration(M48:M49,O48:O49)</f>
        <v>#NAME?</v>
      </c>
      <c r="Q49" s="92" t="e">
        <f ca="1">Q48+P49</f>
        <v>#NAME?</v>
      </c>
      <c r="R49" s="92" t="e">
        <f t="shared" ref="R49:R57" ca="1" si="13">R48+P49</f>
        <v>#NAME?</v>
      </c>
      <c r="S49" s="165"/>
      <c r="T49" s="92">
        <f t="shared" ref="T49:T58" si="14">$T$48+E48*$A$50</f>
        <v>14.885240231124941</v>
      </c>
      <c r="U49" s="92">
        <f>FORECAST(T49,H25:H26,L10:L11)</f>
        <v>1.5091332690190353</v>
      </c>
      <c r="V49" s="92">
        <f t="shared" ref="V49:V58" si="15">1/U49</f>
        <v>0.66263200244072451</v>
      </c>
      <c r="W49" s="92" t="e">
        <f t="shared" ref="W49:W58" ca="1" si="16">CurveIntegration(T48:T49,V48:V49)</f>
        <v>#NAME?</v>
      </c>
      <c r="X49" s="92" t="e">
        <f ca="1">X48+W49</f>
        <v>#NAME?</v>
      </c>
      <c r="Y49" s="92" t="e">
        <f ca="1">Y48+W49</f>
        <v>#NAME?</v>
      </c>
      <c r="Z49" s="167"/>
      <c r="AA49" s="92">
        <f t="shared" ref="AA49:AA58" si="17">$AA$48+E48*$A$51</f>
        <v>21.414761960407883</v>
      </c>
      <c r="AB49" s="92">
        <f>FORECAST(AA49,I25:I26,M10:M11)</f>
        <v>0.93996924560556638</v>
      </c>
      <c r="AC49" s="92">
        <f t="shared" ref="AC49:AC58" si="18">1/AB49</f>
        <v>1.0638645941610136</v>
      </c>
      <c r="AD49" s="92" t="e">
        <f t="shared" ref="AD49:AD58" ca="1" si="19">CurveIntegration(AA48:AA49,AC48:AC49)</f>
        <v>#NAME?</v>
      </c>
      <c r="AE49" s="92" t="e">
        <f ca="1">AE48+AD49</f>
        <v>#NAME?</v>
      </c>
      <c r="AF49" s="92" t="e">
        <f ca="1">AF48+AD49</f>
        <v>#NAME?</v>
      </c>
    </row>
    <row r="50" spans="1:32" x14ac:dyDescent="0.2">
      <c r="A50" s="160">
        <f>(L14-K14)/10</f>
        <v>0.6469439200488194</v>
      </c>
      <c r="E50" s="169">
        <f t="shared" ref="E50:E58" si="20">E49+1</f>
        <v>3</v>
      </c>
      <c r="F50" s="92">
        <f t="shared" si="7"/>
        <v>3.0882451641923581</v>
      </c>
      <c r="G50" s="92">
        <f>FORECAST(F50,F19:F20,J4:J5)</f>
        <v>2.7041111654227152</v>
      </c>
      <c r="H50" s="92">
        <f t="shared" si="8"/>
        <v>0.36980728188505402</v>
      </c>
      <c r="I50" s="212" t="e">
        <f ca="1">CurveIntegration(F49:F50,H49:H50)</f>
        <v>#NAME?</v>
      </c>
      <c r="J50" s="92" t="e">
        <f t="shared" ca="1" si="9"/>
        <v>#NAME?</v>
      </c>
      <c r="K50" s="92" t="e">
        <f t="shared" ref="K50:K58" ca="1" si="21">K49+I50</f>
        <v>#NAME?</v>
      </c>
      <c r="L50" s="164"/>
      <c r="M50" s="92">
        <f t="shared" si="10"/>
        <v>10.380939262215225</v>
      </c>
      <c r="N50" s="92">
        <f>FORECAST(M50,G25:G26,K10:K11)</f>
        <v>2.1400467024906824</v>
      </c>
      <c r="O50" s="92">
        <f t="shared" si="11"/>
        <v>0.46727952190770189</v>
      </c>
      <c r="P50" s="92" t="e">
        <f t="shared" ca="1" si="12"/>
        <v>#NAME?</v>
      </c>
      <c r="Q50" s="92" t="e">
        <f t="shared" ref="Q50:Q58" ca="1" si="22">Q49+P50</f>
        <v>#NAME?</v>
      </c>
      <c r="R50" s="92" t="e">
        <f t="shared" ca="1" si="13"/>
        <v>#NAME?</v>
      </c>
      <c r="S50" s="165"/>
      <c r="T50" s="92">
        <f t="shared" si="14"/>
        <v>15.532184151173761</v>
      </c>
      <c r="U50" s="92">
        <f>FORECAST(T50,H25:H26,L10:L11)</f>
        <v>1.4614186394318089</v>
      </c>
      <c r="V50" s="92">
        <f t="shared" si="15"/>
        <v>0.68426662492055945</v>
      </c>
      <c r="W50" s="92" t="e">
        <f t="shared" ca="1" si="16"/>
        <v>#NAME?</v>
      </c>
      <c r="X50" s="92" t="e">
        <f t="shared" ref="X50:X58" ca="1" si="23">X49+W50</f>
        <v>#NAME?</v>
      </c>
      <c r="Y50" s="92" t="e">
        <f ca="1">Y49+W50</f>
        <v>#NAME?</v>
      </c>
      <c r="Z50" s="167"/>
      <c r="AA50" s="92">
        <f t="shared" si="17"/>
        <v>22.121788409251451</v>
      </c>
      <c r="AB50" s="92">
        <f>FORECAST(AA50,I25:I26,M10:M11)</f>
        <v>0.90682226689684775</v>
      </c>
      <c r="AC50" s="92">
        <f t="shared" si="18"/>
        <v>1.1027519245000534</v>
      </c>
      <c r="AD50" s="92" t="e">
        <f t="shared" ca="1" si="19"/>
        <v>#NAME?</v>
      </c>
      <c r="AE50" s="92" t="e">
        <f t="shared" ref="AE50:AE58" ca="1" si="24">AE49+AD50</f>
        <v>#NAME?</v>
      </c>
      <c r="AF50" s="92" t="e">
        <f t="shared" ref="AF50:AF58" ca="1" si="25">AF49+AD50</f>
        <v>#NAME?</v>
      </c>
    </row>
    <row r="51" spans="1:32" x14ac:dyDescent="0.2">
      <c r="A51" s="160">
        <f>(27.778-L14)/10</f>
        <v>0.70702644884356824</v>
      </c>
      <c r="E51" s="169">
        <f t="shared" si="20"/>
        <v>4</v>
      </c>
      <c r="F51" s="92">
        <f t="shared" si="7"/>
        <v>3.8792895186683132</v>
      </c>
      <c r="G51" s="92">
        <f>FORECAST(F51,F20:F21,J5:J6)</f>
        <v>2.8497971716164372</v>
      </c>
      <c r="H51" s="92">
        <f t="shared" si="8"/>
        <v>0.35090216593652829</v>
      </c>
      <c r="I51" s="92" t="e">
        <f t="shared" ref="I51:I58" ca="1" si="26">CurveIntegration(F50:F51,H50:H51)</f>
        <v>#NAME?</v>
      </c>
      <c r="J51" s="92" t="e">
        <f t="shared" ca="1" si="9"/>
        <v>#NAME?</v>
      </c>
      <c r="K51" s="92" t="e">
        <f t="shared" ca="1" si="21"/>
        <v>#NAME?</v>
      </c>
      <c r="L51" s="164"/>
      <c r="M51" s="92">
        <f t="shared" si="10"/>
        <v>10.863108893322837</v>
      </c>
      <c r="N51" s="92">
        <f>FORECAST(M51,G25:G26,K10:K11)</f>
        <v>2.0766556097909339</v>
      </c>
      <c r="O51" s="92">
        <f t="shared" si="11"/>
        <v>0.48154349487957437</v>
      </c>
      <c r="P51" s="92" t="e">
        <f t="shared" ca="1" si="12"/>
        <v>#NAME?</v>
      </c>
      <c r="Q51" s="92" t="e">
        <f t="shared" ca="1" si="22"/>
        <v>#NAME?</v>
      </c>
      <c r="R51" s="92" t="e">
        <f t="shared" ca="1" si="13"/>
        <v>#NAME?</v>
      </c>
      <c r="S51" s="165"/>
      <c r="T51" s="92">
        <f t="shared" si="14"/>
        <v>16.179128071222578</v>
      </c>
      <c r="U51" s="92">
        <f>FORECAST(T51,H26:H27,L11:L12)</f>
        <v>1.4101475744376131</v>
      </c>
      <c r="V51" s="92">
        <f t="shared" si="15"/>
        <v>0.70914563704356559</v>
      </c>
      <c r="W51" s="92" t="e">
        <f t="shared" ca="1" si="16"/>
        <v>#NAME?</v>
      </c>
      <c r="X51" s="92" t="e">
        <f t="shared" ca="1" si="23"/>
        <v>#NAME?</v>
      </c>
      <c r="Y51" s="92" t="e">
        <f ca="1">Y50+W51</f>
        <v>#NAME?</v>
      </c>
      <c r="Z51" s="167"/>
      <c r="AA51" s="92">
        <f t="shared" si="17"/>
        <v>22.828814858095022</v>
      </c>
      <c r="AB51" s="92">
        <f>FORECAST(AA51,I25:I26,M10:M11)</f>
        <v>0.87367528818812912</v>
      </c>
      <c r="AC51" s="92">
        <f t="shared" si="18"/>
        <v>1.1445900021664219</v>
      </c>
      <c r="AD51" s="92" t="e">
        <f t="shared" ca="1" si="19"/>
        <v>#NAME?</v>
      </c>
      <c r="AE51" s="92" t="e">
        <f t="shared" ca="1" si="24"/>
        <v>#NAME?</v>
      </c>
      <c r="AF51" s="92" t="e">
        <f t="shared" ca="1" si="25"/>
        <v>#NAME?</v>
      </c>
    </row>
    <row r="52" spans="1:32" x14ac:dyDescent="0.2">
      <c r="E52" s="169">
        <f t="shared" si="20"/>
        <v>5</v>
      </c>
      <c r="F52" s="92">
        <f t="shared" si="7"/>
        <v>4.6703338731442692</v>
      </c>
      <c r="G52" s="92">
        <f>FORECAST(F52,F21:F22,J6:J7)</f>
        <v>2.9151372391598005</v>
      </c>
      <c r="H52" s="92">
        <f t="shared" si="8"/>
        <v>0.34303702294586291</v>
      </c>
      <c r="I52" s="92" t="e">
        <f t="shared" ca="1" si="26"/>
        <v>#NAME?</v>
      </c>
      <c r="J52" s="92" t="e">
        <f t="shared" ca="1" si="9"/>
        <v>#NAME?</v>
      </c>
      <c r="K52" s="92" t="e">
        <f t="shared" ca="1" si="21"/>
        <v>#NAME?</v>
      </c>
      <c r="L52" s="164"/>
      <c r="M52" s="92">
        <f t="shared" si="10"/>
        <v>11.34527852443045</v>
      </c>
      <c r="N52" s="92">
        <f>FORECAST(M52,G26:G27,K11:K12)</f>
        <v>2.0028221400033619</v>
      </c>
      <c r="O52" s="92">
        <f t="shared" si="11"/>
        <v>0.49929545915561002</v>
      </c>
      <c r="P52" s="92" t="e">
        <f t="shared" ca="1" si="12"/>
        <v>#NAME?</v>
      </c>
      <c r="Q52" s="92" t="e">
        <f t="shared" ca="1" si="22"/>
        <v>#NAME?</v>
      </c>
      <c r="R52" s="92" t="e">
        <f t="shared" ca="1" si="13"/>
        <v>#NAME?</v>
      </c>
      <c r="S52" s="165"/>
      <c r="T52" s="92">
        <f t="shared" si="14"/>
        <v>16.826071991271398</v>
      </c>
      <c r="U52" s="92">
        <f>FORECAST(T52,H26:H27,L11:L12)</f>
        <v>1.353233395385026</v>
      </c>
      <c r="V52" s="92">
        <f t="shared" si="15"/>
        <v>0.73897082603069886</v>
      </c>
      <c r="W52" s="92" t="e">
        <f t="shared" ca="1" si="16"/>
        <v>#NAME?</v>
      </c>
      <c r="X52" s="92" t="e">
        <f t="shared" ca="1" si="23"/>
        <v>#NAME?</v>
      </c>
      <c r="Y52" s="92" t="e">
        <f t="shared" ref="Y52:Y58" ca="1" si="27">Y51+W52</f>
        <v>#NAME?</v>
      </c>
      <c r="Z52" s="167"/>
      <c r="AA52" s="92">
        <f t="shared" si="17"/>
        <v>23.53584130693859</v>
      </c>
      <c r="AB52" s="92">
        <f>FORECAST(AA52,I26:I27,M11:M12)</f>
        <v>0.83754044226555791</v>
      </c>
      <c r="AC52" s="92">
        <f t="shared" si="18"/>
        <v>1.1939721946978308</v>
      </c>
      <c r="AD52" s="92" t="e">
        <f t="shared" ca="1" si="19"/>
        <v>#NAME?</v>
      </c>
      <c r="AE52" s="92" t="e">
        <f t="shared" ca="1" si="24"/>
        <v>#NAME?</v>
      </c>
      <c r="AF52" s="92" t="e">
        <f t="shared" ca="1" si="25"/>
        <v>#NAME?</v>
      </c>
    </row>
    <row r="53" spans="1:32" x14ac:dyDescent="0.2">
      <c r="E53" s="169">
        <f t="shared" si="20"/>
        <v>6</v>
      </c>
      <c r="F53" s="92">
        <f t="shared" si="7"/>
        <v>5.4613782276202247</v>
      </c>
      <c r="G53" s="92">
        <f t="shared" ref="G53:G58" si="28">FORECAST(F53,F23:F24,J8:J9)</f>
        <v>2.924159528673052</v>
      </c>
      <c r="H53" s="92">
        <f t="shared" si="8"/>
        <v>0.34197860622665405</v>
      </c>
      <c r="I53" s="92" t="e">
        <f t="shared" ca="1" si="26"/>
        <v>#NAME?</v>
      </c>
      <c r="J53" s="92" t="e">
        <f t="shared" ca="1" si="9"/>
        <v>#NAME?</v>
      </c>
      <c r="K53" s="92" t="e">
        <f t="shared" ca="1" si="21"/>
        <v>#NAME?</v>
      </c>
      <c r="L53" s="164"/>
      <c r="M53" s="92">
        <f t="shared" si="10"/>
        <v>11.827448155538061</v>
      </c>
      <c r="N53" s="92">
        <f>FORECAST(M53,G26:G27,K11:K12)</f>
        <v>1.9266109629645138</v>
      </c>
      <c r="O53" s="92">
        <f t="shared" si="11"/>
        <v>0.51904614850798969</v>
      </c>
      <c r="P53" s="92" t="e">
        <f t="shared" ca="1" si="12"/>
        <v>#NAME?</v>
      </c>
      <c r="Q53" s="92" t="e">
        <f t="shared" ca="1" si="22"/>
        <v>#NAME?</v>
      </c>
      <c r="R53" s="92" t="e">
        <f t="shared" ca="1" si="13"/>
        <v>#NAME?</v>
      </c>
      <c r="S53" s="165"/>
      <c r="T53" s="92">
        <f t="shared" si="14"/>
        <v>17.473015911320218</v>
      </c>
      <c r="U53" s="92">
        <f>FORECAST(T53,H26:H27,L11:L12)</f>
        <v>1.2963192163324389</v>
      </c>
      <c r="V53" s="92">
        <f t="shared" si="15"/>
        <v>0.7714149319094501</v>
      </c>
      <c r="W53" s="92" t="e">
        <f t="shared" ca="1" si="16"/>
        <v>#NAME?</v>
      </c>
      <c r="X53" s="92" t="e">
        <f t="shared" ca="1" si="23"/>
        <v>#NAME?</v>
      </c>
      <c r="Y53" s="92" t="e">
        <f t="shared" ca="1" si="27"/>
        <v>#NAME?</v>
      </c>
      <c r="Z53" s="167"/>
      <c r="AA53" s="92">
        <f t="shared" si="17"/>
        <v>24.242867755782157</v>
      </c>
      <c r="AB53" s="92">
        <f>FORECAST(AA53,I26:I27,M11:M12)</f>
        <v>0.7986709968150929</v>
      </c>
      <c r="AC53" s="92">
        <f t="shared" si="18"/>
        <v>1.2520800229227786</v>
      </c>
      <c r="AD53" s="92" t="e">
        <f t="shared" ca="1" si="19"/>
        <v>#NAME?</v>
      </c>
      <c r="AE53" s="92" t="e">
        <f t="shared" ca="1" si="24"/>
        <v>#NAME?</v>
      </c>
      <c r="AF53" s="92" t="e">
        <f t="shared" ca="1" si="25"/>
        <v>#NAME?</v>
      </c>
    </row>
    <row r="54" spans="1:32" x14ac:dyDescent="0.2">
      <c r="E54" s="169">
        <f t="shared" si="20"/>
        <v>7</v>
      </c>
      <c r="F54" s="92">
        <f t="shared" si="7"/>
        <v>6.2524225820961785</v>
      </c>
      <c r="G54" s="92">
        <f t="shared" si="28"/>
        <v>2.9124935209442233</v>
      </c>
      <c r="H54" s="92">
        <f t="shared" si="8"/>
        <v>0.34334840328702343</v>
      </c>
      <c r="I54" s="92" t="e">
        <f t="shared" ca="1" si="26"/>
        <v>#NAME?</v>
      </c>
      <c r="J54" s="92" t="e">
        <f t="shared" ca="1" si="9"/>
        <v>#NAME?</v>
      </c>
      <c r="K54" s="92" t="e">
        <f t="shared" ca="1" si="21"/>
        <v>#NAME?</v>
      </c>
      <c r="L54" s="164"/>
      <c r="M54" s="92">
        <f t="shared" si="10"/>
        <v>12.309617786645674</v>
      </c>
      <c r="N54" s="92">
        <f>FORECAST(M54,G27:G28,K12:K13)</f>
        <v>1.8625271659106721</v>
      </c>
      <c r="O54" s="92">
        <f t="shared" si="11"/>
        <v>0.53690492053094729</v>
      </c>
      <c r="P54" s="92" t="e">
        <f t="shared" ca="1" si="12"/>
        <v>#NAME?</v>
      </c>
      <c r="Q54" s="92" t="e">
        <f t="shared" ca="1" si="22"/>
        <v>#NAME?</v>
      </c>
      <c r="R54" s="92" t="e">
        <f t="shared" ca="1" si="13"/>
        <v>#NAME?</v>
      </c>
      <c r="S54" s="165"/>
      <c r="T54" s="92">
        <f t="shared" si="14"/>
        <v>18.119959831369037</v>
      </c>
      <c r="U54" s="92">
        <f>FORECAST(T54,H27:H28,L12:L13)</f>
        <v>1.2529808018152533</v>
      </c>
      <c r="V54" s="92">
        <f t="shared" si="15"/>
        <v>0.79809682522769076</v>
      </c>
      <c r="W54" s="92" t="e">
        <f t="shared" ca="1" si="16"/>
        <v>#NAME?</v>
      </c>
      <c r="X54" s="92" t="e">
        <f t="shared" ca="1" si="23"/>
        <v>#NAME?</v>
      </c>
      <c r="Y54" s="92" t="e">
        <f t="shared" ca="1" si="27"/>
        <v>#NAME?</v>
      </c>
      <c r="Z54" s="167"/>
      <c r="AA54" s="92">
        <f t="shared" si="17"/>
        <v>24.949894204625725</v>
      </c>
      <c r="AB54" s="92">
        <f>FORECAST(AA54,I26:I27,M11:M12)</f>
        <v>0.7598015513646279</v>
      </c>
      <c r="AC54" s="92">
        <f t="shared" si="18"/>
        <v>1.3161331379278813</v>
      </c>
      <c r="AD54" s="92" t="e">
        <f t="shared" ca="1" si="19"/>
        <v>#NAME?</v>
      </c>
      <c r="AE54" s="92" t="e">
        <f t="shared" ca="1" si="24"/>
        <v>#NAME?</v>
      </c>
      <c r="AF54" s="92" t="e">
        <f t="shared" ca="1" si="25"/>
        <v>#NAME?</v>
      </c>
    </row>
    <row r="55" spans="1:32" x14ac:dyDescent="0.2">
      <c r="E55" s="169">
        <f t="shared" si="20"/>
        <v>8</v>
      </c>
      <c r="F55" s="92">
        <f t="shared" si="7"/>
        <v>7.0434669365721341</v>
      </c>
      <c r="G55" s="92">
        <f t="shared" si="28"/>
        <v>2.8159433919764245</v>
      </c>
      <c r="H55" s="92">
        <f t="shared" si="8"/>
        <v>0.35512077510128165</v>
      </c>
      <c r="I55" s="92" t="e">
        <f t="shared" ca="1" si="26"/>
        <v>#NAME?</v>
      </c>
      <c r="J55" s="92" t="e">
        <f t="shared" ca="1" si="9"/>
        <v>#NAME?</v>
      </c>
      <c r="K55" s="92" t="e">
        <f t="shared" ca="1" si="21"/>
        <v>#NAME?</v>
      </c>
      <c r="L55" s="164"/>
      <c r="M55" s="92">
        <f t="shared" si="10"/>
        <v>12.791787417753286</v>
      </c>
      <c r="N55" s="92">
        <f>FORECAST(M55,G27:G28,K12:K13)</f>
        <v>1.8086491271380214</v>
      </c>
      <c r="O55" s="92">
        <f t="shared" si="11"/>
        <v>0.55289883758846281</v>
      </c>
      <c r="P55" s="92" t="e">
        <f t="shared" ca="1" si="12"/>
        <v>#NAME?</v>
      </c>
      <c r="Q55" s="92" t="e">
        <f t="shared" ca="1" si="22"/>
        <v>#NAME?</v>
      </c>
      <c r="R55" s="92" t="e">
        <f t="shared" ca="1" si="13"/>
        <v>#NAME?</v>
      </c>
      <c r="S55" s="165"/>
      <c r="T55" s="92">
        <f t="shared" si="14"/>
        <v>18.766903751417857</v>
      </c>
      <c r="U55" s="92">
        <f>FORECAST(T55,H27:H28,L12:L13)</f>
        <v>1.2107527781583687</v>
      </c>
      <c r="V55" s="92">
        <f t="shared" si="15"/>
        <v>0.82593244305502489</v>
      </c>
      <c r="W55" s="92" t="e">
        <f t="shared" ca="1" si="16"/>
        <v>#NAME?</v>
      </c>
      <c r="X55" s="92" t="e">
        <f t="shared" ca="1" si="23"/>
        <v>#NAME?</v>
      </c>
      <c r="Y55" s="92" t="e">
        <f t="shared" ca="1" si="27"/>
        <v>#NAME?</v>
      </c>
      <c r="Z55" s="167"/>
      <c r="AA55" s="92">
        <f t="shared" si="17"/>
        <v>25.656920653469292</v>
      </c>
      <c r="AB55" s="92">
        <f>FORECAST(AA55,I27:I28,M12:M13)</f>
        <v>0.72266249144421679</v>
      </c>
      <c r="AC55" s="92">
        <f t="shared" si="18"/>
        <v>1.3837718324103601</v>
      </c>
      <c r="AD55" s="92" t="e">
        <f t="shared" ca="1" si="19"/>
        <v>#NAME?</v>
      </c>
      <c r="AE55" s="92" t="e">
        <f t="shared" ca="1" si="24"/>
        <v>#NAME?</v>
      </c>
      <c r="AF55" s="92" t="e">
        <f t="shared" ca="1" si="25"/>
        <v>#NAME?</v>
      </c>
    </row>
    <row r="56" spans="1:32" x14ac:dyDescent="0.2">
      <c r="E56" s="169">
        <f t="shared" si="20"/>
        <v>9</v>
      </c>
      <c r="F56" s="92">
        <f t="shared" si="7"/>
        <v>7.8345112910480896</v>
      </c>
      <c r="G56" s="92">
        <f t="shared" si="28"/>
        <v>2.6150961298991855</v>
      </c>
      <c r="H56" s="92">
        <f t="shared" si="8"/>
        <v>0.38239512061017467</v>
      </c>
      <c r="I56" s="92" t="e">
        <f t="shared" ca="1" si="26"/>
        <v>#NAME?</v>
      </c>
      <c r="J56" s="92" t="e">
        <f t="shared" ca="1" si="9"/>
        <v>#NAME?</v>
      </c>
      <c r="K56" s="92" t="e">
        <f t="shared" ca="1" si="21"/>
        <v>#NAME?</v>
      </c>
      <c r="L56" s="164"/>
      <c r="M56" s="92">
        <f t="shared" si="10"/>
        <v>13.273957048860897</v>
      </c>
      <c r="N56" s="92">
        <f>FORECAST(M56,G28:G29,K13:K14)</f>
        <v>1.7485193172545039</v>
      </c>
      <c r="O56" s="92">
        <f t="shared" si="11"/>
        <v>0.57191246909996019</v>
      </c>
      <c r="P56" s="92" t="e">
        <f t="shared" ca="1" si="12"/>
        <v>#NAME?</v>
      </c>
      <c r="Q56" s="92" t="e">
        <f t="shared" ca="1" si="22"/>
        <v>#NAME?</v>
      </c>
      <c r="R56" s="92" t="e">
        <f t="shared" ca="1" si="13"/>
        <v>#NAME?</v>
      </c>
      <c r="S56" s="165"/>
      <c r="T56" s="92">
        <f t="shared" si="14"/>
        <v>19.413847671466677</v>
      </c>
      <c r="U56" s="92">
        <f>FORECAST(T56,H28:H29,L13:L14)</f>
        <v>1.1610676338980304</v>
      </c>
      <c r="V56" s="92">
        <f t="shared" si="15"/>
        <v>0.86127626918917632</v>
      </c>
      <c r="W56" s="92" t="e">
        <f t="shared" ca="1" si="16"/>
        <v>#NAME?</v>
      </c>
      <c r="X56" s="92" t="e">
        <f t="shared" ca="1" si="23"/>
        <v>#NAME?</v>
      </c>
      <c r="Y56" s="92" t="e">
        <f t="shared" ca="1" si="27"/>
        <v>#NAME?</v>
      </c>
      <c r="Z56" s="167"/>
      <c r="AA56" s="92">
        <f t="shared" si="17"/>
        <v>26.363947102312864</v>
      </c>
      <c r="AB56" s="92">
        <f>FORECAST(AA56,I27:I28,M12:M13)</f>
        <v>0.69084164945538551</v>
      </c>
      <c r="AC56" s="92">
        <f t="shared" si="18"/>
        <v>1.4475097162835142</v>
      </c>
      <c r="AD56" s="92" t="e">
        <f t="shared" ca="1" si="19"/>
        <v>#NAME?</v>
      </c>
      <c r="AE56" s="92" t="e">
        <f t="shared" ca="1" si="24"/>
        <v>#NAME?</v>
      </c>
      <c r="AF56" s="92" t="e">
        <f t="shared" ca="1" si="25"/>
        <v>#NAME?</v>
      </c>
    </row>
    <row r="57" spans="1:32" x14ac:dyDescent="0.2">
      <c r="E57" s="169">
        <f t="shared" si="20"/>
        <v>10</v>
      </c>
      <c r="F57" s="92">
        <f t="shared" si="7"/>
        <v>8.6255556455240452</v>
      </c>
      <c r="G57" s="92">
        <f t="shared" si="28"/>
        <v>2.4203172196918579</v>
      </c>
      <c r="H57" s="92">
        <f t="shared" si="8"/>
        <v>0.41316898126573459</v>
      </c>
      <c r="I57" s="92" t="e">
        <f t="shared" ca="1" si="26"/>
        <v>#NAME?</v>
      </c>
      <c r="J57" s="92" t="e">
        <f t="shared" ca="1" si="9"/>
        <v>#NAME?</v>
      </c>
      <c r="K57" s="92" t="e">
        <f t="shared" ca="1" si="21"/>
        <v>#NAME?</v>
      </c>
      <c r="L57" s="164"/>
      <c r="M57" s="92">
        <f t="shared" si="10"/>
        <v>13.75612667996851</v>
      </c>
      <c r="N57" s="92">
        <f>FORECAST(M57,G28:G29,K13:K14)</f>
        <v>1.6716154198379889</v>
      </c>
      <c r="O57" s="92">
        <f t="shared" si="11"/>
        <v>0.59822372307197247</v>
      </c>
      <c r="P57" s="92" t="e">
        <f t="shared" ca="1" si="12"/>
        <v>#NAME?</v>
      </c>
      <c r="Q57" s="92" t="e">
        <f t="shared" ca="1" si="22"/>
        <v>#NAME?</v>
      </c>
      <c r="R57" s="92" t="e">
        <f t="shared" ca="1" si="13"/>
        <v>#NAME?</v>
      </c>
      <c r="S57" s="165"/>
      <c r="T57" s="92">
        <f t="shared" si="14"/>
        <v>20.060791591515496</v>
      </c>
      <c r="U57" s="92">
        <f>FORECAST(T57,H28:H29,L13:L14)</f>
        <v>1.1027055012999925</v>
      </c>
      <c r="V57" s="92">
        <f t="shared" si="15"/>
        <v>0.90686044353736173</v>
      </c>
      <c r="W57" s="92" t="e">
        <f t="shared" ca="1" si="16"/>
        <v>#NAME?</v>
      </c>
      <c r="X57" s="92" t="e">
        <f t="shared" ca="1" si="23"/>
        <v>#NAME?</v>
      </c>
      <c r="Y57" s="92" t="e">
        <f t="shared" ca="1" si="27"/>
        <v>#NAME?</v>
      </c>
      <c r="Z57" s="167"/>
      <c r="AA57" s="92">
        <f t="shared" si="17"/>
        <v>27.070973551156431</v>
      </c>
      <c r="AB57" s="92">
        <f>FORECAST(AA57,I27:I28,M12:M13)</f>
        <v>0.65902080746655423</v>
      </c>
      <c r="AC57" s="92">
        <f t="shared" si="18"/>
        <v>1.5174027719158938</v>
      </c>
      <c r="AD57" s="92" t="e">
        <f t="shared" ca="1" si="19"/>
        <v>#NAME?</v>
      </c>
      <c r="AE57" s="92" t="e">
        <f t="shared" ca="1" si="24"/>
        <v>#NAME?</v>
      </c>
      <c r="AF57" s="92" t="e">
        <f t="shared" ca="1" si="25"/>
        <v>#NAME?</v>
      </c>
    </row>
    <row r="58" spans="1:32" x14ac:dyDescent="0.2">
      <c r="E58" s="169">
        <f t="shared" si="20"/>
        <v>11</v>
      </c>
      <c r="F58" s="92">
        <f t="shared" si="7"/>
        <v>9.4166000000000007</v>
      </c>
      <c r="G58" s="92">
        <f t="shared" si="28"/>
        <v>2.2312591023030937</v>
      </c>
      <c r="H58" s="92">
        <f t="shared" si="8"/>
        <v>0.44817744338512966</v>
      </c>
      <c r="I58" s="92" t="e">
        <f t="shared" ca="1" si="26"/>
        <v>#NAME?</v>
      </c>
      <c r="J58" s="92" t="e">
        <f t="shared" ca="1" si="9"/>
        <v>#NAME?</v>
      </c>
      <c r="K58" s="92" t="e">
        <f t="shared" ca="1" si="21"/>
        <v>#NAME?</v>
      </c>
      <c r="L58" s="164"/>
      <c r="M58" s="92">
        <f t="shared" si="10"/>
        <v>14.238296311076121</v>
      </c>
      <c r="N58" s="92">
        <f>G29</f>
        <v>1.5947115224214745</v>
      </c>
      <c r="O58" s="92">
        <f t="shared" si="11"/>
        <v>0.62707266232174674</v>
      </c>
      <c r="P58" s="92" t="e">
        <f t="shared" ca="1" si="12"/>
        <v>#NAME?</v>
      </c>
      <c r="Q58" s="92" t="e">
        <f t="shared" ca="1" si="22"/>
        <v>#NAME?</v>
      </c>
      <c r="R58" s="92" t="e">
        <f t="shared" ref="R58" ca="1" si="29">R57+P58</f>
        <v>#NAME?</v>
      </c>
      <c r="S58" s="165"/>
      <c r="T58" s="92">
        <f t="shared" si="14"/>
        <v>20.707735511564316</v>
      </c>
      <c r="U58" s="92">
        <f>H29</f>
        <v>1.044343368701955</v>
      </c>
      <c r="V58" s="92">
        <f t="shared" si="15"/>
        <v>0.95753947405529016</v>
      </c>
      <c r="W58" s="92" t="e">
        <f t="shared" ca="1" si="16"/>
        <v>#NAME?</v>
      </c>
      <c r="X58" s="92" t="e">
        <f t="shared" ca="1" si="23"/>
        <v>#NAME?</v>
      </c>
      <c r="Y58" s="92" t="e">
        <f t="shared" ca="1" si="27"/>
        <v>#NAME?</v>
      </c>
      <c r="Z58" s="167"/>
      <c r="AA58" s="92">
        <f t="shared" si="17"/>
        <v>27.777999999999999</v>
      </c>
      <c r="AB58" s="92">
        <f>FORECAST(AA58,I27:I28,M12:M13)</f>
        <v>0.62719996547772316</v>
      </c>
      <c r="AC58" s="92">
        <f t="shared" si="18"/>
        <v>1.5943878428601699</v>
      </c>
      <c r="AD58" s="92" t="e">
        <f t="shared" ca="1" si="19"/>
        <v>#NAME?</v>
      </c>
      <c r="AE58" s="92" t="e">
        <f t="shared" ca="1" si="24"/>
        <v>#NAME?</v>
      </c>
      <c r="AF58" s="92" t="e">
        <f t="shared" ca="1" si="25"/>
        <v>#NAME?</v>
      </c>
    </row>
    <row r="59" spans="1:32" x14ac:dyDescent="0.2">
      <c r="F59" s="160" t="s">
        <v>461</v>
      </c>
      <c r="G59" s="160" t="e">
        <f ca="1">CurveIntegration(F48:F58,H48:H58)</f>
        <v>#NAME?</v>
      </c>
      <c r="H59" s="45"/>
      <c r="I59" s="45"/>
      <c r="J59" s="45"/>
      <c r="K59" s="45"/>
      <c r="M59" s="160" t="s">
        <v>462</v>
      </c>
      <c r="N59" s="170" t="e">
        <f ca="1">CurveIntegration(M48:M58,O48:O58)</f>
        <v>#NAME?</v>
      </c>
      <c r="O59" s="45"/>
      <c r="P59" s="45"/>
      <c r="Q59" s="45"/>
      <c r="R59" s="45"/>
      <c r="T59" s="160" t="s">
        <v>463</v>
      </c>
      <c r="U59" s="160" t="e">
        <f ca="1">CurveIntegration(T48:T58,V48:V58)</f>
        <v>#NAME?</v>
      </c>
      <c r="V59" s="45"/>
      <c r="W59" s="45"/>
      <c r="X59" s="45"/>
      <c r="Y59" s="45"/>
      <c r="AA59" s="160" t="s">
        <v>464</v>
      </c>
      <c r="AB59" s="160" t="e">
        <f ca="1">CurveIntegration(AA48:AA58,AC48:AC58)</f>
        <v>#NAME?</v>
      </c>
      <c r="AC59" s="45"/>
      <c r="AD59" s="45"/>
      <c r="AE59" s="45"/>
      <c r="AF59" s="45"/>
    </row>
    <row r="63" spans="1:32" x14ac:dyDescent="0.2">
      <c r="A63" s="172" t="s">
        <v>469</v>
      </c>
      <c r="B63" s="172" t="s">
        <v>470</v>
      </c>
      <c r="D63" s="172" t="s">
        <v>475</v>
      </c>
      <c r="E63" s="172" t="s">
        <v>476</v>
      </c>
    </row>
    <row r="64" spans="1:32" x14ac:dyDescent="0.2">
      <c r="A64" s="92">
        <v>1.5061564552404474</v>
      </c>
      <c r="B64" s="92">
        <v>0</v>
      </c>
      <c r="D64" s="92">
        <v>1.5061564552404474</v>
      </c>
      <c r="E64" s="92">
        <v>0</v>
      </c>
    </row>
    <row r="65" spans="1:7" ht="21" x14ac:dyDescent="0.25">
      <c r="A65" s="92">
        <v>2.2972008097164025</v>
      </c>
      <c r="B65" s="92">
        <v>0.37152547856261586</v>
      </c>
      <c r="D65" s="92">
        <v>2.2972008097164025</v>
      </c>
      <c r="E65" s="92">
        <v>0.37152547856261586</v>
      </c>
      <c r="G65" s="157" t="s">
        <v>477</v>
      </c>
    </row>
    <row r="66" spans="1:7" x14ac:dyDescent="0.2">
      <c r="A66" s="92">
        <v>3.0882451641923581</v>
      </c>
      <c r="B66" s="92">
        <v>0.66922973352449211</v>
      </c>
      <c r="D66" s="92">
        <v>3.0882451641923581</v>
      </c>
      <c r="E66" s="92">
        <v>0.66922973352449211</v>
      </c>
    </row>
    <row r="67" spans="1:7" x14ac:dyDescent="0.2">
      <c r="A67" s="92">
        <v>3.8792895186683132</v>
      </c>
      <c r="B67" s="92">
        <v>0.95428630348286492</v>
      </c>
      <c r="D67" s="92">
        <v>3.8792895186683132</v>
      </c>
      <c r="E67" s="92">
        <v>0.95428630348286492</v>
      </c>
    </row>
    <row r="68" spans="1:7" x14ac:dyDescent="0.2">
      <c r="A68" s="92">
        <v>4.6703338731442692</v>
      </c>
      <c r="B68" s="92">
        <v>1.2287546423403848</v>
      </c>
      <c r="D68" s="92">
        <v>4.6703338731442692</v>
      </c>
      <c r="E68" s="92">
        <v>1.2287546423403848</v>
      </c>
    </row>
    <row r="69" spans="1:7" x14ac:dyDescent="0.2">
      <c r="A69" s="92">
        <v>5.4613782276202247</v>
      </c>
      <c r="B69" s="92">
        <v>1.499693515432742</v>
      </c>
      <c r="D69" s="92">
        <v>5.4613782276202247</v>
      </c>
      <c r="E69" s="92">
        <v>1.499693515432742</v>
      </c>
    </row>
    <row r="70" spans="1:7" x14ac:dyDescent="0.2">
      <c r="A70" s="92">
        <v>6.2524225820961785</v>
      </c>
      <c r="B70" s="92">
        <v>1.7707555463555833</v>
      </c>
      <c r="D70" s="92">
        <v>6.2524225820961785</v>
      </c>
      <c r="E70" s="92">
        <v>1.7707555463555833</v>
      </c>
    </row>
    <row r="71" spans="1:7" x14ac:dyDescent="0.2">
      <c r="A71" s="92">
        <v>7.0434669365721341</v>
      </c>
      <c r="B71" s="92">
        <v>2.0470155965253474</v>
      </c>
      <c r="D71" s="92">
        <v>7.0434669365721341</v>
      </c>
      <c r="E71" s="92">
        <v>2.0470155965253474</v>
      </c>
    </row>
    <row r="72" spans="1:7" x14ac:dyDescent="0.2">
      <c r="A72" s="92">
        <v>7.8345112910480896</v>
      </c>
      <c r="B72" s="92">
        <v>2.33871948934476</v>
      </c>
      <c r="D72" s="92">
        <v>7.8345112910480896</v>
      </c>
      <c r="E72" s="92">
        <v>2.33871948934476</v>
      </c>
    </row>
    <row r="73" spans="1:7" x14ac:dyDescent="0.2">
      <c r="A73" s="92">
        <v>8.6255556455240452</v>
      </c>
      <c r="B73" s="92">
        <v>2.6533827350510961</v>
      </c>
      <c r="D73" s="92">
        <v>8.6255556455240452</v>
      </c>
      <c r="E73" s="92">
        <v>2.6533827350510961</v>
      </c>
    </row>
    <row r="74" spans="1:7" x14ac:dyDescent="0.2">
      <c r="A74" s="92">
        <v>9.4166000000000007</v>
      </c>
      <c r="B74" s="92">
        <v>2.9940643482851539</v>
      </c>
      <c r="D74" s="92">
        <v>9.4166000000000007</v>
      </c>
      <c r="E74" s="92">
        <v>2.9940643482851539</v>
      </c>
    </row>
    <row r="75" spans="1:7" x14ac:dyDescent="0.2">
      <c r="A75" s="92">
        <v>9.8987696311076121</v>
      </c>
      <c r="B75" s="92">
        <v>3.2115261590817399</v>
      </c>
      <c r="D75" s="92">
        <v>9.4166000000000007</v>
      </c>
      <c r="E75" s="92">
        <v>3.9940643482851539</v>
      </c>
    </row>
    <row r="76" spans="1:7" x14ac:dyDescent="0.2">
      <c r="A76" s="92">
        <v>10.380939262215225</v>
      </c>
      <c r="B76" s="92">
        <v>3.4335931909556354</v>
      </c>
      <c r="D76" s="92">
        <v>9.8987696311076121</v>
      </c>
      <c r="E76" s="92">
        <v>4.2115261590817399</v>
      </c>
    </row>
    <row r="77" spans="1:7" x14ac:dyDescent="0.2">
      <c r="A77" s="92">
        <v>10.863108893322837</v>
      </c>
      <c r="B77" s="92">
        <v>3.6623400129510015</v>
      </c>
      <c r="D77" s="92">
        <v>10.380939262215225</v>
      </c>
      <c r="E77" s="92">
        <v>4.4335931909556354</v>
      </c>
    </row>
    <row r="78" spans="1:7" x14ac:dyDescent="0.2">
      <c r="A78" s="92">
        <v>11.34527852443045</v>
      </c>
      <c r="B78" s="92">
        <v>3.8988053912725626</v>
      </c>
      <c r="D78" s="92">
        <v>10.863108893322837</v>
      </c>
      <c r="E78" s="92">
        <v>4.6623400129510015</v>
      </c>
    </row>
    <row r="79" spans="1:7" x14ac:dyDescent="0.2">
      <c r="A79" s="92">
        <v>11.827448155538061</v>
      </c>
      <c r="B79" s="92">
        <v>4.1443120899269079</v>
      </c>
      <c r="D79" s="92">
        <v>11.34527852443045</v>
      </c>
      <c r="E79" s="92">
        <v>4.8988053912725622</v>
      </c>
    </row>
    <row r="80" spans="1:7" x14ac:dyDescent="0.2">
      <c r="A80" s="92">
        <v>12.309617786645674</v>
      </c>
      <c r="B80" s="92">
        <v>4.3988858586400053</v>
      </c>
      <c r="D80" s="92">
        <v>11.827448155538061</v>
      </c>
      <c r="E80" s="92">
        <v>5.144312089926907</v>
      </c>
    </row>
    <row r="81" spans="1:5" x14ac:dyDescent="0.2">
      <c r="A81" s="92">
        <v>12.791787417753286</v>
      </c>
      <c r="B81" s="92">
        <v>4.6616209966560671</v>
      </c>
      <c r="D81" s="92">
        <v>12.309617786645674</v>
      </c>
      <c r="E81" s="92">
        <v>5.3988858586400044</v>
      </c>
    </row>
    <row r="82" spans="1:5" x14ac:dyDescent="0.2">
      <c r="A82" s="92">
        <v>13.273957048860897</v>
      </c>
      <c r="B82" s="92">
        <v>4.9327959230618807</v>
      </c>
      <c r="D82" s="92">
        <v>12.791787417753286</v>
      </c>
      <c r="E82" s="92">
        <v>5.6616209966560662</v>
      </c>
    </row>
    <row r="83" spans="1:5" x14ac:dyDescent="0.2">
      <c r="A83" s="92">
        <v>13.75612667996851</v>
      </c>
      <c r="B83" s="92">
        <v>5.2148979911244844</v>
      </c>
      <c r="D83" s="92">
        <v>13.273957048860897</v>
      </c>
      <c r="E83" s="92">
        <v>5.9327959230618799</v>
      </c>
    </row>
    <row r="84" spans="1:5" x14ac:dyDescent="0.2">
      <c r="A84" s="92">
        <v>14.238296311076121</v>
      </c>
      <c r="B84" s="92">
        <v>5.5102983441958742</v>
      </c>
      <c r="D84" s="92">
        <v>13.75612667996851</v>
      </c>
      <c r="E84" s="92">
        <v>6.2148979911244835</v>
      </c>
    </row>
    <row r="85" spans="1:5" x14ac:dyDescent="0.2">
      <c r="A85" s="92">
        <v>14.885240231124941</v>
      </c>
      <c r="B85" s="92">
        <v>5.9330377658298987</v>
      </c>
      <c r="D85" s="92">
        <v>14.238296311076121</v>
      </c>
      <c r="E85" s="92">
        <v>6.5102983441958733</v>
      </c>
    </row>
    <row r="86" spans="1:5" x14ac:dyDescent="0.2">
      <c r="A86" s="92">
        <v>15.532184151173761</v>
      </c>
      <c r="B86" s="92">
        <v>6.3687217047766405</v>
      </c>
      <c r="D86" s="92">
        <v>14.238296311076121</v>
      </c>
      <c r="E86" s="92">
        <v>7.5102983441958733</v>
      </c>
    </row>
    <row r="87" spans="1:5" x14ac:dyDescent="0.2">
      <c r="A87" s="92">
        <v>16.179128071222578</v>
      </c>
      <c r="B87" s="92">
        <v>6.8194515002762213</v>
      </c>
      <c r="D87" s="92">
        <v>14.885240231124941</v>
      </c>
      <c r="E87" s="92">
        <v>7.9330377658298978</v>
      </c>
    </row>
    <row r="88" spans="1:5" x14ac:dyDescent="0.2">
      <c r="A88" s="92">
        <v>16.826071991271398</v>
      </c>
      <c r="B88" s="92">
        <v>7.2878765709304698</v>
      </c>
      <c r="D88" s="92">
        <v>15.532184151173761</v>
      </c>
      <c r="E88" s="92">
        <v>8.3687217047766396</v>
      </c>
    </row>
    <row r="89" spans="1:5" x14ac:dyDescent="0.2">
      <c r="A89" s="92">
        <v>17.473015911320218</v>
      </c>
      <c r="B89" s="92">
        <v>7.7764440124443235</v>
      </c>
      <c r="D89" s="92">
        <v>16.179128071222578</v>
      </c>
      <c r="E89" s="92">
        <v>8.8194515002762195</v>
      </c>
    </row>
    <row r="90" spans="1:5" x14ac:dyDescent="0.2">
      <c r="A90" s="92">
        <v>18.119959831369037</v>
      </c>
      <c r="B90" s="92">
        <v>8.2841370568068307</v>
      </c>
      <c r="D90" s="92">
        <v>16.826071991271398</v>
      </c>
      <c r="E90" s="92">
        <v>9.287876570930468</v>
      </c>
    </row>
    <row r="91" spans="1:5" x14ac:dyDescent="0.2">
      <c r="A91" s="92">
        <v>18.766903751417857</v>
      </c>
      <c r="B91" s="92">
        <v>8.8094649873552484</v>
      </c>
      <c r="D91" s="92">
        <v>17.473015911320218</v>
      </c>
      <c r="E91" s="92">
        <v>9.7764440124443226</v>
      </c>
    </row>
    <row r="92" spans="1:5" x14ac:dyDescent="0.2">
      <c r="A92" s="92">
        <v>19.413847671466677</v>
      </c>
      <c r="B92" s="92">
        <v>9.3552296964751402</v>
      </c>
      <c r="D92" s="92">
        <v>18.119959831369037</v>
      </c>
      <c r="E92" s="92">
        <v>10.284137056806829</v>
      </c>
    </row>
    <row r="93" spans="1:5" x14ac:dyDescent="0.2">
      <c r="A93" s="92">
        <v>20.060791591515496</v>
      </c>
      <c r="B93" s="92">
        <v>9.9271723445319111</v>
      </c>
      <c r="D93" s="92">
        <v>18.766903751417857</v>
      </c>
      <c r="E93" s="92">
        <v>10.809464987355247</v>
      </c>
    </row>
    <row r="94" spans="1:5" x14ac:dyDescent="0.2">
      <c r="A94" s="92">
        <v>20.707735511564316</v>
      </c>
      <c r="B94" s="92">
        <v>10.530253440144953</v>
      </c>
      <c r="D94" s="92">
        <v>19.413847671466677</v>
      </c>
      <c r="E94" s="92">
        <v>11.355229696475138</v>
      </c>
    </row>
    <row r="95" spans="1:5" x14ac:dyDescent="0.2">
      <c r="A95" s="92">
        <v>21.414761960407883</v>
      </c>
      <c r="B95" s="92">
        <v>11.27092430139944</v>
      </c>
      <c r="D95" s="92">
        <v>20.060791591515496</v>
      </c>
      <c r="E95" s="92">
        <v>11.927172344531909</v>
      </c>
    </row>
    <row r="96" spans="1:5" x14ac:dyDescent="0.2">
      <c r="A96" s="92">
        <v>22.121788409251451</v>
      </c>
      <c r="B96" s="92">
        <v>12.036851892996813</v>
      </c>
      <c r="D96" s="92">
        <v>20.707735511564316</v>
      </c>
      <c r="E96" s="92">
        <v>12.530253440144953</v>
      </c>
    </row>
    <row r="97" spans="1:5" x14ac:dyDescent="0.2">
      <c r="A97" s="92">
        <v>22.828814858095022</v>
      </c>
      <c r="B97" s="92">
        <v>12.831316983870947</v>
      </c>
      <c r="D97" s="92">
        <v>20.707735511564316</v>
      </c>
      <c r="E97" s="92">
        <v>13.530253440144953</v>
      </c>
    </row>
    <row r="98" spans="1:5" x14ac:dyDescent="0.2">
      <c r="A98" s="92">
        <v>23.53584130693859</v>
      </c>
      <c r="B98" s="92">
        <v>13.658029646595319</v>
      </c>
      <c r="D98" s="92">
        <v>21.414761960407883</v>
      </c>
      <c r="E98" s="92">
        <v>14.27092430139944</v>
      </c>
    </row>
    <row r="99" spans="1:5" x14ac:dyDescent="0.2">
      <c r="A99" s="92">
        <v>24.242867755782157</v>
      </c>
      <c r="B99" s="92">
        <v>14.522741453150434</v>
      </c>
      <c r="D99" s="92">
        <v>22.121788409251451</v>
      </c>
      <c r="E99" s="92">
        <v>15.036851892996813</v>
      </c>
    </row>
    <row r="100" spans="1:5" x14ac:dyDescent="0.2">
      <c r="A100" s="92">
        <v>24.949894204625725</v>
      </c>
      <c r="B100" s="92">
        <v>15.430638768645213</v>
      </c>
      <c r="D100" s="92">
        <v>22.828814858095022</v>
      </c>
      <c r="E100" s="92">
        <v>15.831316983870947</v>
      </c>
    </row>
    <row r="101" spans="1:5" x14ac:dyDescent="0.2">
      <c r="A101" s="92">
        <v>25.656920653469292</v>
      </c>
      <c r="B101" s="92">
        <v>16.385090880341885</v>
      </c>
      <c r="D101" s="92">
        <v>23.53584130693859</v>
      </c>
      <c r="E101" s="92">
        <v>16.65802964659532</v>
      </c>
    </row>
    <row r="102" spans="1:5" x14ac:dyDescent="0.2">
      <c r="A102" s="92">
        <v>26.363947102312864</v>
      </c>
      <c r="B102" s="92">
        <v>17.385986349866563</v>
      </c>
      <c r="D102" s="92">
        <v>24.242867755782157</v>
      </c>
      <c r="E102" s="92">
        <v>17.522741453150438</v>
      </c>
    </row>
    <row r="103" spans="1:5" x14ac:dyDescent="0.2">
      <c r="A103" s="92">
        <v>27.070973551156431</v>
      </c>
      <c r="B103" s="92">
        <v>18.434122123698351</v>
      </c>
      <c r="D103" s="92">
        <v>24.949894204625725</v>
      </c>
      <c r="E103" s="92">
        <v>18.430638768645217</v>
      </c>
    </row>
    <row r="104" spans="1:5" x14ac:dyDescent="0.2">
      <c r="A104" s="92">
        <v>27.777999999999999</v>
      </c>
      <c r="B104" s="92">
        <v>19.534181257653284</v>
      </c>
      <c r="D104" s="92">
        <v>25.656920653469292</v>
      </c>
      <c r="E104" s="92">
        <v>19.385090880341888</v>
      </c>
    </row>
    <row r="105" spans="1:5" x14ac:dyDescent="0.2">
      <c r="D105" s="92">
        <v>26.363947102312864</v>
      </c>
      <c r="E105" s="92">
        <v>20.385986349866567</v>
      </c>
    </row>
    <row r="106" spans="1:5" x14ac:dyDescent="0.2">
      <c r="D106" s="92">
        <v>27.070973551156431</v>
      </c>
      <c r="E106" s="92">
        <v>21.434122123698355</v>
      </c>
    </row>
    <row r="107" spans="1:5" x14ac:dyDescent="0.2">
      <c r="D107" s="92">
        <v>27.777999999999999</v>
      </c>
      <c r="E107" s="92">
        <v>22.534181257653287</v>
      </c>
    </row>
  </sheetData>
  <pageMargins left="0.7" right="0.7" top="0.75" bottom="0.75" header="0.3" footer="0.3"/>
  <pageSetup paperSize="9" orientation="portrait" r:id="rId1"/>
  <ignoredErrors>
    <ignoredError sqref="G49:G58 N49:N58 U48:U58 AB48:AB5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O42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1.33203125" bestFit="1" customWidth="1"/>
    <col min="5" max="5" width="3.6640625" bestFit="1" customWidth="1"/>
    <col min="6" max="6" width="9.5" customWidth="1"/>
    <col min="7" max="7" width="7.5" bestFit="1" customWidth="1"/>
    <col min="8" max="8" width="5.6640625" bestFit="1" customWidth="1"/>
    <col min="9" max="9" width="7.5" bestFit="1" customWidth="1"/>
    <col min="10" max="11" width="8.5" bestFit="1" customWidth="1"/>
    <col min="13" max="13" width="9.6640625" bestFit="1" customWidth="1"/>
    <col min="14" max="14" width="11.6640625" style="173" bestFit="1" customWidth="1"/>
    <col min="15" max="15" width="12" bestFit="1" customWidth="1"/>
  </cols>
  <sheetData>
    <row r="1" spans="1:15" ht="16" thickBot="1" x14ac:dyDescent="0.25">
      <c r="A1" s="218" t="s">
        <v>410</v>
      </c>
      <c r="B1" s="219"/>
    </row>
    <row r="2" spans="1:15" x14ac:dyDescent="0.2">
      <c r="A2" s="100" t="s">
        <v>411</v>
      </c>
      <c r="B2" s="101">
        <v>0.28100000000000003</v>
      </c>
    </row>
    <row r="3" spans="1:15" x14ac:dyDescent="0.2">
      <c r="A3" s="101" t="s">
        <v>365</v>
      </c>
      <c r="B3" s="101">
        <v>1.4E-3</v>
      </c>
      <c r="F3" t="s">
        <v>412</v>
      </c>
      <c r="L3" t="s">
        <v>494</v>
      </c>
    </row>
    <row r="4" spans="1:15" x14ac:dyDescent="0.2">
      <c r="A4" s="101" t="s">
        <v>329</v>
      </c>
      <c r="B4" s="101">
        <f>[2]Foglio1!B25/0.92*0.98</f>
        <v>0.26097826086956516</v>
      </c>
    </row>
    <row r="5" spans="1:15" x14ac:dyDescent="0.2">
      <c r="A5" s="101" t="s">
        <v>413</v>
      </c>
      <c r="B5" s="101">
        <v>0.5</v>
      </c>
    </row>
    <row r="6" spans="1:15" x14ac:dyDescent="0.2">
      <c r="A6" s="101" t="s">
        <v>414</v>
      </c>
      <c r="B6" s="102">
        <v>44000000</v>
      </c>
    </row>
    <row r="7" spans="1:15" ht="17" x14ac:dyDescent="0.2">
      <c r="A7" s="103" t="s">
        <v>415</v>
      </c>
      <c r="B7" s="104">
        <v>739</v>
      </c>
      <c r="F7" s="105" t="s">
        <v>444</v>
      </c>
      <c r="G7" s="105" t="s">
        <v>443</v>
      </c>
      <c r="H7" s="106" t="s">
        <v>416</v>
      </c>
      <c r="I7" s="107" t="s">
        <v>417</v>
      </c>
      <c r="J7" s="107" t="s">
        <v>327</v>
      </c>
      <c r="K7" s="107" t="s">
        <v>317</v>
      </c>
      <c r="L7" s="108" t="s">
        <v>441</v>
      </c>
      <c r="M7" s="108" t="s">
        <v>442</v>
      </c>
      <c r="N7" s="174" t="s">
        <v>445</v>
      </c>
      <c r="O7" s="108" t="s">
        <v>446</v>
      </c>
    </row>
    <row r="8" spans="1:15" ht="15" customHeight="1" x14ac:dyDescent="0.2">
      <c r="A8" s="103" t="s">
        <v>418</v>
      </c>
      <c r="B8" s="104">
        <v>0.62</v>
      </c>
      <c r="E8" s="222" t="s">
        <v>419</v>
      </c>
      <c r="F8" s="109">
        <v>0</v>
      </c>
      <c r="G8" s="109">
        <f>F8/3.6</f>
        <v>0</v>
      </c>
      <c r="H8" s="137">
        <f>$B$9</f>
        <v>0.19645921720419829</v>
      </c>
      <c r="I8" s="144">
        <f>J8*2*PI()/60</f>
        <v>104.71975511965977</v>
      </c>
      <c r="J8" s="145">
        <v>1000</v>
      </c>
      <c r="K8" s="146">
        <f>C15</f>
        <v>5187</v>
      </c>
      <c r="L8" s="146">
        <f>(K8*2*PI())/($B$5*$B$3*I8)</f>
        <v>444600.00000000006</v>
      </c>
      <c r="M8" s="148">
        <f>L8/100000</f>
        <v>4.4460000000000006</v>
      </c>
      <c r="N8" s="175">
        <f>FORECAST(M8,'Team 14 engine map'!Z5:Z6,'Team 14 engine map'!Y5:Y6)</f>
        <v>235.58484320557491</v>
      </c>
      <c r="O8" s="92">
        <f>N8/(1000*3600*745.7)</f>
        <v>8.7756784529664492E-8</v>
      </c>
    </row>
    <row r="9" spans="1:15" x14ac:dyDescent="0.2">
      <c r="A9" t="s">
        <v>341</v>
      </c>
      <c r="B9">
        <v>0.19645921720419829</v>
      </c>
      <c r="E9" s="223"/>
      <c r="F9" s="109">
        <f>F8+10</f>
        <v>10</v>
      </c>
      <c r="G9" s="109">
        <f t="shared" ref="G9:G28" si="0">F9/3.6</f>
        <v>2.7777777777777777</v>
      </c>
      <c r="H9" s="137">
        <f t="shared" ref="H9:H12" si="1">$B$9</f>
        <v>0.19645921720419829</v>
      </c>
      <c r="I9" s="138">
        <f t="shared" ref="I9:I28" si="2">G9/(H9*$B$2*$B$4)</f>
        <v>192.80328863073828</v>
      </c>
      <c r="J9" s="143">
        <f t="shared" ref="J9:J28" si="3">I9*60/(2*PI())</f>
        <v>1841.1357857973253</v>
      </c>
      <c r="K9" s="106">
        <f>FORECAST(J9,C16:C17,B16:B17)</f>
        <v>13998.72579174294</v>
      </c>
      <c r="L9" s="147">
        <f t="shared" ref="L9:L28" si="4">(K9*2*PI())/($B$5*$B$3*I9)</f>
        <v>651712.26989636081</v>
      </c>
      <c r="M9" s="148">
        <f t="shared" ref="M9:M28" si="5">L9/100000</f>
        <v>6.5171226989636084</v>
      </c>
      <c r="N9" s="175">
        <v>203.52818167247386</v>
      </c>
      <c r="O9" s="92">
        <f t="shared" ref="O9:O28" si="6">N9/(1000*3600*745.7)</f>
        <v>7.5815483465377E-8</v>
      </c>
    </row>
    <row r="10" spans="1:15" ht="15" customHeight="1" x14ac:dyDescent="0.2">
      <c r="A10" t="s">
        <v>338</v>
      </c>
      <c r="B10">
        <v>0.2857241779347427</v>
      </c>
      <c r="E10" s="223"/>
      <c r="F10" s="109">
        <f t="shared" ref="F10:F28" si="7">F9+10</f>
        <v>20</v>
      </c>
      <c r="G10" s="109">
        <f t="shared" si="0"/>
        <v>5.5555555555555554</v>
      </c>
      <c r="H10" s="137">
        <f t="shared" si="1"/>
        <v>0.19645921720419829</v>
      </c>
      <c r="I10" s="138">
        <f t="shared" si="2"/>
        <v>385.60657726147656</v>
      </c>
      <c r="J10" s="143">
        <f t="shared" si="3"/>
        <v>3682.2715715946506</v>
      </c>
      <c r="K10" s="106">
        <f>FORECAST(J10,C21:C22,B21:B22)</f>
        <v>30686.972981707037</v>
      </c>
      <c r="L10" s="147">
        <f t="shared" si="4"/>
        <v>714317.7570473206</v>
      </c>
      <c r="M10" s="148">
        <f t="shared" si="5"/>
        <v>7.1431775704732061</v>
      </c>
      <c r="N10" s="175">
        <v>200.3174992647059</v>
      </c>
      <c r="O10" s="92">
        <f t="shared" si="6"/>
        <v>7.4619484773704759E-8</v>
      </c>
    </row>
    <row r="11" spans="1:15" x14ac:dyDescent="0.2">
      <c r="A11" t="s">
        <v>339</v>
      </c>
      <c r="B11">
        <v>0.41554836173265536</v>
      </c>
      <c r="E11" s="223"/>
      <c r="F11" s="109">
        <f t="shared" si="7"/>
        <v>30</v>
      </c>
      <c r="G11" s="109">
        <f t="shared" si="0"/>
        <v>8.3333333333333339</v>
      </c>
      <c r="H11" s="137">
        <f t="shared" si="1"/>
        <v>0.19645921720419829</v>
      </c>
      <c r="I11" s="138">
        <f t="shared" si="2"/>
        <v>578.40986589221484</v>
      </c>
      <c r="J11" s="143">
        <f t="shared" si="3"/>
        <v>5523.4073573919759</v>
      </c>
      <c r="K11" s="106">
        <f>FORECAST(J11,C24:C25,B24:B25)</f>
        <v>39370.399015030984</v>
      </c>
      <c r="L11" s="147">
        <f t="shared" si="4"/>
        <v>610964.46658846631</v>
      </c>
      <c r="M11" s="148">
        <f t="shared" si="5"/>
        <v>6.1096446658846633</v>
      </c>
      <c r="N11" s="175">
        <v>221.62964222148392</v>
      </c>
      <c r="O11" s="92">
        <f t="shared" si="6"/>
        <v>8.2558387429217857E-8</v>
      </c>
    </row>
    <row r="12" spans="1:15" x14ac:dyDescent="0.2">
      <c r="A12" t="s">
        <v>340</v>
      </c>
      <c r="B12">
        <v>0.60436061864576518</v>
      </c>
      <c r="E12" s="224"/>
      <c r="F12" s="109">
        <f>G12*3.6</f>
        <v>33.876000000000005</v>
      </c>
      <c r="G12" s="109">
        <v>9.41</v>
      </c>
      <c r="H12" s="137">
        <f t="shared" si="1"/>
        <v>0.19645921720419829</v>
      </c>
      <c r="I12" s="138">
        <f t="shared" si="2"/>
        <v>653.14042056548897</v>
      </c>
      <c r="J12" s="143">
        <f t="shared" si="3"/>
        <v>6237.0315879670188</v>
      </c>
      <c r="K12" s="106">
        <f>FORECAST(J12,C26:C27,B26:B27)</f>
        <v>40319.071129455013</v>
      </c>
      <c r="L12" s="147">
        <f t="shared" si="4"/>
        <v>554096.98247995949</v>
      </c>
      <c r="M12" s="148">
        <f t="shared" si="5"/>
        <v>5.5409698247995953</v>
      </c>
      <c r="N12" s="175">
        <v>252.55186675324671</v>
      </c>
      <c r="O12" s="92">
        <f t="shared" si="6"/>
        <v>9.4077103822376711E-8</v>
      </c>
    </row>
    <row r="13" spans="1:15" ht="15" customHeight="1" x14ac:dyDescent="0.2">
      <c r="A13" t="s">
        <v>342</v>
      </c>
      <c r="B13">
        <v>0.87896329526352035</v>
      </c>
      <c r="E13" s="225" t="s">
        <v>420</v>
      </c>
      <c r="F13" s="110">
        <f>F11+10</f>
        <v>40</v>
      </c>
      <c r="G13" s="110">
        <f t="shared" si="0"/>
        <v>11.111111111111111</v>
      </c>
      <c r="H13" s="139">
        <f>$B$10</f>
        <v>0.2857241779347427</v>
      </c>
      <c r="I13" s="138">
        <f t="shared" si="2"/>
        <v>530.27340468808347</v>
      </c>
      <c r="J13" s="143">
        <f t="shared" si="3"/>
        <v>5063.738012776651</v>
      </c>
      <c r="K13" s="106">
        <f>FORECAST(J13,C24:C25,B24:B25)</f>
        <v>38759.682323775058</v>
      </c>
      <c r="L13" s="147">
        <f t="shared" si="4"/>
        <v>656088.14605186833</v>
      </c>
      <c r="M13" s="148">
        <f t="shared" si="5"/>
        <v>6.5608814605186829</v>
      </c>
      <c r="N13" s="175">
        <v>212.20727345543347</v>
      </c>
      <c r="O13" s="92">
        <f t="shared" si="6"/>
        <v>7.9048497852663966E-8</v>
      </c>
    </row>
    <row r="14" spans="1:15" x14ac:dyDescent="0.2">
      <c r="E14" s="226"/>
      <c r="F14" s="110">
        <f t="shared" si="7"/>
        <v>50</v>
      </c>
      <c r="G14" s="110">
        <f t="shared" si="0"/>
        <v>13.888888888888889</v>
      </c>
      <c r="H14" s="139">
        <f t="shared" ref="H14:H15" si="8">$B$10</f>
        <v>0.2857241779347427</v>
      </c>
      <c r="I14" s="138">
        <f t="shared" si="2"/>
        <v>662.84175586010429</v>
      </c>
      <c r="J14" s="143">
        <f t="shared" si="3"/>
        <v>6329.6725159708121</v>
      </c>
      <c r="K14" s="106">
        <f>FORECAST(J14,C26:C27,B26:B27)</f>
        <v>40243.198209419905</v>
      </c>
      <c r="L14" s="147">
        <f t="shared" si="4"/>
        <v>544959.78752066521</v>
      </c>
      <c r="M14" s="148">
        <f t="shared" si="5"/>
        <v>5.4495978752066518</v>
      </c>
      <c r="N14" s="175">
        <v>259.14563238095246</v>
      </c>
      <c r="O14" s="92">
        <f t="shared" si="6"/>
        <v>9.653332155504614E-8</v>
      </c>
    </row>
    <row r="15" spans="1:15" x14ac:dyDescent="0.2">
      <c r="A15" t="s">
        <v>288</v>
      </c>
      <c r="B15">
        <v>1000</v>
      </c>
      <c r="C15">
        <v>5187</v>
      </c>
      <c r="E15" s="227"/>
      <c r="F15" s="110">
        <f>G15*3.6</f>
        <v>51.228000000000002</v>
      </c>
      <c r="G15" s="110">
        <v>14.23</v>
      </c>
      <c r="H15" s="139">
        <f t="shared" si="8"/>
        <v>0.2857241779347427</v>
      </c>
      <c r="I15" s="138">
        <f t="shared" si="2"/>
        <v>679.12114938402851</v>
      </c>
      <c r="J15" s="143">
        <f t="shared" si="3"/>
        <v>6485.1292729630568</v>
      </c>
      <c r="K15" s="106">
        <f>FORECAST(J15,C26:C27,B26:B27)</f>
        <v>40115.879125443251</v>
      </c>
      <c r="L15" s="147">
        <f t="shared" si="4"/>
        <v>530213.62879740098</v>
      </c>
      <c r="M15" s="148">
        <f t="shared" si="5"/>
        <v>5.3021362879740099</v>
      </c>
      <c r="N15" s="175">
        <v>270.65596476190473</v>
      </c>
      <c r="O15" s="92">
        <f t="shared" si="6"/>
        <v>1.0082099025595069E-7</v>
      </c>
    </row>
    <row r="16" spans="1:15" ht="15" customHeight="1" x14ac:dyDescent="0.2">
      <c r="A16" t="s">
        <v>289</v>
      </c>
      <c r="B16">
        <v>1500</v>
      </c>
      <c r="C16">
        <v>11152.049999999997</v>
      </c>
      <c r="E16" s="228" t="s">
        <v>421</v>
      </c>
      <c r="F16" s="111">
        <f>F14+10</f>
        <v>60</v>
      </c>
      <c r="G16" s="111">
        <f t="shared" si="0"/>
        <v>16.666666666666668</v>
      </c>
      <c r="H16" s="140">
        <f>$B$11</f>
        <v>0.41554836173265536</v>
      </c>
      <c r="I16" s="138">
        <f t="shared" si="2"/>
        <v>546.91082887472282</v>
      </c>
      <c r="J16" s="143">
        <f t="shared" si="3"/>
        <v>5222.6137107538689</v>
      </c>
      <c r="K16" s="106">
        <f>FORECAST(J16,C24:C25,B24:B25)</f>
        <v>38970.764576107591</v>
      </c>
      <c r="L16" s="147">
        <f t="shared" si="4"/>
        <v>639593.78088839748</v>
      </c>
      <c r="M16" s="148">
        <f t="shared" si="5"/>
        <v>6.3959378088839749</v>
      </c>
      <c r="N16" s="175">
        <v>215.32712194905869</v>
      </c>
      <c r="O16" s="92">
        <f t="shared" si="6"/>
        <v>8.021066035978823E-8</v>
      </c>
    </row>
    <row r="17" spans="1:15" ht="15" customHeight="1" x14ac:dyDescent="0.2">
      <c r="A17" t="s">
        <v>290</v>
      </c>
      <c r="B17">
        <v>2000</v>
      </c>
      <c r="C17">
        <v>15324.399999999998</v>
      </c>
      <c r="E17" s="228"/>
      <c r="F17" s="111">
        <f t="shared" si="7"/>
        <v>70</v>
      </c>
      <c r="G17" s="111">
        <f t="shared" si="0"/>
        <v>19.444444444444443</v>
      </c>
      <c r="H17" s="140">
        <f t="shared" ref="H17:H18" si="9">$B$11</f>
        <v>0.41554836173265536</v>
      </c>
      <c r="I17" s="138">
        <f t="shared" si="2"/>
        <v>638.06263368717646</v>
      </c>
      <c r="J17" s="143">
        <f t="shared" si="3"/>
        <v>6093.0493292128467</v>
      </c>
      <c r="K17" s="106">
        <f>FORECAST(J17,C26:C27,B26:B27)</f>
        <v>40436.992599374673</v>
      </c>
      <c r="L17" s="147">
        <f t="shared" si="4"/>
        <v>568849.47910589632</v>
      </c>
      <c r="M17" s="148">
        <f t="shared" si="5"/>
        <v>5.6884947910589636</v>
      </c>
      <c r="N17" s="175">
        <v>243.28281895238098</v>
      </c>
      <c r="O17" s="92">
        <f t="shared" si="6"/>
        <v>9.0624327236295868E-8</v>
      </c>
    </row>
    <row r="18" spans="1:15" ht="15" customHeight="1" x14ac:dyDescent="0.2">
      <c r="A18" t="s">
        <v>291</v>
      </c>
      <c r="B18">
        <v>2500</v>
      </c>
      <c r="C18">
        <v>20224.75</v>
      </c>
      <c r="E18" s="228"/>
      <c r="F18" s="111">
        <f>G18*3.6</f>
        <v>74.52</v>
      </c>
      <c r="G18" s="111">
        <v>20.7</v>
      </c>
      <c r="H18" s="140">
        <f t="shared" si="9"/>
        <v>0.41554836173265536</v>
      </c>
      <c r="I18" s="138">
        <f t="shared" si="2"/>
        <v>679.26324946240561</v>
      </c>
      <c r="J18" s="143">
        <f t="shared" si="3"/>
        <v>6486.4862287563046</v>
      </c>
      <c r="K18" s="106">
        <f>FORECAST(J18,C26:C27,B26:B27)</f>
        <v>40114.767778648587</v>
      </c>
      <c r="L18" s="147">
        <f t="shared" si="4"/>
        <v>530088.02385148604</v>
      </c>
      <c r="M18" s="148">
        <f t="shared" si="5"/>
        <v>5.3008802385148606</v>
      </c>
      <c r="N18" s="175">
        <v>270.70969409523804</v>
      </c>
      <c r="O18" s="92">
        <f t="shared" si="6"/>
        <v>1.0084100475885373E-7</v>
      </c>
    </row>
    <row r="19" spans="1:15" ht="15" customHeight="1" x14ac:dyDescent="0.2">
      <c r="A19" t="s">
        <v>292</v>
      </c>
      <c r="B19">
        <v>3000</v>
      </c>
      <c r="C19">
        <v>24733.799999999996</v>
      </c>
      <c r="E19" s="229" t="s">
        <v>422</v>
      </c>
      <c r="F19" s="112">
        <f>F17+10</f>
        <v>80</v>
      </c>
      <c r="G19" s="112">
        <f t="shared" si="0"/>
        <v>22.222222222222221</v>
      </c>
      <c r="H19" s="141">
        <f>$B$12</f>
        <v>0.60436061864576518</v>
      </c>
      <c r="I19" s="138">
        <f t="shared" si="2"/>
        <v>501.39578245407051</v>
      </c>
      <c r="J19" s="143">
        <f t="shared" si="3"/>
        <v>4787.9770333796359</v>
      </c>
      <c r="K19" s="106">
        <f>FORECAST(J19,C23:C24,B23:B24)</f>
        <v>37955.330444400504</v>
      </c>
      <c r="L19" s="147">
        <f t="shared" si="4"/>
        <v>679475.69827733515</v>
      </c>
      <c r="M19" s="148">
        <f t="shared" si="5"/>
        <v>6.7947569827733512</v>
      </c>
      <c r="N19" s="175">
        <v>207.92094632478634</v>
      </c>
      <c r="O19" s="92">
        <f t="shared" si="6"/>
        <v>7.745181497056693E-8</v>
      </c>
    </row>
    <row r="20" spans="1:15" x14ac:dyDescent="0.2">
      <c r="A20" t="s">
        <v>390</v>
      </c>
      <c r="B20">
        <v>3250</v>
      </c>
      <c r="C20">
        <v>27238.574999999997</v>
      </c>
      <c r="E20" s="230"/>
      <c r="F20" s="112">
        <f t="shared" si="7"/>
        <v>90</v>
      </c>
      <c r="G20" s="112">
        <f t="shared" si="0"/>
        <v>25</v>
      </c>
      <c r="H20" s="141">
        <f t="shared" ref="H20:H21" si="10">$B$12</f>
        <v>0.60436061864576518</v>
      </c>
      <c r="I20" s="138">
        <f t="shared" si="2"/>
        <v>564.0702552608293</v>
      </c>
      <c r="J20" s="143">
        <f t="shared" si="3"/>
        <v>5386.4741625520901</v>
      </c>
      <c r="K20" s="106">
        <f>FORECAST(J20,C24:C25,B24:B25)</f>
        <v>39188.46957236671</v>
      </c>
      <c r="L20" s="147">
        <f t="shared" si="4"/>
        <v>623601.18627951352</v>
      </c>
      <c r="M20" s="148">
        <f t="shared" si="5"/>
        <v>6.2360118627951353</v>
      </c>
      <c r="N20" s="175">
        <v>231.67402571428568</v>
      </c>
      <c r="O20" s="92">
        <f t="shared" si="6"/>
        <v>8.629998126826609E-8</v>
      </c>
    </row>
    <row r="21" spans="1:15" x14ac:dyDescent="0.2">
      <c r="A21" t="s">
        <v>293</v>
      </c>
      <c r="B21">
        <v>3500</v>
      </c>
      <c r="C21">
        <v>29142.749999999996</v>
      </c>
      <c r="E21" s="231"/>
      <c r="F21" s="112">
        <f t="shared" si="7"/>
        <v>100</v>
      </c>
      <c r="G21" s="112">
        <f t="shared" si="0"/>
        <v>27.777777777777779</v>
      </c>
      <c r="H21" s="141">
        <f t="shared" si="10"/>
        <v>0.60436061864576518</v>
      </c>
      <c r="I21" s="138">
        <f t="shared" si="2"/>
        <v>626.7447280675882</v>
      </c>
      <c r="J21" s="143">
        <f t="shared" si="3"/>
        <v>5984.9712917245452</v>
      </c>
      <c r="K21" s="106">
        <f>FORECAST(J21,C25:C26,B25:B26)</f>
        <v>40477.915598710882</v>
      </c>
      <c r="L21" s="147">
        <f t="shared" si="4"/>
        <v>579707.98081253865</v>
      </c>
      <c r="M21" s="148">
        <f t="shared" si="5"/>
        <v>5.7970798081253863</v>
      </c>
      <c r="N21" s="175">
        <v>236.8696261904762</v>
      </c>
      <c r="O21" s="92">
        <f t="shared" si="6"/>
        <v>8.8235373992548468E-8</v>
      </c>
    </row>
    <row r="22" spans="1:15" x14ac:dyDescent="0.2">
      <c r="A22" t="s">
        <v>294</v>
      </c>
      <c r="B22">
        <v>4000</v>
      </c>
      <c r="C22">
        <v>33378.799999999996</v>
      </c>
      <c r="E22" s="220" t="s">
        <v>423</v>
      </c>
      <c r="F22" s="136">
        <f t="shared" si="7"/>
        <v>110</v>
      </c>
      <c r="G22" s="136">
        <f t="shared" si="0"/>
        <v>30.555555555555554</v>
      </c>
      <c r="H22" s="142">
        <f>$B$13</f>
        <v>0.87896329526352035</v>
      </c>
      <c r="I22" s="138">
        <f t="shared" si="2"/>
        <v>474.03323550816987</v>
      </c>
      <c r="J22" s="143">
        <f t="shared" si="3"/>
        <v>4526.6839572581875</v>
      </c>
      <c r="K22" s="106">
        <f>FORECAST(J22,C23:C24,B23:B24)</f>
        <v>37068.423356121464</v>
      </c>
      <c r="L22" s="147">
        <f t="shared" si="4"/>
        <v>701903.08413958363</v>
      </c>
      <c r="M22" s="148">
        <f t="shared" si="5"/>
        <v>7.0190308413958364</v>
      </c>
      <c r="N22" s="175">
        <v>204.17813385365855</v>
      </c>
      <c r="O22" s="92">
        <f t="shared" si="6"/>
        <v>7.6057594599279782E-8</v>
      </c>
    </row>
    <row r="23" spans="1:15" x14ac:dyDescent="0.2">
      <c r="A23" t="s">
        <v>295</v>
      </c>
      <c r="B23">
        <v>4500</v>
      </c>
      <c r="C23">
        <v>36977.85</v>
      </c>
      <c r="E23" s="220"/>
      <c r="F23" s="136">
        <f t="shared" si="7"/>
        <v>120</v>
      </c>
      <c r="G23" s="136">
        <f t="shared" si="0"/>
        <v>33.333333333333336</v>
      </c>
      <c r="H23" s="142">
        <f t="shared" ref="H23:H28" si="11">$B$13</f>
        <v>0.87896329526352035</v>
      </c>
      <c r="I23" s="138">
        <f t="shared" si="2"/>
        <v>517.1271660089127</v>
      </c>
      <c r="J23" s="143">
        <f t="shared" si="3"/>
        <v>4938.2006806452973</v>
      </c>
      <c r="K23" s="106">
        <f>FORECAST(J23,C23:C24,B23:B24)</f>
        <v>38465.234570314336</v>
      </c>
      <c r="L23" s="147">
        <f t="shared" si="4"/>
        <v>667656.16046128504</v>
      </c>
      <c r="M23" s="148">
        <f t="shared" si="5"/>
        <v>6.67656160461285</v>
      </c>
      <c r="N23" s="175">
        <v>209.93042862026863</v>
      </c>
      <c r="O23" s="92">
        <f t="shared" si="6"/>
        <v>7.8200359326907089E-8</v>
      </c>
    </row>
    <row r="24" spans="1:15" ht="15" customHeight="1" x14ac:dyDescent="0.2">
      <c r="A24" t="s">
        <v>296</v>
      </c>
      <c r="B24">
        <v>5000</v>
      </c>
      <c r="C24">
        <v>38675</v>
      </c>
      <c r="E24" s="220"/>
      <c r="F24" s="136">
        <f t="shared" si="7"/>
        <v>130</v>
      </c>
      <c r="G24" s="136">
        <f t="shared" si="0"/>
        <v>36.111111111111107</v>
      </c>
      <c r="H24" s="142">
        <f t="shared" si="11"/>
        <v>0.87896329526352035</v>
      </c>
      <c r="I24" s="138">
        <f t="shared" si="2"/>
        <v>560.22109650965524</v>
      </c>
      <c r="J24" s="143">
        <f t="shared" si="3"/>
        <v>5349.7174040324035</v>
      </c>
      <c r="K24" s="106">
        <f>FORECAST(J24,C24:C25,B24:B25)</f>
        <v>39139.634542997454</v>
      </c>
      <c r="L24" s="147">
        <f t="shared" si="4"/>
        <v>627103.37100095733</v>
      </c>
      <c r="M24" s="148">
        <f t="shared" si="5"/>
        <v>6.271033710009573</v>
      </c>
      <c r="N24" s="175">
        <v>217.84166462668298</v>
      </c>
      <c r="O24" s="92">
        <f t="shared" si="6"/>
        <v>8.1147342775126641E-8</v>
      </c>
    </row>
    <row r="25" spans="1:15" ht="15" customHeight="1" x14ac:dyDescent="0.2">
      <c r="A25" t="s">
        <v>297</v>
      </c>
      <c r="B25">
        <v>5500</v>
      </c>
      <c r="C25">
        <v>39339.300000000003</v>
      </c>
      <c r="E25" s="220"/>
      <c r="F25" s="136">
        <f t="shared" si="7"/>
        <v>140</v>
      </c>
      <c r="G25" s="136">
        <f t="shared" si="0"/>
        <v>38.888888888888886</v>
      </c>
      <c r="H25" s="142">
        <f t="shared" si="11"/>
        <v>0.87896329526352035</v>
      </c>
      <c r="I25" s="138">
        <f t="shared" si="2"/>
        <v>603.31502701039801</v>
      </c>
      <c r="J25" s="143">
        <f t="shared" si="3"/>
        <v>5761.2341274195114</v>
      </c>
      <c r="K25" s="106">
        <f>FORECAST(J25,C25:C26,B25:B26)</f>
        <v>39952.625484355529</v>
      </c>
      <c r="L25" s="147">
        <f t="shared" si="4"/>
        <v>594405.76099894755</v>
      </c>
      <c r="M25" s="148">
        <f t="shared" si="5"/>
        <v>5.9440576099894757</v>
      </c>
      <c r="N25" s="175">
        <v>229.40268285714288</v>
      </c>
      <c r="O25" s="92">
        <f t="shared" si="6"/>
        <v>8.5453892262729607E-8</v>
      </c>
    </row>
    <row r="26" spans="1:15" x14ac:dyDescent="0.2">
      <c r="A26" t="s">
        <v>298</v>
      </c>
      <c r="B26">
        <v>6000</v>
      </c>
      <c r="C26">
        <v>40513.199999999997</v>
      </c>
      <c r="E26" s="220"/>
      <c r="F26" s="136">
        <f t="shared" si="7"/>
        <v>150</v>
      </c>
      <c r="G26" s="136">
        <f t="shared" si="0"/>
        <v>41.666666666666664</v>
      </c>
      <c r="H26" s="142">
        <f t="shared" si="11"/>
        <v>0.87896329526352035</v>
      </c>
      <c r="I26" s="138">
        <f t="shared" si="2"/>
        <v>646.40895751114078</v>
      </c>
      <c r="J26" s="143">
        <f t="shared" si="3"/>
        <v>6172.7508508066203</v>
      </c>
      <c r="K26" s="106">
        <f>FORECAST(J26,C26:C27,B26:B27)</f>
        <v>40371.717053189379</v>
      </c>
      <c r="L26" s="147">
        <f t="shared" si="4"/>
        <v>560598.17963026743</v>
      </c>
      <c r="M26" s="148">
        <f t="shared" si="5"/>
        <v>5.6059817963026743</v>
      </c>
      <c r="N26" s="175">
        <v>248.27698657142855</v>
      </c>
      <c r="O26" s="92">
        <f t="shared" si="6"/>
        <v>9.24846849982226E-8</v>
      </c>
    </row>
    <row r="27" spans="1:15" x14ac:dyDescent="0.2">
      <c r="A27" t="s">
        <v>299</v>
      </c>
      <c r="B27">
        <v>6500</v>
      </c>
      <c r="C27">
        <v>40103.699999999997</v>
      </c>
      <c r="E27" s="220"/>
      <c r="F27" s="136">
        <f t="shared" si="7"/>
        <v>160</v>
      </c>
      <c r="G27" s="136">
        <f>F27/3.6</f>
        <v>44.444444444444443</v>
      </c>
      <c r="H27" s="142">
        <f t="shared" si="11"/>
        <v>0.87896329526352035</v>
      </c>
      <c r="I27" s="138">
        <f t="shared" si="2"/>
        <v>689.50288801188344</v>
      </c>
      <c r="J27" s="143">
        <f t="shared" si="3"/>
        <v>6584.2675741937273</v>
      </c>
      <c r="K27" s="106">
        <f>FORECAST(J27,C26:C27,B26:B27)</f>
        <v>40034.684856735337</v>
      </c>
      <c r="L27" s="147">
        <f t="shared" si="4"/>
        <v>521173.29340337566</v>
      </c>
      <c r="M27" s="148">
        <f t="shared" si="5"/>
        <v>5.2117329340337566</v>
      </c>
      <c r="N27" s="176">
        <v>273.60865800865804</v>
      </c>
      <c r="O27" s="93">
        <f t="shared" si="6"/>
        <v>1.0192088641867375E-7</v>
      </c>
    </row>
    <row r="28" spans="1:15" x14ac:dyDescent="0.2">
      <c r="E28" s="221"/>
      <c r="F28" s="136">
        <f t="shared" si="7"/>
        <v>170</v>
      </c>
      <c r="G28" s="136">
        <f t="shared" si="0"/>
        <v>47.222222222222221</v>
      </c>
      <c r="H28" s="142">
        <f t="shared" si="11"/>
        <v>0.87896329526352035</v>
      </c>
      <c r="I28" s="138">
        <f t="shared" si="2"/>
        <v>732.59681851262621</v>
      </c>
      <c r="J28" s="143">
        <f t="shared" si="3"/>
        <v>6995.7842975808362</v>
      </c>
      <c r="K28" s="106">
        <f>FORECAST(J28,C26:C27,B26:B27)</f>
        <v>39697.652660281296</v>
      </c>
      <c r="L28" s="147">
        <f t="shared" si="4"/>
        <v>486386.62908553</v>
      </c>
      <c r="M28" s="148">
        <f t="shared" si="5"/>
        <v>4.8638662908552996</v>
      </c>
      <c r="N28" s="176">
        <v>281.95714285714286</v>
      </c>
      <c r="O28" s="93">
        <f t="shared" si="6"/>
        <v>1.0503074771547348E-7</v>
      </c>
    </row>
    <row r="29" spans="1:15" x14ac:dyDescent="0.2">
      <c r="D29" s="131"/>
      <c r="E29" s="132"/>
      <c r="F29" s="133"/>
      <c r="G29" s="133"/>
      <c r="H29" s="134"/>
      <c r="I29" s="134"/>
      <c r="J29" s="134"/>
      <c r="K29" s="134"/>
      <c r="L29" s="130"/>
    </row>
    <row r="30" spans="1:15" x14ac:dyDescent="0.2">
      <c r="D30" s="131"/>
      <c r="E30" s="132"/>
      <c r="F30" s="133"/>
      <c r="G30" s="133"/>
      <c r="H30" s="134"/>
      <c r="I30" s="134"/>
      <c r="J30" s="134"/>
      <c r="K30" s="134"/>
      <c r="L30" s="130"/>
    </row>
    <row r="31" spans="1:15" ht="15" customHeight="1" x14ac:dyDescent="0.2">
      <c r="D31" s="131"/>
      <c r="E31" s="132"/>
      <c r="F31" s="133"/>
      <c r="G31" s="133"/>
      <c r="H31" s="134"/>
      <c r="I31" s="134"/>
      <c r="J31" s="134"/>
      <c r="K31" s="134"/>
      <c r="L31" s="130"/>
    </row>
    <row r="32" spans="1:15" x14ac:dyDescent="0.2">
      <c r="D32" s="131"/>
      <c r="E32" s="132"/>
      <c r="F32" s="133"/>
      <c r="G32" s="133"/>
      <c r="H32" s="134"/>
      <c r="I32" s="134"/>
      <c r="J32" s="134"/>
      <c r="K32" s="134"/>
      <c r="L32" s="130"/>
    </row>
    <row r="33" spans="4:12" x14ac:dyDescent="0.2">
      <c r="D33" s="131"/>
      <c r="E33" s="132"/>
      <c r="F33" s="133"/>
      <c r="G33" s="133"/>
      <c r="H33" s="134"/>
      <c r="I33" s="134"/>
      <c r="J33" s="134"/>
      <c r="K33" s="134"/>
      <c r="L33" s="130"/>
    </row>
    <row r="34" spans="4:12" x14ac:dyDescent="0.2">
      <c r="D34" s="131"/>
      <c r="E34" s="132"/>
      <c r="F34" s="133"/>
      <c r="G34" s="133"/>
      <c r="H34" s="134"/>
      <c r="I34" s="134"/>
      <c r="J34" s="134"/>
      <c r="K34" s="134"/>
      <c r="L34" s="130"/>
    </row>
    <row r="35" spans="4:12" x14ac:dyDescent="0.2">
      <c r="D35" s="131"/>
      <c r="E35" s="132"/>
      <c r="F35" s="133"/>
      <c r="G35" s="133"/>
      <c r="H35" s="134"/>
      <c r="I35" s="134"/>
      <c r="J35" s="134"/>
      <c r="K35" s="134"/>
      <c r="L35" s="130"/>
    </row>
    <row r="36" spans="4:12" x14ac:dyDescent="0.2">
      <c r="D36" s="131"/>
      <c r="E36" s="132"/>
      <c r="F36" s="133"/>
      <c r="G36" s="133"/>
      <c r="H36" s="134"/>
      <c r="I36" s="134"/>
      <c r="J36" s="134"/>
      <c r="K36" s="134"/>
      <c r="L36" s="130"/>
    </row>
    <row r="37" spans="4:12" x14ac:dyDescent="0.2">
      <c r="D37" s="131"/>
      <c r="E37" s="132"/>
      <c r="F37" s="133"/>
      <c r="G37" s="133"/>
      <c r="H37" s="134"/>
      <c r="I37" s="134"/>
      <c r="J37" s="134"/>
      <c r="K37" s="134"/>
      <c r="L37" s="130"/>
    </row>
    <row r="38" spans="4:12" x14ac:dyDescent="0.2">
      <c r="D38" s="131"/>
      <c r="E38" s="132"/>
      <c r="F38" s="133"/>
      <c r="G38" s="133"/>
      <c r="H38" s="134"/>
      <c r="I38" s="134"/>
      <c r="J38" s="134"/>
      <c r="K38" s="134"/>
      <c r="L38" s="130"/>
    </row>
    <row r="39" spans="4:12" x14ac:dyDescent="0.2">
      <c r="D39" s="131"/>
      <c r="E39" s="53"/>
      <c r="F39" s="135"/>
      <c r="G39" s="121"/>
      <c r="H39" s="53"/>
      <c r="I39" s="53"/>
      <c r="J39" s="53"/>
      <c r="K39" s="53"/>
      <c r="L39" s="45"/>
    </row>
    <row r="40" spans="4:12" x14ac:dyDescent="0.2">
      <c r="D40" s="131"/>
      <c r="E40" s="53"/>
      <c r="F40" s="135"/>
      <c r="G40" s="121"/>
      <c r="H40" s="53"/>
      <c r="I40" s="53"/>
      <c r="J40" s="53"/>
      <c r="K40" s="53"/>
      <c r="L40" s="45"/>
    </row>
    <row r="41" spans="4:12" x14ac:dyDescent="0.2">
      <c r="D41" s="131"/>
      <c r="E41" s="53"/>
      <c r="F41" s="135"/>
      <c r="G41" s="121"/>
      <c r="H41" s="53"/>
      <c r="I41" s="53"/>
      <c r="J41" s="53"/>
      <c r="K41" s="53"/>
      <c r="L41" s="45"/>
    </row>
    <row r="42" spans="4:12" x14ac:dyDescent="0.2">
      <c r="D42" s="131"/>
      <c r="E42" s="131"/>
      <c r="F42" s="131"/>
      <c r="G42" s="131"/>
      <c r="H42" s="131"/>
      <c r="I42" s="131"/>
      <c r="J42" s="131"/>
      <c r="K42" s="131"/>
    </row>
  </sheetData>
  <mergeCells count="6">
    <mergeCell ref="A1:B1"/>
    <mergeCell ref="E22:E28"/>
    <mergeCell ref="E8:E12"/>
    <mergeCell ref="E13:E15"/>
    <mergeCell ref="E16:E18"/>
    <mergeCell ref="E19:E21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W193"/>
  <sheetViews>
    <sheetView zoomScale="70" zoomScaleNormal="70" zoomScalePageLayoutView="70" workbookViewId="0">
      <selection activeCell="Q15" sqref="Q15"/>
    </sheetView>
  </sheetViews>
  <sheetFormatPr baseColWidth="10" defaultColWidth="8.83203125" defaultRowHeight="15" x14ac:dyDescent="0.2"/>
  <cols>
    <col min="1" max="1" width="8.6640625" style="179" bestFit="1" customWidth="1"/>
    <col min="2" max="2" width="17" style="179" customWidth="1"/>
    <col min="3" max="3" width="4.5" style="179" bestFit="1" customWidth="1"/>
    <col min="4" max="4" width="8.5" style="179" bestFit="1" customWidth="1"/>
    <col min="5" max="5" width="7.33203125" style="179" bestFit="1" customWidth="1"/>
    <col min="6" max="6" width="3.6640625" style="179" bestFit="1" customWidth="1"/>
    <col min="7" max="7" width="8.83203125" style="179"/>
    <col min="8" max="8" width="5" style="179" bestFit="1" customWidth="1"/>
    <col min="9" max="9" width="10.83203125" style="199" customWidth="1"/>
    <col min="10" max="10" width="8.83203125" style="179"/>
    <col min="11" max="11" width="6.5" style="179" bestFit="1" customWidth="1"/>
    <col min="12" max="12" width="8.83203125" style="179" bestFit="1" customWidth="1"/>
    <col min="13" max="13" width="10" style="199" bestFit="1" customWidth="1"/>
    <col min="14" max="14" width="10" style="199" customWidth="1"/>
    <col min="15" max="15" width="12.33203125" style="199" bestFit="1" customWidth="1"/>
    <col min="16" max="16" width="12.83203125" style="199" bestFit="1" customWidth="1"/>
    <col min="17" max="17" width="12" style="199" bestFit="1" customWidth="1"/>
    <col min="18" max="18" width="12" style="179" bestFit="1" customWidth="1"/>
    <col min="19" max="16384" width="8.83203125" style="179"/>
  </cols>
  <sheetData>
    <row r="1" spans="1:23" x14ac:dyDescent="0.2">
      <c r="C1" s="232" t="s">
        <v>480</v>
      </c>
      <c r="D1" s="233"/>
      <c r="E1" s="233"/>
      <c r="F1" s="234"/>
      <c r="H1" s="235" t="s">
        <v>481</v>
      </c>
      <c r="I1" s="237"/>
      <c r="K1" s="232" t="s">
        <v>482</v>
      </c>
      <c r="L1" s="233"/>
      <c r="M1" s="233"/>
      <c r="N1" s="233"/>
      <c r="O1" s="233"/>
      <c r="P1" s="233"/>
      <c r="Q1" s="233"/>
      <c r="R1" s="234"/>
      <c r="T1" s="235" t="s">
        <v>424</v>
      </c>
      <c r="U1" s="236"/>
      <c r="V1" s="236"/>
      <c r="W1" s="237"/>
    </row>
    <row r="2" spans="1:23" ht="15" customHeight="1" x14ac:dyDescent="0.2">
      <c r="A2" s="179" t="s">
        <v>425</v>
      </c>
      <c r="C2" s="180" t="s">
        <v>440</v>
      </c>
      <c r="D2" s="181" t="s">
        <v>426</v>
      </c>
      <c r="E2" s="182" t="s">
        <v>427</v>
      </c>
      <c r="F2" s="238" t="s">
        <v>428</v>
      </c>
      <c r="G2" s="113"/>
      <c r="H2" s="183" t="s">
        <v>478</v>
      </c>
      <c r="I2" s="184" t="s">
        <v>479</v>
      </c>
      <c r="K2" s="183" t="s">
        <v>483</v>
      </c>
      <c r="L2" s="200" t="s">
        <v>489</v>
      </c>
      <c r="M2" s="200" t="s">
        <v>484</v>
      </c>
      <c r="N2" s="200" t="s">
        <v>485</v>
      </c>
      <c r="O2" s="205" t="s">
        <v>488</v>
      </c>
      <c r="P2" s="205" t="s">
        <v>490</v>
      </c>
      <c r="Q2" s="205" t="s">
        <v>486</v>
      </c>
      <c r="R2" s="201" t="s">
        <v>492</v>
      </c>
      <c r="T2" s="180" t="s">
        <v>440</v>
      </c>
      <c r="U2" s="181" t="s">
        <v>426</v>
      </c>
      <c r="V2" s="182" t="s">
        <v>427</v>
      </c>
      <c r="W2" s="241" t="s">
        <v>429</v>
      </c>
    </row>
    <row r="3" spans="1:23" x14ac:dyDescent="0.2">
      <c r="A3" s="4" t="s">
        <v>493</v>
      </c>
      <c r="B3" s="5">
        <f>0.9*10000</f>
        <v>9000</v>
      </c>
      <c r="C3" s="186">
        <v>0</v>
      </c>
      <c r="D3" s="187">
        <v>0</v>
      </c>
      <c r="E3" s="188">
        <f>D3/3.6</f>
        <v>0</v>
      </c>
      <c r="F3" s="239"/>
      <c r="G3" s="113"/>
      <c r="H3" s="189">
        <v>0</v>
      </c>
      <c r="I3" s="190">
        <v>0</v>
      </c>
      <c r="K3" s="189">
        <v>0</v>
      </c>
      <c r="L3" s="191">
        <f>M3*3.6</f>
        <v>0</v>
      </c>
      <c r="M3" s="185">
        <f t="shared" ref="M3:M34" si="0">VLOOKUP(K3,$H$3:$I$88,2,TRUE)</f>
        <v>0</v>
      </c>
      <c r="N3" s="185">
        <f>(M3+M4)/2</f>
        <v>0</v>
      </c>
      <c r="O3" s="185" t="str">
        <f>IF(OR(L3=0,(M4-M3)&lt;0),"nn",FORECAST(M3,'1_2.3'!$N$8:$N$9,'1_2.3'!$G$8:$G$9))</f>
        <v>nn</v>
      </c>
      <c r="P3" s="185">
        <f t="shared" ref="P3:P34" si="1">VLOOKUP(M3,meq,2)</f>
        <v>1655.2681423746067</v>
      </c>
      <c r="Q3" s="206">
        <v>0</v>
      </c>
      <c r="R3" s="207">
        <f>0.62/3600</f>
        <v>1.7222222222222221E-4</v>
      </c>
      <c r="T3" s="189">
        <v>0</v>
      </c>
      <c r="U3" s="178">
        <v>0</v>
      </c>
      <c r="V3" s="191">
        <f t="shared" ref="V3:V16" si="2">U3/3.6</f>
        <v>0</v>
      </c>
      <c r="W3" s="241"/>
    </row>
    <row r="4" spans="1:23" x14ac:dyDescent="0.2">
      <c r="A4" s="179" t="s">
        <v>408</v>
      </c>
      <c r="B4" s="179" t="s">
        <v>409</v>
      </c>
      <c r="C4" s="189">
        <v>11</v>
      </c>
      <c r="D4" s="178">
        <v>0</v>
      </c>
      <c r="E4" s="192">
        <f t="shared" ref="E4:E17" si="3">D4/3.6</f>
        <v>0</v>
      </c>
      <c r="F4" s="239"/>
      <c r="G4" s="113"/>
      <c r="H4" s="189">
        <v>11</v>
      </c>
      <c r="I4" s="190">
        <v>0</v>
      </c>
      <c r="K4" s="189">
        <v>1</v>
      </c>
      <c r="L4" s="191">
        <f t="shared" ref="L4:L67" si="4">M4*3.6</f>
        <v>0</v>
      </c>
      <c r="M4" s="185">
        <f t="shared" si="0"/>
        <v>0</v>
      </c>
      <c r="N4" s="185">
        <f t="shared" ref="N4:N67" si="5">(M4+M5)/2</f>
        <v>0</v>
      </c>
      <c r="O4" s="185" t="str">
        <f>IF(OR(L4=0,(M5-M4)&lt;0),"nn",FORECAST(M4,'1_2.3'!$N$8:$N$9,'1_2.3'!$G$8:$G$9))</f>
        <v>nn</v>
      </c>
      <c r="P4" s="185">
        <f t="shared" si="1"/>
        <v>1655.2681423746067</v>
      </c>
      <c r="Q4" s="206">
        <f t="shared" ref="Q4:R14" si="6">0.62/3600</f>
        <v>1.7222222222222221E-4</v>
      </c>
      <c r="R4" s="207">
        <f t="shared" si="6"/>
        <v>1.7222222222222221E-4</v>
      </c>
      <c r="T4" s="189">
        <v>20</v>
      </c>
      <c r="U4" s="178">
        <v>0</v>
      </c>
      <c r="V4" s="191">
        <f t="shared" si="2"/>
        <v>0</v>
      </c>
      <c r="W4" s="241"/>
    </row>
    <row r="5" spans="1:23" x14ac:dyDescent="0.2">
      <c r="A5" s="179">
        <v>0.19650000000000001</v>
      </c>
      <c r="C5" s="189">
        <v>15</v>
      </c>
      <c r="D5" s="178">
        <v>15</v>
      </c>
      <c r="E5" s="192">
        <f t="shared" si="3"/>
        <v>4.166666666666667</v>
      </c>
      <c r="F5" s="239"/>
      <c r="G5" s="113"/>
      <c r="H5" s="189">
        <v>12</v>
      </c>
      <c r="I5" s="190">
        <f>$E$3+(($E$5-$E$4)/($C$5-$C$4))*(H5-$C$4)</f>
        <v>1.0416666666666667</v>
      </c>
      <c r="K5" s="189">
        <v>2</v>
      </c>
      <c r="L5" s="191">
        <f t="shared" si="4"/>
        <v>0</v>
      </c>
      <c r="M5" s="185">
        <f t="shared" si="0"/>
        <v>0</v>
      </c>
      <c r="N5" s="185">
        <f t="shared" si="5"/>
        <v>0</v>
      </c>
      <c r="O5" s="185" t="str">
        <f>IF(OR(L5=0,(M6-M5)&lt;0),"nn",FORECAST(M5,'1_2.3'!$N$8:$N$9,'1_2.3'!$G$8:$G$9))</f>
        <v>nn</v>
      </c>
      <c r="P5" s="185">
        <f t="shared" si="1"/>
        <v>1655.2681423746067</v>
      </c>
      <c r="Q5" s="206">
        <f t="shared" si="6"/>
        <v>1.7222222222222221E-4</v>
      </c>
      <c r="R5" s="207">
        <f t="shared" si="6"/>
        <v>1.7222222222222221E-4</v>
      </c>
      <c r="T5" s="189">
        <v>61</v>
      </c>
      <c r="U5" s="178">
        <v>70</v>
      </c>
      <c r="V5" s="191">
        <f t="shared" si="2"/>
        <v>19.444444444444443</v>
      </c>
      <c r="W5" s="241"/>
    </row>
    <row r="6" spans="1:23" x14ac:dyDescent="0.2">
      <c r="A6" s="179">
        <v>0.28570000000000001</v>
      </c>
      <c r="C6" s="189">
        <v>27</v>
      </c>
      <c r="D6" s="178">
        <v>15</v>
      </c>
      <c r="E6" s="192">
        <f t="shared" si="3"/>
        <v>4.166666666666667</v>
      </c>
      <c r="F6" s="239"/>
      <c r="G6" s="113"/>
      <c r="H6" s="189">
        <v>13</v>
      </c>
      <c r="I6" s="190">
        <f>(($E$5-$E$4)/($C$5-$C$4))*(H6-$C$4)</f>
        <v>2.0833333333333335</v>
      </c>
      <c r="K6" s="189">
        <v>3</v>
      </c>
      <c r="L6" s="191">
        <f t="shared" si="4"/>
        <v>0</v>
      </c>
      <c r="M6" s="185">
        <f t="shared" si="0"/>
        <v>0</v>
      </c>
      <c r="N6" s="185">
        <f t="shared" si="5"/>
        <v>0</v>
      </c>
      <c r="O6" s="185" t="str">
        <f>IF(OR(L6=0,(M7-M6)&lt;0),"nn",FORECAST(M6,'1_2.3'!$N$8:$N$9,'1_2.3'!$G$8:$G$9))</f>
        <v>nn</v>
      </c>
      <c r="P6" s="185">
        <f t="shared" si="1"/>
        <v>1655.2681423746067</v>
      </c>
      <c r="Q6" s="206">
        <f t="shared" si="6"/>
        <v>1.7222222222222221E-4</v>
      </c>
      <c r="R6" s="207">
        <f t="shared" si="6"/>
        <v>1.7222222222222221E-4</v>
      </c>
      <c r="T6" s="189">
        <v>111</v>
      </c>
      <c r="U6" s="178">
        <v>70</v>
      </c>
      <c r="V6" s="191">
        <f t="shared" si="2"/>
        <v>19.444444444444443</v>
      </c>
      <c r="W6" s="241"/>
    </row>
    <row r="7" spans="1:23" x14ac:dyDescent="0.2">
      <c r="A7" s="179">
        <v>0.41549999999999998</v>
      </c>
      <c r="C7" s="189">
        <v>32</v>
      </c>
      <c r="D7" s="178">
        <v>0</v>
      </c>
      <c r="E7" s="192">
        <f t="shared" si="3"/>
        <v>0</v>
      </c>
      <c r="F7" s="239"/>
      <c r="G7" s="113"/>
      <c r="H7" s="189">
        <v>14</v>
      </c>
      <c r="I7" s="190">
        <f t="shared" ref="I7:I8" si="7">(($E$5-$E$4)/($C$5-$C$4))*(H7-$C$4)</f>
        <v>3.125</v>
      </c>
      <c r="K7" s="189">
        <v>4</v>
      </c>
      <c r="L7" s="191">
        <f t="shared" si="4"/>
        <v>0</v>
      </c>
      <c r="M7" s="185">
        <f t="shared" si="0"/>
        <v>0</v>
      </c>
      <c r="N7" s="185">
        <f t="shared" si="5"/>
        <v>0</v>
      </c>
      <c r="O7" s="185" t="str">
        <f>IF(OR(L7=0,(M8-M7)&lt;0),"nn",FORECAST(M7,'1_2.3'!$N$8:$N$9,'1_2.3'!$G$8:$G$9))</f>
        <v>nn</v>
      </c>
      <c r="P7" s="185">
        <f t="shared" si="1"/>
        <v>1655.2681423746067</v>
      </c>
      <c r="Q7" s="206">
        <f t="shared" si="6"/>
        <v>1.7222222222222221E-4</v>
      </c>
      <c r="R7" s="207">
        <f t="shared" si="6"/>
        <v>1.7222222222222221E-4</v>
      </c>
      <c r="T7" s="189">
        <v>119</v>
      </c>
      <c r="U7" s="178">
        <v>50</v>
      </c>
      <c r="V7" s="191">
        <f t="shared" si="2"/>
        <v>13.888888888888889</v>
      </c>
      <c r="W7" s="241"/>
    </row>
    <row r="8" spans="1:23" x14ac:dyDescent="0.2">
      <c r="A8" s="179">
        <v>0.60440000000000005</v>
      </c>
      <c r="C8" s="189">
        <v>49</v>
      </c>
      <c r="D8" s="178">
        <v>0</v>
      </c>
      <c r="E8" s="192">
        <f t="shared" si="3"/>
        <v>0</v>
      </c>
      <c r="F8" s="239"/>
      <c r="G8" s="113"/>
      <c r="H8" s="189">
        <v>15</v>
      </c>
      <c r="I8" s="190">
        <f t="shared" si="7"/>
        <v>4.166666666666667</v>
      </c>
      <c r="K8" s="189">
        <v>5</v>
      </c>
      <c r="L8" s="191">
        <f t="shared" si="4"/>
        <v>0</v>
      </c>
      <c r="M8" s="185">
        <f t="shared" si="0"/>
        <v>0</v>
      </c>
      <c r="N8" s="185">
        <f t="shared" si="5"/>
        <v>0</v>
      </c>
      <c r="O8" s="185" t="str">
        <f>IF(OR(L8=0,(M9-M8)&lt;0),"nn",FORECAST(M8,'1_2.3'!$N$8:$N$9,'1_2.3'!$G$8:$G$9))</f>
        <v>nn</v>
      </c>
      <c r="P8" s="185">
        <f t="shared" si="1"/>
        <v>1655.2681423746067</v>
      </c>
      <c r="Q8" s="206">
        <f t="shared" si="6"/>
        <v>1.7222222222222221E-4</v>
      </c>
      <c r="R8" s="207">
        <f t="shared" si="6"/>
        <v>1.7222222222222221E-4</v>
      </c>
      <c r="T8" s="189">
        <f>119+69</f>
        <v>188</v>
      </c>
      <c r="U8" s="178">
        <v>50</v>
      </c>
      <c r="V8" s="191">
        <f t="shared" si="2"/>
        <v>13.888888888888889</v>
      </c>
      <c r="W8" s="241"/>
    </row>
    <row r="9" spans="1:23" x14ac:dyDescent="0.2">
      <c r="A9" s="179">
        <v>0.879</v>
      </c>
      <c r="C9" s="189">
        <v>61</v>
      </c>
      <c r="D9" s="178">
        <v>32</v>
      </c>
      <c r="E9" s="192">
        <f t="shared" si="3"/>
        <v>8.8888888888888893</v>
      </c>
      <c r="F9" s="239"/>
      <c r="G9" s="113"/>
      <c r="H9" s="189">
        <v>27</v>
      </c>
      <c r="I9" s="190">
        <f>E5</f>
        <v>4.166666666666667</v>
      </c>
      <c r="K9" s="189">
        <v>6</v>
      </c>
      <c r="L9" s="191">
        <f t="shared" si="4"/>
        <v>0</v>
      </c>
      <c r="M9" s="185">
        <f t="shared" si="0"/>
        <v>0</v>
      </c>
      <c r="N9" s="185">
        <f t="shared" si="5"/>
        <v>0</v>
      </c>
      <c r="O9" s="185" t="str">
        <f>IF(OR(L9=0,(M10-M9)&lt;0),"nn",FORECAST(M9,'1_2.3'!$N$8:$N$9,'1_2.3'!$G$8:$G$9))</f>
        <v>nn</v>
      </c>
      <c r="P9" s="185">
        <f t="shared" si="1"/>
        <v>1655.2681423746067</v>
      </c>
      <c r="Q9" s="206">
        <f t="shared" si="6"/>
        <v>1.7222222222222221E-4</v>
      </c>
      <c r="R9" s="207">
        <f t="shared" si="6"/>
        <v>1.7222222222222221E-4</v>
      </c>
      <c r="T9" s="189">
        <f>T8+13</f>
        <v>201</v>
      </c>
      <c r="U9" s="178">
        <v>70</v>
      </c>
      <c r="V9" s="191">
        <f t="shared" si="2"/>
        <v>19.444444444444443</v>
      </c>
      <c r="W9" s="241"/>
    </row>
    <row r="10" spans="1:23" x14ac:dyDescent="0.2">
      <c r="A10" s="179" t="s">
        <v>491</v>
      </c>
      <c r="B10" s="179">
        <v>739</v>
      </c>
      <c r="C10" s="189">
        <v>85</v>
      </c>
      <c r="D10" s="178">
        <v>32</v>
      </c>
      <c r="E10" s="192">
        <f t="shared" si="3"/>
        <v>8.8888888888888893</v>
      </c>
      <c r="F10" s="239"/>
      <c r="G10" s="113"/>
      <c r="H10" s="189">
        <v>28</v>
      </c>
      <c r="I10" s="190">
        <f>$E$5+(($E$7-$E$6)/($C$7-$C$6))*(H10-$C$6)</f>
        <v>3.3333333333333335</v>
      </c>
      <c r="K10" s="189">
        <v>7</v>
      </c>
      <c r="L10" s="191">
        <f t="shared" si="4"/>
        <v>0</v>
      </c>
      <c r="M10" s="185">
        <f t="shared" si="0"/>
        <v>0</v>
      </c>
      <c r="N10" s="185">
        <f t="shared" si="5"/>
        <v>0</v>
      </c>
      <c r="O10" s="185" t="str">
        <f>IF(OR(L10=0,(M11-M10)&lt;0),"nn",FORECAST(M10,'1_2.3'!$N$8:$N$9,'1_2.3'!$G$8:$G$9))</f>
        <v>nn</v>
      </c>
      <c r="P10" s="185">
        <f t="shared" si="1"/>
        <v>1655.2681423746067</v>
      </c>
      <c r="Q10" s="206">
        <f t="shared" si="6"/>
        <v>1.7222222222222221E-4</v>
      </c>
      <c r="R10" s="207">
        <f t="shared" si="6"/>
        <v>1.7222222222222221E-4</v>
      </c>
      <c r="T10" s="189">
        <v>251</v>
      </c>
      <c r="U10" s="178">
        <v>70</v>
      </c>
      <c r="V10" s="191">
        <f t="shared" si="2"/>
        <v>19.444444444444443</v>
      </c>
      <c r="W10" s="241"/>
    </row>
    <row r="11" spans="1:23" x14ac:dyDescent="0.2">
      <c r="A11" s="179">
        <v>0</v>
      </c>
      <c r="B11" s="179">
        <v>1655.2681423746067</v>
      </c>
      <c r="C11" s="189">
        <v>96</v>
      </c>
      <c r="D11" s="178">
        <v>0</v>
      </c>
      <c r="E11" s="192">
        <f t="shared" si="3"/>
        <v>0</v>
      </c>
      <c r="F11" s="239"/>
      <c r="G11" s="113"/>
      <c r="H11" s="189">
        <v>29</v>
      </c>
      <c r="I11" s="190">
        <f t="shared" ref="I11:I14" si="8">$E$5+(($E$7-$E$6)/($C$7-$C$6))*(H11-$C$6)</f>
        <v>2.5</v>
      </c>
      <c r="K11" s="189">
        <v>8</v>
      </c>
      <c r="L11" s="191">
        <f t="shared" si="4"/>
        <v>0</v>
      </c>
      <c r="M11" s="185">
        <f t="shared" si="0"/>
        <v>0</v>
      </c>
      <c r="N11" s="185">
        <f t="shared" si="5"/>
        <v>0</v>
      </c>
      <c r="O11" s="185" t="str">
        <f>IF(OR(L11=0,(M12-M11)&lt;0),"nn",FORECAST(M11,'1_2.3'!$N$8:$N$9,'1_2.3'!$G$8:$G$9))</f>
        <v>nn</v>
      </c>
      <c r="P11" s="185">
        <f t="shared" si="1"/>
        <v>1655.2681423746067</v>
      </c>
      <c r="Q11" s="206">
        <f t="shared" si="6"/>
        <v>1.7222222222222221E-4</v>
      </c>
      <c r="R11" s="207">
        <f t="shared" si="6"/>
        <v>1.7222222222222221E-4</v>
      </c>
      <c r="T11" s="189">
        <v>286</v>
      </c>
      <c r="U11" s="178">
        <v>100</v>
      </c>
      <c r="V11" s="191">
        <f t="shared" si="2"/>
        <v>27.777777777777779</v>
      </c>
      <c r="W11" s="241"/>
    </row>
    <row r="12" spans="1:23" x14ac:dyDescent="0.2">
      <c r="A12" s="179">
        <v>9.41</v>
      </c>
      <c r="B12" s="179">
        <v>1451.5131014047688</v>
      </c>
      <c r="C12" s="189">
        <v>117</v>
      </c>
      <c r="D12" s="178">
        <v>0</v>
      </c>
      <c r="E12" s="192">
        <f t="shared" si="3"/>
        <v>0</v>
      </c>
      <c r="F12" s="239"/>
      <c r="G12" s="113"/>
      <c r="H12" s="189">
        <v>30</v>
      </c>
      <c r="I12" s="190">
        <f t="shared" si="8"/>
        <v>1.666666666666667</v>
      </c>
      <c r="K12" s="189">
        <v>9</v>
      </c>
      <c r="L12" s="191">
        <f t="shared" si="4"/>
        <v>0</v>
      </c>
      <c r="M12" s="185">
        <f t="shared" si="0"/>
        <v>0</v>
      </c>
      <c r="N12" s="185">
        <f t="shared" si="5"/>
        <v>0</v>
      </c>
      <c r="O12" s="185" t="str">
        <f>IF(OR(L12=0,(M13-M12)&lt;0),"nn",FORECAST(M12,'1_2.3'!$N$8:$N$9,'1_2.3'!$G$8:$G$9))</f>
        <v>nn</v>
      </c>
      <c r="P12" s="185">
        <f t="shared" si="1"/>
        <v>1655.2681423746067</v>
      </c>
      <c r="Q12" s="206">
        <f>0.62/3600</f>
        <v>1.7222222222222221E-4</v>
      </c>
      <c r="R12" s="207">
        <f t="shared" si="6"/>
        <v>1.7222222222222221E-4</v>
      </c>
      <c r="T12" s="189">
        <v>316</v>
      </c>
      <c r="U12" s="178">
        <v>100</v>
      </c>
      <c r="V12" s="191">
        <f t="shared" si="2"/>
        <v>27.777777777777779</v>
      </c>
      <c r="W12" s="241"/>
    </row>
    <row r="13" spans="1:23" x14ac:dyDescent="0.2">
      <c r="A13" s="179">
        <v>14.23</v>
      </c>
      <c r="B13" s="179">
        <v>1355.0822603135161</v>
      </c>
      <c r="C13" s="189">
        <f>117+26</f>
        <v>143</v>
      </c>
      <c r="D13" s="178">
        <v>50</v>
      </c>
      <c r="E13" s="192">
        <f t="shared" si="3"/>
        <v>13.888888888888889</v>
      </c>
      <c r="F13" s="239"/>
      <c r="G13" s="113"/>
      <c r="H13" s="189">
        <v>31</v>
      </c>
      <c r="I13" s="190">
        <f t="shared" si="8"/>
        <v>0.83333333333333348</v>
      </c>
      <c r="K13" s="189">
        <v>10</v>
      </c>
      <c r="L13" s="191">
        <f t="shared" si="4"/>
        <v>0</v>
      </c>
      <c r="M13" s="185">
        <f t="shared" si="0"/>
        <v>0</v>
      </c>
      <c r="N13" s="185">
        <f t="shared" si="5"/>
        <v>0</v>
      </c>
      <c r="O13" s="185" t="str">
        <f>IF(OR(L13=0,(M14-M13)&lt;0),"nn",FORECAST(M13,'1_2.3'!$N$8:$N$9,'1_2.3'!$G$8:$G$9))</f>
        <v>nn</v>
      </c>
      <c r="P13" s="185">
        <f t="shared" si="1"/>
        <v>1655.2681423746067</v>
      </c>
      <c r="Q13" s="206">
        <f t="shared" si="6"/>
        <v>1.7222222222222221E-4</v>
      </c>
      <c r="R13" s="207">
        <f t="shared" si="6"/>
        <v>1.7222222222222221E-4</v>
      </c>
      <c r="T13" s="189">
        <v>336</v>
      </c>
      <c r="U13" s="178">
        <v>120</v>
      </c>
      <c r="V13" s="191">
        <f t="shared" si="2"/>
        <v>33.333333333333336</v>
      </c>
      <c r="W13" s="241"/>
    </row>
    <row r="14" spans="1:23" x14ac:dyDescent="0.2">
      <c r="A14" s="179">
        <v>20.7</v>
      </c>
      <c r="B14" s="179">
        <v>1309.4722181159279</v>
      </c>
      <c r="C14" s="189">
        <v>155</v>
      </c>
      <c r="D14" s="178">
        <v>50</v>
      </c>
      <c r="E14" s="192">
        <f t="shared" si="3"/>
        <v>13.888888888888889</v>
      </c>
      <c r="F14" s="239"/>
      <c r="G14" s="113"/>
      <c r="H14" s="189">
        <v>32</v>
      </c>
      <c r="I14" s="190">
        <f t="shared" si="8"/>
        <v>0</v>
      </c>
      <c r="K14" s="189">
        <v>11</v>
      </c>
      <c r="L14" s="191">
        <f t="shared" si="4"/>
        <v>0</v>
      </c>
      <c r="M14" s="185">
        <f t="shared" si="0"/>
        <v>0</v>
      </c>
      <c r="N14" s="185">
        <f t="shared" si="5"/>
        <v>0.52083333333333337</v>
      </c>
      <c r="O14" s="185" t="str">
        <f>IF(AND(R14&lt;&gt;0.62/3600,R14&lt;&gt;0),FORECAST(M14,'1_2.3'!$N$8:$N$9,'1_2.3'!$G$8:$G$9),"nn")</f>
        <v>nn</v>
      </c>
      <c r="P14" s="185">
        <f t="shared" si="1"/>
        <v>1655.2681423746067</v>
      </c>
      <c r="Q14" s="206">
        <f t="shared" si="6"/>
        <v>1.7222222222222221E-4</v>
      </c>
      <c r="R14" s="207">
        <f t="shared" si="6"/>
        <v>1.7222222222222221E-4</v>
      </c>
      <c r="T14" s="189">
        <v>346</v>
      </c>
      <c r="U14" s="178">
        <v>120</v>
      </c>
      <c r="V14" s="191">
        <f t="shared" si="2"/>
        <v>33.333333333333336</v>
      </c>
      <c r="W14" s="241"/>
    </row>
    <row r="15" spans="1:23" x14ac:dyDescent="0.2">
      <c r="A15" s="179">
        <v>27.78</v>
      </c>
      <c r="B15" s="179">
        <v>1287.9248595864449</v>
      </c>
      <c r="C15" s="189">
        <v>163</v>
      </c>
      <c r="D15" s="178">
        <v>32</v>
      </c>
      <c r="E15" s="192">
        <f t="shared" si="3"/>
        <v>8.8888888888888893</v>
      </c>
      <c r="F15" s="239"/>
      <c r="G15" s="113"/>
      <c r="H15" s="189">
        <v>49</v>
      </c>
      <c r="I15" s="190">
        <v>0</v>
      </c>
      <c r="K15" s="189">
        <v>12</v>
      </c>
      <c r="L15" s="191">
        <f>M15*3.6</f>
        <v>3.7500000000000004</v>
      </c>
      <c r="M15" s="185">
        <f t="shared" si="0"/>
        <v>1.0416666666666667</v>
      </c>
      <c r="N15" s="185">
        <f t="shared" si="5"/>
        <v>1.5625</v>
      </c>
      <c r="O15" s="185">
        <f>IF(AND(R15&lt;&gt;0.62,R15&lt;&gt;0),FORECAST(M15,'1_2.3'!$N$9:$N$10,'1_2.3'!$G$9:$G$10),"nn")</f>
        <v>205.5348581773288</v>
      </c>
      <c r="P15" s="185">
        <f t="shared" si="1"/>
        <v>1655.2681423746067</v>
      </c>
      <c r="Q15" s="213">
        <f>IF(M15=0,0.62/3600,IF((M15-M14)&lt;0,0,($B$22*N14+$B$23*N14^3+P15*N14*(M15-M14))*(O15/1000/3600/745.7)/($B$10/1000)))</f>
        <v>9.9722187932547743E-5</v>
      </c>
      <c r="R15" s="202" t="str">
        <f t="shared" ref="R15:R68" si="9">IF(M15=0,0.62*(K16-K15),IF((M15-M14)&lt;0,0,"expression"))</f>
        <v>expression</v>
      </c>
      <c r="T15" s="189">
        <f>T14+34</f>
        <v>380</v>
      </c>
      <c r="U15" s="178">
        <v>0</v>
      </c>
      <c r="V15" s="191">
        <f t="shared" si="2"/>
        <v>0</v>
      </c>
      <c r="W15" s="241"/>
    </row>
    <row r="16" spans="1:23" ht="16" thickBot="1" x14ac:dyDescent="0.25">
      <c r="C16" s="189">
        <v>176</v>
      </c>
      <c r="D16" s="178">
        <v>32</v>
      </c>
      <c r="E16" s="192">
        <f t="shared" si="3"/>
        <v>8.8888888888888893</v>
      </c>
      <c r="F16" s="239"/>
      <c r="G16" s="113"/>
      <c r="H16" s="189">
        <v>50</v>
      </c>
      <c r="I16" s="190">
        <f>(($E$9-$E$8)/($C$9-$C$8))*(H16-$C$8)</f>
        <v>0.74074074074074081</v>
      </c>
      <c r="K16" s="189">
        <v>13</v>
      </c>
      <c r="L16" s="191">
        <f t="shared" si="4"/>
        <v>7.5000000000000009</v>
      </c>
      <c r="M16" s="185">
        <f t="shared" si="0"/>
        <v>2.0833333333333335</v>
      </c>
      <c r="N16" s="185">
        <f t="shared" si="5"/>
        <v>2.604166666666667</v>
      </c>
      <c r="O16" s="185">
        <f>IF(AND(R16&lt;&gt;0.62,R16&lt;&gt;0),FORECAST(M16,'1_2.3'!$N$9:$N$10,'1_2.3'!$G$9:$G$10),"nn")</f>
        <v>204.33085227441583</v>
      </c>
      <c r="P16" s="185">
        <f t="shared" si="1"/>
        <v>1655.2681423746067</v>
      </c>
      <c r="Q16" s="213">
        <f>IF(M16=0,0.62/3600,IF((M16-M15)&lt;0,0,($B$22*N15+$B$23*N15^3+P16*N15*(M16-M15))*(O16/1000/3600/745.7)/($B$10/1000)))</f>
        <v>2.9758031097232513E-4</v>
      </c>
      <c r="R16" s="202" t="str">
        <f t="shared" si="9"/>
        <v>expression</v>
      </c>
      <c r="T16" s="193">
        <v>400</v>
      </c>
      <c r="U16" s="194">
        <v>0</v>
      </c>
      <c r="V16" s="195">
        <f t="shared" si="2"/>
        <v>0</v>
      </c>
      <c r="W16" s="242"/>
    </row>
    <row r="17" spans="1:18" ht="16" thickBot="1" x14ac:dyDescent="0.25">
      <c r="C17" s="193">
        <v>188</v>
      </c>
      <c r="D17" s="194">
        <v>0</v>
      </c>
      <c r="E17" s="196">
        <f t="shared" si="3"/>
        <v>0</v>
      </c>
      <c r="F17" s="240"/>
      <c r="G17" s="113"/>
      <c r="H17" s="189">
        <v>51</v>
      </c>
      <c r="I17" s="190">
        <f t="shared" ref="I17:I27" si="10">(($E$9-$E$8)/($C$9-$C$8))*(H17-$C$8)</f>
        <v>1.4814814814814816</v>
      </c>
      <c r="J17" s="197"/>
      <c r="K17" s="189">
        <v>14</v>
      </c>
      <c r="L17" s="191">
        <f t="shared" si="4"/>
        <v>11.25</v>
      </c>
      <c r="M17" s="185">
        <f t="shared" si="0"/>
        <v>3.125</v>
      </c>
      <c r="N17" s="185">
        <f t="shared" si="5"/>
        <v>3.6458333333333335</v>
      </c>
      <c r="O17" s="185">
        <f>IF(AND(R17&lt;&gt;0.62,R17&lt;&gt;0),FORECAST(M17,'1_2.3'!$N$9:$N$10,'1_2.3'!$G$9:$G$10),"nn")</f>
        <v>203.12684637150284</v>
      </c>
      <c r="P17" s="185">
        <f t="shared" si="1"/>
        <v>1655.2681423746067</v>
      </c>
      <c r="Q17" s="213">
        <f t="shared" ref="Q17:Q79" si="11">IF(M17=0,0.62/3600,IF((M17-M16)&lt;0,0,($B$22*N16+$B$23*N16^3+P17*N16*(M17-M16))*(O17/1000/3600/745.7)/($B$10/1000)))</f>
        <v>4.9359559867875706E-4</v>
      </c>
      <c r="R17" s="202" t="str">
        <f t="shared" si="9"/>
        <v>expression</v>
      </c>
    </row>
    <row r="18" spans="1:18" x14ac:dyDescent="0.2">
      <c r="H18" s="189">
        <v>52</v>
      </c>
      <c r="I18" s="190">
        <f t="shared" si="10"/>
        <v>2.2222222222222223</v>
      </c>
      <c r="J18" s="197"/>
      <c r="K18" s="189">
        <v>15</v>
      </c>
      <c r="L18" s="191">
        <f t="shared" si="4"/>
        <v>15.000000000000002</v>
      </c>
      <c r="M18" s="185">
        <f t="shared" si="0"/>
        <v>4.166666666666667</v>
      </c>
      <c r="N18" s="185">
        <f t="shared" si="5"/>
        <v>4.166666666666667</v>
      </c>
      <c r="O18" s="185">
        <f>IF(AND(R18&lt;&gt;0.62,R18&lt;&gt;0),FORECAST(M18,'1_2.3'!$N$9:$N$10,'1_2.3'!$G$9:$G$10),"nn")</f>
        <v>201.92284046858987</v>
      </c>
      <c r="P18" s="185">
        <f t="shared" si="1"/>
        <v>1655.2681423746067</v>
      </c>
      <c r="Q18" s="213">
        <f t="shared" si="11"/>
        <v>6.8808779627678918E-4</v>
      </c>
      <c r="R18" s="202" t="str">
        <f t="shared" si="9"/>
        <v>expression</v>
      </c>
    </row>
    <row r="19" spans="1:18" x14ac:dyDescent="0.2">
      <c r="A19" s="179" t="s">
        <v>487</v>
      </c>
      <c r="B19" s="177" t="str">
        <f>"(1/nt)*(A*Vmi+B*(Vmi)^3)+me*Vmi*((Vi+1)-Vi)/((ti+1)-ti)*((ti+1)-ti)*(q/rof)"</f>
        <v>(1/nt)*(A*Vmi+B*(Vmi)^3)+me*Vmi*((Vi+1)-Vi)/((ti+1)-ti)*((ti+1)-ti)*(q/rof)</v>
      </c>
      <c r="H19" s="189">
        <v>53</v>
      </c>
      <c r="I19" s="190">
        <f t="shared" si="10"/>
        <v>2.9629629629629632</v>
      </c>
      <c r="J19" s="197"/>
      <c r="K19" s="189">
        <v>16</v>
      </c>
      <c r="L19" s="191">
        <f t="shared" si="4"/>
        <v>15.000000000000002</v>
      </c>
      <c r="M19" s="185">
        <f t="shared" si="0"/>
        <v>4.166666666666667</v>
      </c>
      <c r="N19" s="185">
        <f t="shared" si="5"/>
        <v>4.166666666666667</v>
      </c>
      <c r="O19" s="185">
        <f>IF(AND(R19&lt;&gt;0.62,R19&lt;&gt;0),FORECAST(M19,'1_2.3'!$N$9:$N$10,'1_2.3'!$G$9:$G$10),"nn")</f>
        <v>201.92284046858987</v>
      </c>
      <c r="P19" s="185">
        <f t="shared" si="1"/>
        <v>1655.2681423746067</v>
      </c>
      <c r="Q19" s="213">
        <f t="shared" si="11"/>
        <v>5.5966939903435287E-5</v>
      </c>
      <c r="R19" s="202" t="str">
        <f t="shared" si="9"/>
        <v>expression</v>
      </c>
    </row>
    <row r="20" spans="1:18" x14ac:dyDescent="0.2">
      <c r="B20" s="177"/>
      <c r="C20" s="177"/>
      <c r="D20" s="177"/>
      <c r="E20" s="177"/>
      <c r="F20" s="177"/>
      <c r="H20" s="189">
        <v>54</v>
      </c>
      <c r="I20" s="190">
        <f t="shared" si="10"/>
        <v>3.7037037037037042</v>
      </c>
      <c r="J20" s="197"/>
      <c r="K20" s="189">
        <v>17</v>
      </c>
      <c r="L20" s="191">
        <f t="shared" si="4"/>
        <v>15.000000000000002</v>
      </c>
      <c r="M20" s="185">
        <f t="shared" si="0"/>
        <v>4.166666666666667</v>
      </c>
      <c r="N20" s="185">
        <f t="shared" si="5"/>
        <v>4.166666666666667</v>
      </c>
      <c r="O20" s="185">
        <f>IF(AND(R20&lt;&gt;0.62,R20&lt;&gt;0),FORECAST(M20,'1_2.3'!$N$9:$N$10,'1_2.3'!$G$9:$G$10),"nn")</f>
        <v>201.92284046858987</v>
      </c>
      <c r="P20" s="185">
        <f t="shared" si="1"/>
        <v>1655.2681423746067</v>
      </c>
      <c r="Q20" s="213">
        <f t="shared" si="11"/>
        <v>5.5966939903435287E-5</v>
      </c>
      <c r="R20" s="202" t="str">
        <f t="shared" si="9"/>
        <v>expression</v>
      </c>
    </row>
    <row r="21" spans="1:18" x14ac:dyDescent="0.2">
      <c r="H21" s="189">
        <v>55</v>
      </c>
      <c r="I21" s="190">
        <f t="shared" si="10"/>
        <v>4.4444444444444446</v>
      </c>
      <c r="J21" s="197"/>
      <c r="K21" s="189">
        <v>18</v>
      </c>
      <c r="L21" s="191">
        <f t="shared" si="4"/>
        <v>15.000000000000002</v>
      </c>
      <c r="M21" s="185">
        <f t="shared" si="0"/>
        <v>4.166666666666667</v>
      </c>
      <c r="N21" s="185">
        <f t="shared" si="5"/>
        <v>4.166666666666667</v>
      </c>
      <c r="O21" s="185">
        <f>IF(AND(R21&lt;&gt;0.62,R21&lt;&gt;0),FORECAST(M21,'1_2.3'!$N$9:$N$10,'1_2.3'!$G$9:$G$10),"nn")</f>
        <v>201.92284046858987</v>
      </c>
      <c r="P21" s="185">
        <f t="shared" si="1"/>
        <v>1655.2681423746067</v>
      </c>
      <c r="Q21" s="213">
        <f t="shared" si="11"/>
        <v>5.5966939903435287E-5</v>
      </c>
      <c r="R21" s="202" t="str">
        <f t="shared" si="9"/>
        <v>expression</v>
      </c>
    </row>
    <row r="22" spans="1:18" x14ac:dyDescent="0.2">
      <c r="A22" s="179" t="s">
        <v>17</v>
      </c>
      <c r="B22" s="179">
        <v>123.7041</v>
      </c>
      <c r="H22" s="189">
        <v>56</v>
      </c>
      <c r="I22" s="190">
        <f t="shared" si="10"/>
        <v>5.185185185185186</v>
      </c>
      <c r="J22" s="197"/>
      <c r="K22" s="189">
        <v>19</v>
      </c>
      <c r="L22" s="191">
        <f t="shared" si="4"/>
        <v>15.000000000000002</v>
      </c>
      <c r="M22" s="185">
        <f t="shared" si="0"/>
        <v>4.166666666666667</v>
      </c>
      <c r="N22" s="185">
        <f t="shared" si="5"/>
        <v>4.166666666666667</v>
      </c>
      <c r="O22" s="185">
        <f>IF(AND(R22&lt;&gt;0.62,R22&lt;&gt;0),FORECAST(M22,'1_2.3'!$N$9:$N$10,'1_2.3'!$G$9:$G$10),"nn")</f>
        <v>201.92284046858987</v>
      </c>
      <c r="P22" s="185">
        <f t="shared" si="1"/>
        <v>1655.2681423746067</v>
      </c>
      <c r="Q22" s="213">
        <f t="shared" si="11"/>
        <v>5.5966939903435287E-5</v>
      </c>
      <c r="R22" s="202" t="str">
        <f t="shared" si="9"/>
        <v>expression</v>
      </c>
    </row>
    <row r="23" spans="1:18" x14ac:dyDescent="0.2">
      <c r="A23" s="179" t="s">
        <v>18</v>
      </c>
      <c r="B23" s="179">
        <v>0.47599720699999998</v>
      </c>
      <c r="H23" s="189">
        <v>57</v>
      </c>
      <c r="I23" s="190">
        <f t="shared" si="10"/>
        <v>5.9259259259259265</v>
      </c>
      <c r="J23" s="197"/>
      <c r="K23" s="189">
        <v>20</v>
      </c>
      <c r="L23" s="191">
        <f t="shared" si="4"/>
        <v>15.000000000000002</v>
      </c>
      <c r="M23" s="185">
        <f t="shared" si="0"/>
        <v>4.166666666666667</v>
      </c>
      <c r="N23" s="185">
        <f t="shared" si="5"/>
        <v>4.166666666666667</v>
      </c>
      <c r="O23" s="185">
        <f>IF(AND(R23&lt;&gt;0.62,R23&lt;&gt;0),FORECAST(M23,'1_2.3'!$N$9:$N$10,'1_2.3'!$G$9:$G$10),"nn")</f>
        <v>201.92284046858987</v>
      </c>
      <c r="P23" s="185">
        <f t="shared" si="1"/>
        <v>1655.2681423746067</v>
      </c>
      <c r="Q23" s="213">
        <f t="shared" si="11"/>
        <v>5.5966939903435287E-5</v>
      </c>
      <c r="R23" s="202" t="str">
        <f t="shared" si="9"/>
        <v>expression</v>
      </c>
    </row>
    <row r="24" spans="1:18" x14ac:dyDescent="0.2">
      <c r="H24" s="189">
        <v>58</v>
      </c>
      <c r="I24" s="190">
        <f t="shared" si="10"/>
        <v>6.666666666666667</v>
      </c>
      <c r="J24" s="197"/>
      <c r="K24" s="189">
        <v>21</v>
      </c>
      <c r="L24" s="191">
        <f t="shared" si="4"/>
        <v>15.000000000000002</v>
      </c>
      <c r="M24" s="185">
        <f t="shared" si="0"/>
        <v>4.166666666666667</v>
      </c>
      <c r="N24" s="185">
        <f t="shared" si="5"/>
        <v>4.166666666666667</v>
      </c>
      <c r="O24" s="185">
        <f>IF(AND(R24&lt;&gt;0.62,R24&lt;&gt;0),FORECAST(M24,'1_2.3'!$N$9:$N$10,'1_2.3'!$G$9:$G$10),"nn")</f>
        <v>201.92284046858987</v>
      </c>
      <c r="P24" s="185">
        <f t="shared" si="1"/>
        <v>1655.2681423746067</v>
      </c>
      <c r="Q24" s="213">
        <f t="shared" si="11"/>
        <v>5.5966939903435287E-5</v>
      </c>
      <c r="R24" s="202" t="str">
        <f t="shared" si="9"/>
        <v>expression</v>
      </c>
    </row>
    <row r="25" spans="1:18" x14ac:dyDescent="0.2">
      <c r="H25" s="189">
        <v>59</v>
      </c>
      <c r="I25" s="190">
        <f t="shared" si="10"/>
        <v>7.4074074074074083</v>
      </c>
      <c r="J25" s="197"/>
      <c r="K25" s="189">
        <v>22</v>
      </c>
      <c r="L25" s="191">
        <f t="shared" si="4"/>
        <v>15.000000000000002</v>
      </c>
      <c r="M25" s="185">
        <f t="shared" si="0"/>
        <v>4.166666666666667</v>
      </c>
      <c r="N25" s="185">
        <f t="shared" si="5"/>
        <v>4.166666666666667</v>
      </c>
      <c r="O25" s="185">
        <f>IF(AND(R25&lt;&gt;0.62,R25&lt;&gt;0),FORECAST(M25,'1_2.3'!$N$9:$N$10,'1_2.3'!$G$9:$G$10),"nn")</f>
        <v>201.92284046858987</v>
      </c>
      <c r="P25" s="185">
        <f t="shared" si="1"/>
        <v>1655.2681423746067</v>
      </c>
      <c r="Q25" s="213">
        <f t="shared" si="11"/>
        <v>5.5966939903435287E-5</v>
      </c>
      <c r="R25" s="202" t="str">
        <f t="shared" si="9"/>
        <v>expression</v>
      </c>
    </row>
    <row r="26" spans="1:18" x14ac:dyDescent="0.2">
      <c r="H26" s="189">
        <v>60</v>
      </c>
      <c r="I26" s="190">
        <f t="shared" si="10"/>
        <v>8.1481481481481488</v>
      </c>
      <c r="J26" s="197"/>
      <c r="K26" s="189">
        <v>23</v>
      </c>
      <c r="L26" s="191">
        <f t="shared" si="4"/>
        <v>15.000000000000002</v>
      </c>
      <c r="M26" s="185">
        <f t="shared" si="0"/>
        <v>4.166666666666667</v>
      </c>
      <c r="N26" s="185">
        <f t="shared" si="5"/>
        <v>4.166666666666667</v>
      </c>
      <c r="O26" s="185">
        <f>IF(AND(R26&lt;&gt;0.62,R26&lt;&gt;0),FORECAST(M26,'1_2.3'!$N$9:$N$10,'1_2.3'!$G$9:$G$10),"nn")</f>
        <v>201.92284046858987</v>
      </c>
      <c r="P26" s="185">
        <f t="shared" si="1"/>
        <v>1655.2681423746067</v>
      </c>
      <c r="Q26" s="213">
        <f t="shared" si="11"/>
        <v>5.5966939903435287E-5</v>
      </c>
      <c r="R26" s="202" t="str">
        <f t="shared" si="9"/>
        <v>expression</v>
      </c>
    </row>
    <row r="27" spans="1:18" x14ac:dyDescent="0.2">
      <c r="H27" s="189">
        <v>61</v>
      </c>
      <c r="I27" s="190">
        <f t="shared" si="10"/>
        <v>8.8888888888888893</v>
      </c>
      <c r="J27" s="197"/>
      <c r="K27" s="189">
        <v>24</v>
      </c>
      <c r="L27" s="191">
        <f t="shared" si="4"/>
        <v>15.000000000000002</v>
      </c>
      <c r="M27" s="185">
        <f t="shared" si="0"/>
        <v>4.166666666666667</v>
      </c>
      <c r="N27" s="185">
        <f t="shared" si="5"/>
        <v>4.166666666666667</v>
      </c>
      <c r="O27" s="185">
        <f>IF(AND(R27&lt;&gt;0.62,R27&lt;&gt;0),FORECAST(M27,'1_2.3'!$N$9:$N$10,'1_2.3'!$G$9:$G$10),"nn")</f>
        <v>201.92284046858987</v>
      </c>
      <c r="P27" s="185">
        <f t="shared" si="1"/>
        <v>1655.2681423746067</v>
      </c>
      <c r="Q27" s="213">
        <f t="shared" si="11"/>
        <v>5.5966939903435287E-5</v>
      </c>
      <c r="R27" s="202" t="str">
        <f t="shared" si="9"/>
        <v>expression</v>
      </c>
    </row>
    <row r="28" spans="1:18" x14ac:dyDescent="0.2">
      <c r="H28" s="189">
        <v>85</v>
      </c>
      <c r="I28" s="190">
        <f>I27</f>
        <v>8.8888888888888893</v>
      </c>
      <c r="J28" s="197"/>
      <c r="K28" s="189">
        <v>25</v>
      </c>
      <c r="L28" s="191">
        <f t="shared" si="4"/>
        <v>15.000000000000002</v>
      </c>
      <c r="M28" s="185">
        <f t="shared" si="0"/>
        <v>4.166666666666667</v>
      </c>
      <c r="N28" s="185">
        <f t="shared" si="5"/>
        <v>4.166666666666667</v>
      </c>
      <c r="O28" s="185">
        <f>IF(AND(R28&lt;&gt;0.62,R28&lt;&gt;0),FORECAST(M28,'1_2.3'!$N$9:$N$10,'1_2.3'!$G$9:$G$10),"nn")</f>
        <v>201.92284046858987</v>
      </c>
      <c r="P28" s="185">
        <f t="shared" si="1"/>
        <v>1655.2681423746067</v>
      </c>
      <c r="Q28" s="213">
        <f t="shared" si="11"/>
        <v>5.5966939903435287E-5</v>
      </c>
      <c r="R28" s="202" t="str">
        <f t="shared" si="9"/>
        <v>expression</v>
      </c>
    </row>
    <row r="29" spans="1:18" x14ac:dyDescent="0.2">
      <c r="H29" s="189">
        <v>86</v>
      </c>
      <c r="I29" s="190">
        <f>$E$9+(($E$11-$E$10)/($C$11-$C$10))*(H29-$C$10)</f>
        <v>8.0808080808080813</v>
      </c>
      <c r="J29" s="197"/>
      <c r="K29" s="189">
        <v>26</v>
      </c>
      <c r="L29" s="191">
        <f t="shared" si="4"/>
        <v>15.000000000000002</v>
      </c>
      <c r="M29" s="185">
        <f t="shared" si="0"/>
        <v>4.166666666666667</v>
      </c>
      <c r="N29" s="185">
        <f t="shared" si="5"/>
        <v>4.166666666666667</v>
      </c>
      <c r="O29" s="185">
        <f>IF(AND(R29&lt;&gt;0.62,R29&lt;&gt;0),FORECAST(M29,'1_2.3'!$N$9:$N$10,'1_2.3'!$G$9:$G$10),"nn")</f>
        <v>201.92284046858987</v>
      </c>
      <c r="P29" s="185">
        <f t="shared" si="1"/>
        <v>1655.2681423746067</v>
      </c>
      <c r="Q29" s="213">
        <f t="shared" si="11"/>
        <v>5.5966939903435287E-5</v>
      </c>
      <c r="R29" s="202" t="str">
        <f t="shared" si="9"/>
        <v>expression</v>
      </c>
    </row>
    <row r="30" spans="1:18" x14ac:dyDescent="0.2">
      <c r="H30" s="189">
        <v>87</v>
      </c>
      <c r="I30" s="190">
        <f t="shared" ref="I30:I39" si="12">$E$9+(($E$11-$E$10)/($C$11-$C$10))*(H30-$C$10)</f>
        <v>7.2727272727272734</v>
      </c>
      <c r="J30" s="197"/>
      <c r="K30" s="189">
        <v>27</v>
      </c>
      <c r="L30" s="191">
        <f t="shared" si="4"/>
        <v>15.000000000000002</v>
      </c>
      <c r="M30" s="185">
        <f t="shared" si="0"/>
        <v>4.166666666666667</v>
      </c>
      <c r="N30" s="185">
        <f t="shared" si="5"/>
        <v>3.75</v>
      </c>
      <c r="O30" s="185">
        <f>IF(AND(R30&lt;&gt;0.62,R30&lt;&gt;0),FORECAST(M30,'1_2.3'!$N$9:$N$10,'1_2.3'!$G$9:$G$10),"nn")</f>
        <v>201.92284046858987</v>
      </c>
      <c r="P30" s="185">
        <f t="shared" si="1"/>
        <v>1655.2681423746067</v>
      </c>
      <c r="Q30" s="213">
        <f t="shared" si="11"/>
        <v>5.5966939903435287E-5</v>
      </c>
      <c r="R30" s="202" t="str">
        <f t="shared" si="9"/>
        <v>expression</v>
      </c>
    </row>
    <row r="31" spans="1:18" x14ac:dyDescent="0.2">
      <c r="H31" s="189">
        <v>88</v>
      </c>
      <c r="I31" s="190">
        <f t="shared" si="12"/>
        <v>6.4646464646464654</v>
      </c>
      <c r="J31" s="197"/>
      <c r="K31" s="189">
        <v>28</v>
      </c>
      <c r="L31" s="191">
        <f t="shared" si="4"/>
        <v>12</v>
      </c>
      <c r="M31" s="185">
        <f t="shared" si="0"/>
        <v>3.3333333333333335</v>
      </c>
      <c r="N31" s="185">
        <f t="shared" si="5"/>
        <v>2.916666666666667</v>
      </c>
      <c r="O31" s="185" t="str">
        <f>IF(AND(R31&lt;&gt;0.62/3600,R31&lt;&gt;0),FORECAST(M31,'1_2.3'!$N$9:$N$10,'1_2.3'!$G$9:$G$10),"nn")</f>
        <v>nn</v>
      </c>
      <c r="P31" s="185">
        <f t="shared" si="1"/>
        <v>1655.2681423746067</v>
      </c>
      <c r="Q31" s="213">
        <f t="shared" si="11"/>
        <v>0</v>
      </c>
      <c r="R31" s="202">
        <f t="shared" si="9"/>
        <v>0</v>
      </c>
    </row>
    <row r="32" spans="1:18" x14ac:dyDescent="0.2">
      <c r="H32" s="189">
        <v>89</v>
      </c>
      <c r="I32" s="190">
        <f t="shared" si="12"/>
        <v>5.6565656565656575</v>
      </c>
      <c r="J32" s="197"/>
      <c r="K32" s="189">
        <v>29</v>
      </c>
      <c r="L32" s="191">
        <f t="shared" si="4"/>
        <v>9</v>
      </c>
      <c r="M32" s="185">
        <f t="shared" si="0"/>
        <v>2.5</v>
      </c>
      <c r="N32" s="185">
        <f t="shared" si="5"/>
        <v>2.0833333333333335</v>
      </c>
      <c r="O32" s="185" t="str">
        <f>IF(AND(R32&lt;&gt;0.62/3600,R32&lt;&gt;0),FORECAST(M32,'1_2.3'!$N$9:$N$10,'1_2.3'!$G$9:$G$10),"nn")</f>
        <v>nn</v>
      </c>
      <c r="P32" s="185">
        <f t="shared" si="1"/>
        <v>1655.2681423746067</v>
      </c>
      <c r="Q32" s="213">
        <f t="shared" si="11"/>
        <v>0</v>
      </c>
      <c r="R32" s="202">
        <f t="shared" si="9"/>
        <v>0</v>
      </c>
    </row>
    <row r="33" spans="8:18" x14ac:dyDescent="0.2">
      <c r="H33" s="189">
        <v>90</v>
      </c>
      <c r="I33" s="190">
        <f t="shared" si="12"/>
        <v>4.8484848484848486</v>
      </c>
      <c r="J33" s="197"/>
      <c r="K33" s="189">
        <v>30</v>
      </c>
      <c r="L33" s="191">
        <f t="shared" si="4"/>
        <v>6.0000000000000009</v>
      </c>
      <c r="M33" s="185">
        <f t="shared" si="0"/>
        <v>1.666666666666667</v>
      </c>
      <c r="N33" s="185">
        <f t="shared" si="5"/>
        <v>1.2500000000000002</v>
      </c>
      <c r="O33" s="185" t="str">
        <f>IF(AND(R33&lt;&gt;0.62/3600,R33&lt;&gt;0),FORECAST(M33,'1_2.3'!$N$9:$N$10,'1_2.3'!$G$9:$G$10),"nn")</f>
        <v>nn</v>
      </c>
      <c r="P33" s="185">
        <f t="shared" si="1"/>
        <v>1655.2681423746067</v>
      </c>
      <c r="Q33" s="213">
        <f t="shared" si="11"/>
        <v>0</v>
      </c>
      <c r="R33" s="202">
        <f t="shared" si="9"/>
        <v>0</v>
      </c>
    </row>
    <row r="34" spans="8:18" x14ac:dyDescent="0.2">
      <c r="H34" s="189">
        <v>91</v>
      </c>
      <c r="I34" s="190">
        <f t="shared" si="12"/>
        <v>4.0404040404040407</v>
      </c>
      <c r="J34" s="197"/>
      <c r="K34" s="189">
        <v>31</v>
      </c>
      <c r="L34" s="191">
        <f t="shared" si="4"/>
        <v>3.0000000000000004</v>
      </c>
      <c r="M34" s="185">
        <f t="shared" si="0"/>
        <v>0.83333333333333348</v>
      </c>
      <c r="N34" s="185">
        <f t="shared" si="5"/>
        <v>0.41666666666666674</v>
      </c>
      <c r="O34" s="185" t="str">
        <f>IF(AND(R34&lt;&gt;0.62/3600,R34&lt;&gt;0),FORECAST(M34,'1_2.3'!$N$9:$N$10,'1_2.3'!$G$9:$G$10),"nn")</f>
        <v>nn</v>
      </c>
      <c r="P34" s="185">
        <f t="shared" si="1"/>
        <v>1655.2681423746067</v>
      </c>
      <c r="Q34" s="213">
        <f t="shared" si="11"/>
        <v>0</v>
      </c>
      <c r="R34" s="202">
        <f t="shared" si="9"/>
        <v>0</v>
      </c>
    </row>
    <row r="35" spans="8:18" x14ac:dyDescent="0.2">
      <c r="H35" s="189">
        <v>92</v>
      </c>
      <c r="I35" s="190">
        <f t="shared" si="12"/>
        <v>3.2323232323232327</v>
      </c>
      <c r="J35" s="197"/>
      <c r="K35" s="189">
        <v>32</v>
      </c>
      <c r="L35" s="191">
        <f t="shared" si="4"/>
        <v>0</v>
      </c>
      <c r="M35" s="185">
        <f t="shared" ref="M35:M66" si="13">VLOOKUP(K35,$H$3:$I$88,2,TRUE)</f>
        <v>0</v>
      </c>
      <c r="N35" s="185">
        <f t="shared" si="5"/>
        <v>0</v>
      </c>
      <c r="O35" s="185" t="str">
        <f>IF(AND(R35&lt;&gt;0.62/3600,R35&lt;&gt;0),FORECAST(M35,'1_2.3'!$N$9:$N$10,'1_2.3'!$G$9:$G$10),"nn")</f>
        <v>nn</v>
      </c>
      <c r="P35" s="185">
        <f t="shared" ref="P35:P66" si="14">VLOOKUP(M35,meq,2)</f>
        <v>1655.2681423746067</v>
      </c>
      <c r="Q35" s="213">
        <f t="shared" si="11"/>
        <v>1.7222222222222221E-4</v>
      </c>
      <c r="R35" s="207">
        <f>0.62/3600</f>
        <v>1.7222222222222221E-4</v>
      </c>
    </row>
    <row r="36" spans="8:18" x14ac:dyDescent="0.2">
      <c r="H36" s="189">
        <v>93</v>
      </c>
      <c r="I36" s="190">
        <f t="shared" si="12"/>
        <v>2.4242424242424248</v>
      </c>
      <c r="K36" s="189">
        <v>33</v>
      </c>
      <c r="L36" s="191">
        <f t="shared" si="4"/>
        <v>0</v>
      </c>
      <c r="M36" s="185">
        <f t="shared" si="13"/>
        <v>0</v>
      </c>
      <c r="N36" s="185">
        <f t="shared" si="5"/>
        <v>0</v>
      </c>
      <c r="O36" s="185" t="str">
        <f>IF(AND(R36&lt;&gt;0.62/3600,R36&lt;&gt;0),FORECAST(M36,'1_2.3'!$N$9:$N$10,'1_2.3'!$G$9:$G$10),"nn")</f>
        <v>nn</v>
      </c>
      <c r="P36" s="185">
        <f t="shared" si="14"/>
        <v>1655.2681423746067</v>
      </c>
      <c r="Q36" s="213">
        <f t="shared" si="11"/>
        <v>1.7222222222222221E-4</v>
      </c>
      <c r="R36" s="207">
        <f t="shared" ref="R36:R52" si="15">0.62/3600</f>
        <v>1.7222222222222221E-4</v>
      </c>
    </row>
    <row r="37" spans="8:18" x14ac:dyDescent="0.2">
      <c r="H37" s="189">
        <v>94</v>
      </c>
      <c r="I37" s="190">
        <f t="shared" si="12"/>
        <v>1.6161616161616168</v>
      </c>
      <c r="K37" s="189">
        <v>34</v>
      </c>
      <c r="L37" s="191">
        <f t="shared" si="4"/>
        <v>0</v>
      </c>
      <c r="M37" s="185">
        <f t="shared" si="13"/>
        <v>0</v>
      </c>
      <c r="N37" s="185">
        <f t="shared" si="5"/>
        <v>0</v>
      </c>
      <c r="O37" s="185" t="str">
        <f>IF(AND(R37&lt;&gt;0.62/3600,R37&lt;&gt;0),FORECAST(M37,'1_2.3'!$N$9:$N$10,'1_2.3'!$G$9:$G$10),"nn")</f>
        <v>nn</v>
      </c>
      <c r="P37" s="185">
        <f t="shared" si="14"/>
        <v>1655.2681423746067</v>
      </c>
      <c r="Q37" s="213">
        <f t="shared" si="11"/>
        <v>1.7222222222222221E-4</v>
      </c>
      <c r="R37" s="207">
        <f t="shared" si="15"/>
        <v>1.7222222222222221E-4</v>
      </c>
    </row>
    <row r="38" spans="8:18" x14ac:dyDescent="0.2">
      <c r="H38" s="189">
        <v>95</v>
      </c>
      <c r="I38" s="190">
        <f t="shared" si="12"/>
        <v>0.80808080808080796</v>
      </c>
      <c r="K38" s="189">
        <v>35</v>
      </c>
      <c r="L38" s="191">
        <f t="shared" si="4"/>
        <v>0</v>
      </c>
      <c r="M38" s="185">
        <f t="shared" si="13"/>
        <v>0</v>
      </c>
      <c r="N38" s="185">
        <f t="shared" si="5"/>
        <v>0</v>
      </c>
      <c r="O38" s="185" t="str">
        <f>IF(AND(R38&lt;&gt;0.62/3600,R38&lt;&gt;0),FORECAST(M38,'1_2.3'!$N$9:$N$10,'1_2.3'!$G$9:$G$10),"nn")</f>
        <v>nn</v>
      </c>
      <c r="P38" s="185">
        <f t="shared" si="14"/>
        <v>1655.2681423746067</v>
      </c>
      <c r="Q38" s="213">
        <f t="shared" si="11"/>
        <v>1.7222222222222221E-4</v>
      </c>
      <c r="R38" s="207">
        <f t="shared" si="15"/>
        <v>1.7222222222222221E-4</v>
      </c>
    </row>
    <row r="39" spans="8:18" x14ac:dyDescent="0.2">
      <c r="H39" s="189">
        <v>96</v>
      </c>
      <c r="I39" s="190">
        <f t="shared" si="12"/>
        <v>0</v>
      </c>
      <c r="K39" s="189">
        <v>36</v>
      </c>
      <c r="L39" s="191">
        <f t="shared" si="4"/>
        <v>0</v>
      </c>
      <c r="M39" s="185">
        <f t="shared" si="13"/>
        <v>0</v>
      </c>
      <c r="N39" s="185">
        <f t="shared" si="5"/>
        <v>0</v>
      </c>
      <c r="O39" s="185" t="str">
        <f>IF(AND(R39&lt;&gt;0.62/3600,R39&lt;&gt;0),FORECAST(M39,'1_2.3'!$N$9:$N$10,'1_2.3'!$G$9:$G$10),"nn")</f>
        <v>nn</v>
      </c>
      <c r="P39" s="185">
        <f t="shared" si="14"/>
        <v>1655.2681423746067</v>
      </c>
      <c r="Q39" s="213">
        <f t="shared" si="11"/>
        <v>1.7222222222222221E-4</v>
      </c>
      <c r="R39" s="207">
        <f t="shared" si="15"/>
        <v>1.7222222222222221E-4</v>
      </c>
    </row>
    <row r="40" spans="8:18" x14ac:dyDescent="0.2">
      <c r="H40" s="189">
        <v>117</v>
      </c>
      <c r="I40" s="190">
        <f>I39</f>
        <v>0</v>
      </c>
      <c r="K40" s="189">
        <v>37</v>
      </c>
      <c r="L40" s="191">
        <f t="shared" si="4"/>
        <v>0</v>
      </c>
      <c r="M40" s="185">
        <f t="shared" si="13"/>
        <v>0</v>
      </c>
      <c r="N40" s="185">
        <f t="shared" si="5"/>
        <v>0</v>
      </c>
      <c r="O40" s="185" t="str">
        <f>IF(AND(R40&lt;&gt;0.62/3600,R40&lt;&gt;0),FORECAST(M40,'1_2.3'!$N$9:$N$10,'1_2.3'!$G$9:$G$10),"nn")</f>
        <v>nn</v>
      </c>
      <c r="P40" s="185">
        <f t="shared" si="14"/>
        <v>1655.2681423746067</v>
      </c>
      <c r="Q40" s="213">
        <f t="shared" si="11"/>
        <v>1.7222222222222221E-4</v>
      </c>
      <c r="R40" s="207">
        <f t="shared" si="15"/>
        <v>1.7222222222222221E-4</v>
      </c>
    </row>
    <row r="41" spans="8:18" x14ac:dyDescent="0.2">
      <c r="H41" s="189">
        <v>118</v>
      </c>
      <c r="I41" s="190">
        <f>$E$11+(($E$13-$E$12)/($C$13-$C$12))*(H41-$C$12)</f>
        <v>0.53418803418803418</v>
      </c>
      <c r="K41" s="189">
        <v>38</v>
      </c>
      <c r="L41" s="191">
        <f t="shared" si="4"/>
        <v>0</v>
      </c>
      <c r="M41" s="185">
        <f t="shared" si="13"/>
        <v>0</v>
      </c>
      <c r="N41" s="185">
        <f t="shared" si="5"/>
        <v>0</v>
      </c>
      <c r="O41" s="185" t="str">
        <f>IF(AND(R41&lt;&gt;0.62/3600,R41&lt;&gt;0),FORECAST(M41,'1_2.3'!$N$9:$N$10,'1_2.3'!$G$9:$G$10),"nn")</f>
        <v>nn</v>
      </c>
      <c r="P41" s="185">
        <f t="shared" si="14"/>
        <v>1655.2681423746067</v>
      </c>
      <c r="Q41" s="213">
        <f t="shared" si="11"/>
        <v>1.7222222222222221E-4</v>
      </c>
      <c r="R41" s="207">
        <f t="shared" si="15"/>
        <v>1.7222222222222221E-4</v>
      </c>
    </row>
    <row r="42" spans="8:18" x14ac:dyDescent="0.2">
      <c r="H42" s="189">
        <v>119</v>
      </c>
      <c r="I42" s="190">
        <f t="shared" ref="I42:I66" si="16">$E$11+(($E$13-$E$12)/($C$13-$C$12))*(H42-$C$12)</f>
        <v>1.0683760683760684</v>
      </c>
      <c r="K42" s="189">
        <v>39</v>
      </c>
      <c r="L42" s="191">
        <f t="shared" si="4"/>
        <v>0</v>
      </c>
      <c r="M42" s="185">
        <f t="shared" si="13"/>
        <v>0</v>
      </c>
      <c r="N42" s="185">
        <f t="shared" si="5"/>
        <v>0</v>
      </c>
      <c r="O42" s="185" t="str">
        <f>IF(AND(R42&lt;&gt;0.62/3600,R42&lt;&gt;0),FORECAST(M42,'1_2.3'!$N$9:$N$10,'1_2.3'!$G$9:$G$10),"nn")</f>
        <v>nn</v>
      </c>
      <c r="P42" s="185">
        <f t="shared" si="14"/>
        <v>1655.2681423746067</v>
      </c>
      <c r="Q42" s="213">
        <f t="shared" si="11"/>
        <v>1.7222222222222221E-4</v>
      </c>
      <c r="R42" s="207">
        <f t="shared" si="15"/>
        <v>1.7222222222222221E-4</v>
      </c>
    </row>
    <row r="43" spans="8:18" x14ac:dyDescent="0.2">
      <c r="H43" s="189">
        <v>120</v>
      </c>
      <c r="I43" s="190">
        <f t="shared" si="16"/>
        <v>1.6025641025641026</v>
      </c>
      <c r="K43" s="189">
        <v>40</v>
      </c>
      <c r="L43" s="191">
        <f t="shared" si="4"/>
        <v>0</v>
      </c>
      <c r="M43" s="185">
        <f t="shared" si="13"/>
        <v>0</v>
      </c>
      <c r="N43" s="185">
        <f t="shared" si="5"/>
        <v>0</v>
      </c>
      <c r="O43" s="185" t="str">
        <f>IF(AND(R43&lt;&gt;0.62/3600,R43&lt;&gt;0),FORECAST(M43,'1_2.3'!$N$9:$N$10,'1_2.3'!$G$9:$G$10),"nn")</f>
        <v>nn</v>
      </c>
      <c r="P43" s="185">
        <f t="shared" si="14"/>
        <v>1655.2681423746067</v>
      </c>
      <c r="Q43" s="213">
        <f t="shared" si="11"/>
        <v>1.7222222222222221E-4</v>
      </c>
      <c r="R43" s="207">
        <f t="shared" si="15"/>
        <v>1.7222222222222221E-4</v>
      </c>
    </row>
    <row r="44" spans="8:18" x14ac:dyDescent="0.2">
      <c r="H44" s="189">
        <v>121</v>
      </c>
      <c r="I44" s="190">
        <f t="shared" si="16"/>
        <v>2.1367521367521367</v>
      </c>
      <c r="K44" s="189">
        <v>41</v>
      </c>
      <c r="L44" s="191">
        <f t="shared" si="4"/>
        <v>0</v>
      </c>
      <c r="M44" s="185">
        <f t="shared" si="13"/>
        <v>0</v>
      </c>
      <c r="N44" s="185">
        <f t="shared" si="5"/>
        <v>0</v>
      </c>
      <c r="O44" s="185" t="str">
        <f>IF(AND(R44&lt;&gt;0.62/3600,R44&lt;&gt;0),FORECAST(M44,'1_2.3'!$N$9:$N$10,'1_2.3'!$G$9:$G$10),"nn")</f>
        <v>nn</v>
      </c>
      <c r="P44" s="185">
        <f t="shared" si="14"/>
        <v>1655.2681423746067</v>
      </c>
      <c r="Q44" s="213">
        <f t="shared" si="11"/>
        <v>1.7222222222222221E-4</v>
      </c>
      <c r="R44" s="207">
        <f t="shared" si="15"/>
        <v>1.7222222222222221E-4</v>
      </c>
    </row>
    <row r="45" spans="8:18" x14ac:dyDescent="0.2">
      <c r="H45" s="189">
        <v>122</v>
      </c>
      <c r="I45" s="190">
        <f t="shared" si="16"/>
        <v>2.6709401709401708</v>
      </c>
      <c r="K45" s="189">
        <v>42</v>
      </c>
      <c r="L45" s="191">
        <f t="shared" si="4"/>
        <v>0</v>
      </c>
      <c r="M45" s="185">
        <f t="shared" si="13"/>
        <v>0</v>
      </c>
      <c r="N45" s="185">
        <f t="shared" si="5"/>
        <v>0</v>
      </c>
      <c r="O45" s="185" t="str">
        <f>IF(AND(R45&lt;&gt;0.62/3600,R45&lt;&gt;0),FORECAST(M45,'1_2.3'!$N$9:$N$10,'1_2.3'!$G$9:$G$10),"nn")</f>
        <v>nn</v>
      </c>
      <c r="P45" s="185">
        <f t="shared" si="14"/>
        <v>1655.2681423746067</v>
      </c>
      <c r="Q45" s="213">
        <f t="shared" si="11"/>
        <v>1.7222222222222221E-4</v>
      </c>
      <c r="R45" s="207">
        <f t="shared" si="15"/>
        <v>1.7222222222222221E-4</v>
      </c>
    </row>
    <row r="46" spans="8:18" x14ac:dyDescent="0.2">
      <c r="H46" s="189">
        <v>123</v>
      </c>
      <c r="I46" s="190">
        <f t="shared" si="16"/>
        <v>3.2051282051282053</v>
      </c>
      <c r="K46" s="189">
        <v>43</v>
      </c>
      <c r="L46" s="191">
        <f t="shared" si="4"/>
        <v>0</v>
      </c>
      <c r="M46" s="185">
        <f t="shared" si="13"/>
        <v>0</v>
      </c>
      <c r="N46" s="185">
        <f t="shared" si="5"/>
        <v>0</v>
      </c>
      <c r="O46" s="185" t="str">
        <f>IF(AND(R46&lt;&gt;0.62/3600,R46&lt;&gt;0),FORECAST(M46,'1_2.3'!$N$9:$N$10,'1_2.3'!$G$9:$G$10),"nn")</f>
        <v>nn</v>
      </c>
      <c r="P46" s="185">
        <f t="shared" si="14"/>
        <v>1655.2681423746067</v>
      </c>
      <c r="Q46" s="213">
        <f t="shared" si="11"/>
        <v>1.7222222222222221E-4</v>
      </c>
      <c r="R46" s="207">
        <f t="shared" si="15"/>
        <v>1.7222222222222221E-4</v>
      </c>
    </row>
    <row r="47" spans="8:18" x14ac:dyDescent="0.2">
      <c r="H47" s="189">
        <v>124</v>
      </c>
      <c r="I47" s="190">
        <f t="shared" si="16"/>
        <v>3.7393162393162394</v>
      </c>
      <c r="K47" s="189">
        <v>44</v>
      </c>
      <c r="L47" s="191">
        <f t="shared" si="4"/>
        <v>0</v>
      </c>
      <c r="M47" s="185">
        <f t="shared" si="13"/>
        <v>0</v>
      </c>
      <c r="N47" s="185">
        <f t="shared" si="5"/>
        <v>0</v>
      </c>
      <c r="O47" s="185" t="str">
        <f>IF(AND(R47&lt;&gt;0.62/3600,R47&lt;&gt;0),FORECAST(M47,'1_2.3'!$N$9:$N$10,'1_2.3'!$G$9:$G$10),"nn")</f>
        <v>nn</v>
      </c>
      <c r="P47" s="185">
        <f t="shared" si="14"/>
        <v>1655.2681423746067</v>
      </c>
      <c r="Q47" s="213">
        <f t="shared" si="11"/>
        <v>1.7222222222222221E-4</v>
      </c>
      <c r="R47" s="207">
        <f t="shared" si="15"/>
        <v>1.7222222222222221E-4</v>
      </c>
    </row>
    <row r="48" spans="8:18" x14ac:dyDescent="0.2">
      <c r="H48" s="189">
        <v>125</v>
      </c>
      <c r="I48" s="190">
        <f t="shared" si="16"/>
        <v>4.2735042735042734</v>
      </c>
      <c r="K48" s="189">
        <v>45</v>
      </c>
      <c r="L48" s="191">
        <f t="shared" si="4"/>
        <v>0</v>
      </c>
      <c r="M48" s="185">
        <f t="shared" si="13"/>
        <v>0</v>
      </c>
      <c r="N48" s="185">
        <f t="shared" si="5"/>
        <v>0</v>
      </c>
      <c r="O48" s="185" t="str">
        <f>IF(AND(R48&lt;&gt;0.62/3600,R48&lt;&gt;0),FORECAST(M48,'1_2.3'!$N$9:$N$10,'1_2.3'!$G$9:$G$10),"nn")</f>
        <v>nn</v>
      </c>
      <c r="P48" s="185">
        <f t="shared" si="14"/>
        <v>1655.2681423746067</v>
      </c>
      <c r="Q48" s="213">
        <f t="shared" si="11"/>
        <v>1.7222222222222221E-4</v>
      </c>
      <c r="R48" s="207">
        <f t="shared" si="15"/>
        <v>1.7222222222222221E-4</v>
      </c>
    </row>
    <row r="49" spans="8:18" x14ac:dyDescent="0.2">
      <c r="H49" s="189">
        <v>126</v>
      </c>
      <c r="I49" s="190">
        <f t="shared" si="16"/>
        <v>4.8076923076923075</v>
      </c>
      <c r="K49" s="189">
        <v>46</v>
      </c>
      <c r="L49" s="191">
        <f t="shared" si="4"/>
        <v>0</v>
      </c>
      <c r="M49" s="185">
        <f t="shared" si="13"/>
        <v>0</v>
      </c>
      <c r="N49" s="185">
        <f t="shared" si="5"/>
        <v>0</v>
      </c>
      <c r="O49" s="185" t="str">
        <f>IF(AND(R49&lt;&gt;0.62/3600,R49&lt;&gt;0),FORECAST(M49,'1_2.3'!$N$9:$N$10,'1_2.3'!$G$9:$G$10),"nn")</f>
        <v>nn</v>
      </c>
      <c r="P49" s="185">
        <f t="shared" si="14"/>
        <v>1655.2681423746067</v>
      </c>
      <c r="Q49" s="213">
        <f t="shared" si="11"/>
        <v>1.7222222222222221E-4</v>
      </c>
      <c r="R49" s="207">
        <f t="shared" si="15"/>
        <v>1.7222222222222221E-4</v>
      </c>
    </row>
    <row r="50" spans="8:18" x14ac:dyDescent="0.2">
      <c r="H50" s="189">
        <v>127</v>
      </c>
      <c r="I50" s="190">
        <f t="shared" si="16"/>
        <v>5.3418803418803416</v>
      </c>
      <c r="K50" s="189">
        <v>47</v>
      </c>
      <c r="L50" s="191">
        <f t="shared" si="4"/>
        <v>0</v>
      </c>
      <c r="M50" s="185">
        <f t="shared" si="13"/>
        <v>0</v>
      </c>
      <c r="N50" s="185">
        <f t="shared" si="5"/>
        <v>0</v>
      </c>
      <c r="O50" s="185" t="str">
        <f>IF(AND(R50&lt;&gt;0.62/3600,R50&lt;&gt;0),FORECAST(M50,'1_2.3'!$N$9:$N$10,'1_2.3'!$G$9:$G$10),"nn")</f>
        <v>nn</v>
      </c>
      <c r="P50" s="185">
        <f t="shared" si="14"/>
        <v>1655.2681423746067</v>
      </c>
      <c r="Q50" s="213">
        <f t="shared" si="11"/>
        <v>1.7222222222222221E-4</v>
      </c>
      <c r="R50" s="207">
        <f t="shared" si="15"/>
        <v>1.7222222222222221E-4</v>
      </c>
    </row>
    <row r="51" spans="8:18" x14ac:dyDescent="0.2">
      <c r="H51" s="189">
        <v>128</v>
      </c>
      <c r="I51" s="190">
        <f t="shared" si="16"/>
        <v>5.8760683760683756</v>
      </c>
      <c r="K51" s="189">
        <v>48</v>
      </c>
      <c r="L51" s="191">
        <f t="shared" si="4"/>
        <v>0</v>
      </c>
      <c r="M51" s="185">
        <f t="shared" si="13"/>
        <v>0</v>
      </c>
      <c r="N51" s="185">
        <f t="shared" si="5"/>
        <v>0</v>
      </c>
      <c r="O51" s="185" t="str">
        <f>IF(AND(R51&lt;&gt;0.62/3600,R51&lt;&gt;0),FORECAST(M51,'1_2.3'!$N$9:$N$10,'1_2.3'!$G$9:$G$10),"nn")</f>
        <v>nn</v>
      </c>
      <c r="P51" s="185">
        <f t="shared" si="14"/>
        <v>1655.2681423746067</v>
      </c>
      <c r="Q51" s="213">
        <f t="shared" si="11"/>
        <v>1.7222222222222221E-4</v>
      </c>
      <c r="R51" s="207">
        <f t="shared" si="15"/>
        <v>1.7222222222222221E-4</v>
      </c>
    </row>
    <row r="52" spans="8:18" x14ac:dyDescent="0.2">
      <c r="H52" s="189">
        <v>129</v>
      </c>
      <c r="I52" s="190">
        <f t="shared" si="16"/>
        <v>6.4102564102564106</v>
      </c>
      <c r="K52" s="189">
        <v>49</v>
      </c>
      <c r="L52" s="191">
        <f t="shared" si="4"/>
        <v>0</v>
      </c>
      <c r="M52" s="185">
        <f t="shared" si="13"/>
        <v>0</v>
      </c>
      <c r="N52" s="185">
        <f t="shared" si="5"/>
        <v>0.37037037037037041</v>
      </c>
      <c r="O52" s="185" t="str">
        <f>IF(AND(R52&lt;&gt;0.62/3600,R52&lt;&gt;0),FORECAST(M52,'1_2.3'!$N$9:$N$10,'1_2.3'!$G$9:$G$10),"nn")</f>
        <v>nn</v>
      </c>
      <c r="P52" s="185">
        <f t="shared" si="14"/>
        <v>1655.2681423746067</v>
      </c>
      <c r="Q52" s="213">
        <f t="shared" si="11"/>
        <v>1.7222222222222221E-4</v>
      </c>
      <c r="R52" s="207">
        <f t="shared" si="15"/>
        <v>1.7222222222222221E-4</v>
      </c>
    </row>
    <row r="53" spans="8:18" x14ac:dyDescent="0.2">
      <c r="H53" s="189">
        <v>130</v>
      </c>
      <c r="I53" s="190">
        <f t="shared" si="16"/>
        <v>6.9444444444444446</v>
      </c>
      <c r="K53" s="189">
        <v>50</v>
      </c>
      <c r="L53" s="191">
        <f t="shared" si="4"/>
        <v>2.666666666666667</v>
      </c>
      <c r="M53" s="185">
        <f t="shared" si="13"/>
        <v>0.74074074074074081</v>
      </c>
      <c r="N53" s="185">
        <f t="shared" si="5"/>
        <v>1.1111111111111112</v>
      </c>
      <c r="O53" s="185">
        <f>IF(AND(R53&lt;&gt;0.62/3600,R53&lt;&gt;0),FORECAST(M53,'1_2.3'!$N$9:$N$10,'1_2.3'!$G$9:$G$10),"nn")</f>
        <v>205.88268210483702</v>
      </c>
      <c r="P53" s="185">
        <f t="shared" si="14"/>
        <v>1655.2681423746067</v>
      </c>
      <c r="Q53" s="213">
        <f t="shared" si="11"/>
        <v>5.1885334392030933E-5</v>
      </c>
      <c r="R53" s="202" t="str">
        <f t="shared" si="9"/>
        <v>expression</v>
      </c>
    </row>
    <row r="54" spans="8:18" x14ac:dyDescent="0.2">
      <c r="H54" s="189">
        <v>131</v>
      </c>
      <c r="I54" s="190">
        <f t="shared" si="16"/>
        <v>7.4786324786324787</v>
      </c>
      <c r="K54" s="189">
        <v>51</v>
      </c>
      <c r="L54" s="191">
        <f t="shared" si="4"/>
        <v>5.3333333333333339</v>
      </c>
      <c r="M54" s="185">
        <f t="shared" si="13"/>
        <v>1.4814814814814816</v>
      </c>
      <c r="N54" s="185">
        <f t="shared" si="5"/>
        <v>1.8518518518518521</v>
      </c>
      <c r="O54" s="185">
        <f>IF(AND(R54&lt;&gt;0.62/3600,R54&lt;&gt;0),FORECAST(M54,'1_2.3'!$N$9:$N$10,'1_2.3'!$G$9:$G$10),"nn")</f>
        <v>205.02650012943221</v>
      </c>
      <c r="P54" s="185">
        <f t="shared" si="14"/>
        <v>1655.2681423746067</v>
      </c>
      <c r="Q54" s="213">
        <f t="shared" si="11"/>
        <v>1.5506867576304254E-4</v>
      </c>
      <c r="R54" s="202" t="str">
        <f t="shared" si="9"/>
        <v>expression</v>
      </c>
    </row>
    <row r="55" spans="8:18" x14ac:dyDescent="0.2">
      <c r="H55" s="189">
        <v>132</v>
      </c>
      <c r="I55" s="190">
        <f t="shared" si="16"/>
        <v>8.0128205128205128</v>
      </c>
      <c r="K55" s="189">
        <v>52</v>
      </c>
      <c r="L55" s="191">
        <f t="shared" si="4"/>
        <v>8</v>
      </c>
      <c r="M55" s="185">
        <f t="shared" si="13"/>
        <v>2.2222222222222223</v>
      </c>
      <c r="N55" s="185">
        <f t="shared" si="5"/>
        <v>2.5925925925925926</v>
      </c>
      <c r="O55" s="185">
        <f>IF(AND(R55&lt;&gt;0.62/3600,R55&lt;&gt;0),FORECAST(M55,'1_2.3'!$N$9:$N$10,'1_2.3'!$G$9:$G$10),"nn")</f>
        <v>204.17031815402743</v>
      </c>
      <c r="P55" s="185">
        <f t="shared" si="14"/>
        <v>1655.2681423746067</v>
      </c>
      <c r="Q55" s="213">
        <f t="shared" si="11"/>
        <v>2.5756763203417418E-4</v>
      </c>
      <c r="R55" s="202" t="str">
        <f t="shared" si="9"/>
        <v>expression</v>
      </c>
    </row>
    <row r="56" spans="8:18" x14ac:dyDescent="0.2">
      <c r="H56" s="189">
        <v>133</v>
      </c>
      <c r="I56" s="190">
        <f t="shared" si="16"/>
        <v>8.5470085470085468</v>
      </c>
      <c r="K56" s="189">
        <v>53</v>
      </c>
      <c r="L56" s="191">
        <f t="shared" si="4"/>
        <v>10.666666666666668</v>
      </c>
      <c r="M56" s="185">
        <f t="shared" si="13"/>
        <v>2.9629629629629632</v>
      </c>
      <c r="N56" s="185">
        <f t="shared" si="5"/>
        <v>3.3333333333333339</v>
      </c>
      <c r="O56" s="185">
        <f>IF(AND(R56&lt;&gt;0.62/3600,R56&lt;&gt;0),FORECAST(M56,'1_2.3'!$N$9:$N$10,'1_2.3'!$G$9:$G$10),"nn")</f>
        <v>203.31413617862265</v>
      </c>
      <c r="P56" s="185">
        <f t="shared" si="14"/>
        <v>1655.2681423746067</v>
      </c>
      <c r="Q56" s="213">
        <f t="shared" si="11"/>
        <v>3.5949891156102521E-4</v>
      </c>
      <c r="R56" s="202" t="str">
        <f t="shared" si="9"/>
        <v>expression</v>
      </c>
    </row>
    <row r="57" spans="8:18" x14ac:dyDescent="0.2">
      <c r="H57" s="189">
        <v>134</v>
      </c>
      <c r="I57" s="190">
        <f t="shared" si="16"/>
        <v>9.0811965811965809</v>
      </c>
      <c r="K57" s="189">
        <v>54</v>
      </c>
      <c r="L57" s="191">
        <f t="shared" si="4"/>
        <v>13.333333333333336</v>
      </c>
      <c r="M57" s="185">
        <f t="shared" si="13"/>
        <v>3.7037037037037042</v>
      </c>
      <c r="N57" s="185">
        <f t="shared" si="5"/>
        <v>4.0740740740740744</v>
      </c>
      <c r="O57" s="185">
        <f>IF(AND(R57&lt;&gt;0.62/3600,R57&lt;&gt;0),FORECAST(M57,'1_2.3'!$N$9:$N$10,'1_2.3'!$G$9:$G$10),"nn")</f>
        <v>202.45795420321784</v>
      </c>
      <c r="P57" s="185">
        <f t="shared" si="14"/>
        <v>1655.2681423746067</v>
      </c>
      <c r="Q57" s="213">
        <f t="shared" si="11"/>
        <v>4.6097721883013815E-4</v>
      </c>
      <c r="R57" s="202" t="str">
        <f t="shared" si="9"/>
        <v>expression</v>
      </c>
    </row>
    <row r="58" spans="8:18" x14ac:dyDescent="0.2">
      <c r="H58" s="189">
        <v>135</v>
      </c>
      <c r="I58" s="190">
        <f t="shared" si="16"/>
        <v>9.615384615384615</v>
      </c>
      <c r="K58" s="189">
        <v>55</v>
      </c>
      <c r="L58" s="191">
        <f t="shared" si="4"/>
        <v>16</v>
      </c>
      <c r="M58" s="185">
        <f t="shared" si="13"/>
        <v>4.4444444444444446</v>
      </c>
      <c r="N58" s="185">
        <f t="shared" si="5"/>
        <v>4.8148148148148149</v>
      </c>
      <c r="O58" s="185">
        <f>IF(AND(R58&lt;&gt;0.62/3600,R58&lt;&gt;0),FORECAST(M58,'1_2.3'!$N$9:$N$10,'1_2.3'!$G$9:$G$10),"nn")</f>
        <v>201.60177222781306</v>
      </c>
      <c r="P58" s="185">
        <f t="shared" si="14"/>
        <v>1655.2681423746067</v>
      </c>
      <c r="Q58" s="213">
        <f t="shared" si="11"/>
        <v>5.6211525445899822E-4</v>
      </c>
      <c r="R58" s="202" t="str">
        <f t="shared" si="9"/>
        <v>expression</v>
      </c>
    </row>
    <row r="59" spans="8:18" x14ac:dyDescent="0.2">
      <c r="H59" s="189">
        <v>136</v>
      </c>
      <c r="I59" s="190">
        <f t="shared" si="16"/>
        <v>10.149572649572649</v>
      </c>
      <c r="K59" s="189">
        <v>56</v>
      </c>
      <c r="L59" s="191">
        <f t="shared" si="4"/>
        <v>18.666666666666671</v>
      </c>
      <c r="M59" s="185">
        <f t="shared" si="13"/>
        <v>5.185185185185186</v>
      </c>
      <c r="N59" s="185">
        <f t="shared" si="5"/>
        <v>5.5555555555555562</v>
      </c>
      <c r="O59" s="185">
        <f>IF(AND(R59&lt;&gt;0.62/3600,R59&lt;&gt;0),FORECAST(M59,'1_2.3'!$N$9:$N$10,'1_2.3'!$G$9:$G$10),"nn")</f>
        <v>200.74559025240828</v>
      </c>
      <c r="P59" s="185">
        <f t="shared" si="14"/>
        <v>1655.2681423746067</v>
      </c>
      <c r="Q59" s="213">
        <f t="shared" si="11"/>
        <v>6.630237151960351E-4</v>
      </c>
      <c r="R59" s="202" t="str">
        <f t="shared" si="9"/>
        <v>expression</v>
      </c>
    </row>
    <row r="60" spans="8:18" x14ac:dyDescent="0.2">
      <c r="H60" s="189">
        <v>137</v>
      </c>
      <c r="I60" s="190">
        <f t="shared" si="16"/>
        <v>10.683760683760683</v>
      </c>
      <c r="K60" s="189">
        <v>57</v>
      </c>
      <c r="L60" s="191">
        <f t="shared" si="4"/>
        <v>21.333333333333336</v>
      </c>
      <c r="M60" s="185">
        <f t="shared" si="13"/>
        <v>5.9259259259259265</v>
      </c>
      <c r="N60" s="185">
        <f t="shared" si="5"/>
        <v>6.2962962962962967</v>
      </c>
      <c r="O60" s="185">
        <f>IF(AND(R60&lt;&gt;0.62/3600,R60&lt;&gt;0),FORECAST(M60,'1_2.3'!$N$9:$N$10,'1_2.3'!$G$9:$G$10),"nn")</f>
        <v>199.88940827700347</v>
      </c>
      <c r="P60" s="185">
        <f t="shared" si="14"/>
        <v>1655.2681423746067</v>
      </c>
      <c r="Q60" s="213">
        <f t="shared" si="11"/>
        <v>7.638112939206184E-4</v>
      </c>
      <c r="R60" s="202" t="str">
        <f t="shared" si="9"/>
        <v>expression</v>
      </c>
    </row>
    <row r="61" spans="8:18" x14ac:dyDescent="0.2">
      <c r="H61" s="189">
        <v>138</v>
      </c>
      <c r="I61" s="190">
        <f t="shared" si="16"/>
        <v>11.217948717948717</v>
      </c>
      <c r="K61" s="189">
        <v>58</v>
      </c>
      <c r="L61" s="191">
        <f t="shared" si="4"/>
        <v>24</v>
      </c>
      <c r="M61" s="185">
        <f t="shared" si="13"/>
        <v>6.666666666666667</v>
      </c>
      <c r="N61" s="185">
        <f t="shared" si="5"/>
        <v>7.0370370370370381</v>
      </c>
      <c r="O61" s="185">
        <f>IF(AND(R61&lt;&gt;0.62/3600,R61&lt;&gt;0),FORECAST(M61,'1_2.3'!$N$9:$N$10,'1_2.3'!$G$9:$G$10),"nn")</f>
        <v>199.03322630159869</v>
      </c>
      <c r="P61" s="185">
        <f t="shared" si="14"/>
        <v>1655.2681423746067</v>
      </c>
      <c r="Q61" s="213">
        <f t="shared" si="11"/>
        <v>8.6458467964306486E-4</v>
      </c>
      <c r="R61" s="202" t="str">
        <f t="shared" si="9"/>
        <v>expression</v>
      </c>
    </row>
    <row r="62" spans="8:18" x14ac:dyDescent="0.2">
      <c r="H62" s="189">
        <v>139</v>
      </c>
      <c r="I62" s="190">
        <f t="shared" si="16"/>
        <v>11.752136752136751</v>
      </c>
      <c r="K62" s="189">
        <v>59</v>
      </c>
      <c r="L62" s="191">
        <f t="shared" si="4"/>
        <v>26.666666666666671</v>
      </c>
      <c r="M62" s="185">
        <f t="shared" si="13"/>
        <v>7.4074074074074083</v>
      </c>
      <c r="N62" s="185">
        <f t="shared" si="5"/>
        <v>7.7777777777777786</v>
      </c>
      <c r="O62" s="185">
        <f>IF(AND(R62&lt;&gt;0.62/3600,R62&lt;&gt;0),FORECAST(M62,'1_2.3'!$N$9:$N$10,'1_2.3'!$G$9:$G$10),"nn")</f>
        <v>198.17704432619391</v>
      </c>
      <c r="P62" s="185">
        <f t="shared" si="14"/>
        <v>1655.2681423746067</v>
      </c>
      <c r="Q62" s="213">
        <f t="shared" si="11"/>
        <v>9.6544855750463213E-4</v>
      </c>
      <c r="R62" s="202" t="str">
        <f t="shared" si="9"/>
        <v>expression</v>
      </c>
    </row>
    <row r="63" spans="8:18" x14ac:dyDescent="0.2">
      <c r="H63" s="189">
        <v>140</v>
      </c>
      <c r="I63" s="190">
        <f t="shared" si="16"/>
        <v>12.286324786324785</v>
      </c>
      <c r="K63" s="189">
        <v>60</v>
      </c>
      <c r="L63" s="191">
        <f t="shared" si="4"/>
        <v>29.333333333333336</v>
      </c>
      <c r="M63" s="185">
        <f t="shared" si="13"/>
        <v>8.1481481481481488</v>
      </c>
      <c r="N63" s="185">
        <f t="shared" si="5"/>
        <v>8.518518518518519</v>
      </c>
      <c r="O63" s="185">
        <f>IF(AND(R63&lt;&gt;0.62/3600,R63&lt;&gt;0),FORECAST(M63,'1_2.3'!$N$9:$N$10,'1_2.3'!$G$9:$G$10),"nn")</f>
        <v>197.3208623507891</v>
      </c>
      <c r="P63" s="185">
        <f t="shared" si="14"/>
        <v>1655.2681423746067</v>
      </c>
      <c r="Q63" s="213">
        <f t="shared" si="11"/>
        <v>1.0665056087775186E-3</v>
      </c>
      <c r="R63" s="202" t="str">
        <f t="shared" si="9"/>
        <v>expression</v>
      </c>
    </row>
    <row r="64" spans="8:18" x14ac:dyDescent="0.2">
      <c r="H64" s="189">
        <v>141</v>
      </c>
      <c r="I64" s="190">
        <f t="shared" si="16"/>
        <v>12.820512820512821</v>
      </c>
      <c r="K64" s="189">
        <v>61</v>
      </c>
      <c r="L64" s="191">
        <f t="shared" si="4"/>
        <v>32</v>
      </c>
      <c r="M64" s="185">
        <f t="shared" si="13"/>
        <v>8.8888888888888893</v>
      </c>
      <c r="N64" s="185">
        <f t="shared" si="5"/>
        <v>8.8888888888888893</v>
      </c>
      <c r="O64" s="185">
        <f>IF(AND(R64&lt;&gt;0.62/3600,R64&lt;&gt;0),FORECAST(M64,'1_2.3'!$N$9:$N$10,'1_2.3'!$G$9:$G$10),"nn")</f>
        <v>196.46468037538432</v>
      </c>
      <c r="P64" s="185">
        <f t="shared" si="14"/>
        <v>1655.2681423746067</v>
      </c>
      <c r="Q64" s="213">
        <f t="shared" si="11"/>
        <v>1.1678565108648709E-3</v>
      </c>
      <c r="R64" s="202" t="str">
        <f t="shared" si="9"/>
        <v>expression</v>
      </c>
    </row>
    <row r="65" spans="8:18" x14ac:dyDescent="0.2">
      <c r="H65" s="189">
        <v>142</v>
      </c>
      <c r="I65" s="190">
        <f t="shared" si="16"/>
        <v>13.354700854700855</v>
      </c>
      <c r="K65" s="189">
        <v>62</v>
      </c>
      <c r="L65" s="191">
        <f t="shared" si="4"/>
        <v>32</v>
      </c>
      <c r="M65" s="185">
        <f t="shared" si="13"/>
        <v>8.8888888888888893</v>
      </c>
      <c r="N65" s="185">
        <f t="shared" si="5"/>
        <v>8.8888888888888893</v>
      </c>
      <c r="O65" s="185">
        <f>IF(AND(R65&lt;&gt;0.62/3600,R65&lt;&gt;0),FORECAST(M65,'1_2.3'!$N$9:$N$10,'1_2.3'!$G$9:$G$10),"nn")</f>
        <v>196.46468037538432</v>
      </c>
      <c r="P65" s="185">
        <f t="shared" si="14"/>
        <v>1655.2681423746067</v>
      </c>
      <c r="Q65" s="213">
        <f t="shared" si="11"/>
        <v>1.4200128822928443E-4</v>
      </c>
      <c r="R65" s="202" t="str">
        <f t="shared" si="9"/>
        <v>expression</v>
      </c>
    </row>
    <row r="66" spans="8:18" x14ac:dyDescent="0.2">
      <c r="H66" s="189">
        <v>143</v>
      </c>
      <c r="I66" s="190">
        <f t="shared" si="16"/>
        <v>13.888888888888889</v>
      </c>
      <c r="K66" s="189">
        <v>63</v>
      </c>
      <c r="L66" s="191">
        <f t="shared" si="4"/>
        <v>32</v>
      </c>
      <c r="M66" s="185">
        <f t="shared" si="13"/>
        <v>8.8888888888888893</v>
      </c>
      <c r="N66" s="185">
        <f t="shared" si="5"/>
        <v>8.8888888888888893</v>
      </c>
      <c r="O66" s="185">
        <f>IF(AND(R66&lt;&gt;0.62/3600,R66&lt;&gt;0),FORECAST(M66,'1_2.3'!$N$9:$N$10,'1_2.3'!$G$9:$G$10),"nn")</f>
        <v>196.46468037538432</v>
      </c>
      <c r="P66" s="185">
        <f t="shared" si="14"/>
        <v>1655.2681423746067</v>
      </c>
      <c r="Q66" s="213">
        <f t="shared" si="11"/>
        <v>1.4200128822928443E-4</v>
      </c>
      <c r="R66" s="202" t="str">
        <f t="shared" si="9"/>
        <v>expression</v>
      </c>
    </row>
    <row r="67" spans="8:18" x14ac:dyDescent="0.2">
      <c r="H67" s="189">
        <v>155</v>
      </c>
      <c r="I67" s="190">
        <f>I66</f>
        <v>13.888888888888889</v>
      </c>
      <c r="K67" s="189">
        <v>64</v>
      </c>
      <c r="L67" s="191">
        <f t="shared" si="4"/>
        <v>32</v>
      </c>
      <c r="M67" s="185">
        <f t="shared" ref="M67:M98" si="17">VLOOKUP(K67,$H$3:$I$88,2,TRUE)</f>
        <v>8.8888888888888893</v>
      </c>
      <c r="N67" s="185">
        <f t="shared" si="5"/>
        <v>8.8888888888888893</v>
      </c>
      <c r="O67" s="185">
        <f>IF(AND(R67&lt;&gt;0.62/3600,R67&lt;&gt;0),FORECAST(M67,'1_2.3'!$N$9:$N$10,'1_2.3'!$G$9:$G$10),"nn")</f>
        <v>196.46468037538432</v>
      </c>
      <c r="P67" s="185">
        <f t="shared" ref="P67:P98" si="18">VLOOKUP(M67,meq,2)</f>
        <v>1655.2681423746067</v>
      </c>
      <c r="Q67" s="213">
        <f t="shared" si="11"/>
        <v>1.4200128822928443E-4</v>
      </c>
      <c r="R67" s="202" t="str">
        <f t="shared" si="9"/>
        <v>expression</v>
      </c>
    </row>
    <row r="68" spans="8:18" x14ac:dyDescent="0.2">
      <c r="H68" s="189">
        <v>156</v>
      </c>
      <c r="I68" s="190">
        <f>$E$13+(($E$15-$E$14)/($C$15-$C$14))*(H68-$C$14)</f>
        <v>13.263888888888889</v>
      </c>
      <c r="K68" s="189">
        <v>65</v>
      </c>
      <c r="L68" s="191">
        <f t="shared" ref="L68:L131" si="19">M68*3.6</f>
        <v>32</v>
      </c>
      <c r="M68" s="185">
        <f t="shared" si="17"/>
        <v>8.8888888888888893</v>
      </c>
      <c r="N68" s="185">
        <f t="shared" ref="N68:N131" si="20">(M68+M69)/2</f>
        <v>8.8888888888888893</v>
      </c>
      <c r="O68" s="185">
        <f>IF(AND(R68&lt;&gt;0.62/3600,R68&lt;&gt;0),FORECAST(M68,'1_2.3'!$N$9:$N$10,'1_2.3'!$G$9:$G$10),"nn")</f>
        <v>196.46468037538432</v>
      </c>
      <c r="P68" s="185">
        <f t="shared" si="18"/>
        <v>1655.2681423746067</v>
      </c>
      <c r="Q68" s="213">
        <f t="shared" si="11"/>
        <v>1.4200128822928443E-4</v>
      </c>
      <c r="R68" s="202" t="str">
        <f t="shared" si="9"/>
        <v>expression</v>
      </c>
    </row>
    <row r="69" spans="8:18" x14ac:dyDescent="0.2">
      <c r="H69" s="189">
        <v>157</v>
      </c>
      <c r="I69" s="190">
        <f t="shared" ref="I69:I75" si="21">$E$13+(($E$15-$E$14)/($C$15-$C$14))*(H69-$C$14)</f>
        <v>12.638888888888889</v>
      </c>
      <c r="K69" s="189">
        <v>66</v>
      </c>
      <c r="L69" s="191">
        <f t="shared" si="19"/>
        <v>32</v>
      </c>
      <c r="M69" s="185">
        <f t="shared" si="17"/>
        <v>8.8888888888888893</v>
      </c>
      <c r="N69" s="185">
        <f t="shared" si="20"/>
        <v>8.8888888888888893</v>
      </c>
      <c r="O69" s="185">
        <f>IF(AND(R69&lt;&gt;0.62/3600,R69&lt;&gt;0),FORECAST(M69,'1_2.3'!$N$9:$N$10,'1_2.3'!$G$9:$G$10),"nn")</f>
        <v>196.46468037538432</v>
      </c>
      <c r="P69" s="185">
        <f t="shared" si="18"/>
        <v>1655.2681423746067</v>
      </c>
      <c r="Q69" s="213">
        <f t="shared" si="11"/>
        <v>1.4200128822928443E-4</v>
      </c>
      <c r="R69" s="202" t="str">
        <f t="shared" ref="R69:R132" si="22">IF(M69=0,0.62*(K70-K69),IF((M69-M68)&lt;0,0,"expression"))</f>
        <v>expression</v>
      </c>
    </row>
    <row r="70" spans="8:18" x14ac:dyDescent="0.2">
      <c r="H70" s="189">
        <v>158</v>
      </c>
      <c r="I70" s="190">
        <f t="shared" si="21"/>
        <v>12.013888888888889</v>
      </c>
      <c r="K70" s="189">
        <v>67</v>
      </c>
      <c r="L70" s="191">
        <f t="shared" si="19"/>
        <v>32</v>
      </c>
      <c r="M70" s="185">
        <f t="shared" si="17"/>
        <v>8.8888888888888893</v>
      </c>
      <c r="N70" s="185">
        <f t="shared" si="20"/>
        <v>8.8888888888888893</v>
      </c>
      <c r="O70" s="185">
        <f>IF(AND(R70&lt;&gt;0.62/3600,R70&lt;&gt;0),FORECAST(M70,'1_2.3'!$N$9:$N$10,'1_2.3'!$G$9:$G$10),"nn")</f>
        <v>196.46468037538432</v>
      </c>
      <c r="P70" s="185">
        <f t="shared" si="18"/>
        <v>1655.2681423746067</v>
      </c>
      <c r="Q70" s="213">
        <f t="shared" si="11"/>
        <v>1.4200128822928443E-4</v>
      </c>
      <c r="R70" s="202" t="str">
        <f t="shared" si="22"/>
        <v>expression</v>
      </c>
    </row>
    <row r="71" spans="8:18" x14ac:dyDescent="0.2">
      <c r="H71" s="189">
        <v>159</v>
      </c>
      <c r="I71" s="190">
        <f t="shared" si="21"/>
        <v>11.388888888888889</v>
      </c>
      <c r="K71" s="189">
        <v>68</v>
      </c>
      <c r="L71" s="191">
        <f t="shared" si="19"/>
        <v>32</v>
      </c>
      <c r="M71" s="185">
        <f t="shared" si="17"/>
        <v>8.8888888888888893</v>
      </c>
      <c r="N71" s="185">
        <f t="shared" si="20"/>
        <v>8.8888888888888893</v>
      </c>
      <c r="O71" s="185">
        <f>IF(AND(R71&lt;&gt;0.62/3600,R71&lt;&gt;0),FORECAST(M71,'1_2.3'!$N$9:$N$10,'1_2.3'!$G$9:$G$10),"nn")</f>
        <v>196.46468037538432</v>
      </c>
      <c r="P71" s="185">
        <f t="shared" si="18"/>
        <v>1655.2681423746067</v>
      </c>
      <c r="Q71" s="213">
        <f t="shared" si="11"/>
        <v>1.4200128822928443E-4</v>
      </c>
      <c r="R71" s="202" t="str">
        <f t="shared" si="22"/>
        <v>expression</v>
      </c>
    </row>
    <row r="72" spans="8:18" x14ac:dyDescent="0.2">
      <c r="H72" s="189">
        <v>160</v>
      </c>
      <c r="I72" s="190">
        <f t="shared" si="21"/>
        <v>10.763888888888889</v>
      </c>
      <c r="K72" s="189">
        <v>69</v>
      </c>
      <c r="L72" s="191">
        <f t="shared" si="19"/>
        <v>32</v>
      </c>
      <c r="M72" s="185">
        <f t="shared" si="17"/>
        <v>8.8888888888888893</v>
      </c>
      <c r="N72" s="185">
        <f t="shared" si="20"/>
        <v>8.8888888888888893</v>
      </c>
      <c r="O72" s="185">
        <f>IF(AND(R72&lt;&gt;0.62/3600,R72&lt;&gt;0),FORECAST(M72,'1_2.3'!$N$9:$N$10,'1_2.3'!$G$9:$G$10),"nn")</f>
        <v>196.46468037538432</v>
      </c>
      <c r="P72" s="185">
        <f t="shared" si="18"/>
        <v>1655.2681423746067</v>
      </c>
      <c r="Q72" s="213">
        <f t="shared" si="11"/>
        <v>1.4200128822928443E-4</v>
      </c>
      <c r="R72" s="202" t="str">
        <f t="shared" si="22"/>
        <v>expression</v>
      </c>
    </row>
    <row r="73" spans="8:18" x14ac:dyDescent="0.2">
      <c r="H73" s="189">
        <v>161</v>
      </c>
      <c r="I73" s="190">
        <f t="shared" si="21"/>
        <v>10.138888888888889</v>
      </c>
      <c r="K73" s="189">
        <v>70</v>
      </c>
      <c r="L73" s="191">
        <f t="shared" si="19"/>
        <v>32</v>
      </c>
      <c r="M73" s="185">
        <f t="shared" si="17"/>
        <v>8.8888888888888893</v>
      </c>
      <c r="N73" s="185">
        <f t="shared" si="20"/>
        <v>8.8888888888888893</v>
      </c>
      <c r="O73" s="185">
        <f>IF(AND(R73&lt;&gt;0.62/3600,R73&lt;&gt;0),FORECAST(M73,'1_2.3'!$N$9:$N$10,'1_2.3'!$G$9:$G$10),"nn")</f>
        <v>196.46468037538432</v>
      </c>
      <c r="P73" s="185">
        <f t="shared" si="18"/>
        <v>1655.2681423746067</v>
      </c>
      <c r="Q73" s="213">
        <f t="shared" si="11"/>
        <v>1.4200128822928443E-4</v>
      </c>
      <c r="R73" s="202" t="str">
        <f t="shared" si="22"/>
        <v>expression</v>
      </c>
    </row>
    <row r="74" spans="8:18" x14ac:dyDescent="0.2">
      <c r="H74" s="189">
        <v>162</v>
      </c>
      <c r="I74" s="190">
        <f t="shared" si="21"/>
        <v>9.5138888888888893</v>
      </c>
      <c r="K74" s="189">
        <v>71</v>
      </c>
      <c r="L74" s="191">
        <f t="shared" si="19"/>
        <v>32</v>
      </c>
      <c r="M74" s="185">
        <f t="shared" si="17"/>
        <v>8.8888888888888893</v>
      </c>
      <c r="N74" s="185">
        <f t="shared" si="20"/>
        <v>8.8888888888888893</v>
      </c>
      <c r="O74" s="185">
        <f>IF(AND(R74&lt;&gt;0.62/3600,R74&lt;&gt;0),FORECAST(M74,'1_2.3'!$N$9:$N$10,'1_2.3'!$G$9:$G$10),"nn")</f>
        <v>196.46468037538432</v>
      </c>
      <c r="P74" s="185">
        <f t="shared" si="18"/>
        <v>1655.2681423746067</v>
      </c>
      <c r="Q74" s="213">
        <f t="shared" si="11"/>
        <v>1.4200128822928443E-4</v>
      </c>
      <c r="R74" s="202" t="str">
        <f t="shared" si="22"/>
        <v>expression</v>
      </c>
    </row>
    <row r="75" spans="8:18" x14ac:dyDescent="0.2">
      <c r="H75" s="189">
        <v>163</v>
      </c>
      <c r="I75" s="190">
        <f t="shared" si="21"/>
        <v>8.8888888888888893</v>
      </c>
      <c r="K75" s="189">
        <v>72</v>
      </c>
      <c r="L75" s="191">
        <f t="shared" si="19"/>
        <v>32</v>
      </c>
      <c r="M75" s="185">
        <f t="shared" si="17"/>
        <v>8.8888888888888893</v>
      </c>
      <c r="N75" s="185">
        <f t="shared" si="20"/>
        <v>8.8888888888888893</v>
      </c>
      <c r="O75" s="185">
        <f>IF(AND(R75&lt;&gt;0.62/3600,R75&lt;&gt;0),FORECAST(M75,'1_2.3'!$N$9:$N$10,'1_2.3'!$G$9:$G$10),"nn")</f>
        <v>196.46468037538432</v>
      </c>
      <c r="P75" s="185">
        <f t="shared" si="18"/>
        <v>1655.2681423746067</v>
      </c>
      <c r="Q75" s="213">
        <f t="shared" si="11"/>
        <v>1.4200128822928443E-4</v>
      </c>
      <c r="R75" s="202" t="str">
        <f t="shared" si="22"/>
        <v>expression</v>
      </c>
    </row>
    <row r="76" spans="8:18" x14ac:dyDescent="0.2">
      <c r="H76" s="189">
        <v>176</v>
      </c>
      <c r="I76" s="190">
        <f>I75</f>
        <v>8.8888888888888893</v>
      </c>
      <c r="K76" s="189">
        <v>73</v>
      </c>
      <c r="L76" s="191">
        <f t="shared" si="19"/>
        <v>32</v>
      </c>
      <c r="M76" s="185">
        <f t="shared" si="17"/>
        <v>8.8888888888888893</v>
      </c>
      <c r="N76" s="185">
        <f t="shared" si="20"/>
        <v>8.8888888888888893</v>
      </c>
      <c r="O76" s="185">
        <f>IF(AND(R76&lt;&gt;0.62/3600,R76&lt;&gt;0),FORECAST(M76,'1_2.3'!$N$9:$N$10,'1_2.3'!$G$9:$G$10),"nn")</f>
        <v>196.46468037538432</v>
      </c>
      <c r="P76" s="185">
        <f t="shared" si="18"/>
        <v>1655.2681423746067</v>
      </c>
      <c r="Q76" s="213">
        <f t="shared" si="11"/>
        <v>1.4200128822928443E-4</v>
      </c>
      <c r="R76" s="202" t="str">
        <f t="shared" si="22"/>
        <v>expression</v>
      </c>
    </row>
    <row r="77" spans="8:18" x14ac:dyDescent="0.2">
      <c r="H77" s="189">
        <v>177</v>
      </c>
      <c r="I77" s="190">
        <f>$E$15+(($E$17-$E$16)/($C$17-$C$16))*(H77-$C$16)</f>
        <v>8.1481481481481488</v>
      </c>
      <c r="K77" s="189">
        <v>74</v>
      </c>
      <c r="L77" s="191">
        <f t="shared" si="19"/>
        <v>32</v>
      </c>
      <c r="M77" s="185">
        <f t="shared" si="17"/>
        <v>8.8888888888888893</v>
      </c>
      <c r="N77" s="185">
        <f t="shared" si="20"/>
        <v>8.8888888888888893</v>
      </c>
      <c r="O77" s="185">
        <f>IF(AND(R77&lt;&gt;0.62/3600,R77&lt;&gt;0),FORECAST(M77,'1_2.3'!$N$9:$N$10,'1_2.3'!$G$9:$G$10),"nn")</f>
        <v>196.46468037538432</v>
      </c>
      <c r="P77" s="185">
        <f t="shared" si="18"/>
        <v>1655.2681423746067</v>
      </c>
      <c r="Q77" s="213">
        <f t="shared" si="11"/>
        <v>1.4200128822928443E-4</v>
      </c>
      <c r="R77" s="202" t="str">
        <f t="shared" si="22"/>
        <v>expression</v>
      </c>
    </row>
    <row r="78" spans="8:18" x14ac:dyDescent="0.2">
      <c r="H78" s="189">
        <v>178</v>
      </c>
      <c r="I78" s="190">
        <f t="shared" ref="I78:I88" si="23">$E$15+(($E$17-$E$16)/($C$17-$C$16))*(H78-$C$16)</f>
        <v>7.4074074074074074</v>
      </c>
      <c r="K78" s="189">
        <v>75</v>
      </c>
      <c r="L78" s="191">
        <f t="shared" si="19"/>
        <v>32</v>
      </c>
      <c r="M78" s="185">
        <f t="shared" si="17"/>
        <v>8.8888888888888893</v>
      </c>
      <c r="N78" s="185">
        <f t="shared" si="20"/>
        <v>8.8888888888888893</v>
      </c>
      <c r="O78" s="185">
        <f>IF(AND(R78&lt;&gt;0.62/3600,R78&lt;&gt;0),FORECAST(M78,'1_2.3'!$N$9:$N$10,'1_2.3'!$G$9:$G$10),"nn")</f>
        <v>196.46468037538432</v>
      </c>
      <c r="P78" s="185">
        <f t="shared" si="18"/>
        <v>1655.2681423746067</v>
      </c>
      <c r="Q78" s="213">
        <f t="shared" si="11"/>
        <v>1.4200128822928443E-4</v>
      </c>
      <c r="R78" s="202" t="str">
        <f t="shared" si="22"/>
        <v>expression</v>
      </c>
    </row>
    <row r="79" spans="8:18" x14ac:dyDescent="0.2">
      <c r="H79" s="189">
        <v>179</v>
      </c>
      <c r="I79" s="190">
        <f t="shared" si="23"/>
        <v>6.666666666666667</v>
      </c>
      <c r="K79" s="189">
        <v>76</v>
      </c>
      <c r="L79" s="191">
        <f t="shared" si="19"/>
        <v>32</v>
      </c>
      <c r="M79" s="185">
        <f t="shared" si="17"/>
        <v>8.8888888888888893</v>
      </c>
      <c r="N79" s="185">
        <f t="shared" si="20"/>
        <v>8.8888888888888893</v>
      </c>
      <c r="O79" s="185">
        <f>IF(AND(R79&lt;&gt;0.62/3600,R79&lt;&gt;0),FORECAST(M79,'1_2.3'!$N$9:$N$10,'1_2.3'!$G$9:$G$10),"nn")</f>
        <v>196.46468037538432</v>
      </c>
      <c r="P79" s="185">
        <f t="shared" si="18"/>
        <v>1655.2681423746067</v>
      </c>
      <c r="Q79" s="213">
        <f t="shared" si="11"/>
        <v>1.4200128822928443E-4</v>
      </c>
      <c r="R79" s="202" t="str">
        <f t="shared" si="22"/>
        <v>expression</v>
      </c>
    </row>
    <row r="80" spans="8:18" x14ac:dyDescent="0.2">
      <c r="H80" s="189">
        <v>180</v>
      </c>
      <c r="I80" s="190">
        <f t="shared" si="23"/>
        <v>5.9259259259259256</v>
      </c>
      <c r="K80" s="189">
        <v>77</v>
      </c>
      <c r="L80" s="191">
        <f t="shared" si="19"/>
        <v>32</v>
      </c>
      <c r="M80" s="185">
        <f t="shared" si="17"/>
        <v>8.8888888888888893</v>
      </c>
      <c r="N80" s="185">
        <f t="shared" si="20"/>
        <v>8.8888888888888893</v>
      </c>
      <c r="O80" s="185">
        <f>IF(AND(R80&lt;&gt;0.62/3600,R80&lt;&gt;0),FORECAST(M80,'1_2.3'!$N$9:$N$10,'1_2.3'!$G$9:$G$10),"nn")</f>
        <v>196.46468037538432</v>
      </c>
      <c r="P80" s="185">
        <f t="shared" si="18"/>
        <v>1655.2681423746067</v>
      </c>
      <c r="Q80" s="213">
        <f t="shared" ref="Q80:Q143" si="24">IF(M80=0,0.62/3600,IF((M80-M79)&lt;0,0,($B$22*N79+$B$23*N79^3+P80*N79*(M80-M79))*(O80/1000/3600/745.7)/($B$10/1000)))</f>
        <v>1.4200128822928443E-4</v>
      </c>
      <c r="R80" s="202" t="str">
        <f t="shared" si="22"/>
        <v>expression</v>
      </c>
    </row>
    <row r="81" spans="8:18" x14ac:dyDescent="0.2">
      <c r="H81" s="189">
        <v>181</v>
      </c>
      <c r="I81" s="190">
        <f t="shared" si="23"/>
        <v>5.1851851851851851</v>
      </c>
      <c r="K81" s="189">
        <v>78</v>
      </c>
      <c r="L81" s="191">
        <f t="shared" si="19"/>
        <v>32</v>
      </c>
      <c r="M81" s="185">
        <f t="shared" si="17"/>
        <v>8.8888888888888893</v>
      </c>
      <c r="N81" s="185">
        <f t="shared" si="20"/>
        <v>8.8888888888888893</v>
      </c>
      <c r="O81" s="185">
        <f>IF(AND(R81&lt;&gt;0.62/3600,R81&lt;&gt;0),FORECAST(M81,'1_2.3'!$N$9:$N$10,'1_2.3'!$G$9:$G$10),"nn")</f>
        <v>196.46468037538432</v>
      </c>
      <c r="P81" s="185">
        <f t="shared" si="18"/>
        <v>1655.2681423746067</v>
      </c>
      <c r="Q81" s="213">
        <f t="shared" si="24"/>
        <v>1.4200128822928443E-4</v>
      </c>
      <c r="R81" s="202" t="str">
        <f t="shared" si="22"/>
        <v>expression</v>
      </c>
    </row>
    <row r="82" spans="8:18" x14ac:dyDescent="0.2">
      <c r="H82" s="189">
        <v>182</v>
      </c>
      <c r="I82" s="190">
        <f t="shared" si="23"/>
        <v>4.4444444444444446</v>
      </c>
      <c r="K82" s="189">
        <v>79</v>
      </c>
      <c r="L82" s="191">
        <f t="shared" si="19"/>
        <v>32</v>
      </c>
      <c r="M82" s="185">
        <f t="shared" si="17"/>
        <v>8.8888888888888893</v>
      </c>
      <c r="N82" s="185">
        <f t="shared" si="20"/>
        <v>8.8888888888888893</v>
      </c>
      <c r="O82" s="185">
        <f>IF(AND(R82&lt;&gt;0.62/3600,R82&lt;&gt;0),FORECAST(M82,'1_2.3'!$N$9:$N$10,'1_2.3'!$G$9:$G$10),"nn")</f>
        <v>196.46468037538432</v>
      </c>
      <c r="P82" s="185">
        <f t="shared" si="18"/>
        <v>1655.2681423746067</v>
      </c>
      <c r="Q82" s="213">
        <f t="shared" si="24"/>
        <v>1.4200128822928443E-4</v>
      </c>
      <c r="R82" s="202" t="str">
        <f t="shared" si="22"/>
        <v>expression</v>
      </c>
    </row>
    <row r="83" spans="8:18" x14ac:dyDescent="0.2">
      <c r="H83" s="189">
        <v>183</v>
      </c>
      <c r="I83" s="190">
        <f t="shared" si="23"/>
        <v>3.7037037037037033</v>
      </c>
      <c r="K83" s="189">
        <v>80</v>
      </c>
      <c r="L83" s="191">
        <f t="shared" si="19"/>
        <v>32</v>
      </c>
      <c r="M83" s="185">
        <f t="shared" si="17"/>
        <v>8.8888888888888893</v>
      </c>
      <c r="N83" s="185">
        <f t="shared" si="20"/>
        <v>8.8888888888888893</v>
      </c>
      <c r="O83" s="185">
        <f>IF(AND(R83&lt;&gt;0.62/3600,R83&lt;&gt;0),FORECAST(M83,'1_2.3'!$N$9:$N$10,'1_2.3'!$G$9:$G$10),"nn")</f>
        <v>196.46468037538432</v>
      </c>
      <c r="P83" s="185">
        <f t="shared" si="18"/>
        <v>1655.2681423746067</v>
      </c>
      <c r="Q83" s="213">
        <f t="shared" si="24"/>
        <v>1.4200128822928443E-4</v>
      </c>
      <c r="R83" s="202" t="str">
        <f t="shared" si="22"/>
        <v>expression</v>
      </c>
    </row>
    <row r="84" spans="8:18" x14ac:dyDescent="0.2">
      <c r="H84" s="189">
        <v>184</v>
      </c>
      <c r="I84" s="190">
        <f t="shared" si="23"/>
        <v>2.9629629629629628</v>
      </c>
      <c r="K84" s="189">
        <v>81</v>
      </c>
      <c r="L84" s="191">
        <f t="shared" si="19"/>
        <v>32</v>
      </c>
      <c r="M84" s="185">
        <f t="shared" si="17"/>
        <v>8.8888888888888893</v>
      </c>
      <c r="N84" s="185">
        <f t="shared" si="20"/>
        <v>8.8888888888888893</v>
      </c>
      <c r="O84" s="185">
        <f>IF(AND(R84&lt;&gt;0.62/3600,R84&lt;&gt;0),FORECAST(M84,'1_2.3'!$N$9:$N$10,'1_2.3'!$G$9:$G$10),"nn")</f>
        <v>196.46468037538432</v>
      </c>
      <c r="P84" s="185">
        <f t="shared" si="18"/>
        <v>1655.2681423746067</v>
      </c>
      <c r="Q84" s="213">
        <f t="shared" si="24"/>
        <v>1.4200128822928443E-4</v>
      </c>
      <c r="R84" s="202" t="str">
        <f t="shared" si="22"/>
        <v>expression</v>
      </c>
    </row>
    <row r="85" spans="8:18" x14ac:dyDescent="0.2">
      <c r="H85" s="189">
        <v>185</v>
      </c>
      <c r="I85" s="190">
        <f t="shared" si="23"/>
        <v>2.2222222222222223</v>
      </c>
      <c r="K85" s="189">
        <v>82</v>
      </c>
      <c r="L85" s="191">
        <f t="shared" si="19"/>
        <v>32</v>
      </c>
      <c r="M85" s="185">
        <f t="shared" si="17"/>
        <v>8.8888888888888893</v>
      </c>
      <c r="N85" s="185">
        <f t="shared" si="20"/>
        <v>8.8888888888888893</v>
      </c>
      <c r="O85" s="185">
        <f>IF(AND(R85&lt;&gt;0.62/3600,R85&lt;&gt;0),FORECAST(M85,'1_2.3'!$N$9:$N$10,'1_2.3'!$G$9:$G$10),"nn")</f>
        <v>196.46468037538432</v>
      </c>
      <c r="P85" s="185">
        <f t="shared" si="18"/>
        <v>1655.2681423746067</v>
      </c>
      <c r="Q85" s="213">
        <f t="shared" si="24"/>
        <v>1.4200128822928443E-4</v>
      </c>
      <c r="R85" s="202" t="str">
        <f t="shared" si="22"/>
        <v>expression</v>
      </c>
    </row>
    <row r="86" spans="8:18" x14ac:dyDescent="0.2">
      <c r="H86" s="189">
        <v>186</v>
      </c>
      <c r="I86" s="190">
        <f t="shared" si="23"/>
        <v>1.481481481481481</v>
      </c>
      <c r="K86" s="189">
        <v>83</v>
      </c>
      <c r="L86" s="191">
        <f t="shared" si="19"/>
        <v>32</v>
      </c>
      <c r="M86" s="185">
        <f t="shared" si="17"/>
        <v>8.8888888888888893</v>
      </c>
      <c r="N86" s="185">
        <f t="shared" si="20"/>
        <v>8.8888888888888893</v>
      </c>
      <c r="O86" s="185">
        <f>IF(AND(R86&lt;&gt;0.62/3600,R86&lt;&gt;0),FORECAST(M86,'1_2.3'!$N$9:$N$10,'1_2.3'!$G$9:$G$10),"nn")</f>
        <v>196.46468037538432</v>
      </c>
      <c r="P86" s="185">
        <f t="shared" si="18"/>
        <v>1655.2681423746067</v>
      </c>
      <c r="Q86" s="213">
        <f t="shared" si="24"/>
        <v>1.4200128822928443E-4</v>
      </c>
      <c r="R86" s="202" t="str">
        <f t="shared" si="22"/>
        <v>expression</v>
      </c>
    </row>
    <row r="87" spans="8:18" x14ac:dyDescent="0.2">
      <c r="H87" s="189">
        <v>187</v>
      </c>
      <c r="I87" s="190">
        <f t="shared" si="23"/>
        <v>0.74074074074074048</v>
      </c>
      <c r="K87" s="189">
        <v>84</v>
      </c>
      <c r="L87" s="191">
        <f t="shared" si="19"/>
        <v>32</v>
      </c>
      <c r="M87" s="185">
        <f t="shared" si="17"/>
        <v>8.8888888888888893</v>
      </c>
      <c r="N87" s="185">
        <f t="shared" si="20"/>
        <v>8.8888888888888893</v>
      </c>
      <c r="O87" s="185">
        <f>IF(AND(R87&lt;&gt;0.62/3600,R87&lt;&gt;0),FORECAST(M87,'1_2.3'!$N$9:$N$10,'1_2.3'!$G$9:$G$10),"nn")</f>
        <v>196.46468037538432</v>
      </c>
      <c r="P87" s="185">
        <f t="shared" si="18"/>
        <v>1655.2681423746067</v>
      </c>
      <c r="Q87" s="213">
        <f t="shared" si="24"/>
        <v>1.4200128822928443E-4</v>
      </c>
      <c r="R87" s="202" t="str">
        <f t="shared" si="22"/>
        <v>expression</v>
      </c>
    </row>
    <row r="88" spans="8:18" ht="16" thickBot="1" x14ac:dyDescent="0.25">
      <c r="H88" s="193">
        <v>188</v>
      </c>
      <c r="I88" s="198">
        <f t="shared" si="23"/>
        <v>0</v>
      </c>
      <c r="K88" s="189">
        <v>85</v>
      </c>
      <c r="L88" s="191">
        <f t="shared" si="19"/>
        <v>32</v>
      </c>
      <c r="M88" s="185">
        <f t="shared" si="17"/>
        <v>8.8888888888888893</v>
      </c>
      <c r="N88" s="185">
        <f t="shared" si="20"/>
        <v>8.4848484848484844</v>
      </c>
      <c r="O88" s="185">
        <f>IF(AND(R88&lt;&gt;0.62/3600,R88&lt;&gt;0),FORECAST(M88,'1_2.3'!$N$9:$N$10,'1_2.3'!$G$9:$G$10),"nn")</f>
        <v>196.46468037538432</v>
      </c>
      <c r="P88" s="185">
        <f t="shared" si="18"/>
        <v>1655.2681423746067</v>
      </c>
      <c r="Q88" s="213">
        <f t="shared" si="24"/>
        <v>1.4200128822928443E-4</v>
      </c>
      <c r="R88" s="202" t="str">
        <f t="shared" si="22"/>
        <v>expression</v>
      </c>
    </row>
    <row r="89" spans="8:18" x14ac:dyDescent="0.2">
      <c r="K89" s="189">
        <v>86</v>
      </c>
      <c r="L89" s="191">
        <f t="shared" si="19"/>
        <v>29.090909090909093</v>
      </c>
      <c r="M89" s="185">
        <f t="shared" si="17"/>
        <v>8.0808080808080813</v>
      </c>
      <c r="N89" s="185">
        <f t="shared" si="20"/>
        <v>7.6767676767676774</v>
      </c>
      <c r="O89" s="185" t="str">
        <f>IF(AND(R89&lt;&gt;0.62/3600,R89&lt;&gt;0),FORECAST(M89,'1_2.3'!$N$9:$N$10,'1_2.3'!$G$9:$G$10),"nn")</f>
        <v>nn</v>
      </c>
      <c r="P89" s="185">
        <f t="shared" si="18"/>
        <v>1655.2681423746067</v>
      </c>
      <c r="Q89" s="213">
        <f t="shared" si="24"/>
        <v>0</v>
      </c>
      <c r="R89" s="202">
        <f t="shared" si="22"/>
        <v>0</v>
      </c>
    </row>
    <row r="90" spans="8:18" x14ac:dyDescent="0.2">
      <c r="K90" s="189">
        <v>87</v>
      </c>
      <c r="L90" s="191">
        <f t="shared" si="19"/>
        <v>26.181818181818183</v>
      </c>
      <c r="M90" s="185">
        <f t="shared" si="17"/>
        <v>7.2727272727272734</v>
      </c>
      <c r="N90" s="185">
        <f t="shared" si="20"/>
        <v>6.8686868686868694</v>
      </c>
      <c r="O90" s="185" t="str">
        <f>IF(AND(R90&lt;&gt;0.62/3600,R90&lt;&gt;0),FORECAST(M90,'1_2.3'!$N$9:$N$10,'1_2.3'!$G$9:$G$10),"nn")</f>
        <v>nn</v>
      </c>
      <c r="P90" s="185">
        <f t="shared" si="18"/>
        <v>1655.2681423746067</v>
      </c>
      <c r="Q90" s="213">
        <f t="shared" si="24"/>
        <v>0</v>
      </c>
      <c r="R90" s="202">
        <f t="shared" si="22"/>
        <v>0</v>
      </c>
    </row>
    <row r="91" spans="8:18" x14ac:dyDescent="0.2">
      <c r="K91" s="189">
        <v>88</v>
      </c>
      <c r="L91" s="191">
        <f t="shared" si="19"/>
        <v>23.272727272727277</v>
      </c>
      <c r="M91" s="185">
        <f t="shared" si="17"/>
        <v>6.4646464646464654</v>
      </c>
      <c r="N91" s="185">
        <f t="shared" si="20"/>
        <v>6.0606060606060614</v>
      </c>
      <c r="O91" s="185" t="str">
        <f>IF(AND(R91&lt;&gt;0.62/3600,R91&lt;&gt;0),FORECAST(M91,'1_2.3'!$N$9:$N$10,'1_2.3'!$G$9:$G$10),"nn")</f>
        <v>nn</v>
      </c>
      <c r="P91" s="185">
        <f t="shared" si="18"/>
        <v>1655.2681423746067</v>
      </c>
      <c r="Q91" s="213">
        <f t="shared" si="24"/>
        <v>0</v>
      </c>
      <c r="R91" s="202">
        <f t="shared" si="22"/>
        <v>0</v>
      </c>
    </row>
    <row r="92" spans="8:18" x14ac:dyDescent="0.2">
      <c r="K92" s="189">
        <v>89</v>
      </c>
      <c r="L92" s="191">
        <f t="shared" si="19"/>
        <v>20.363636363636367</v>
      </c>
      <c r="M92" s="185">
        <f t="shared" si="17"/>
        <v>5.6565656565656575</v>
      </c>
      <c r="N92" s="185">
        <f t="shared" si="20"/>
        <v>5.2525252525252526</v>
      </c>
      <c r="O92" s="185" t="str">
        <f>IF(AND(R92&lt;&gt;0.62/3600,R92&lt;&gt;0),FORECAST(M92,'1_2.3'!$N$9:$N$10,'1_2.3'!$G$9:$G$10),"nn")</f>
        <v>nn</v>
      </c>
      <c r="P92" s="185">
        <f t="shared" si="18"/>
        <v>1655.2681423746067</v>
      </c>
      <c r="Q92" s="213">
        <f t="shared" si="24"/>
        <v>0</v>
      </c>
      <c r="R92" s="202">
        <f t="shared" si="22"/>
        <v>0</v>
      </c>
    </row>
    <row r="93" spans="8:18" x14ac:dyDescent="0.2">
      <c r="K93" s="189">
        <v>90</v>
      </c>
      <c r="L93" s="191">
        <f t="shared" si="19"/>
        <v>17.454545454545457</v>
      </c>
      <c r="M93" s="185">
        <f t="shared" si="17"/>
        <v>4.8484848484848486</v>
      </c>
      <c r="N93" s="185">
        <f t="shared" si="20"/>
        <v>4.4444444444444446</v>
      </c>
      <c r="O93" s="185" t="str">
        <f>IF(AND(R93&lt;&gt;0.62/3600,R93&lt;&gt;0),FORECAST(M93,'1_2.3'!$N$9:$N$10,'1_2.3'!$G$9:$G$10),"nn")</f>
        <v>nn</v>
      </c>
      <c r="P93" s="185">
        <f t="shared" si="18"/>
        <v>1655.2681423746067</v>
      </c>
      <c r="Q93" s="213">
        <f t="shared" si="24"/>
        <v>0</v>
      </c>
      <c r="R93" s="202">
        <f t="shared" si="22"/>
        <v>0</v>
      </c>
    </row>
    <row r="94" spans="8:18" x14ac:dyDescent="0.2">
      <c r="K94" s="189">
        <v>91</v>
      </c>
      <c r="L94" s="191">
        <f t="shared" si="19"/>
        <v>14.545454545454547</v>
      </c>
      <c r="M94" s="185">
        <f t="shared" si="17"/>
        <v>4.0404040404040407</v>
      </c>
      <c r="N94" s="185">
        <f t="shared" si="20"/>
        <v>3.6363636363636367</v>
      </c>
      <c r="O94" s="185" t="str">
        <f>IF(AND(R94&lt;&gt;0.62/3600,R94&lt;&gt;0),FORECAST(M94,'1_2.3'!$N$9:$N$10,'1_2.3'!$G$9:$G$10),"nn")</f>
        <v>nn</v>
      </c>
      <c r="P94" s="185">
        <f t="shared" si="18"/>
        <v>1655.2681423746067</v>
      </c>
      <c r="Q94" s="213">
        <f t="shared" si="24"/>
        <v>0</v>
      </c>
      <c r="R94" s="202">
        <f t="shared" si="22"/>
        <v>0</v>
      </c>
    </row>
    <row r="95" spans="8:18" x14ac:dyDescent="0.2">
      <c r="K95" s="189">
        <v>92</v>
      </c>
      <c r="L95" s="191">
        <f t="shared" si="19"/>
        <v>11.636363636363638</v>
      </c>
      <c r="M95" s="185">
        <f t="shared" si="17"/>
        <v>3.2323232323232327</v>
      </c>
      <c r="N95" s="185">
        <f t="shared" si="20"/>
        <v>2.8282828282828287</v>
      </c>
      <c r="O95" s="185" t="str">
        <f>IF(AND(R95&lt;&gt;0.62/3600,R95&lt;&gt;0),FORECAST(M95,'1_2.3'!$N$9:$N$10,'1_2.3'!$G$9:$G$10),"nn")</f>
        <v>nn</v>
      </c>
      <c r="P95" s="185">
        <f t="shared" si="18"/>
        <v>1655.2681423746067</v>
      </c>
      <c r="Q95" s="213">
        <f t="shared" si="24"/>
        <v>0</v>
      </c>
      <c r="R95" s="202">
        <f t="shared" si="22"/>
        <v>0</v>
      </c>
    </row>
    <row r="96" spans="8:18" x14ac:dyDescent="0.2">
      <c r="K96" s="189">
        <v>93</v>
      </c>
      <c r="L96" s="191">
        <f t="shared" si="19"/>
        <v>8.7272727272727302</v>
      </c>
      <c r="M96" s="185">
        <f t="shared" si="17"/>
        <v>2.4242424242424248</v>
      </c>
      <c r="N96" s="185">
        <f t="shared" si="20"/>
        <v>2.0202020202020208</v>
      </c>
      <c r="O96" s="185" t="str">
        <f>IF(AND(R96&lt;&gt;0.62/3600,R96&lt;&gt;0),FORECAST(M96,'1_2.3'!$N$9:$N$10,'1_2.3'!$G$9:$G$10),"nn")</f>
        <v>nn</v>
      </c>
      <c r="P96" s="185">
        <f t="shared" si="18"/>
        <v>1655.2681423746067</v>
      </c>
      <c r="Q96" s="213">
        <f t="shared" si="24"/>
        <v>0</v>
      </c>
      <c r="R96" s="202">
        <f t="shared" si="22"/>
        <v>0</v>
      </c>
    </row>
    <row r="97" spans="11:18" x14ac:dyDescent="0.2">
      <c r="K97" s="189">
        <v>94</v>
      </c>
      <c r="L97" s="191">
        <f t="shared" si="19"/>
        <v>5.818181818181821</v>
      </c>
      <c r="M97" s="185">
        <f t="shared" si="17"/>
        <v>1.6161616161616168</v>
      </c>
      <c r="N97" s="185">
        <f t="shared" si="20"/>
        <v>1.2121212121212124</v>
      </c>
      <c r="O97" s="185" t="str">
        <f>IF(AND(R97&lt;&gt;0.62/3600,R97&lt;&gt;0),FORECAST(M97,'1_2.3'!$N$9:$N$10,'1_2.3'!$G$9:$G$10),"nn")</f>
        <v>nn</v>
      </c>
      <c r="P97" s="185">
        <f t="shared" si="18"/>
        <v>1655.2681423746067</v>
      </c>
      <c r="Q97" s="213">
        <f t="shared" si="24"/>
        <v>0</v>
      </c>
      <c r="R97" s="202">
        <f t="shared" si="22"/>
        <v>0</v>
      </c>
    </row>
    <row r="98" spans="11:18" x14ac:dyDescent="0.2">
      <c r="K98" s="189">
        <v>95</v>
      </c>
      <c r="L98" s="191">
        <f t="shared" si="19"/>
        <v>2.9090909090909087</v>
      </c>
      <c r="M98" s="185">
        <f t="shared" si="17"/>
        <v>0.80808080808080796</v>
      </c>
      <c r="N98" s="185">
        <f t="shared" si="20"/>
        <v>0.40404040404040398</v>
      </c>
      <c r="O98" s="185" t="str">
        <f>IF(AND(R98&lt;&gt;0.62/3600,R98&lt;&gt;0),FORECAST(M98,'1_2.3'!$N$9:$N$10,'1_2.3'!$G$9:$G$10),"nn")</f>
        <v>nn</v>
      </c>
      <c r="P98" s="185">
        <f t="shared" si="18"/>
        <v>1655.2681423746067</v>
      </c>
      <c r="Q98" s="213">
        <f t="shared" si="24"/>
        <v>0</v>
      </c>
      <c r="R98" s="202">
        <f t="shared" si="22"/>
        <v>0</v>
      </c>
    </row>
    <row r="99" spans="11:18" x14ac:dyDescent="0.2">
      <c r="K99" s="189">
        <v>96</v>
      </c>
      <c r="L99" s="191">
        <f t="shared" si="19"/>
        <v>0</v>
      </c>
      <c r="M99" s="185">
        <f t="shared" ref="M99:M130" si="25">VLOOKUP(K99,$H$3:$I$88,2,TRUE)</f>
        <v>0</v>
      </c>
      <c r="N99" s="185">
        <f t="shared" si="20"/>
        <v>0</v>
      </c>
      <c r="O99" s="185" t="str">
        <f>IF(AND(R99&lt;&gt;0.62/3600,R99&lt;&gt;0),FORECAST(M99,'1_2.3'!$N$9:$N$10,'1_2.3'!$G$9:$G$10),"nn")</f>
        <v>nn</v>
      </c>
      <c r="P99" s="185">
        <f t="shared" ref="P99:P130" si="26">VLOOKUP(M99,meq,2)</f>
        <v>1655.2681423746067</v>
      </c>
      <c r="Q99" s="213">
        <f t="shared" si="24"/>
        <v>1.7222222222222221E-4</v>
      </c>
      <c r="R99" s="207">
        <f>0.62/3600</f>
        <v>1.7222222222222221E-4</v>
      </c>
    </row>
    <row r="100" spans="11:18" x14ac:dyDescent="0.2">
      <c r="K100" s="189">
        <v>97</v>
      </c>
      <c r="L100" s="191">
        <f t="shared" si="19"/>
        <v>0</v>
      </c>
      <c r="M100" s="185">
        <f t="shared" si="25"/>
        <v>0</v>
      </c>
      <c r="N100" s="185">
        <f t="shared" si="20"/>
        <v>0</v>
      </c>
      <c r="O100" s="185" t="str">
        <f>IF(AND(R100&lt;&gt;0.62/3600,R100&lt;&gt;0),FORECAST(M100,'1_2.3'!$N$9:$N$10,'1_2.3'!$G$9:$G$10),"nn")</f>
        <v>nn</v>
      </c>
      <c r="P100" s="185">
        <f t="shared" si="26"/>
        <v>1655.2681423746067</v>
      </c>
      <c r="Q100" s="213">
        <f t="shared" si="24"/>
        <v>1.7222222222222221E-4</v>
      </c>
      <c r="R100" s="207">
        <f t="shared" ref="R100:R120" si="27">0.62/3600</f>
        <v>1.7222222222222221E-4</v>
      </c>
    </row>
    <row r="101" spans="11:18" x14ac:dyDescent="0.2">
      <c r="K101" s="189">
        <v>98</v>
      </c>
      <c r="L101" s="191">
        <f t="shared" si="19"/>
        <v>0</v>
      </c>
      <c r="M101" s="185">
        <f t="shared" si="25"/>
        <v>0</v>
      </c>
      <c r="N101" s="185">
        <f t="shared" si="20"/>
        <v>0</v>
      </c>
      <c r="O101" s="185" t="str">
        <f>IF(AND(R101&lt;&gt;0.62/3600,R101&lt;&gt;0),FORECAST(M101,'1_2.3'!$N$9:$N$10,'1_2.3'!$G$9:$G$10),"nn")</f>
        <v>nn</v>
      </c>
      <c r="P101" s="185">
        <f t="shared" si="26"/>
        <v>1655.2681423746067</v>
      </c>
      <c r="Q101" s="213">
        <f t="shared" si="24"/>
        <v>1.7222222222222221E-4</v>
      </c>
      <c r="R101" s="207">
        <f t="shared" si="27"/>
        <v>1.7222222222222221E-4</v>
      </c>
    </row>
    <row r="102" spans="11:18" x14ac:dyDescent="0.2">
      <c r="K102" s="189">
        <v>99</v>
      </c>
      <c r="L102" s="191">
        <f t="shared" si="19"/>
        <v>0</v>
      </c>
      <c r="M102" s="185">
        <f t="shared" si="25"/>
        <v>0</v>
      </c>
      <c r="N102" s="185">
        <f t="shared" si="20"/>
        <v>0</v>
      </c>
      <c r="O102" s="185" t="str">
        <f>IF(AND(R102&lt;&gt;0.62/3600,R102&lt;&gt;0),FORECAST(M102,'1_2.3'!$N$9:$N$10,'1_2.3'!$G$9:$G$10),"nn")</f>
        <v>nn</v>
      </c>
      <c r="P102" s="185">
        <f t="shared" si="26"/>
        <v>1655.2681423746067</v>
      </c>
      <c r="Q102" s="213">
        <f t="shared" si="24"/>
        <v>1.7222222222222221E-4</v>
      </c>
      <c r="R102" s="207">
        <f t="shared" si="27"/>
        <v>1.7222222222222221E-4</v>
      </c>
    </row>
    <row r="103" spans="11:18" x14ac:dyDescent="0.2">
      <c r="K103" s="189">
        <v>100</v>
      </c>
      <c r="L103" s="191">
        <f t="shared" si="19"/>
        <v>0</v>
      </c>
      <c r="M103" s="185">
        <f t="shared" si="25"/>
        <v>0</v>
      </c>
      <c r="N103" s="185">
        <f t="shared" si="20"/>
        <v>0</v>
      </c>
      <c r="O103" s="185" t="str">
        <f>IF(AND(R103&lt;&gt;0.62/3600,R103&lt;&gt;0),FORECAST(M103,'1_2.3'!$N$9:$N$10,'1_2.3'!$G$9:$G$10),"nn")</f>
        <v>nn</v>
      </c>
      <c r="P103" s="185">
        <f t="shared" si="26"/>
        <v>1655.2681423746067</v>
      </c>
      <c r="Q103" s="213">
        <f t="shared" si="24"/>
        <v>1.7222222222222221E-4</v>
      </c>
      <c r="R103" s="207">
        <f t="shared" si="27"/>
        <v>1.7222222222222221E-4</v>
      </c>
    </row>
    <row r="104" spans="11:18" x14ac:dyDescent="0.2">
      <c r="K104" s="189">
        <v>101</v>
      </c>
      <c r="L104" s="191">
        <f t="shared" si="19"/>
        <v>0</v>
      </c>
      <c r="M104" s="185">
        <f t="shared" si="25"/>
        <v>0</v>
      </c>
      <c r="N104" s="185">
        <f t="shared" si="20"/>
        <v>0</v>
      </c>
      <c r="O104" s="185" t="str">
        <f>IF(AND(R104&lt;&gt;0.62/3600,R104&lt;&gt;0),FORECAST(M104,'1_2.3'!$N$9:$N$10,'1_2.3'!$G$9:$G$10),"nn")</f>
        <v>nn</v>
      </c>
      <c r="P104" s="185">
        <f t="shared" si="26"/>
        <v>1655.2681423746067</v>
      </c>
      <c r="Q104" s="213">
        <f t="shared" si="24"/>
        <v>1.7222222222222221E-4</v>
      </c>
      <c r="R104" s="207">
        <f t="shared" si="27"/>
        <v>1.7222222222222221E-4</v>
      </c>
    </row>
    <row r="105" spans="11:18" x14ac:dyDescent="0.2">
      <c r="K105" s="189">
        <v>102</v>
      </c>
      <c r="L105" s="191">
        <f t="shared" si="19"/>
        <v>0</v>
      </c>
      <c r="M105" s="185">
        <f t="shared" si="25"/>
        <v>0</v>
      </c>
      <c r="N105" s="185">
        <f t="shared" si="20"/>
        <v>0</v>
      </c>
      <c r="O105" s="185" t="str">
        <f>IF(AND(R105&lt;&gt;0.62/3600,R105&lt;&gt;0),FORECAST(M105,'1_2.3'!$N$9:$N$10,'1_2.3'!$G$9:$G$10),"nn")</f>
        <v>nn</v>
      </c>
      <c r="P105" s="185">
        <f t="shared" si="26"/>
        <v>1655.2681423746067</v>
      </c>
      <c r="Q105" s="213">
        <f t="shared" si="24"/>
        <v>1.7222222222222221E-4</v>
      </c>
      <c r="R105" s="207">
        <f t="shared" si="27"/>
        <v>1.7222222222222221E-4</v>
      </c>
    </row>
    <row r="106" spans="11:18" x14ac:dyDescent="0.2">
      <c r="K106" s="189">
        <v>103</v>
      </c>
      <c r="L106" s="191">
        <f t="shared" si="19"/>
        <v>0</v>
      </c>
      <c r="M106" s="185">
        <f t="shared" si="25"/>
        <v>0</v>
      </c>
      <c r="N106" s="185">
        <f t="shared" si="20"/>
        <v>0</v>
      </c>
      <c r="O106" s="185" t="str">
        <f>IF(AND(R106&lt;&gt;0.62/3600,R106&lt;&gt;0),FORECAST(M106,'1_2.3'!$N$9:$N$10,'1_2.3'!$G$9:$G$10),"nn")</f>
        <v>nn</v>
      </c>
      <c r="P106" s="185">
        <f t="shared" si="26"/>
        <v>1655.2681423746067</v>
      </c>
      <c r="Q106" s="213">
        <f t="shared" si="24"/>
        <v>1.7222222222222221E-4</v>
      </c>
      <c r="R106" s="207">
        <f t="shared" si="27"/>
        <v>1.7222222222222221E-4</v>
      </c>
    </row>
    <row r="107" spans="11:18" x14ac:dyDescent="0.2">
      <c r="K107" s="189">
        <v>104</v>
      </c>
      <c r="L107" s="191">
        <f t="shared" si="19"/>
        <v>0</v>
      </c>
      <c r="M107" s="185">
        <f t="shared" si="25"/>
        <v>0</v>
      </c>
      <c r="N107" s="185">
        <f t="shared" si="20"/>
        <v>0</v>
      </c>
      <c r="O107" s="185" t="str">
        <f>IF(AND(R107&lt;&gt;0.62/3600,R107&lt;&gt;0),FORECAST(M107,'1_2.3'!$N$9:$N$10,'1_2.3'!$G$9:$G$10),"nn")</f>
        <v>nn</v>
      </c>
      <c r="P107" s="185">
        <f t="shared" si="26"/>
        <v>1655.2681423746067</v>
      </c>
      <c r="Q107" s="213">
        <f t="shared" si="24"/>
        <v>1.7222222222222221E-4</v>
      </c>
      <c r="R107" s="207">
        <f t="shared" si="27"/>
        <v>1.7222222222222221E-4</v>
      </c>
    </row>
    <row r="108" spans="11:18" x14ac:dyDescent="0.2">
      <c r="K108" s="189">
        <v>105</v>
      </c>
      <c r="L108" s="191">
        <f t="shared" si="19"/>
        <v>0</v>
      </c>
      <c r="M108" s="185">
        <f t="shared" si="25"/>
        <v>0</v>
      </c>
      <c r="N108" s="185">
        <f t="shared" si="20"/>
        <v>0</v>
      </c>
      <c r="O108" s="185" t="str">
        <f>IF(AND(R108&lt;&gt;0.62/3600,R108&lt;&gt;0),FORECAST(M108,'1_2.3'!$N$9:$N$10,'1_2.3'!$G$9:$G$10),"nn")</f>
        <v>nn</v>
      </c>
      <c r="P108" s="185">
        <f t="shared" si="26"/>
        <v>1655.2681423746067</v>
      </c>
      <c r="Q108" s="213">
        <f t="shared" si="24"/>
        <v>1.7222222222222221E-4</v>
      </c>
      <c r="R108" s="207">
        <f t="shared" si="27"/>
        <v>1.7222222222222221E-4</v>
      </c>
    </row>
    <row r="109" spans="11:18" x14ac:dyDescent="0.2">
      <c r="K109" s="189">
        <v>106</v>
      </c>
      <c r="L109" s="191">
        <f t="shared" si="19"/>
        <v>0</v>
      </c>
      <c r="M109" s="185">
        <f t="shared" si="25"/>
        <v>0</v>
      </c>
      <c r="N109" s="185">
        <f t="shared" si="20"/>
        <v>0</v>
      </c>
      <c r="O109" s="185" t="str">
        <f>IF(AND(R109&lt;&gt;0.62/3600,R109&lt;&gt;0),FORECAST(M109,'1_2.3'!$N$9:$N$10,'1_2.3'!$G$9:$G$10),"nn")</f>
        <v>nn</v>
      </c>
      <c r="P109" s="185">
        <f t="shared" si="26"/>
        <v>1655.2681423746067</v>
      </c>
      <c r="Q109" s="213">
        <f t="shared" si="24"/>
        <v>1.7222222222222221E-4</v>
      </c>
      <c r="R109" s="207">
        <f t="shared" si="27"/>
        <v>1.7222222222222221E-4</v>
      </c>
    </row>
    <row r="110" spans="11:18" x14ac:dyDescent="0.2">
      <c r="K110" s="189">
        <v>107</v>
      </c>
      <c r="L110" s="191">
        <f t="shared" si="19"/>
        <v>0</v>
      </c>
      <c r="M110" s="185">
        <f t="shared" si="25"/>
        <v>0</v>
      </c>
      <c r="N110" s="185">
        <f t="shared" si="20"/>
        <v>0</v>
      </c>
      <c r="O110" s="185" t="str">
        <f>IF(AND(R110&lt;&gt;0.62/3600,R110&lt;&gt;0),FORECAST(M110,'1_2.3'!$N$9:$N$10,'1_2.3'!$G$9:$G$10),"nn")</f>
        <v>nn</v>
      </c>
      <c r="P110" s="185">
        <f t="shared" si="26"/>
        <v>1655.2681423746067</v>
      </c>
      <c r="Q110" s="213">
        <f t="shared" si="24"/>
        <v>1.7222222222222221E-4</v>
      </c>
      <c r="R110" s="207">
        <f t="shared" si="27"/>
        <v>1.7222222222222221E-4</v>
      </c>
    </row>
    <row r="111" spans="11:18" x14ac:dyDescent="0.2">
      <c r="K111" s="189">
        <v>108</v>
      </c>
      <c r="L111" s="191">
        <f t="shared" si="19"/>
        <v>0</v>
      </c>
      <c r="M111" s="185">
        <f t="shared" si="25"/>
        <v>0</v>
      </c>
      <c r="N111" s="185">
        <f t="shared" si="20"/>
        <v>0</v>
      </c>
      <c r="O111" s="185" t="str">
        <f>IF(AND(R111&lt;&gt;0.62/3600,R111&lt;&gt;0),FORECAST(M111,'1_2.3'!$N$9:$N$10,'1_2.3'!$G$9:$G$10),"nn")</f>
        <v>nn</v>
      </c>
      <c r="P111" s="185">
        <f t="shared" si="26"/>
        <v>1655.2681423746067</v>
      </c>
      <c r="Q111" s="213">
        <f t="shared" si="24"/>
        <v>1.7222222222222221E-4</v>
      </c>
      <c r="R111" s="207">
        <f t="shared" si="27"/>
        <v>1.7222222222222221E-4</v>
      </c>
    </row>
    <row r="112" spans="11:18" x14ac:dyDescent="0.2">
      <c r="K112" s="189">
        <v>109</v>
      </c>
      <c r="L112" s="191">
        <f t="shared" si="19"/>
        <v>0</v>
      </c>
      <c r="M112" s="185">
        <f t="shared" si="25"/>
        <v>0</v>
      </c>
      <c r="N112" s="185">
        <f t="shared" si="20"/>
        <v>0</v>
      </c>
      <c r="O112" s="185" t="str">
        <f>IF(AND(R112&lt;&gt;0.62/3600,R112&lt;&gt;0),FORECAST(M112,'1_2.3'!$N$9:$N$10,'1_2.3'!$G$9:$G$10),"nn")</f>
        <v>nn</v>
      </c>
      <c r="P112" s="185">
        <f t="shared" si="26"/>
        <v>1655.2681423746067</v>
      </c>
      <c r="Q112" s="213">
        <f t="shared" si="24"/>
        <v>1.7222222222222221E-4</v>
      </c>
      <c r="R112" s="207">
        <f t="shared" si="27"/>
        <v>1.7222222222222221E-4</v>
      </c>
    </row>
    <row r="113" spans="11:18" x14ac:dyDescent="0.2">
      <c r="K113" s="189">
        <v>110</v>
      </c>
      <c r="L113" s="191">
        <f t="shared" si="19"/>
        <v>0</v>
      </c>
      <c r="M113" s="185">
        <f t="shared" si="25"/>
        <v>0</v>
      </c>
      <c r="N113" s="185">
        <f t="shared" si="20"/>
        <v>0</v>
      </c>
      <c r="O113" s="185" t="str">
        <f>IF(AND(R113&lt;&gt;0.62/3600,R113&lt;&gt;0),FORECAST(M113,'1_2.3'!$N$9:$N$10,'1_2.3'!$G$9:$G$10),"nn")</f>
        <v>nn</v>
      </c>
      <c r="P113" s="185">
        <f t="shared" si="26"/>
        <v>1655.2681423746067</v>
      </c>
      <c r="Q113" s="213">
        <f t="shared" si="24"/>
        <v>1.7222222222222221E-4</v>
      </c>
      <c r="R113" s="207">
        <f t="shared" si="27"/>
        <v>1.7222222222222221E-4</v>
      </c>
    </row>
    <row r="114" spans="11:18" x14ac:dyDescent="0.2">
      <c r="K114" s="189">
        <v>111</v>
      </c>
      <c r="L114" s="191">
        <f t="shared" si="19"/>
        <v>0</v>
      </c>
      <c r="M114" s="185">
        <f t="shared" si="25"/>
        <v>0</v>
      </c>
      <c r="N114" s="185">
        <f t="shared" si="20"/>
        <v>0</v>
      </c>
      <c r="O114" s="185" t="str">
        <f>IF(AND(R114&lt;&gt;0.62/3600,R114&lt;&gt;0),FORECAST(M114,'1_2.3'!$N$9:$N$10,'1_2.3'!$G$9:$G$10),"nn")</f>
        <v>nn</v>
      </c>
      <c r="P114" s="185">
        <f t="shared" si="26"/>
        <v>1655.2681423746067</v>
      </c>
      <c r="Q114" s="213">
        <f t="shared" si="24"/>
        <v>1.7222222222222221E-4</v>
      </c>
      <c r="R114" s="207">
        <f t="shared" si="27"/>
        <v>1.7222222222222221E-4</v>
      </c>
    </row>
    <row r="115" spans="11:18" x14ac:dyDescent="0.2">
      <c r="K115" s="189">
        <v>112</v>
      </c>
      <c r="L115" s="191">
        <f t="shared" si="19"/>
        <v>0</v>
      </c>
      <c r="M115" s="185">
        <f t="shared" si="25"/>
        <v>0</v>
      </c>
      <c r="N115" s="185">
        <f t="shared" si="20"/>
        <v>0</v>
      </c>
      <c r="O115" s="185" t="str">
        <f>IF(AND(R115&lt;&gt;0.62/3600,R115&lt;&gt;0),FORECAST(M115,'1_2.3'!$N$9:$N$10,'1_2.3'!$G$9:$G$10),"nn")</f>
        <v>nn</v>
      </c>
      <c r="P115" s="185">
        <f t="shared" si="26"/>
        <v>1655.2681423746067</v>
      </c>
      <c r="Q115" s="213">
        <f t="shared" si="24"/>
        <v>1.7222222222222221E-4</v>
      </c>
      <c r="R115" s="207">
        <f t="shared" si="27"/>
        <v>1.7222222222222221E-4</v>
      </c>
    </row>
    <row r="116" spans="11:18" x14ac:dyDescent="0.2">
      <c r="K116" s="189">
        <v>113</v>
      </c>
      <c r="L116" s="191">
        <f t="shared" si="19"/>
        <v>0</v>
      </c>
      <c r="M116" s="185">
        <f t="shared" si="25"/>
        <v>0</v>
      </c>
      <c r="N116" s="185">
        <f t="shared" si="20"/>
        <v>0</v>
      </c>
      <c r="O116" s="185" t="str">
        <f>IF(AND(R116&lt;&gt;0.62/3600,R116&lt;&gt;0),FORECAST(M116,'1_2.3'!$N$9:$N$10,'1_2.3'!$G$9:$G$10),"nn")</f>
        <v>nn</v>
      </c>
      <c r="P116" s="185">
        <f t="shared" si="26"/>
        <v>1655.2681423746067</v>
      </c>
      <c r="Q116" s="213">
        <f t="shared" si="24"/>
        <v>1.7222222222222221E-4</v>
      </c>
      <c r="R116" s="207">
        <f t="shared" si="27"/>
        <v>1.7222222222222221E-4</v>
      </c>
    </row>
    <row r="117" spans="11:18" x14ac:dyDescent="0.2">
      <c r="K117" s="189">
        <v>114</v>
      </c>
      <c r="L117" s="191">
        <f t="shared" si="19"/>
        <v>0</v>
      </c>
      <c r="M117" s="185">
        <f t="shared" si="25"/>
        <v>0</v>
      </c>
      <c r="N117" s="185">
        <f t="shared" si="20"/>
        <v>0</v>
      </c>
      <c r="O117" s="185" t="str">
        <f>IF(AND(R117&lt;&gt;0.62/3600,R117&lt;&gt;0),FORECAST(M117,'1_2.3'!$N$9:$N$10,'1_2.3'!$G$9:$G$10),"nn")</f>
        <v>nn</v>
      </c>
      <c r="P117" s="185">
        <f t="shared" si="26"/>
        <v>1655.2681423746067</v>
      </c>
      <c r="Q117" s="213">
        <f t="shared" si="24"/>
        <v>1.7222222222222221E-4</v>
      </c>
      <c r="R117" s="207">
        <f t="shared" si="27"/>
        <v>1.7222222222222221E-4</v>
      </c>
    </row>
    <row r="118" spans="11:18" x14ac:dyDescent="0.2">
      <c r="K118" s="189">
        <v>115</v>
      </c>
      <c r="L118" s="191">
        <f t="shared" si="19"/>
        <v>0</v>
      </c>
      <c r="M118" s="185">
        <f t="shared" si="25"/>
        <v>0</v>
      </c>
      <c r="N118" s="185">
        <f t="shared" si="20"/>
        <v>0</v>
      </c>
      <c r="O118" s="185" t="str">
        <f>IF(AND(R118&lt;&gt;0.62/3600,R118&lt;&gt;0),FORECAST(M118,'1_2.3'!$N$9:$N$10,'1_2.3'!$G$9:$G$10),"nn")</f>
        <v>nn</v>
      </c>
      <c r="P118" s="185">
        <f t="shared" si="26"/>
        <v>1655.2681423746067</v>
      </c>
      <c r="Q118" s="213">
        <f t="shared" si="24"/>
        <v>1.7222222222222221E-4</v>
      </c>
      <c r="R118" s="207">
        <f t="shared" si="27"/>
        <v>1.7222222222222221E-4</v>
      </c>
    </row>
    <row r="119" spans="11:18" x14ac:dyDescent="0.2">
      <c r="K119" s="189">
        <v>116</v>
      </c>
      <c r="L119" s="191">
        <f t="shared" si="19"/>
        <v>0</v>
      </c>
      <c r="M119" s="185">
        <f t="shared" si="25"/>
        <v>0</v>
      </c>
      <c r="N119" s="185">
        <f t="shared" si="20"/>
        <v>0</v>
      </c>
      <c r="O119" s="185" t="str">
        <f>IF(AND(R119&lt;&gt;0.62/3600,R119&lt;&gt;0),FORECAST(M119,'1_2.3'!$N$9:$N$10,'1_2.3'!$G$9:$G$10),"nn")</f>
        <v>nn</v>
      </c>
      <c r="P119" s="185">
        <f t="shared" si="26"/>
        <v>1655.2681423746067</v>
      </c>
      <c r="Q119" s="213">
        <f t="shared" si="24"/>
        <v>1.7222222222222221E-4</v>
      </c>
      <c r="R119" s="207">
        <f t="shared" si="27"/>
        <v>1.7222222222222221E-4</v>
      </c>
    </row>
    <row r="120" spans="11:18" x14ac:dyDescent="0.2">
      <c r="K120" s="189">
        <v>117</v>
      </c>
      <c r="L120" s="191">
        <f t="shared" si="19"/>
        <v>0</v>
      </c>
      <c r="M120" s="185">
        <f t="shared" si="25"/>
        <v>0</v>
      </c>
      <c r="N120" s="185">
        <f t="shared" si="20"/>
        <v>0.26709401709401709</v>
      </c>
      <c r="O120" s="185" t="str">
        <f>IF(AND(R120&lt;&gt;0.62/3600,R120&lt;&gt;0),FORECAST(M120,'1_2.3'!$N$9:$N$10,'1_2.3'!$G$9:$G$10),"nn")</f>
        <v>nn</v>
      </c>
      <c r="P120" s="185">
        <f t="shared" si="26"/>
        <v>1655.2681423746067</v>
      </c>
      <c r="Q120" s="213">
        <f t="shared" si="24"/>
        <v>1.7222222222222221E-4</v>
      </c>
      <c r="R120" s="207">
        <f t="shared" si="27"/>
        <v>1.7222222222222221E-4</v>
      </c>
    </row>
    <row r="121" spans="11:18" x14ac:dyDescent="0.2">
      <c r="K121" s="189">
        <v>118</v>
      </c>
      <c r="L121" s="191">
        <f t="shared" si="19"/>
        <v>1.9230769230769231</v>
      </c>
      <c r="M121" s="185">
        <f t="shared" si="25"/>
        <v>0.53418803418803418</v>
      </c>
      <c r="N121" s="185">
        <f t="shared" si="20"/>
        <v>0.80128205128205132</v>
      </c>
      <c r="O121" s="185">
        <f>IF(AND(R121&lt;&gt;0.62/3600,R121&lt;&gt;0),FORECAST(M121,'1_2.3'!$N$9:$N$10,'1_2.3'!$G$9:$G$10),"nn")</f>
        <v>206.12142515567103</v>
      </c>
      <c r="P121" s="185">
        <f t="shared" si="26"/>
        <v>1655.2681423746067</v>
      </c>
      <c r="Q121" s="213">
        <f t="shared" si="24"/>
        <v>2.7971811053133732E-5</v>
      </c>
      <c r="R121" s="202" t="str">
        <f t="shared" si="22"/>
        <v>expression</v>
      </c>
    </row>
    <row r="122" spans="11:18" x14ac:dyDescent="0.2">
      <c r="K122" s="189">
        <v>119</v>
      </c>
      <c r="L122" s="191">
        <f t="shared" si="19"/>
        <v>3.8461538461538463</v>
      </c>
      <c r="M122" s="185">
        <f t="shared" si="25"/>
        <v>1.0683760683760684</v>
      </c>
      <c r="N122" s="185">
        <f t="shared" si="20"/>
        <v>1.3354700854700856</v>
      </c>
      <c r="O122" s="185">
        <f>IF(AND(R122&lt;&gt;0.62/3600,R122&lt;&gt;0),FORECAST(M122,'1_2.3'!$N$9:$N$10,'1_2.3'!$G$9:$G$10),"nn")</f>
        <v>205.50398623110027</v>
      </c>
      <c r="P122" s="185">
        <f t="shared" si="26"/>
        <v>1655.2681423746067</v>
      </c>
      <c r="Q122" s="213">
        <f t="shared" si="24"/>
        <v>8.3686612066728123E-5</v>
      </c>
      <c r="R122" s="202" t="str">
        <f t="shared" si="22"/>
        <v>expression</v>
      </c>
    </row>
    <row r="123" spans="11:18" x14ac:dyDescent="0.2">
      <c r="K123" s="189">
        <v>120</v>
      </c>
      <c r="L123" s="191">
        <f t="shared" si="19"/>
        <v>5.7692307692307701</v>
      </c>
      <c r="M123" s="185">
        <f t="shared" si="25"/>
        <v>1.6025641025641026</v>
      </c>
      <c r="N123" s="185">
        <f t="shared" si="20"/>
        <v>1.8696581196581197</v>
      </c>
      <c r="O123" s="185">
        <f>IF(AND(R123&lt;&gt;0.62/3600,R123&lt;&gt;0),FORECAST(M123,'1_2.3'!$N$9:$N$10,'1_2.3'!$G$9:$G$10),"nn")</f>
        <v>204.88654730652951</v>
      </c>
      <c r="P123" s="185">
        <f t="shared" si="26"/>
        <v>1655.2681423746067</v>
      </c>
      <c r="Q123" s="213">
        <f t="shared" si="24"/>
        <v>1.3913356035630576E-4</v>
      </c>
      <c r="R123" s="202" t="str">
        <f t="shared" si="22"/>
        <v>expression</v>
      </c>
    </row>
    <row r="124" spans="11:18" x14ac:dyDescent="0.2">
      <c r="K124" s="189">
        <v>121</v>
      </c>
      <c r="L124" s="191">
        <f t="shared" si="19"/>
        <v>7.6923076923076925</v>
      </c>
      <c r="M124" s="185">
        <f t="shared" si="25"/>
        <v>2.1367521367521367</v>
      </c>
      <c r="N124" s="185">
        <f t="shared" si="20"/>
        <v>2.4038461538461537</v>
      </c>
      <c r="O124" s="185">
        <f>IF(AND(R124&lt;&gt;0.62/3600,R124&lt;&gt;0),FORECAST(M124,'1_2.3'!$N$9:$N$10,'1_2.3'!$G$9:$G$10),"nn")</f>
        <v>204.26910838195874</v>
      </c>
      <c r="P124" s="185">
        <f t="shared" si="26"/>
        <v>1655.2681423746067</v>
      </c>
      <c r="Q124" s="213">
        <f t="shared" si="24"/>
        <v>1.9435687217125318E-4</v>
      </c>
      <c r="R124" s="202" t="str">
        <f t="shared" si="22"/>
        <v>expression</v>
      </c>
    </row>
    <row r="125" spans="11:18" x14ac:dyDescent="0.2">
      <c r="K125" s="189">
        <v>122</v>
      </c>
      <c r="L125" s="191">
        <f t="shared" si="19"/>
        <v>9.615384615384615</v>
      </c>
      <c r="M125" s="185">
        <f t="shared" si="25"/>
        <v>2.6709401709401708</v>
      </c>
      <c r="N125" s="185">
        <f t="shared" si="20"/>
        <v>2.9380341880341883</v>
      </c>
      <c r="O125" s="185">
        <f>IF(AND(R125&lt;&gt;0.62/3600,R125&lt;&gt;0),FORECAST(M125,'1_2.3'!$N$9:$N$10,'1_2.3'!$G$9:$G$10),"nn")</f>
        <v>203.65166945738798</v>
      </c>
      <c r="P125" s="185">
        <f t="shared" si="26"/>
        <v>1655.2681423746067</v>
      </c>
      <c r="Q125" s="213">
        <f t="shared" si="24"/>
        <v>2.4940022178373384E-4</v>
      </c>
      <c r="R125" s="202" t="str">
        <f t="shared" si="22"/>
        <v>expression</v>
      </c>
    </row>
    <row r="126" spans="11:18" x14ac:dyDescent="0.2">
      <c r="K126" s="189">
        <v>123</v>
      </c>
      <c r="L126" s="191">
        <f t="shared" si="19"/>
        <v>11.53846153846154</v>
      </c>
      <c r="M126" s="185">
        <f t="shared" si="25"/>
        <v>3.2051282051282053</v>
      </c>
      <c r="N126" s="185">
        <f t="shared" si="20"/>
        <v>3.4722222222222223</v>
      </c>
      <c r="O126" s="185">
        <f>IF(AND(R126&lt;&gt;0.62/3600,R126&lt;&gt;0),FORECAST(M126,'1_2.3'!$N$9:$N$10,'1_2.3'!$G$9:$G$10),"nn")</f>
        <v>203.03423053281722</v>
      </c>
      <c r="P126" s="185">
        <f t="shared" si="26"/>
        <v>1655.2681423746067</v>
      </c>
      <c r="Q126" s="213">
        <f t="shared" si="24"/>
        <v>3.0430674148868844E-4</v>
      </c>
      <c r="R126" s="202" t="str">
        <f t="shared" si="22"/>
        <v>expression</v>
      </c>
    </row>
    <row r="127" spans="11:18" x14ac:dyDescent="0.2">
      <c r="K127" s="189">
        <v>124</v>
      </c>
      <c r="L127" s="191">
        <f t="shared" si="19"/>
        <v>13.461538461538462</v>
      </c>
      <c r="M127" s="185">
        <f t="shared" si="25"/>
        <v>3.7393162393162394</v>
      </c>
      <c r="N127" s="185">
        <f t="shared" si="20"/>
        <v>4.0064102564102564</v>
      </c>
      <c r="O127" s="185">
        <f>IF(AND(R127&lt;&gt;0.62/3600,R127&lt;&gt;0),FORECAST(M127,'1_2.3'!$N$9:$N$10,'1_2.3'!$G$9:$G$10),"nn")</f>
        <v>202.41679160824646</v>
      </c>
      <c r="P127" s="185">
        <f t="shared" si="26"/>
        <v>1655.2681423746067</v>
      </c>
      <c r="Q127" s="213">
        <f t="shared" si="24"/>
        <v>3.5911902160383339E-4</v>
      </c>
      <c r="R127" s="202" t="str">
        <f t="shared" si="22"/>
        <v>expression</v>
      </c>
    </row>
    <row r="128" spans="11:18" x14ac:dyDescent="0.2">
      <c r="K128" s="189">
        <v>125</v>
      </c>
      <c r="L128" s="191">
        <f t="shared" si="19"/>
        <v>15.384615384615385</v>
      </c>
      <c r="M128" s="185">
        <f t="shared" si="25"/>
        <v>4.2735042735042734</v>
      </c>
      <c r="N128" s="185">
        <f t="shared" si="20"/>
        <v>4.5405982905982905</v>
      </c>
      <c r="O128" s="185">
        <f>IF(AND(R128&lt;&gt;0.62/3600,R128&lt;&gt;0),FORECAST(M128,'1_2.3'!$N$9:$N$10,'1_2.3'!$G$9:$G$10),"nn")</f>
        <v>201.79935268367569</v>
      </c>
      <c r="P128" s="185">
        <f t="shared" si="26"/>
        <v>1655.2681423746067</v>
      </c>
      <c r="Q128" s="213">
        <f t="shared" si="24"/>
        <v>4.1387911046966339E-4</v>
      </c>
      <c r="R128" s="202" t="str">
        <f t="shared" si="22"/>
        <v>expression</v>
      </c>
    </row>
    <row r="129" spans="11:18" x14ac:dyDescent="0.2">
      <c r="K129" s="189">
        <v>126</v>
      </c>
      <c r="L129" s="191">
        <f t="shared" si="19"/>
        <v>17.307692307692307</v>
      </c>
      <c r="M129" s="185">
        <f t="shared" si="25"/>
        <v>4.8076923076923075</v>
      </c>
      <c r="N129" s="185">
        <f t="shared" si="20"/>
        <v>5.0747863247863245</v>
      </c>
      <c r="O129" s="185">
        <f>IF(AND(R129&lt;&gt;0.62/3600,R129&lt;&gt;0),FORECAST(M129,'1_2.3'!$N$9:$N$10,'1_2.3'!$G$9:$G$10),"nn")</f>
        <v>201.18191375910493</v>
      </c>
      <c r="P129" s="185">
        <f t="shared" si="26"/>
        <v>1655.2681423746067</v>
      </c>
      <c r="Q129" s="213">
        <f t="shared" si="24"/>
        <v>4.6862851444944925E-4</v>
      </c>
      <c r="R129" s="202" t="str">
        <f t="shared" si="22"/>
        <v>expression</v>
      </c>
    </row>
    <row r="130" spans="11:18" x14ac:dyDescent="0.2">
      <c r="K130" s="189">
        <v>127</v>
      </c>
      <c r="L130" s="191">
        <f t="shared" si="19"/>
        <v>19.23076923076923</v>
      </c>
      <c r="M130" s="185">
        <f t="shared" si="25"/>
        <v>5.3418803418803416</v>
      </c>
      <c r="N130" s="185">
        <f t="shared" si="20"/>
        <v>5.6089743589743586</v>
      </c>
      <c r="O130" s="185">
        <f>IF(AND(R130&lt;&gt;0.62/3600,R130&lt;&gt;0),FORECAST(M130,'1_2.3'!$N$9:$N$10,'1_2.3'!$G$9:$G$10),"nn")</f>
        <v>200.56447483453417</v>
      </c>
      <c r="P130" s="185">
        <f t="shared" si="26"/>
        <v>1655.2681423746067</v>
      </c>
      <c r="Q130" s="213">
        <f t="shared" si="24"/>
        <v>5.2340819792923881E-4</v>
      </c>
      <c r="R130" s="202" t="str">
        <f t="shared" si="22"/>
        <v>expression</v>
      </c>
    </row>
    <row r="131" spans="11:18" x14ac:dyDescent="0.2">
      <c r="K131" s="189">
        <v>128</v>
      </c>
      <c r="L131" s="191">
        <f t="shared" si="19"/>
        <v>21.153846153846153</v>
      </c>
      <c r="M131" s="185">
        <f t="shared" ref="M131:M162" si="28">VLOOKUP(K131,$H$3:$I$88,2,TRUE)</f>
        <v>5.8760683760683756</v>
      </c>
      <c r="N131" s="185">
        <f t="shared" si="20"/>
        <v>6.1431623931623935</v>
      </c>
      <c r="O131" s="185">
        <f>IF(AND(R131&lt;&gt;0.62/3600,R131&lt;&gt;0),FORECAST(M131,'1_2.3'!$N$9:$N$10,'1_2.3'!$G$9:$G$10),"nn")</f>
        <v>199.9470359099634</v>
      </c>
      <c r="P131" s="185">
        <f t="shared" ref="P131:P162" si="29">VLOOKUP(M131,meq,2)</f>
        <v>1655.2681423746067</v>
      </c>
      <c r="Q131" s="213">
        <f t="shared" si="24"/>
        <v>5.782585833178567E-4</v>
      </c>
      <c r="R131" s="202" t="str">
        <f t="shared" si="22"/>
        <v>expression</v>
      </c>
    </row>
    <row r="132" spans="11:18" x14ac:dyDescent="0.2">
      <c r="K132" s="189">
        <v>129</v>
      </c>
      <c r="L132" s="191">
        <f t="shared" ref="L132:L191" si="30">M132*3.6</f>
        <v>23.07692307692308</v>
      </c>
      <c r="M132" s="185">
        <f t="shared" si="28"/>
        <v>6.4102564102564106</v>
      </c>
      <c r="N132" s="185">
        <f t="shared" ref="N132:N191" si="31">(M132+M133)/2</f>
        <v>6.6773504273504276</v>
      </c>
      <c r="O132" s="185">
        <f>IF(AND(R132&lt;&gt;0.62/3600,R132&lt;&gt;0),FORECAST(M132,'1_2.3'!$N$9:$N$10,'1_2.3'!$G$9:$G$10),"nn")</f>
        <v>199.32959698539264</v>
      </c>
      <c r="P132" s="185">
        <f t="shared" si="29"/>
        <v>1655.2681423746067</v>
      </c>
      <c r="Q132" s="213">
        <f t="shared" si="24"/>
        <v>6.3321955104690588E-4</v>
      </c>
      <c r="R132" s="202" t="str">
        <f t="shared" si="22"/>
        <v>expression</v>
      </c>
    </row>
    <row r="133" spans="11:18" x14ac:dyDescent="0.2">
      <c r="K133" s="189">
        <v>130</v>
      </c>
      <c r="L133" s="191">
        <f t="shared" si="30"/>
        <v>25</v>
      </c>
      <c r="M133" s="185">
        <f t="shared" si="28"/>
        <v>6.9444444444444446</v>
      </c>
      <c r="N133" s="185">
        <f t="shared" si="31"/>
        <v>7.2115384615384617</v>
      </c>
      <c r="O133" s="185">
        <f>IF(AND(R133&lt;&gt;0.62/3600,R133&lt;&gt;0),FORECAST(M133,'1_2.3'!$N$9:$N$10,'1_2.3'!$G$9:$G$10),"nn")</f>
        <v>198.71215806082188</v>
      </c>
      <c r="P133" s="185">
        <f t="shared" si="29"/>
        <v>1655.2681423746067</v>
      </c>
      <c r="Q133" s="213">
        <f t="shared" si="24"/>
        <v>6.8833043957076099E-4</v>
      </c>
      <c r="R133" s="202" t="str">
        <f t="shared" ref="R133:R190" si="32">IF(M133=0,0.62*(K134-K133),IF((M133-M132)&lt;0,0,"expression"))</f>
        <v>expression</v>
      </c>
    </row>
    <row r="134" spans="11:18" x14ac:dyDescent="0.2">
      <c r="K134" s="189">
        <v>131</v>
      </c>
      <c r="L134" s="191">
        <f t="shared" si="30"/>
        <v>26.923076923076923</v>
      </c>
      <c r="M134" s="185">
        <f t="shared" si="28"/>
        <v>7.4786324786324787</v>
      </c>
      <c r="N134" s="185">
        <f t="shared" si="31"/>
        <v>7.7457264957264957</v>
      </c>
      <c r="O134" s="185">
        <f>IF(AND(R134&lt;&gt;0.62/3600,R134&lt;&gt;0),FORECAST(M134,'1_2.3'!$N$9:$N$10,'1_2.3'!$G$9:$G$10),"nn")</f>
        <v>198.09471913625114</v>
      </c>
      <c r="P134" s="185">
        <f t="shared" si="29"/>
        <v>1655.2681423746067</v>
      </c>
      <c r="Q134" s="213">
        <f t="shared" si="24"/>
        <v>7.4363004536658116E-4</v>
      </c>
      <c r="R134" s="202" t="str">
        <f t="shared" si="32"/>
        <v>expression</v>
      </c>
    </row>
    <row r="135" spans="11:18" x14ac:dyDescent="0.2">
      <c r="K135" s="189">
        <v>132</v>
      </c>
      <c r="L135" s="191">
        <f t="shared" si="30"/>
        <v>28.846153846153847</v>
      </c>
      <c r="M135" s="185">
        <f t="shared" si="28"/>
        <v>8.0128205128205128</v>
      </c>
      <c r="N135" s="185">
        <f t="shared" si="31"/>
        <v>8.2799145299145298</v>
      </c>
      <c r="O135" s="185">
        <f>IF(AND(R135&lt;&gt;0.62/3600,R135&lt;&gt;0),FORECAST(M135,'1_2.3'!$N$9:$N$10,'1_2.3'!$G$9:$G$10),"nn")</f>
        <v>197.47728021168038</v>
      </c>
      <c r="P135" s="185">
        <f t="shared" si="29"/>
        <v>1655.2681423746067</v>
      </c>
      <c r="Q135" s="213">
        <f t="shared" si="24"/>
        <v>7.99156622934297E-4</v>
      </c>
      <c r="R135" s="202" t="str">
        <f t="shared" si="32"/>
        <v>expression</v>
      </c>
    </row>
    <row r="136" spans="11:18" x14ac:dyDescent="0.2">
      <c r="K136" s="189">
        <v>133</v>
      </c>
      <c r="L136" s="191">
        <f t="shared" si="30"/>
        <v>30.76923076923077</v>
      </c>
      <c r="M136" s="185">
        <f t="shared" si="28"/>
        <v>8.5470085470085468</v>
      </c>
      <c r="N136" s="185">
        <f t="shared" si="31"/>
        <v>8.8141025641025639</v>
      </c>
      <c r="O136" s="185">
        <f>IF(AND(R136&lt;&gt;0.62/3600,R136&lt;&gt;0),FORECAST(M136,'1_2.3'!$N$9:$N$10,'1_2.3'!$G$9:$G$10),"nn")</f>
        <v>196.85984128710962</v>
      </c>
      <c r="P136" s="185">
        <f t="shared" si="29"/>
        <v>1655.2681423746067</v>
      </c>
      <c r="Q136" s="213">
        <f t="shared" si="24"/>
        <v>8.5494788479661802E-4</v>
      </c>
      <c r="R136" s="202" t="str">
        <f t="shared" si="32"/>
        <v>expression</v>
      </c>
    </row>
    <row r="137" spans="11:18" x14ac:dyDescent="0.2">
      <c r="K137" s="189">
        <v>134</v>
      </c>
      <c r="L137" s="191">
        <f t="shared" si="30"/>
        <v>32.692307692307693</v>
      </c>
      <c r="M137" s="185">
        <f t="shared" si="28"/>
        <v>9.0811965811965809</v>
      </c>
      <c r="N137" s="185">
        <f t="shared" si="31"/>
        <v>9.3482905982905979</v>
      </c>
      <c r="O137" s="185">
        <f>IF(AND(R137&lt;&gt;0.62/3600,R137&lt;&gt;0),FORECAST(M137,'1_2.3'!$N$9:$N$10,'1_2.3'!$G$9:$G$10),"nn")</f>
        <v>196.24240236253885</v>
      </c>
      <c r="P137" s="185">
        <f t="shared" si="29"/>
        <v>1655.2681423746067</v>
      </c>
      <c r="Q137" s="213">
        <f t="shared" si="24"/>
        <v>9.1104100149902976E-4</v>
      </c>
      <c r="R137" s="202" t="str">
        <f t="shared" si="32"/>
        <v>expression</v>
      </c>
    </row>
    <row r="138" spans="11:18" x14ac:dyDescent="0.2">
      <c r="K138" s="189">
        <v>135</v>
      </c>
      <c r="L138" s="191">
        <f t="shared" si="30"/>
        <v>34.615384615384613</v>
      </c>
      <c r="M138" s="185">
        <f t="shared" si="28"/>
        <v>9.615384615384615</v>
      </c>
      <c r="N138" s="185">
        <f t="shared" si="31"/>
        <v>9.882478632478632</v>
      </c>
      <c r="O138" s="185">
        <f>IF(AND(R138&lt;&gt;0.62/3600,R138&lt;&gt;0),FORECAST(M138,'1_2.3'!$N$9:$N$10,'1_2.3'!$G$9:$G$10),"nn")</f>
        <v>195.62496343796809</v>
      </c>
      <c r="P138" s="185">
        <f t="shared" si="29"/>
        <v>1451.5131014047688</v>
      </c>
      <c r="Q138" s="213">
        <f t="shared" si="24"/>
        <v>8.6713865083054976E-4</v>
      </c>
      <c r="R138" s="202" t="str">
        <f t="shared" si="32"/>
        <v>expression</v>
      </c>
    </row>
    <row r="139" spans="11:18" x14ac:dyDescent="0.2">
      <c r="K139" s="189">
        <v>136</v>
      </c>
      <c r="L139" s="191">
        <f t="shared" si="30"/>
        <v>36.53846153846154</v>
      </c>
      <c r="M139" s="185">
        <f t="shared" si="28"/>
        <v>10.149572649572649</v>
      </c>
      <c r="N139" s="185">
        <f t="shared" si="31"/>
        <v>10.416666666666666</v>
      </c>
      <c r="O139" s="185">
        <f>IF(AND(R139&lt;&gt;0.62/3600,R139&lt;&gt;0),FORECAST(M139,'1_2.3'!$N$9:$N$10,'1_2.3'!$G$9:$G$10),"nn")</f>
        <v>195.00752451339733</v>
      </c>
      <c r="P139" s="185">
        <f t="shared" si="29"/>
        <v>1451.5131014047688</v>
      </c>
      <c r="Q139" s="213">
        <f t="shared" si="24"/>
        <v>9.1854622601860228E-4</v>
      </c>
      <c r="R139" s="202" t="str">
        <f t="shared" si="32"/>
        <v>expression</v>
      </c>
    </row>
    <row r="140" spans="11:18" x14ac:dyDescent="0.2">
      <c r="K140" s="189">
        <v>137</v>
      </c>
      <c r="L140" s="191">
        <f t="shared" si="30"/>
        <v>38.46153846153846</v>
      </c>
      <c r="M140" s="185">
        <f t="shared" si="28"/>
        <v>10.683760683760683</v>
      </c>
      <c r="N140" s="185">
        <f t="shared" si="31"/>
        <v>10.9508547008547</v>
      </c>
      <c r="O140" s="185">
        <f>IF(AND(R140&lt;&gt;0.62/3600,R140&lt;&gt;0),FORECAST(M140,'1_2.3'!$N$9:$N$10,'1_2.3'!$G$9:$G$10),"nn")</f>
        <v>194.39008558882657</v>
      </c>
      <c r="P140" s="185">
        <f t="shared" si="29"/>
        <v>1451.5131014047688</v>
      </c>
      <c r="Q140" s="213">
        <f t="shared" si="24"/>
        <v>9.7040010757055127E-4</v>
      </c>
      <c r="R140" s="202" t="str">
        <f t="shared" si="32"/>
        <v>expression</v>
      </c>
    </row>
    <row r="141" spans="11:18" x14ac:dyDescent="0.2">
      <c r="K141" s="189">
        <v>138</v>
      </c>
      <c r="L141" s="191">
        <f t="shared" si="30"/>
        <v>40.38461538461538</v>
      </c>
      <c r="M141" s="185">
        <f t="shared" si="28"/>
        <v>11.217948717948717</v>
      </c>
      <c r="N141" s="185">
        <f t="shared" si="31"/>
        <v>11.485042735042734</v>
      </c>
      <c r="O141" s="185">
        <f>IF(AND(R141&lt;&gt;0.62/3600,R141&lt;&gt;0),FORECAST(M141,'1_2.3'!$N$9:$N$10,'1_2.3'!$G$9:$G$10),"nn")</f>
        <v>193.7726466642558</v>
      </c>
      <c r="P141" s="185">
        <f t="shared" si="29"/>
        <v>1451.5131014047688</v>
      </c>
      <c r="Q141" s="213">
        <f t="shared" si="24"/>
        <v>1.0227352981229904E-3</v>
      </c>
      <c r="R141" s="202" t="str">
        <f t="shared" si="32"/>
        <v>expression</v>
      </c>
    </row>
    <row r="142" spans="11:18" x14ac:dyDescent="0.2">
      <c r="K142" s="189">
        <v>139</v>
      </c>
      <c r="L142" s="191">
        <f t="shared" si="30"/>
        <v>42.307692307692307</v>
      </c>
      <c r="M142" s="185">
        <f t="shared" si="28"/>
        <v>11.752136752136751</v>
      </c>
      <c r="N142" s="185">
        <f t="shared" si="31"/>
        <v>12.019230769230768</v>
      </c>
      <c r="O142" s="185">
        <f>IF(AND(R142&lt;&gt;0.62/3600,R142&lt;&gt;0),FORECAST(M142,'1_2.3'!$N$9:$N$10,'1_2.3'!$G$9:$G$10),"nn")</f>
        <v>193.15520773968504</v>
      </c>
      <c r="P142" s="185">
        <f t="shared" si="29"/>
        <v>1451.5131014047688</v>
      </c>
      <c r="Q142" s="213">
        <f t="shared" si="24"/>
        <v>1.0755862583352899E-3</v>
      </c>
      <c r="R142" s="202" t="str">
        <f t="shared" si="32"/>
        <v>expression</v>
      </c>
    </row>
    <row r="143" spans="11:18" x14ac:dyDescent="0.2">
      <c r="K143" s="189">
        <v>140</v>
      </c>
      <c r="L143" s="191">
        <f t="shared" si="30"/>
        <v>44.230769230769226</v>
      </c>
      <c r="M143" s="185">
        <f t="shared" si="28"/>
        <v>12.286324786324785</v>
      </c>
      <c r="N143" s="185">
        <f t="shared" si="31"/>
        <v>12.553418803418804</v>
      </c>
      <c r="O143" s="185">
        <f>IF(AND(R143&lt;&gt;0.62/3600,R143&lt;&gt;0),FORECAST(M143,'1_2.3'!$N$9:$N$10,'1_2.3'!$G$9:$G$10),"nn")</f>
        <v>192.53776881511428</v>
      </c>
      <c r="P143" s="185">
        <f t="shared" si="29"/>
        <v>1451.5131014047688</v>
      </c>
      <c r="Q143" s="213">
        <f t="shared" si="24"/>
        <v>1.1289869068895968E-3</v>
      </c>
      <c r="R143" s="202" t="str">
        <f t="shared" si="32"/>
        <v>expression</v>
      </c>
    </row>
    <row r="144" spans="11:18" x14ac:dyDescent="0.2">
      <c r="K144" s="189">
        <v>141</v>
      </c>
      <c r="L144" s="191">
        <f t="shared" si="30"/>
        <v>46.15384615384616</v>
      </c>
      <c r="M144" s="185">
        <f t="shared" si="28"/>
        <v>12.820512820512821</v>
      </c>
      <c r="N144" s="185">
        <f t="shared" si="31"/>
        <v>13.087606837606838</v>
      </c>
      <c r="O144" s="185">
        <f>IF(AND(R144&lt;&gt;0.62/3600,R144&lt;&gt;0),FORECAST(M144,'1_2.3'!$N$9:$N$10,'1_2.3'!$G$9:$G$10),"nn")</f>
        <v>191.92032989054351</v>
      </c>
      <c r="P144" s="185">
        <f t="shared" si="29"/>
        <v>1451.5131014047688</v>
      </c>
      <c r="Q144" s="213">
        <f t="shared" ref="Q144:Q190" si="33">IF(M144=0,0.62/3600,IF((M144-M143)&lt;0,0,($B$22*N143+$B$23*N143^3+P144*N143*(M144-M143))*(O144/1000/3600/745.7)/($B$10/1000)))</f>
        <v>1.1829706204908386E-3</v>
      </c>
      <c r="R144" s="202" t="str">
        <f t="shared" si="32"/>
        <v>expression</v>
      </c>
    </row>
    <row r="145" spans="11:18" x14ac:dyDescent="0.2">
      <c r="K145" s="189">
        <v>142</v>
      </c>
      <c r="L145" s="191">
        <f t="shared" si="30"/>
        <v>48.07692307692308</v>
      </c>
      <c r="M145" s="185">
        <f t="shared" si="28"/>
        <v>13.354700854700855</v>
      </c>
      <c r="N145" s="185">
        <f t="shared" si="31"/>
        <v>13.621794871794872</v>
      </c>
      <c r="O145" s="185">
        <f>IF(AND(R145&lt;&gt;0.62/3600,R145&lt;&gt;0),FORECAST(M145,'1_2.3'!$N$9:$N$10,'1_2.3'!$G$9:$G$10),"nn")</f>
        <v>191.30289096597275</v>
      </c>
      <c r="P145" s="185">
        <f t="shared" si="29"/>
        <v>1451.5131014047688</v>
      </c>
      <c r="Q145" s="213">
        <f t="shared" si="33"/>
        <v>1.2375702338667065E-3</v>
      </c>
      <c r="R145" s="202" t="str">
        <f t="shared" si="32"/>
        <v>expression</v>
      </c>
    </row>
    <row r="146" spans="11:18" x14ac:dyDescent="0.2">
      <c r="K146" s="189">
        <v>143</v>
      </c>
      <c r="L146" s="191">
        <f t="shared" si="30"/>
        <v>50</v>
      </c>
      <c r="M146" s="185">
        <f t="shared" si="28"/>
        <v>13.888888888888889</v>
      </c>
      <c r="N146" s="185">
        <f t="shared" si="31"/>
        <v>13.888888888888889</v>
      </c>
      <c r="O146" s="185">
        <f>IF(AND(R146&lt;&gt;0.62/3600,R146&lt;&gt;0),FORECAST(M146,'1_2.3'!$N$9:$N$10,'1_2.3'!$G$9:$G$10),"nn")</f>
        <v>190.68545204140199</v>
      </c>
      <c r="P146" s="185">
        <f t="shared" si="29"/>
        <v>1451.5131014047688</v>
      </c>
      <c r="Q146" s="213">
        <f t="shared" si="33"/>
        <v>1.2928180397676879E-3</v>
      </c>
      <c r="R146" s="202" t="str">
        <f t="shared" si="32"/>
        <v>expression</v>
      </c>
    </row>
    <row r="147" spans="11:18" x14ac:dyDescent="0.2">
      <c r="K147" s="189">
        <v>144</v>
      </c>
      <c r="L147" s="191">
        <f t="shared" si="30"/>
        <v>50</v>
      </c>
      <c r="M147" s="185">
        <f t="shared" si="28"/>
        <v>13.888888888888889</v>
      </c>
      <c r="N147" s="185">
        <f t="shared" si="31"/>
        <v>13.888888888888889</v>
      </c>
      <c r="O147" s="185">
        <f>IF(AND(R147&lt;&gt;0.62/3600,R147&lt;&gt;0),FORECAST(M147,'1_2.3'!$N$9:$N$10,'1_2.3'!$G$9:$G$10),"nn")</f>
        <v>190.68545204140199</v>
      </c>
      <c r="P147" s="185">
        <f t="shared" si="29"/>
        <v>1451.5131014047688</v>
      </c>
      <c r="Q147" s="213">
        <f t="shared" si="33"/>
        <v>2.877204472662544E-4</v>
      </c>
      <c r="R147" s="202" t="str">
        <f t="shared" si="32"/>
        <v>expression</v>
      </c>
    </row>
    <row r="148" spans="11:18" x14ac:dyDescent="0.2">
      <c r="K148" s="189">
        <v>145</v>
      </c>
      <c r="L148" s="191">
        <f t="shared" si="30"/>
        <v>50</v>
      </c>
      <c r="M148" s="185">
        <f t="shared" si="28"/>
        <v>13.888888888888889</v>
      </c>
      <c r="N148" s="185">
        <f t="shared" si="31"/>
        <v>13.888888888888889</v>
      </c>
      <c r="O148" s="185">
        <f>IF(AND(R148&lt;&gt;0.62/3600,R148&lt;&gt;0),FORECAST(M148,'1_2.3'!$N$9:$N$10,'1_2.3'!$G$9:$G$10),"nn")</f>
        <v>190.68545204140199</v>
      </c>
      <c r="P148" s="185">
        <f t="shared" si="29"/>
        <v>1451.5131014047688</v>
      </c>
      <c r="Q148" s="213">
        <f t="shared" si="33"/>
        <v>2.877204472662544E-4</v>
      </c>
      <c r="R148" s="202" t="str">
        <f t="shared" si="32"/>
        <v>expression</v>
      </c>
    </row>
    <row r="149" spans="11:18" x14ac:dyDescent="0.2">
      <c r="K149" s="189">
        <v>146</v>
      </c>
      <c r="L149" s="191">
        <f t="shared" si="30"/>
        <v>50</v>
      </c>
      <c r="M149" s="185">
        <f t="shared" si="28"/>
        <v>13.888888888888889</v>
      </c>
      <c r="N149" s="185">
        <f t="shared" si="31"/>
        <v>13.888888888888889</v>
      </c>
      <c r="O149" s="185">
        <f>IF(AND(R149&lt;&gt;0.62/3600,R149&lt;&gt;0),FORECAST(M149,'1_2.3'!$N$9:$N$10,'1_2.3'!$G$9:$G$10),"nn")</f>
        <v>190.68545204140199</v>
      </c>
      <c r="P149" s="185">
        <f t="shared" si="29"/>
        <v>1451.5131014047688</v>
      </c>
      <c r="Q149" s="213">
        <f t="shared" si="33"/>
        <v>2.877204472662544E-4</v>
      </c>
      <c r="R149" s="202" t="str">
        <f t="shared" si="32"/>
        <v>expression</v>
      </c>
    </row>
    <row r="150" spans="11:18" x14ac:dyDescent="0.2">
      <c r="K150" s="189">
        <v>147</v>
      </c>
      <c r="L150" s="191">
        <f t="shared" si="30"/>
        <v>50</v>
      </c>
      <c r="M150" s="185">
        <f t="shared" si="28"/>
        <v>13.888888888888889</v>
      </c>
      <c r="N150" s="185">
        <f t="shared" si="31"/>
        <v>13.888888888888889</v>
      </c>
      <c r="O150" s="185">
        <f>IF(AND(R150&lt;&gt;0.62/3600,R150&lt;&gt;0),FORECAST(M150,'1_2.3'!$N$9:$N$10,'1_2.3'!$G$9:$G$10),"nn")</f>
        <v>190.68545204140199</v>
      </c>
      <c r="P150" s="185">
        <f t="shared" si="29"/>
        <v>1451.5131014047688</v>
      </c>
      <c r="Q150" s="213">
        <f t="shared" si="33"/>
        <v>2.877204472662544E-4</v>
      </c>
      <c r="R150" s="202" t="str">
        <f t="shared" si="32"/>
        <v>expression</v>
      </c>
    </row>
    <row r="151" spans="11:18" x14ac:dyDescent="0.2">
      <c r="K151" s="189">
        <v>148</v>
      </c>
      <c r="L151" s="191">
        <f t="shared" si="30"/>
        <v>50</v>
      </c>
      <c r="M151" s="185">
        <f t="shared" si="28"/>
        <v>13.888888888888889</v>
      </c>
      <c r="N151" s="185">
        <f t="shared" si="31"/>
        <v>13.888888888888889</v>
      </c>
      <c r="O151" s="185">
        <f>IF(AND(R151&lt;&gt;0.62/3600,R151&lt;&gt;0),FORECAST(M151,'1_2.3'!$N$9:$N$10,'1_2.3'!$G$9:$G$10),"nn")</f>
        <v>190.68545204140199</v>
      </c>
      <c r="P151" s="185">
        <f t="shared" si="29"/>
        <v>1451.5131014047688</v>
      </c>
      <c r="Q151" s="213">
        <f t="shared" si="33"/>
        <v>2.877204472662544E-4</v>
      </c>
      <c r="R151" s="202" t="str">
        <f t="shared" si="32"/>
        <v>expression</v>
      </c>
    </row>
    <row r="152" spans="11:18" x14ac:dyDescent="0.2">
      <c r="K152" s="189">
        <v>149</v>
      </c>
      <c r="L152" s="191">
        <f t="shared" si="30"/>
        <v>50</v>
      </c>
      <c r="M152" s="185">
        <f t="shared" si="28"/>
        <v>13.888888888888889</v>
      </c>
      <c r="N152" s="185">
        <f t="shared" si="31"/>
        <v>13.888888888888889</v>
      </c>
      <c r="O152" s="185">
        <f>IF(AND(R152&lt;&gt;0.62/3600,R152&lt;&gt;0),FORECAST(M152,'1_2.3'!$N$9:$N$10,'1_2.3'!$G$9:$G$10),"nn")</f>
        <v>190.68545204140199</v>
      </c>
      <c r="P152" s="185">
        <f t="shared" si="29"/>
        <v>1451.5131014047688</v>
      </c>
      <c r="Q152" s="213">
        <f t="shared" si="33"/>
        <v>2.877204472662544E-4</v>
      </c>
      <c r="R152" s="202" t="str">
        <f t="shared" si="32"/>
        <v>expression</v>
      </c>
    </row>
    <row r="153" spans="11:18" x14ac:dyDescent="0.2">
      <c r="K153" s="189">
        <v>150</v>
      </c>
      <c r="L153" s="191">
        <f t="shared" si="30"/>
        <v>50</v>
      </c>
      <c r="M153" s="185">
        <f t="shared" si="28"/>
        <v>13.888888888888889</v>
      </c>
      <c r="N153" s="185">
        <f t="shared" si="31"/>
        <v>13.888888888888889</v>
      </c>
      <c r="O153" s="185">
        <f>IF(AND(R153&lt;&gt;0.62/3600,R153&lt;&gt;0),FORECAST(M153,'1_2.3'!$N$9:$N$10,'1_2.3'!$G$9:$G$10),"nn")</f>
        <v>190.68545204140199</v>
      </c>
      <c r="P153" s="185">
        <f t="shared" si="29"/>
        <v>1451.5131014047688</v>
      </c>
      <c r="Q153" s="213">
        <f t="shared" si="33"/>
        <v>2.877204472662544E-4</v>
      </c>
      <c r="R153" s="202" t="str">
        <f t="shared" si="32"/>
        <v>expression</v>
      </c>
    </row>
    <row r="154" spans="11:18" x14ac:dyDescent="0.2">
      <c r="K154" s="189">
        <v>151</v>
      </c>
      <c r="L154" s="191">
        <f t="shared" si="30"/>
        <v>50</v>
      </c>
      <c r="M154" s="185">
        <f t="shared" si="28"/>
        <v>13.888888888888889</v>
      </c>
      <c r="N154" s="185">
        <f t="shared" si="31"/>
        <v>13.888888888888889</v>
      </c>
      <c r="O154" s="185">
        <f>IF(AND(R154&lt;&gt;0.62/3600,R154&lt;&gt;0),FORECAST(M154,'1_2.3'!$N$9:$N$10,'1_2.3'!$G$9:$G$10),"nn")</f>
        <v>190.68545204140199</v>
      </c>
      <c r="P154" s="185">
        <f t="shared" si="29"/>
        <v>1451.5131014047688</v>
      </c>
      <c r="Q154" s="213">
        <f t="shared" si="33"/>
        <v>2.877204472662544E-4</v>
      </c>
      <c r="R154" s="202" t="str">
        <f t="shared" si="32"/>
        <v>expression</v>
      </c>
    </row>
    <row r="155" spans="11:18" x14ac:dyDescent="0.2">
      <c r="K155" s="189">
        <v>152</v>
      </c>
      <c r="L155" s="191">
        <f t="shared" si="30"/>
        <v>50</v>
      </c>
      <c r="M155" s="185">
        <f t="shared" si="28"/>
        <v>13.888888888888889</v>
      </c>
      <c r="N155" s="185">
        <f t="shared" si="31"/>
        <v>13.888888888888889</v>
      </c>
      <c r="O155" s="185">
        <f>IF(AND(R155&lt;&gt;0.62/3600,R155&lt;&gt;0),FORECAST(M155,'1_2.3'!$N$9:$N$10,'1_2.3'!$G$9:$G$10),"nn")</f>
        <v>190.68545204140199</v>
      </c>
      <c r="P155" s="185">
        <f t="shared" si="29"/>
        <v>1451.5131014047688</v>
      </c>
      <c r="Q155" s="213">
        <f t="shared" si="33"/>
        <v>2.877204472662544E-4</v>
      </c>
      <c r="R155" s="202" t="str">
        <f t="shared" si="32"/>
        <v>expression</v>
      </c>
    </row>
    <row r="156" spans="11:18" x14ac:dyDescent="0.2">
      <c r="K156" s="189">
        <v>153</v>
      </c>
      <c r="L156" s="191">
        <f t="shared" si="30"/>
        <v>50</v>
      </c>
      <c r="M156" s="185">
        <f t="shared" si="28"/>
        <v>13.888888888888889</v>
      </c>
      <c r="N156" s="185">
        <f t="shared" si="31"/>
        <v>13.888888888888889</v>
      </c>
      <c r="O156" s="185">
        <f>IF(AND(R156&lt;&gt;0.62/3600,R156&lt;&gt;0),FORECAST(M156,'1_2.3'!$N$9:$N$10,'1_2.3'!$G$9:$G$10),"nn")</f>
        <v>190.68545204140199</v>
      </c>
      <c r="P156" s="185">
        <f t="shared" si="29"/>
        <v>1451.5131014047688</v>
      </c>
      <c r="Q156" s="213">
        <f t="shared" si="33"/>
        <v>2.877204472662544E-4</v>
      </c>
      <c r="R156" s="202" t="str">
        <f t="shared" si="32"/>
        <v>expression</v>
      </c>
    </row>
    <row r="157" spans="11:18" x14ac:dyDescent="0.2">
      <c r="K157" s="189">
        <v>154</v>
      </c>
      <c r="L157" s="191">
        <f t="shared" si="30"/>
        <v>50</v>
      </c>
      <c r="M157" s="185">
        <f t="shared" si="28"/>
        <v>13.888888888888889</v>
      </c>
      <c r="N157" s="185">
        <f t="shared" si="31"/>
        <v>13.888888888888889</v>
      </c>
      <c r="O157" s="185">
        <f>IF(AND(R157&lt;&gt;0.62/3600,R157&lt;&gt;0),FORECAST(M157,'1_2.3'!$N$9:$N$10,'1_2.3'!$G$9:$G$10),"nn")</f>
        <v>190.68545204140199</v>
      </c>
      <c r="P157" s="185">
        <f t="shared" si="29"/>
        <v>1451.5131014047688</v>
      </c>
      <c r="Q157" s="213">
        <f t="shared" si="33"/>
        <v>2.877204472662544E-4</v>
      </c>
      <c r="R157" s="202" t="str">
        <f t="shared" si="32"/>
        <v>expression</v>
      </c>
    </row>
    <row r="158" spans="11:18" x14ac:dyDescent="0.2">
      <c r="K158" s="189">
        <v>155</v>
      </c>
      <c r="L158" s="191">
        <f t="shared" si="30"/>
        <v>50</v>
      </c>
      <c r="M158" s="185">
        <f t="shared" si="28"/>
        <v>13.888888888888889</v>
      </c>
      <c r="N158" s="185">
        <f t="shared" si="31"/>
        <v>13.576388888888889</v>
      </c>
      <c r="O158" s="185">
        <f>IF(AND(R158&lt;&gt;0.62/3600,R158&lt;&gt;0),FORECAST(M158,'1_2.3'!$N$9:$N$10,'1_2.3'!$G$9:$G$10),"nn")</f>
        <v>190.68545204140199</v>
      </c>
      <c r="P158" s="185">
        <f t="shared" si="29"/>
        <v>1451.5131014047688</v>
      </c>
      <c r="Q158" s="213">
        <f t="shared" si="33"/>
        <v>2.877204472662544E-4</v>
      </c>
      <c r="R158" s="202" t="str">
        <f t="shared" si="32"/>
        <v>expression</v>
      </c>
    </row>
    <row r="159" spans="11:18" x14ac:dyDescent="0.2">
      <c r="K159" s="189">
        <v>156</v>
      </c>
      <c r="L159" s="191">
        <f t="shared" si="30"/>
        <v>47.75</v>
      </c>
      <c r="M159" s="185">
        <f t="shared" si="28"/>
        <v>13.263888888888889</v>
      </c>
      <c r="N159" s="185">
        <f t="shared" si="31"/>
        <v>12.951388888888889</v>
      </c>
      <c r="O159" s="185" t="str">
        <f>IF(AND(R159&lt;&gt;0.62/3600,R159&lt;&gt;0),FORECAST(M159,'1_2.3'!$N$9:$N$10,'1_2.3'!$G$9:$G$10),"nn")</f>
        <v>nn</v>
      </c>
      <c r="P159" s="185">
        <f t="shared" si="29"/>
        <v>1451.5131014047688</v>
      </c>
      <c r="Q159" s="213">
        <f t="shared" si="33"/>
        <v>0</v>
      </c>
      <c r="R159" s="202">
        <f t="shared" si="32"/>
        <v>0</v>
      </c>
    </row>
    <row r="160" spans="11:18" x14ac:dyDescent="0.2">
      <c r="K160" s="189">
        <v>157</v>
      </c>
      <c r="L160" s="191">
        <f t="shared" si="30"/>
        <v>45.5</v>
      </c>
      <c r="M160" s="185">
        <f t="shared" si="28"/>
        <v>12.638888888888889</v>
      </c>
      <c r="N160" s="185">
        <f t="shared" si="31"/>
        <v>12.326388888888889</v>
      </c>
      <c r="O160" s="185" t="str">
        <f>IF(AND(R160&lt;&gt;0.62/3600,R160&lt;&gt;0),FORECAST(M160,'1_2.3'!$N$9:$N$10,'1_2.3'!$G$9:$G$10),"nn")</f>
        <v>nn</v>
      </c>
      <c r="P160" s="185">
        <f t="shared" si="29"/>
        <v>1451.5131014047688</v>
      </c>
      <c r="Q160" s="213">
        <f t="shared" si="33"/>
        <v>0</v>
      </c>
      <c r="R160" s="202">
        <f t="shared" si="32"/>
        <v>0</v>
      </c>
    </row>
    <row r="161" spans="11:18" x14ac:dyDescent="0.2">
      <c r="K161" s="189">
        <v>158</v>
      </c>
      <c r="L161" s="191">
        <f t="shared" si="30"/>
        <v>43.25</v>
      </c>
      <c r="M161" s="185">
        <f t="shared" si="28"/>
        <v>12.013888888888889</v>
      </c>
      <c r="N161" s="185">
        <f t="shared" si="31"/>
        <v>11.701388888888889</v>
      </c>
      <c r="O161" s="185" t="str">
        <f>IF(AND(R161&lt;&gt;0.62/3600,R161&lt;&gt;0),FORECAST(M161,'1_2.3'!$N$9:$N$10,'1_2.3'!$G$9:$G$10),"nn")</f>
        <v>nn</v>
      </c>
      <c r="P161" s="185">
        <f t="shared" si="29"/>
        <v>1451.5131014047688</v>
      </c>
      <c r="Q161" s="213">
        <f t="shared" si="33"/>
        <v>0</v>
      </c>
      <c r="R161" s="202">
        <f t="shared" si="32"/>
        <v>0</v>
      </c>
    </row>
    <row r="162" spans="11:18" x14ac:dyDescent="0.2">
      <c r="K162" s="189">
        <v>159</v>
      </c>
      <c r="L162" s="191">
        <f t="shared" si="30"/>
        <v>41</v>
      </c>
      <c r="M162" s="185">
        <f t="shared" si="28"/>
        <v>11.388888888888889</v>
      </c>
      <c r="N162" s="185">
        <f t="shared" si="31"/>
        <v>11.076388888888889</v>
      </c>
      <c r="O162" s="185" t="str">
        <f>IF(AND(R162&lt;&gt;0.62/3600,R162&lt;&gt;0),FORECAST(M162,'1_2.3'!$N$9:$N$10,'1_2.3'!$G$9:$G$10),"nn")</f>
        <v>nn</v>
      </c>
      <c r="P162" s="185">
        <f t="shared" si="29"/>
        <v>1451.5131014047688</v>
      </c>
      <c r="Q162" s="213">
        <f t="shared" si="33"/>
        <v>0</v>
      </c>
      <c r="R162" s="202">
        <f t="shared" si="32"/>
        <v>0</v>
      </c>
    </row>
    <row r="163" spans="11:18" x14ac:dyDescent="0.2">
      <c r="K163" s="189">
        <v>160</v>
      </c>
      <c r="L163" s="191">
        <f t="shared" si="30"/>
        <v>38.75</v>
      </c>
      <c r="M163" s="185">
        <f t="shared" ref="M163:M191" si="34">VLOOKUP(K163,$H$3:$I$88,2,TRUE)</f>
        <v>10.763888888888889</v>
      </c>
      <c r="N163" s="185">
        <f t="shared" si="31"/>
        <v>10.451388888888889</v>
      </c>
      <c r="O163" s="185" t="str">
        <f>IF(AND(R163&lt;&gt;0.62/3600,R163&lt;&gt;0),FORECAST(M163,'1_2.3'!$N$9:$N$10,'1_2.3'!$G$9:$G$10),"nn")</f>
        <v>nn</v>
      </c>
      <c r="P163" s="185">
        <f t="shared" ref="P163:P191" si="35">VLOOKUP(M163,meq,2)</f>
        <v>1451.5131014047688</v>
      </c>
      <c r="Q163" s="213">
        <f t="shared" si="33"/>
        <v>0</v>
      </c>
      <c r="R163" s="202">
        <f t="shared" si="32"/>
        <v>0</v>
      </c>
    </row>
    <row r="164" spans="11:18" x14ac:dyDescent="0.2">
      <c r="K164" s="189">
        <v>161</v>
      </c>
      <c r="L164" s="191">
        <f t="shared" si="30"/>
        <v>36.5</v>
      </c>
      <c r="M164" s="185">
        <f t="shared" si="34"/>
        <v>10.138888888888889</v>
      </c>
      <c r="N164" s="185">
        <f t="shared" si="31"/>
        <v>9.8263888888888893</v>
      </c>
      <c r="O164" s="185" t="str">
        <f>IF(AND(R164&lt;&gt;0.62/3600,R164&lt;&gt;0),FORECAST(M164,'1_2.3'!$N$9:$N$10,'1_2.3'!$G$9:$G$10),"nn")</f>
        <v>nn</v>
      </c>
      <c r="P164" s="185">
        <f t="shared" si="35"/>
        <v>1451.5131014047688</v>
      </c>
      <c r="Q164" s="213">
        <f t="shared" si="33"/>
        <v>0</v>
      </c>
      <c r="R164" s="202">
        <f t="shared" si="32"/>
        <v>0</v>
      </c>
    </row>
    <row r="165" spans="11:18" x14ac:dyDescent="0.2">
      <c r="K165" s="189">
        <v>162</v>
      </c>
      <c r="L165" s="191">
        <f t="shared" si="30"/>
        <v>34.25</v>
      </c>
      <c r="M165" s="185">
        <f t="shared" si="34"/>
        <v>9.5138888888888893</v>
      </c>
      <c r="N165" s="185">
        <f t="shared" si="31"/>
        <v>9.2013888888888893</v>
      </c>
      <c r="O165" s="185" t="str">
        <f>IF(AND(R165&lt;&gt;0.62/3600,R165&lt;&gt;0),FORECAST(M165,'1_2.3'!$N$9:$N$10,'1_2.3'!$G$9:$G$10),"nn")</f>
        <v>nn</v>
      </c>
      <c r="P165" s="185">
        <f t="shared" si="35"/>
        <v>1451.5131014047688</v>
      </c>
      <c r="Q165" s="213">
        <f t="shared" si="33"/>
        <v>0</v>
      </c>
      <c r="R165" s="202">
        <f t="shared" si="32"/>
        <v>0</v>
      </c>
    </row>
    <row r="166" spans="11:18" x14ac:dyDescent="0.2">
      <c r="K166" s="189">
        <v>163</v>
      </c>
      <c r="L166" s="191">
        <f t="shared" si="30"/>
        <v>32</v>
      </c>
      <c r="M166" s="185">
        <f t="shared" si="34"/>
        <v>8.8888888888888893</v>
      </c>
      <c r="N166" s="185">
        <f t="shared" si="31"/>
        <v>8.8888888888888893</v>
      </c>
      <c r="O166" s="185" t="str">
        <f>IF(AND(R166&lt;&gt;0.62/3600,R166&lt;&gt;0),FORECAST(M166,'1_2.3'!$N$9:$N$10,'1_2.3'!$G$9:$G$10),"nn")</f>
        <v>nn</v>
      </c>
      <c r="P166" s="185">
        <f t="shared" si="35"/>
        <v>1655.2681423746067</v>
      </c>
      <c r="Q166" s="213">
        <f t="shared" si="33"/>
        <v>0</v>
      </c>
      <c r="R166" s="202">
        <f t="shared" si="32"/>
        <v>0</v>
      </c>
    </row>
    <row r="167" spans="11:18" x14ac:dyDescent="0.2">
      <c r="K167" s="189">
        <v>164</v>
      </c>
      <c r="L167" s="191">
        <f t="shared" si="30"/>
        <v>32</v>
      </c>
      <c r="M167" s="185">
        <f t="shared" si="34"/>
        <v>8.8888888888888893</v>
      </c>
      <c r="N167" s="185">
        <f t="shared" si="31"/>
        <v>8.8888888888888893</v>
      </c>
      <c r="O167" s="185">
        <f>IF(AND(R167&lt;&gt;0.62/3600,R167&lt;&gt;0),FORECAST(M167,'1_2.3'!$N$9:$N$10,'1_2.3'!$G$9:$G$10),"nn")</f>
        <v>196.46468037538432</v>
      </c>
      <c r="P167" s="185">
        <f t="shared" si="35"/>
        <v>1655.2681423746067</v>
      </c>
      <c r="Q167" s="213">
        <f t="shared" si="33"/>
        <v>1.4200128822928443E-4</v>
      </c>
      <c r="R167" s="202" t="str">
        <f t="shared" si="32"/>
        <v>expression</v>
      </c>
    </row>
    <row r="168" spans="11:18" x14ac:dyDescent="0.2">
      <c r="K168" s="189">
        <v>165</v>
      </c>
      <c r="L168" s="191">
        <f t="shared" si="30"/>
        <v>32</v>
      </c>
      <c r="M168" s="185">
        <f t="shared" si="34"/>
        <v>8.8888888888888893</v>
      </c>
      <c r="N168" s="185">
        <f t="shared" si="31"/>
        <v>8.8888888888888893</v>
      </c>
      <c r="O168" s="185">
        <f>IF(AND(R168&lt;&gt;0.62/3600,R168&lt;&gt;0),FORECAST(M168,'1_2.3'!$N$9:$N$10,'1_2.3'!$G$9:$G$10),"nn")</f>
        <v>196.46468037538432</v>
      </c>
      <c r="P168" s="185">
        <f t="shared" si="35"/>
        <v>1655.2681423746067</v>
      </c>
      <c r="Q168" s="213">
        <f t="shared" si="33"/>
        <v>1.4200128822928443E-4</v>
      </c>
      <c r="R168" s="202" t="str">
        <f t="shared" si="32"/>
        <v>expression</v>
      </c>
    </row>
    <row r="169" spans="11:18" x14ac:dyDescent="0.2">
      <c r="K169" s="189">
        <v>166</v>
      </c>
      <c r="L169" s="191">
        <f t="shared" si="30"/>
        <v>32</v>
      </c>
      <c r="M169" s="185">
        <f t="shared" si="34"/>
        <v>8.8888888888888893</v>
      </c>
      <c r="N169" s="185">
        <f t="shared" si="31"/>
        <v>8.8888888888888893</v>
      </c>
      <c r="O169" s="185">
        <f>IF(AND(R169&lt;&gt;0.62/3600,R169&lt;&gt;0),FORECAST(M169,'1_2.3'!$N$9:$N$10,'1_2.3'!$G$9:$G$10),"nn")</f>
        <v>196.46468037538432</v>
      </c>
      <c r="P169" s="185">
        <f t="shared" si="35"/>
        <v>1655.2681423746067</v>
      </c>
      <c r="Q169" s="213">
        <f t="shared" si="33"/>
        <v>1.4200128822928443E-4</v>
      </c>
      <c r="R169" s="202" t="str">
        <f t="shared" si="32"/>
        <v>expression</v>
      </c>
    </row>
    <row r="170" spans="11:18" x14ac:dyDescent="0.2">
      <c r="K170" s="189">
        <v>167</v>
      </c>
      <c r="L170" s="191">
        <f t="shared" si="30"/>
        <v>32</v>
      </c>
      <c r="M170" s="185">
        <f t="shared" si="34"/>
        <v>8.8888888888888893</v>
      </c>
      <c r="N170" s="185">
        <f t="shared" si="31"/>
        <v>8.8888888888888893</v>
      </c>
      <c r="O170" s="185">
        <f>IF(AND(R170&lt;&gt;0.62/3600,R170&lt;&gt;0),FORECAST(M170,'1_2.3'!$N$9:$N$10,'1_2.3'!$G$9:$G$10),"nn")</f>
        <v>196.46468037538432</v>
      </c>
      <c r="P170" s="185">
        <f t="shared" si="35"/>
        <v>1655.2681423746067</v>
      </c>
      <c r="Q170" s="213">
        <f t="shared" si="33"/>
        <v>1.4200128822928443E-4</v>
      </c>
      <c r="R170" s="202" t="str">
        <f t="shared" si="32"/>
        <v>expression</v>
      </c>
    </row>
    <row r="171" spans="11:18" x14ac:dyDescent="0.2">
      <c r="K171" s="189">
        <v>168</v>
      </c>
      <c r="L171" s="191">
        <f t="shared" si="30"/>
        <v>32</v>
      </c>
      <c r="M171" s="185">
        <f t="shared" si="34"/>
        <v>8.8888888888888893</v>
      </c>
      <c r="N171" s="185">
        <f t="shared" si="31"/>
        <v>8.8888888888888893</v>
      </c>
      <c r="O171" s="185">
        <f>IF(AND(R171&lt;&gt;0.62/3600,R171&lt;&gt;0),FORECAST(M171,'1_2.3'!$N$9:$N$10,'1_2.3'!$G$9:$G$10),"nn")</f>
        <v>196.46468037538432</v>
      </c>
      <c r="P171" s="185">
        <f t="shared" si="35"/>
        <v>1655.2681423746067</v>
      </c>
      <c r="Q171" s="213">
        <f t="shared" si="33"/>
        <v>1.4200128822928443E-4</v>
      </c>
      <c r="R171" s="202" t="str">
        <f t="shared" si="32"/>
        <v>expression</v>
      </c>
    </row>
    <row r="172" spans="11:18" x14ac:dyDescent="0.2">
      <c r="K172" s="189">
        <v>169</v>
      </c>
      <c r="L172" s="191">
        <f t="shared" si="30"/>
        <v>32</v>
      </c>
      <c r="M172" s="185">
        <f t="shared" si="34"/>
        <v>8.8888888888888893</v>
      </c>
      <c r="N172" s="185">
        <f t="shared" si="31"/>
        <v>8.8888888888888893</v>
      </c>
      <c r="O172" s="185">
        <f>IF(AND(R172&lt;&gt;0.62/3600,R172&lt;&gt;0),FORECAST(M172,'1_2.3'!$N$9:$N$10,'1_2.3'!$G$9:$G$10),"nn")</f>
        <v>196.46468037538432</v>
      </c>
      <c r="P172" s="185">
        <f t="shared" si="35"/>
        <v>1655.2681423746067</v>
      </c>
      <c r="Q172" s="213">
        <f t="shared" si="33"/>
        <v>1.4200128822928443E-4</v>
      </c>
      <c r="R172" s="202" t="str">
        <f t="shared" si="32"/>
        <v>expression</v>
      </c>
    </row>
    <row r="173" spans="11:18" x14ac:dyDescent="0.2">
      <c r="K173" s="189">
        <v>170</v>
      </c>
      <c r="L173" s="191">
        <f t="shared" si="30"/>
        <v>32</v>
      </c>
      <c r="M173" s="185">
        <f t="shared" si="34"/>
        <v>8.8888888888888893</v>
      </c>
      <c r="N173" s="185">
        <f t="shared" si="31"/>
        <v>8.8888888888888893</v>
      </c>
      <c r="O173" s="185">
        <f>IF(AND(R173&lt;&gt;0.62/3600,R173&lt;&gt;0),FORECAST(M173,'1_2.3'!$N$9:$N$10,'1_2.3'!$G$9:$G$10),"nn")</f>
        <v>196.46468037538432</v>
      </c>
      <c r="P173" s="185">
        <f t="shared" si="35"/>
        <v>1655.2681423746067</v>
      </c>
      <c r="Q173" s="213">
        <f t="shared" si="33"/>
        <v>1.4200128822928443E-4</v>
      </c>
      <c r="R173" s="202" t="str">
        <f t="shared" si="32"/>
        <v>expression</v>
      </c>
    </row>
    <row r="174" spans="11:18" x14ac:dyDescent="0.2">
      <c r="K174" s="189">
        <v>171</v>
      </c>
      <c r="L174" s="191">
        <f t="shared" si="30"/>
        <v>32</v>
      </c>
      <c r="M174" s="185">
        <f t="shared" si="34"/>
        <v>8.8888888888888893</v>
      </c>
      <c r="N174" s="185">
        <f t="shared" si="31"/>
        <v>8.8888888888888893</v>
      </c>
      <c r="O174" s="185">
        <f>IF(AND(R174&lt;&gt;0.62/3600,R174&lt;&gt;0),FORECAST(M174,'1_2.3'!$N$9:$N$10,'1_2.3'!$G$9:$G$10),"nn")</f>
        <v>196.46468037538432</v>
      </c>
      <c r="P174" s="185">
        <f t="shared" si="35"/>
        <v>1655.2681423746067</v>
      </c>
      <c r="Q174" s="213">
        <f t="shared" si="33"/>
        <v>1.4200128822928443E-4</v>
      </c>
      <c r="R174" s="202" t="str">
        <f t="shared" si="32"/>
        <v>expression</v>
      </c>
    </row>
    <row r="175" spans="11:18" x14ac:dyDescent="0.2">
      <c r="K175" s="189">
        <v>172</v>
      </c>
      <c r="L175" s="191">
        <f t="shared" si="30"/>
        <v>32</v>
      </c>
      <c r="M175" s="185">
        <f t="shared" si="34"/>
        <v>8.8888888888888893</v>
      </c>
      <c r="N175" s="185">
        <f t="shared" si="31"/>
        <v>8.8888888888888893</v>
      </c>
      <c r="O175" s="185">
        <f>IF(AND(R175&lt;&gt;0.62/3600,R175&lt;&gt;0),FORECAST(M175,'1_2.3'!$N$9:$N$10,'1_2.3'!$G$9:$G$10),"nn")</f>
        <v>196.46468037538432</v>
      </c>
      <c r="P175" s="185">
        <f t="shared" si="35"/>
        <v>1655.2681423746067</v>
      </c>
      <c r="Q175" s="213">
        <f t="shared" si="33"/>
        <v>1.4200128822928443E-4</v>
      </c>
      <c r="R175" s="202" t="str">
        <f t="shared" si="32"/>
        <v>expression</v>
      </c>
    </row>
    <row r="176" spans="11:18" x14ac:dyDescent="0.2">
      <c r="K176" s="189">
        <v>173</v>
      </c>
      <c r="L176" s="191">
        <f t="shared" si="30"/>
        <v>32</v>
      </c>
      <c r="M176" s="185">
        <f t="shared" si="34"/>
        <v>8.8888888888888893</v>
      </c>
      <c r="N176" s="185">
        <f t="shared" si="31"/>
        <v>8.8888888888888893</v>
      </c>
      <c r="O176" s="185">
        <f>IF(AND(R176&lt;&gt;0.62/3600,R176&lt;&gt;0),FORECAST(M176,'1_2.3'!$N$9:$N$10,'1_2.3'!$G$9:$G$10),"nn")</f>
        <v>196.46468037538432</v>
      </c>
      <c r="P176" s="185">
        <f t="shared" si="35"/>
        <v>1655.2681423746067</v>
      </c>
      <c r="Q176" s="213">
        <f t="shared" si="33"/>
        <v>1.4200128822928443E-4</v>
      </c>
      <c r="R176" s="202" t="str">
        <f t="shared" si="32"/>
        <v>expression</v>
      </c>
    </row>
    <row r="177" spans="11:20" x14ac:dyDescent="0.2">
      <c r="K177" s="189">
        <v>174</v>
      </c>
      <c r="L177" s="191">
        <f t="shared" si="30"/>
        <v>32</v>
      </c>
      <c r="M177" s="185">
        <f t="shared" si="34"/>
        <v>8.8888888888888893</v>
      </c>
      <c r="N177" s="185">
        <f t="shared" si="31"/>
        <v>8.8888888888888893</v>
      </c>
      <c r="O177" s="185">
        <f>IF(AND(R177&lt;&gt;0.62/3600,R177&lt;&gt;0),FORECAST(M177,'1_2.3'!$N$9:$N$10,'1_2.3'!$G$9:$G$10),"nn")</f>
        <v>196.46468037538432</v>
      </c>
      <c r="P177" s="185">
        <f t="shared" si="35"/>
        <v>1655.2681423746067</v>
      </c>
      <c r="Q177" s="213">
        <f t="shared" si="33"/>
        <v>1.4200128822928443E-4</v>
      </c>
      <c r="R177" s="202" t="str">
        <f t="shared" si="32"/>
        <v>expression</v>
      </c>
    </row>
    <row r="178" spans="11:20" x14ac:dyDescent="0.2">
      <c r="K178" s="189">
        <v>175</v>
      </c>
      <c r="L178" s="191">
        <f t="shared" si="30"/>
        <v>32</v>
      </c>
      <c r="M178" s="185">
        <f t="shared" si="34"/>
        <v>8.8888888888888893</v>
      </c>
      <c r="N178" s="185">
        <f t="shared" si="31"/>
        <v>8.8888888888888893</v>
      </c>
      <c r="O178" s="185">
        <f>IF(AND(R178&lt;&gt;0.62/3600,R178&lt;&gt;0),FORECAST(M178,'1_2.3'!$N$9:$N$10,'1_2.3'!$G$9:$G$10),"nn")</f>
        <v>196.46468037538432</v>
      </c>
      <c r="P178" s="185">
        <f t="shared" si="35"/>
        <v>1655.2681423746067</v>
      </c>
      <c r="Q178" s="213">
        <f t="shared" si="33"/>
        <v>1.4200128822928443E-4</v>
      </c>
      <c r="R178" s="202" t="str">
        <f t="shared" si="32"/>
        <v>expression</v>
      </c>
    </row>
    <row r="179" spans="11:20" x14ac:dyDescent="0.2">
      <c r="K179" s="189">
        <v>176</v>
      </c>
      <c r="L179" s="191">
        <f t="shared" si="30"/>
        <v>32</v>
      </c>
      <c r="M179" s="185">
        <f t="shared" si="34"/>
        <v>8.8888888888888893</v>
      </c>
      <c r="N179" s="185">
        <f t="shared" si="31"/>
        <v>8.518518518518519</v>
      </c>
      <c r="O179" s="185">
        <f>IF(AND(R179&lt;&gt;0.62/3600,R179&lt;&gt;0),FORECAST(M179,'1_2.3'!$N$9:$N$10,'1_2.3'!$G$9:$G$10),"nn")</f>
        <v>196.46468037538432</v>
      </c>
      <c r="P179" s="185">
        <f t="shared" si="35"/>
        <v>1655.2681423746067</v>
      </c>
      <c r="Q179" s="213">
        <f>IF(M179=0,0.62/3600,IF((M179-M178)&lt;0,0,($B$22*N178+$B$23*N178^3+P179*N178*(M179-M178))*(O179/1000/3600/745.7)/($B$10/1000)))</f>
        <v>1.4200128822928443E-4</v>
      </c>
      <c r="R179" s="202" t="str">
        <f t="shared" si="32"/>
        <v>expression</v>
      </c>
    </row>
    <row r="180" spans="11:20" x14ac:dyDescent="0.2">
      <c r="K180" s="189">
        <v>177</v>
      </c>
      <c r="L180" s="191">
        <f t="shared" si="30"/>
        <v>29.333333333333336</v>
      </c>
      <c r="M180" s="185">
        <f t="shared" si="34"/>
        <v>8.1481481481481488</v>
      </c>
      <c r="N180" s="185">
        <f t="shared" si="31"/>
        <v>7.7777777777777786</v>
      </c>
      <c r="O180" s="185" t="str">
        <f>IF(AND(R180&lt;&gt;0.62/3600,R180&lt;&gt;0),FORECAST(M180,'1_2.3'!$N$9:$N$10,'1_2.3'!$G$9:$G$10),"nn")</f>
        <v>nn</v>
      </c>
      <c r="P180" s="185">
        <f t="shared" si="35"/>
        <v>1655.2681423746067</v>
      </c>
      <c r="Q180" s="213">
        <f t="shared" si="33"/>
        <v>0</v>
      </c>
      <c r="R180" s="202">
        <f t="shared" si="32"/>
        <v>0</v>
      </c>
    </row>
    <row r="181" spans="11:20" x14ac:dyDescent="0.2">
      <c r="K181" s="189">
        <v>178</v>
      </c>
      <c r="L181" s="191">
        <f t="shared" si="30"/>
        <v>26.666666666666668</v>
      </c>
      <c r="M181" s="185">
        <f t="shared" si="34"/>
        <v>7.4074074074074074</v>
      </c>
      <c r="N181" s="185">
        <f t="shared" si="31"/>
        <v>7.0370370370370372</v>
      </c>
      <c r="O181" s="185" t="str">
        <f>IF(AND(R181&lt;&gt;0.62/3600,R181&lt;&gt;0),FORECAST(M181,'1_2.3'!$N$9:$N$10,'1_2.3'!$G$9:$G$10),"nn")</f>
        <v>nn</v>
      </c>
      <c r="P181" s="185">
        <f t="shared" si="35"/>
        <v>1655.2681423746067</v>
      </c>
      <c r="Q181" s="213">
        <f t="shared" si="33"/>
        <v>0</v>
      </c>
      <c r="R181" s="202">
        <f t="shared" si="32"/>
        <v>0</v>
      </c>
    </row>
    <row r="182" spans="11:20" x14ac:dyDescent="0.2">
      <c r="K182" s="189">
        <v>179</v>
      </c>
      <c r="L182" s="191">
        <f t="shared" si="30"/>
        <v>24</v>
      </c>
      <c r="M182" s="185">
        <f t="shared" si="34"/>
        <v>6.666666666666667</v>
      </c>
      <c r="N182" s="185">
        <f t="shared" si="31"/>
        <v>6.2962962962962958</v>
      </c>
      <c r="O182" s="185" t="str">
        <f>IF(AND(R182&lt;&gt;0.62/3600,R182&lt;&gt;0),FORECAST(M182,'1_2.3'!$N$9:$N$10,'1_2.3'!$G$9:$G$10),"nn")</f>
        <v>nn</v>
      </c>
      <c r="P182" s="185">
        <f t="shared" si="35"/>
        <v>1655.2681423746067</v>
      </c>
      <c r="Q182" s="213">
        <f t="shared" si="33"/>
        <v>0</v>
      </c>
      <c r="R182" s="202">
        <f t="shared" si="32"/>
        <v>0</v>
      </c>
    </row>
    <row r="183" spans="11:20" x14ac:dyDescent="0.2">
      <c r="K183" s="189">
        <v>180</v>
      </c>
      <c r="L183" s="191">
        <f t="shared" si="30"/>
        <v>21.333333333333332</v>
      </c>
      <c r="M183" s="185">
        <f t="shared" si="34"/>
        <v>5.9259259259259256</v>
      </c>
      <c r="N183" s="185">
        <f t="shared" si="31"/>
        <v>5.5555555555555554</v>
      </c>
      <c r="O183" s="185" t="str">
        <f>IF(AND(R183&lt;&gt;0.62/3600,R183&lt;&gt;0),FORECAST(M183,'1_2.3'!$N$9:$N$10,'1_2.3'!$G$9:$G$10),"nn")</f>
        <v>nn</v>
      </c>
      <c r="P183" s="185">
        <f t="shared" si="35"/>
        <v>1655.2681423746067</v>
      </c>
      <c r="Q183" s="213">
        <f t="shared" si="33"/>
        <v>0</v>
      </c>
      <c r="R183" s="202">
        <f t="shared" si="32"/>
        <v>0</v>
      </c>
    </row>
    <row r="184" spans="11:20" x14ac:dyDescent="0.2">
      <c r="K184" s="189">
        <v>181</v>
      </c>
      <c r="L184" s="191">
        <f t="shared" si="30"/>
        <v>18.666666666666668</v>
      </c>
      <c r="M184" s="185">
        <f t="shared" si="34"/>
        <v>5.1851851851851851</v>
      </c>
      <c r="N184" s="185">
        <f t="shared" si="31"/>
        <v>4.8148148148148149</v>
      </c>
      <c r="O184" s="185" t="str">
        <f>IF(AND(R184&lt;&gt;0.62/3600,R184&lt;&gt;0),FORECAST(M184,'1_2.3'!$N$9:$N$10,'1_2.3'!$G$9:$G$10),"nn")</f>
        <v>nn</v>
      </c>
      <c r="P184" s="185">
        <f t="shared" si="35"/>
        <v>1655.2681423746067</v>
      </c>
      <c r="Q184" s="213">
        <f t="shared" si="33"/>
        <v>0</v>
      </c>
      <c r="R184" s="202">
        <f t="shared" si="32"/>
        <v>0</v>
      </c>
    </row>
    <row r="185" spans="11:20" x14ac:dyDescent="0.2">
      <c r="K185" s="189">
        <v>182</v>
      </c>
      <c r="L185" s="191">
        <f t="shared" si="30"/>
        <v>16</v>
      </c>
      <c r="M185" s="185">
        <f t="shared" si="34"/>
        <v>4.4444444444444446</v>
      </c>
      <c r="N185" s="185">
        <f t="shared" si="31"/>
        <v>4.0740740740740744</v>
      </c>
      <c r="O185" s="185" t="str">
        <f>IF(AND(R185&lt;&gt;0.62/3600,R185&lt;&gt;0),FORECAST(M185,'1_2.3'!$N$9:$N$10,'1_2.3'!$G$9:$G$10),"nn")</f>
        <v>nn</v>
      </c>
      <c r="P185" s="185">
        <f t="shared" si="35"/>
        <v>1655.2681423746067</v>
      </c>
      <c r="Q185" s="213">
        <f t="shared" si="33"/>
        <v>0</v>
      </c>
      <c r="R185" s="202">
        <f t="shared" si="32"/>
        <v>0</v>
      </c>
    </row>
    <row r="186" spans="11:20" x14ac:dyDescent="0.2">
      <c r="K186" s="189">
        <v>183</v>
      </c>
      <c r="L186" s="191">
        <f t="shared" si="30"/>
        <v>13.333333333333332</v>
      </c>
      <c r="M186" s="185">
        <f t="shared" si="34"/>
        <v>3.7037037037037033</v>
      </c>
      <c r="N186" s="185">
        <f t="shared" si="31"/>
        <v>3.333333333333333</v>
      </c>
      <c r="O186" s="185" t="str">
        <f>IF(AND(R186&lt;&gt;0.62/3600,R186&lt;&gt;0),FORECAST(M186,'1_2.3'!$N$9:$N$10,'1_2.3'!$G$9:$G$10),"nn")</f>
        <v>nn</v>
      </c>
      <c r="P186" s="185">
        <f t="shared" si="35"/>
        <v>1655.2681423746067</v>
      </c>
      <c r="Q186" s="213">
        <f t="shared" si="33"/>
        <v>0</v>
      </c>
      <c r="R186" s="202">
        <f t="shared" si="32"/>
        <v>0</v>
      </c>
    </row>
    <row r="187" spans="11:20" x14ac:dyDescent="0.2">
      <c r="K187" s="189">
        <v>184</v>
      </c>
      <c r="L187" s="191">
        <f t="shared" si="30"/>
        <v>10.666666666666666</v>
      </c>
      <c r="M187" s="185">
        <f t="shared" si="34"/>
        <v>2.9629629629629628</v>
      </c>
      <c r="N187" s="185">
        <f t="shared" si="31"/>
        <v>2.5925925925925926</v>
      </c>
      <c r="O187" s="185" t="str">
        <f>IF(AND(R187&lt;&gt;0.62/3600,R187&lt;&gt;0),FORECAST(M187,'1_2.3'!$N$9:$N$10,'1_2.3'!$G$9:$G$10),"nn")</f>
        <v>nn</v>
      </c>
      <c r="P187" s="185">
        <f t="shared" si="35"/>
        <v>1655.2681423746067</v>
      </c>
      <c r="Q187" s="213">
        <f t="shared" si="33"/>
        <v>0</v>
      </c>
      <c r="R187" s="202">
        <f t="shared" si="32"/>
        <v>0</v>
      </c>
      <c r="T187" s="215"/>
    </row>
    <row r="188" spans="11:20" x14ac:dyDescent="0.2">
      <c r="K188" s="189">
        <v>185</v>
      </c>
      <c r="L188" s="191">
        <f t="shared" si="30"/>
        <v>8</v>
      </c>
      <c r="M188" s="185">
        <f t="shared" si="34"/>
        <v>2.2222222222222223</v>
      </c>
      <c r="N188" s="185">
        <f t="shared" si="31"/>
        <v>1.8518518518518516</v>
      </c>
      <c r="O188" s="185" t="str">
        <f>IF(AND(R188&lt;&gt;0.62/3600,R188&lt;&gt;0),FORECAST(M188,'1_2.3'!$N$9:$N$10,'1_2.3'!$G$9:$G$10),"nn")</f>
        <v>nn</v>
      </c>
      <c r="P188" s="185">
        <f t="shared" si="35"/>
        <v>1655.2681423746067</v>
      </c>
      <c r="Q188" s="213">
        <f t="shared" si="33"/>
        <v>0</v>
      </c>
      <c r="R188" s="202">
        <f t="shared" si="32"/>
        <v>0</v>
      </c>
    </row>
    <row r="189" spans="11:20" x14ac:dyDescent="0.2">
      <c r="K189" s="189">
        <v>186</v>
      </c>
      <c r="L189" s="191">
        <f t="shared" si="30"/>
        <v>5.3333333333333313</v>
      </c>
      <c r="M189" s="185">
        <f t="shared" si="34"/>
        <v>1.481481481481481</v>
      </c>
      <c r="N189" s="185">
        <f t="shared" si="31"/>
        <v>1.1111111111111107</v>
      </c>
      <c r="O189" s="185" t="str">
        <f>IF(AND(R189&lt;&gt;0.62/3600,R189&lt;&gt;0),FORECAST(M189,'1_2.3'!$N$9:$N$10,'1_2.3'!$G$9:$G$10),"nn")</f>
        <v>nn</v>
      </c>
      <c r="P189" s="185">
        <f t="shared" si="35"/>
        <v>1655.2681423746067</v>
      </c>
      <c r="Q189" s="213">
        <f t="shared" si="33"/>
        <v>0</v>
      </c>
      <c r="R189" s="202">
        <f t="shared" si="32"/>
        <v>0</v>
      </c>
    </row>
    <row r="190" spans="11:20" x14ac:dyDescent="0.2">
      <c r="K190" s="189">
        <v>187</v>
      </c>
      <c r="L190" s="191">
        <f t="shared" si="30"/>
        <v>2.6666666666666656</v>
      </c>
      <c r="M190" s="185">
        <f t="shared" si="34"/>
        <v>0.74074074074074048</v>
      </c>
      <c r="N190" s="185">
        <f t="shared" si="31"/>
        <v>0.37037037037037024</v>
      </c>
      <c r="O190" s="185" t="str">
        <f>IF(AND(R190&lt;&gt;0.62/3600,R190&lt;&gt;0),FORECAST(M190,'1_2.3'!$N$9:$N$10,'1_2.3'!$G$9:$G$10),"nn")</f>
        <v>nn</v>
      </c>
      <c r="P190" s="185">
        <f t="shared" si="35"/>
        <v>1655.2681423746067</v>
      </c>
      <c r="Q190" s="213">
        <f t="shared" si="33"/>
        <v>0</v>
      </c>
      <c r="R190" s="202">
        <f t="shared" si="32"/>
        <v>0</v>
      </c>
    </row>
    <row r="191" spans="11:20" ht="16" thickBot="1" x14ac:dyDescent="0.25">
      <c r="K191" s="193">
        <v>188</v>
      </c>
      <c r="L191" s="195">
        <f t="shared" si="30"/>
        <v>0</v>
      </c>
      <c r="M191" s="203">
        <f t="shared" si="34"/>
        <v>0</v>
      </c>
      <c r="N191" s="203">
        <f t="shared" si="31"/>
        <v>0</v>
      </c>
      <c r="O191" s="203" t="str">
        <f>IF(AND(R191&lt;&gt;0.62/3600,R191&lt;&gt;0),FORECAST(M191,'1_2.3'!$N$9:$N$10,'1_2.3'!$G$9:$G$10),"nn")</f>
        <v>nn</v>
      </c>
      <c r="P191" s="203">
        <f t="shared" si="35"/>
        <v>1655.2681423746067</v>
      </c>
      <c r="Q191" s="214">
        <v>0</v>
      </c>
      <c r="R191" s="204">
        <v>0</v>
      </c>
    </row>
    <row r="192" spans="11:20" x14ac:dyDescent="0.2">
      <c r="P192" s="216" t="s">
        <v>495</v>
      </c>
      <c r="Q192" s="206">
        <f>SUM(Q3:Q191)</f>
        <v>4.4748186064456609E-2</v>
      </c>
    </row>
    <row r="193" spans="16:17" x14ac:dyDescent="0.2">
      <c r="P193" s="216" t="s">
        <v>496</v>
      </c>
      <c r="Q193" s="213">
        <f>4*Q192</f>
        <v>0.17899274425782644</v>
      </c>
    </row>
  </sheetData>
  <mergeCells count="6">
    <mergeCell ref="C1:F1"/>
    <mergeCell ref="T1:W1"/>
    <mergeCell ref="F2:F17"/>
    <mergeCell ref="W2:W16"/>
    <mergeCell ref="H1:I1"/>
    <mergeCell ref="K1:R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A31"/>
  <sheetViews>
    <sheetView workbookViewId="0">
      <selection sqref="A1:B17"/>
    </sheetView>
  </sheetViews>
  <sheetFormatPr baseColWidth="10" defaultColWidth="8.83203125" defaultRowHeight="15" x14ac:dyDescent="0.2"/>
  <cols>
    <col min="1" max="1" width="9.6640625" bestFit="1" customWidth="1"/>
    <col min="2" max="3" width="8.5" bestFit="1" customWidth="1"/>
  </cols>
  <sheetData>
    <row r="1" spans="1:27" x14ac:dyDescent="0.2">
      <c r="A1" s="106">
        <v>6500</v>
      </c>
      <c r="B1" s="106"/>
      <c r="C1" s="211">
        <v>6000</v>
      </c>
      <c r="D1" s="209"/>
      <c r="E1" s="208">
        <v>5500</v>
      </c>
      <c r="F1" s="210"/>
      <c r="G1" s="208">
        <v>5000</v>
      </c>
      <c r="H1" s="209"/>
      <c r="I1" s="208">
        <v>4500</v>
      </c>
      <c r="J1" s="210"/>
      <c r="K1" s="211">
        <v>4000</v>
      </c>
      <c r="L1" s="209"/>
      <c r="M1" s="208">
        <v>3500</v>
      </c>
      <c r="N1" s="209"/>
      <c r="O1" s="208">
        <v>3250</v>
      </c>
      <c r="P1" s="209"/>
      <c r="Q1" s="208">
        <v>3000</v>
      </c>
      <c r="R1" s="209"/>
      <c r="S1" s="208">
        <v>2500</v>
      </c>
      <c r="T1" s="209"/>
      <c r="U1" s="208">
        <v>2000</v>
      </c>
      <c r="V1" s="209"/>
      <c r="W1" s="208">
        <v>1500</v>
      </c>
      <c r="X1" s="209"/>
      <c r="Y1" s="208">
        <v>1000</v>
      </c>
      <c r="Z1" s="210"/>
    </row>
    <row r="2" spans="1:27" x14ac:dyDescent="0.2">
      <c r="A2" s="154">
        <v>7.1189999999999998</v>
      </c>
      <c r="B2" s="217">
        <v>286.06</v>
      </c>
      <c r="C2" s="149">
        <v>7.7910000000000004</v>
      </c>
      <c r="D2" s="152">
        <v>254.91</v>
      </c>
      <c r="E2" s="149">
        <v>8.2530000000000001</v>
      </c>
      <c r="F2" s="6">
        <v>235.16</v>
      </c>
      <c r="G2" s="149">
        <v>8.9250000000000007</v>
      </c>
      <c r="H2" s="152">
        <v>228.47</v>
      </c>
      <c r="I2" s="154">
        <v>9.4815000000000005</v>
      </c>
      <c r="J2" s="156">
        <v>220.05</v>
      </c>
      <c r="K2" s="155">
        <v>9.6285000000000007</v>
      </c>
      <c r="L2" s="152">
        <v>218.27</v>
      </c>
      <c r="M2" s="149">
        <v>9.6074999999999999</v>
      </c>
      <c r="N2" s="152">
        <v>216.68</v>
      </c>
      <c r="O2" s="149">
        <v>9.6705000000000005</v>
      </c>
      <c r="P2" s="152">
        <v>214.88</v>
      </c>
      <c r="Q2" s="149">
        <v>9.5129999999999999</v>
      </c>
      <c r="R2" s="152">
        <v>212.14</v>
      </c>
      <c r="S2" s="149">
        <v>9.3345000000000002</v>
      </c>
      <c r="T2" s="152">
        <v>211.28</v>
      </c>
      <c r="U2" s="149">
        <v>8.8409999999999993</v>
      </c>
      <c r="V2" s="152">
        <v>218.32</v>
      </c>
      <c r="W2" s="149">
        <v>8.5785</v>
      </c>
      <c r="X2" s="152">
        <v>216.89</v>
      </c>
      <c r="Y2" s="149">
        <v>5.9850000000000003</v>
      </c>
      <c r="Z2" s="6">
        <v>220.11</v>
      </c>
    </row>
    <row r="3" spans="1:27" x14ac:dyDescent="0.2">
      <c r="A3" s="149">
        <v>6.867</v>
      </c>
      <c r="B3" s="152">
        <v>249.21</v>
      </c>
      <c r="C3" s="149">
        <v>7.2554999999999996</v>
      </c>
      <c r="D3" s="152">
        <v>221.89</v>
      </c>
      <c r="E3" s="149">
        <v>8.1270000000000007</v>
      </c>
      <c r="F3" s="6">
        <v>229.94</v>
      </c>
      <c r="G3" s="149">
        <v>8.4</v>
      </c>
      <c r="H3" s="152">
        <v>203.06</v>
      </c>
      <c r="I3" s="149">
        <v>8.9565000000000001</v>
      </c>
      <c r="J3" s="6">
        <v>197</v>
      </c>
      <c r="K3" s="155">
        <v>9.4079999999999995</v>
      </c>
      <c r="L3" s="152">
        <v>217.73</v>
      </c>
      <c r="M3" s="149">
        <v>9.3975000000000009</v>
      </c>
      <c r="N3" s="152">
        <v>214.48</v>
      </c>
      <c r="O3" s="149">
        <v>9.3765000000000001</v>
      </c>
      <c r="P3" s="152">
        <v>201.96</v>
      </c>
      <c r="Q3" s="149">
        <v>9.4184999999999999</v>
      </c>
      <c r="R3" s="152">
        <v>209.04</v>
      </c>
      <c r="S3" s="149">
        <v>8.9565000000000001</v>
      </c>
      <c r="T3" s="152">
        <v>200.12</v>
      </c>
      <c r="U3" s="149">
        <v>8.6624999999999996</v>
      </c>
      <c r="V3" s="152">
        <v>210.47</v>
      </c>
      <c r="W3" s="149">
        <v>8.1270000000000007</v>
      </c>
      <c r="X3" s="152">
        <v>206.23</v>
      </c>
      <c r="Y3" s="149">
        <v>5.5439999999999996</v>
      </c>
      <c r="Z3" s="6">
        <v>220.83</v>
      </c>
    </row>
    <row r="4" spans="1:27" x14ac:dyDescent="0.2">
      <c r="A4" s="149">
        <v>6.4260000000000002</v>
      </c>
      <c r="B4" s="152">
        <v>253.6</v>
      </c>
      <c r="C4" s="149">
        <v>6.8040000000000003</v>
      </c>
      <c r="D4" s="152">
        <v>225.65</v>
      </c>
      <c r="E4" s="149">
        <v>7.665</v>
      </c>
      <c r="F4" s="6">
        <v>217.52</v>
      </c>
      <c r="G4" s="149">
        <v>7.665</v>
      </c>
      <c r="H4" s="152">
        <v>205.85</v>
      </c>
      <c r="I4" s="149">
        <v>8.5365000000000002</v>
      </c>
      <c r="J4" s="6">
        <v>201.44</v>
      </c>
      <c r="K4" s="155">
        <v>8.9145000000000003</v>
      </c>
      <c r="L4" s="152">
        <v>200.17</v>
      </c>
      <c r="M4" s="149">
        <v>8.9459999999999997</v>
      </c>
      <c r="N4" s="152">
        <v>201.37</v>
      </c>
      <c r="O4" s="149">
        <v>8.9565000000000001</v>
      </c>
      <c r="P4" s="152">
        <v>198.95</v>
      </c>
      <c r="Q4" s="149">
        <v>8.9774999999999991</v>
      </c>
      <c r="R4" s="152">
        <v>202.48</v>
      </c>
      <c r="S4" s="149">
        <v>8.5365000000000002</v>
      </c>
      <c r="T4" s="152">
        <v>196.95</v>
      </c>
      <c r="U4" s="149">
        <v>8.1795000000000009</v>
      </c>
      <c r="V4" s="152">
        <v>199.05</v>
      </c>
      <c r="W4" s="149">
        <v>7.6755000000000004</v>
      </c>
      <c r="X4" s="152">
        <v>204.51</v>
      </c>
      <c r="Y4" s="149">
        <v>5.1239999999999997</v>
      </c>
      <c r="Z4" s="6">
        <v>224.85</v>
      </c>
    </row>
    <row r="5" spans="1:27" x14ac:dyDescent="0.2">
      <c r="A5" s="149">
        <v>5.9535</v>
      </c>
      <c r="B5" s="152">
        <v>259.95</v>
      </c>
      <c r="C5" s="149">
        <v>6.3840000000000003</v>
      </c>
      <c r="D5" s="152">
        <v>230.81</v>
      </c>
      <c r="E5" s="149">
        <v>7.2554999999999996</v>
      </c>
      <c r="F5" s="6">
        <v>213.42</v>
      </c>
      <c r="G5" s="149">
        <v>7.2554999999999996</v>
      </c>
      <c r="H5" s="152">
        <v>207.39</v>
      </c>
      <c r="I5" s="149">
        <v>8.1165000000000003</v>
      </c>
      <c r="J5" s="6">
        <v>199.89</v>
      </c>
      <c r="K5" s="155">
        <v>8.5470000000000006</v>
      </c>
      <c r="L5" s="152">
        <v>200.54</v>
      </c>
      <c r="M5" s="149">
        <v>8.5365000000000002</v>
      </c>
      <c r="N5" s="152">
        <v>196.93</v>
      </c>
      <c r="O5" s="149">
        <v>8.5365000000000002</v>
      </c>
      <c r="P5" s="152">
        <v>192.77</v>
      </c>
      <c r="Q5" s="149">
        <v>8.5365000000000002</v>
      </c>
      <c r="R5" s="152">
        <v>193.67</v>
      </c>
      <c r="S5" s="149">
        <v>8.1059999999999999</v>
      </c>
      <c r="T5" s="152">
        <v>192.45</v>
      </c>
      <c r="U5" s="149">
        <v>7.6965000000000003</v>
      </c>
      <c r="V5" s="152">
        <v>198.59</v>
      </c>
      <c r="W5" s="149">
        <v>7.2554999999999996</v>
      </c>
      <c r="X5" s="152">
        <v>204.24</v>
      </c>
      <c r="Y5" s="149">
        <v>4.6935000000000002</v>
      </c>
      <c r="Z5" s="6">
        <v>229.6</v>
      </c>
    </row>
    <row r="6" spans="1:27" x14ac:dyDescent="0.2">
      <c r="A6" s="149">
        <v>5.5860000000000003</v>
      </c>
      <c r="B6" s="152">
        <v>264.64</v>
      </c>
      <c r="C6" s="149">
        <v>5.9640000000000004</v>
      </c>
      <c r="D6" s="152">
        <v>235.02</v>
      </c>
      <c r="E6" s="149">
        <v>6.8250000000000002</v>
      </c>
      <c r="F6" s="6">
        <v>215.11</v>
      </c>
      <c r="G6" s="149">
        <v>6.8250000000000002</v>
      </c>
      <c r="H6" s="152">
        <v>208.98</v>
      </c>
      <c r="I6" s="149">
        <v>7.6440000000000001</v>
      </c>
      <c r="J6" s="6">
        <v>201.48</v>
      </c>
      <c r="K6" s="155">
        <v>8.0954999999999995</v>
      </c>
      <c r="L6" s="152">
        <v>199.54</v>
      </c>
      <c r="M6" s="149">
        <v>8.0850000000000009</v>
      </c>
      <c r="N6" s="152">
        <v>195.91</v>
      </c>
      <c r="O6" s="149">
        <v>8.0640000000000001</v>
      </c>
      <c r="P6" s="152">
        <v>192.52</v>
      </c>
      <c r="Q6" s="149">
        <v>8.1059999999999999</v>
      </c>
      <c r="R6" s="152">
        <v>192.02</v>
      </c>
      <c r="S6" s="149">
        <v>7.6755000000000004</v>
      </c>
      <c r="T6" s="152">
        <v>192.69</v>
      </c>
      <c r="U6" s="149">
        <v>7.2554999999999996</v>
      </c>
      <c r="V6" s="152">
        <v>200.12</v>
      </c>
      <c r="W6" s="149">
        <v>6.8250000000000002</v>
      </c>
      <c r="X6" s="152">
        <v>205.89</v>
      </c>
      <c r="Y6" s="149">
        <v>4.2629999999999999</v>
      </c>
      <c r="Z6" s="6">
        <v>240.01</v>
      </c>
    </row>
    <row r="7" spans="1:27" x14ac:dyDescent="0.2">
      <c r="A7" s="149">
        <v>5.1239999999999997</v>
      </c>
      <c r="B7" s="152">
        <v>275.66000000000003</v>
      </c>
      <c r="C7" s="149">
        <v>5.5439999999999996</v>
      </c>
      <c r="D7" s="152">
        <v>240.67</v>
      </c>
      <c r="E7" s="149">
        <v>6.4154999999999998</v>
      </c>
      <c r="F7" s="6">
        <v>218.03</v>
      </c>
      <c r="G7" s="149">
        <v>6.3944999999999999</v>
      </c>
      <c r="H7" s="152">
        <v>213.08</v>
      </c>
      <c r="I7" s="149">
        <v>7.2765000000000004</v>
      </c>
      <c r="J7" s="6">
        <v>201.6</v>
      </c>
      <c r="K7" s="155">
        <v>7.6334999999999997</v>
      </c>
      <c r="L7" s="152">
        <v>200.63</v>
      </c>
      <c r="M7" s="149">
        <v>7.665</v>
      </c>
      <c r="N7" s="152">
        <v>196.34</v>
      </c>
      <c r="O7" s="149">
        <v>7.6755000000000004</v>
      </c>
      <c r="P7" s="152">
        <v>197.3</v>
      </c>
      <c r="Q7" s="149">
        <v>7.7175000000000002</v>
      </c>
      <c r="R7" s="152">
        <v>191.97</v>
      </c>
      <c r="S7" s="149">
        <v>7.2554999999999996</v>
      </c>
      <c r="T7" s="152">
        <v>193.32</v>
      </c>
      <c r="U7" s="149">
        <v>6.8250000000000002</v>
      </c>
      <c r="V7" s="152">
        <v>200</v>
      </c>
      <c r="W7" s="149">
        <v>6.3944999999999999</v>
      </c>
      <c r="X7" s="152">
        <v>207.06</v>
      </c>
      <c r="Y7" s="149">
        <v>3.9060000000000001</v>
      </c>
      <c r="Z7" s="6">
        <v>243.18</v>
      </c>
    </row>
    <row r="8" spans="1:27" ht="16" thickBot="1" x14ac:dyDescent="0.25">
      <c r="A8" s="149">
        <v>4.7249999999999996</v>
      </c>
      <c r="B8" s="152">
        <v>283.73</v>
      </c>
      <c r="C8" s="149">
        <v>5.1239999999999997</v>
      </c>
      <c r="D8" s="152">
        <v>247.43</v>
      </c>
      <c r="E8" s="149">
        <v>5.9640000000000004</v>
      </c>
      <c r="F8" s="6">
        <v>222.5</v>
      </c>
      <c r="G8" s="149">
        <v>5.9954999999999998</v>
      </c>
      <c r="H8" s="152">
        <v>216.16</v>
      </c>
      <c r="I8" s="149">
        <v>6.8040000000000003</v>
      </c>
      <c r="J8" s="6">
        <v>205.92</v>
      </c>
      <c r="K8" s="155">
        <v>7.2240000000000002</v>
      </c>
      <c r="L8" s="152">
        <v>200.42</v>
      </c>
      <c r="M8" s="149">
        <v>7.2975000000000003</v>
      </c>
      <c r="N8" s="152">
        <v>197.07</v>
      </c>
      <c r="O8" s="149">
        <v>7.2554999999999996</v>
      </c>
      <c r="P8" s="152">
        <v>198.71</v>
      </c>
      <c r="Q8" s="149">
        <v>7.2869999999999999</v>
      </c>
      <c r="R8" s="152">
        <v>193.11</v>
      </c>
      <c r="S8" s="149">
        <v>6.8250000000000002</v>
      </c>
      <c r="T8" s="152">
        <v>196.38</v>
      </c>
      <c r="U8" s="149">
        <v>6.3944999999999999</v>
      </c>
      <c r="V8" s="152">
        <v>202.88</v>
      </c>
      <c r="W8" s="149">
        <v>5.9954999999999998</v>
      </c>
      <c r="X8" s="152">
        <v>205.94</v>
      </c>
      <c r="Y8" s="150">
        <v>3.4125000000000001</v>
      </c>
      <c r="Z8" s="151">
        <v>250.99</v>
      </c>
      <c r="AA8" s="75">
        <f>Z8/1000/3600/735.5</f>
        <v>9.4791902711685163E-8</v>
      </c>
    </row>
    <row r="9" spans="1:27" x14ac:dyDescent="0.2">
      <c r="A9" s="149">
        <v>4.2735000000000003</v>
      </c>
      <c r="B9" s="152">
        <v>295.01</v>
      </c>
      <c r="C9" s="149">
        <v>4.7145000000000001</v>
      </c>
      <c r="D9" s="152">
        <v>256.63</v>
      </c>
      <c r="E9" s="149">
        <v>5.46</v>
      </c>
      <c r="F9" s="6">
        <v>231.23</v>
      </c>
      <c r="G9" s="149">
        <v>5.5335000000000001</v>
      </c>
      <c r="H9" s="152">
        <v>223.38</v>
      </c>
      <c r="I9" s="149">
        <v>6.3944999999999999</v>
      </c>
      <c r="J9" s="6">
        <v>209.12</v>
      </c>
      <c r="K9" s="155">
        <v>6.867</v>
      </c>
      <c r="L9" s="152">
        <v>203.57</v>
      </c>
      <c r="M9" s="149">
        <v>6.7934999999999999</v>
      </c>
      <c r="N9" s="152">
        <v>200.38</v>
      </c>
      <c r="O9" s="149">
        <v>6.8250000000000002</v>
      </c>
      <c r="P9" s="152">
        <v>199.63</v>
      </c>
      <c r="Q9" s="149">
        <v>6.8250000000000002</v>
      </c>
      <c r="R9" s="152">
        <v>196.99</v>
      </c>
      <c r="S9" s="149">
        <v>6.4050000000000002</v>
      </c>
      <c r="T9" s="152">
        <v>199.22</v>
      </c>
      <c r="U9" s="149">
        <v>5.9744999999999999</v>
      </c>
      <c r="V9" s="152">
        <v>205.61</v>
      </c>
      <c r="W9" s="149">
        <v>5.5650000000000004</v>
      </c>
      <c r="X9" s="6">
        <v>213.33</v>
      </c>
    </row>
    <row r="10" spans="1:27" x14ac:dyDescent="0.2">
      <c r="A10" s="149">
        <v>3.8639999999999999</v>
      </c>
      <c r="B10" s="152">
        <v>311.35000000000002</v>
      </c>
      <c r="C10" s="149">
        <v>4.2735000000000003</v>
      </c>
      <c r="D10" s="152">
        <v>265.52999999999997</v>
      </c>
      <c r="E10" s="149">
        <v>5.1239999999999997</v>
      </c>
      <c r="F10" s="6">
        <v>234.05</v>
      </c>
      <c r="G10" s="149">
        <v>5.1345000000000001</v>
      </c>
      <c r="H10" s="152">
        <v>228.2</v>
      </c>
      <c r="I10" s="149">
        <v>5.9850000000000003</v>
      </c>
      <c r="J10" s="6">
        <v>212.22</v>
      </c>
      <c r="K10" s="155">
        <v>6.4050000000000002</v>
      </c>
      <c r="L10" s="152">
        <v>205.4</v>
      </c>
      <c r="M10" s="149">
        <v>6.3944999999999999</v>
      </c>
      <c r="N10" s="152">
        <v>204.02</v>
      </c>
      <c r="O10" s="149">
        <v>6.3944999999999999</v>
      </c>
      <c r="P10" s="152">
        <v>201.72</v>
      </c>
      <c r="Q10" s="149">
        <v>6.3944999999999999</v>
      </c>
      <c r="R10" s="152">
        <v>198.62</v>
      </c>
      <c r="S10" s="149">
        <v>5.9744999999999999</v>
      </c>
      <c r="T10" s="152">
        <v>201.58</v>
      </c>
      <c r="U10" s="149">
        <v>5.5439999999999996</v>
      </c>
      <c r="V10" s="152">
        <v>206.94</v>
      </c>
      <c r="W10" s="149">
        <v>5.0925000000000002</v>
      </c>
      <c r="X10" s="6">
        <v>214.47</v>
      </c>
    </row>
    <row r="11" spans="1:27" x14ac:dyDescent="0.2">
      <c r="A11" s="149">
        <v>3.4335</v>
      </c>
      <c r="B11" s="152">
        <v>327.36</v>
      </c>
      <c r="C11" s="149">
        <v>3.8534999999999999</v>
      </c>
      <c r="D11" s="152">
        <v>274.64999999999998</v>
      </c>
      <c r="E11" s="149">
        <v>4.7039999999999997</v>
      </c>
      <c r="F11" s="6">
        <v>240.4</v>
      </c>
      <c r="G11" s="149">
        <v>4.6935000000000002</v>
      </c>
      <c r="H11" s="152">
        <v>237.22</v>
      </c>
      <c r="I11" s="149">
        <v>5.5335000000000001</v>
      </c>
      <c r="J11" s="6">
        <v>218.31</v>
      </c>
      <c r="K11" s="155">
        <v>5.9640000000000004</v>
      </c>
      <c r="L11" s="152">
        <v>211.16</v>
      </c>
      <c r="M11" s="149">
        <v>5.9640000000000004</v>
      </c>
      <c r="N11" s="152">
        <v>207.39</v>
      </c>
      <c r="O11" s="149">
        <v>5.9744999999999999</v>
      </c>
      <c r="P11" s="152">
        <v>206.08</v>
      </c>
      <c r="Q11" s="149">
        <v>5.9744999999999999</v>
      </c>
      <c r="R11" s="152">
        <v>204.2</v>
      </c>
      <c r="S11" s="149">
        <v>5.5439999999999996</v>
      </c>
      <c r="T11" s="152">
        <v>204.66</v>
      </c>
      <c r="U11" s="149">
        <v>5.1660000000000004</v>
      </c>
      <c r="V11" s="152">
        <v>213.56</v>
      </c>
      <c r="W11" s="149">
        <v>4.7039999999999997</v>
      </c>
      <c r="X11" s="6">
        <v>220.04</v>
      </c>
    </row>
    <row r="12" spans="1:27" x14ac:dyDescent="0.2">
      <c r="A12" s="149">
        <v>3.0030000000000001</v>
      </c>
      <c r="B12" s="152">
        <v>347.46</v>
      </c>
      <c r="C12" s="149">
        <v>3.4544999999999999</v>
      </c>
      <c r="D12" s="152">
        <v>290.7</v>
      </c>
      <c r="E12" s="149">
        <v>4.2629999999999999</v>
      </c>
      <c r="F12" s="6">
        <v>249.76</v>
      </c>
      <c r="G12" s="149">
        <v>4.2629999999999999</v>
      </c>
      <c r="H12" s="152">
        <v>246.18</v>
      </c>
      <c r="I12" s="149">
        <v>5.0819999999999999</v>
      </c>
      <c r="J12" s="6">
        <v>225.1</v>
      </c>
      <c r="K12" s="155">
        <v>5.5545</v>
      </c>
      <c r="L12" s="152">
        <v>216.18</v>
      </c>
      <c r="M12" s="149">
        <v>5.5439999999999996</v>
      </c>
      <c r="N12" s="152">
        <v>211.25</v>
      </c>
      <c r="O12" s="149">
        <v>5.5439999999999996</v>
      </c>
      <c r="P12" s="152">
        <v>211.22</v>
      </c>
      <c r="Q12" s="149">
        <v>5.5754999999999999</v>
      </c>
      <c r="R12" s="152">
        <v>206.49</v>
      </c>
      <c r="S12" s="149">
        <v>5.1239999999999997</v>
      </c>
      <c r="T12" s="152">
        <v>210.83</v>
      </c>
      <c r="U12" s="149">
        <v>4.6935000000000002</v>
      </c>
      <c r="V12" s="152">
        <v>217.48</v>
      </c>
      <c r="W12" s="149">
        <v>4.2735000000000003</v>
      </c>
      <c r="X12" s="6">
        <v>230.51</v>
      </c>
    </row>
    <row r="13" spans="1:27" x14ac:dyDescent="0.2">
      <c r="A13" s="149">
        <v>2.5724999999999998</v>
      </c>
      <c r="B13" s="152">
        <v>379</v>
      </c>
      <c r="C13" s="149">
        <v>2.9820000000000002</v>
      </c>
      <c r="D13" s="152">
        <v>314.33999999999997</v>
      </c>
      <c r="E13" s="149">
        <v>3.843</v>
      </c>
      <c r="F13" s="6">
        <v>259.86</v>
      </c>
      <c r="G13" s="149">
        <v>3.8220000000000001</v>
      </c>
      <c r="H13" s="152">
        <v>256.89999999999998</v>
      </c>
      <c r="I13" s="149">
        <v>4.7145000000000001</v>
      </c>
      <c r="J13" s="6">
        <v>231.67</v>
      </c>
      <c r="K13" s="155">
        <v>5.1555</v>
      </c>
      <c r="L13" s="152">
        <v>220.02</v>
      </c>
      <c r="M13" s="149">
        <v>5.1239999999999997</v>
      </c>
      <c r="N13" s="152">
        <v>217.28</v>
      </c>
      <c r="O13" s="149">
        <v>5.1239999999999997</v>
      </c>
      <c r="P13" s="152">
        <v>213.87</v>
      </c>
      <c r="Q13" s="149">
        <v>5.1239999999999997</v>
      </c>
      <c r="R13" s="152">
        <v>213.4</v>
      </c>
      <c r="S13" s="149">
        <v>4.7039999999999997</v>
      </c>
      <c r="T13" s="152">
        <v>218</v>
      </c>
      <c r="U13" s="149">
        <v>4.2629999999999999</v>
      </c>
      <c r="V13" s="152">
        <v>228.25</v>
      </c>
      <c r="W13" s="149">
        <v>3.8744999999999998</v>
      </c>
      <c r="X13" s="6">
        <v>236.11</v>
      </c>
    </row>
    <row r="14" spans="1:27" x14ac:dyDescent="0.2">
      <c r="A14" s="149">
        <v>2.1419999999999999</v>
      </c>
      <c r="B14" s="152">
        <v>420.05</v>
      </c>
      <c r="C14" s="149">
        <v>2.5619999999999998</v>
      </c>
      <c r="D14" s="152">
        <v>330.98</v>
      </c>
      <c r="E14" s="149">
        <v>3.4335</v>
      </c>
      <c r="F14" s="6">
        <v>275.16000000000003</v>
      </c>
      <c r="G14" s="149">
        <v>3.4754999999999998</v>
      </c>
      <c r="H14" s="152">
        <v>265.82</v>
      </c>
      <c r="I14" s="149">
        <v>4.2525000000000004</v>
      </c>
      <c r="J14" s="6">
        <v>239.64</v>
      </c>
      <c r="K14" s="155">
        <v>4.6935000000000002</v>
      </c>
      <c r="L14" s="152">
        <v>227</v>
      </c>
      <c r="M14" s="149">
        <v>4.7249999999999996</v>
      </c>
      <c r="N14" s="152">
        <v>223.58</v>
      </c>
      <c r="O14" s="149">
        <v>4.6935000000000002</v>
      </c>
      <c r="P14" s="152">
        <v>221.97</v>
      </c>
      <c r="Q14" s="149">
        <v>4.6935000000000002</v>
      </c>
      <c r="R14" s="152">
        <v>221.52</v>
      </c>
      <c r="S14" s="149">
        <v>4.2629999999999999</v>
      </c>
      <c r="T14" s="152">
        <v>223.39</v>
      </c>
      <c r="U14" s="149">
        <v>3.8744999999999998</v>
      </c>
      <c r="V14" s="152">
        <v>234.1</v>
      </c>
      <c r="W14" s="149">
        <v>3.4335</v>
      </c>
      <c r="X14" s="6">
        <v>247.14</v>
      </c>
    </row>
    <row r="15" spans="1:27" x14ac:dyDescent="0.2">
      <c r="A15" s="149">
        <v>1.7115</v>
      </c>
      <c r="B15" s="152">
        <v>483.88</v>
      </c>
      <c r="C15" s="149">
        <v>2.1315</v>
      </c>
      <c r="D15" s="152">
        <v>368.64</v>
      </c>
      <c r="E15" s="149">
        <v>3.0135000000000001</v>
      </c>
      <c r="F15" s="6">
        <v>291.61</v>
      </c>
      <c r="G15" s="149">
        <v>2.9820000000000002</v>
      </c>
      <c r="H15" s="152">
        <v>287.06</v>
      </c>
      <c r="I15" s="149">
        <v>3.8534999999999999</v>
      </c>
      <c r="J15" s="6">
        <v>249.38</v>
      </c>
      <c r="K15" s="155">
        <v>4.2629999999999999</v>
      </c>
      <c r="L15" s="152">
        <v>236.75</v>
      </c>
      <c r="M15" s="149">
        <v>4.2735000000000003</v>
      </c>
      <c r="N15" s="152">
        <v>231.64</v>
      </c>
      <c r="O15" s="149">
        <v>4.2629999999999999</v>
      </c>
      <c r="P15" s="152">
        <v>229.75</v>
      </c>
      <c r="Q15" s="149">
        <v>4.2629999999999999</v>
      </c>
      <c r="R15" s="152">
        <v>229.03</v>
      </c>
      <c r="S15" s="149">
        <v>3.843</v>
      </c>
      <c r="T15" s="152">
        <v>234.33</v>
      </c>
      <c r="U15" s="149">
        <v>3.4335</v>
      </c>
      <c r="V15" s="152">
        <v>243.89</v>
      </c>
      <c r="W15" s="149">
        <v>3.0345</v>
      </c>
      <c r="X15" s="6">
        <v>262.92</v>
      </c>
    </row>
    <row r="16" spans="1:27" x14ac:dyDescent="0.2">
      <c r="A16" s="149">
        <v>1.2809999999999999</v>
      </c>
      <c r="B16" s="152">
        <v>593.69000000000005</v>
      </c>
      <c r="C16" s="149">
        <v>1.7430000000000001</v>
      </c>
      <c r="D16" s="152">
        <v>412.04</v>
      </c>
      <c r="E16" s="149">
        <v>2.5514999999999999</v>
      </c>
      <c r="F16" s="6">
        <v>316.60000000000002</v>
      </c>
      <c r="G16" s="149">
        <v>2.5409999999999999</v>
      </c>
      <c r="H16" s="152">
        <v>310.58</v>
      </c>
      <c r="I16" s="149">
        <v>3.3704999999999998</v>
      </c>
      <c r="J16" s="6">
        <v>266.45</v>
      </c>
      <c r="K16" s="155">
        <v>3.843</v>
      </c>
      <c r="L16" s="152">
        <v>245.95</v>
      </c>
      <c r="M16" s="149">
        <v>3.843</v>
      </c>
      <c r="N16" s="152">
        <v>243.4</v>
      </c>
      <c r="O16" s="149">
        <v>3.843</v>
      </c>
      <c r="P16" s="152">
        <v>239.69</v>
      </c>
      <c r="Q16" s="149">
        <v>3.843</v>
      </c>
      <c r="R16" s="152">
        <v>239.37</v>
      </c>
      <c r="S16" s="149">
        <v>3.4335</v>
      </c>
      <c r="T16" s="152">
        <v>242.72</v>
      </c>
      <c r="U16" s="149">
        <v>3.0030000000000001</v>
      </c>
      <c r="V16" s="152">
        <v>260.7</v>
      </c>
      <c r="W16" s="149">
        <v>2.5935000000000001</v>
      </c>
      <c r="X16" s="6">
        <v>275.20999999999998</v>
      </c>
    </row>
    <row r="17" spans="1:24" ht="16" thickBot="1" x14ac:dyDescent="0.25">
      <c r="A17" s="150">
        <v>0.85050000000000003</v>
      </c>
      <c r="B17" s="153">
        <v>831.41</v>
      </c>
      <c r="C17" s="149">
        <v>1.2809999999999999</v>
      </c>
      <c r="D17" s="152">
        <v>509.83</v>
      </c>
      <c r="E17" s="149">
        <v>2.1315</v>
      </c>
      <c r="F17" s="6">
        <v>351.39</v>
      </c>
      <c r="G17" s="149">
        <v>2.121</v>
      </c>
      <c r="H17" s="152">
        <v>344.74</v>
      </c>
      <c r="I17" s="149">
        <v>3.024</v>
      </c>
      <c r="J17" s="6">
        <v>278.68</v>
      </c>
      <c r="K17" s="155">
        <v>3.423</v>
      </c>
      <c r="L17" s="152">
        <v>258.18</v>
      </c>
      <c r="M17" s="149">
        <v>3.4125000000000001</v>
      </c>
      <c r="N17" s="152">
        <v>256.02999999999997</v>
      </c>
      <c r="O17" s="149">
        <v>3.444</v>
      </c>
      <c r="P17" s="152">
        <v>250.9</v>
      </c>
      <c r="Q17" s="149">
        <v>3.4125000000000001</v>
      </c>
      <c r="R17" s="152">
        <v>247.07</v>
      </c>
      <c r="S17" s="149">
        <v>2.9925000000000002</v>
      </c>
      <c r="T17" s="152">
        <v>258.17</v>
      </c>
      <c r="U17" s="149">
        <v>2.5830000000000002</v>
      </c>
      <c r="V17" s="152">
        <v>276.98</v>
      </c>
      <c r="W17" s="149">
        <v>1.7115</v>
      </c>
      <c r="X17" s="6">
        <v>360.8</v>
      </c>
    </row>
    <row r="18" spans="1:24" ht="16" thickBot="1" x14ac:dyDescent="0.25">
      <c r="C18" s="150">
        <v>0.85050000000000003</v>
      </c>
      <c r="D18" s="153">
        <v>692.84</v>
      </c>
      <c r="E18" s="149">
        <v>1.722</v>
      </c>
      <c r="F18" s="6">
        <v>399.59</v>
      </c>
      <c r="G18" s="149">
        <v>1.6904999999999999</v>
      </c>
      <c r="H18" s="152">
        <v>399.3</v>
      </c>
      <c r="I18" s="149">
        <v>2.5514999999999999</v>
      </c>
      <c r="J18" s="6">
        <v>301.85000000000002</v>
      </c>
      <c r="K18" s="155">
        <v>2.9820000000000002</v>
      </c>
      <c r="L18" s="152">
        <v>275.08</v>
      </c>
      <c r="M18" s="149">
        <v>2.9609999999999999</v>
      </c>
      <c r="N18" s="152">
        <v>272.42</v>
      </c>
      <c r="O18" s="149">
        <v>2.9820000000000002</v>
      </c>
      <c r="P18" s="152">
        <v>270.18</v>
      </c>
      <c r="Q18" s="149">
        <v>2.9820000000000002</v>
      </c>
      <c r="R18" s="152">
        <v>264.44</v>
      </c>
      <c r="S18" s="149">
        <v>2.5095000000000001</v>
      </c>
      <c r="T18" s="152">
        <v>284.93</v>
      </c>
      <c r="U18" s="149">
        <v>2.2155</v>
      </c>
      <c r="V18" s="152">
        <v>304.69</v>
      </c>
      <c r="W18" s="149">
        <v>1.2390000000000001</v>
      </c>
      <c r="X18" s="6">
        <v>460.53</v>
      </c>
    </row>
    <row r="19" spans="1:24" ht="16" thickBot="1" x14ac:dyDescent="0.25">
      <c r="E19" s="149">
        <v>1.302</v>
      </c>
      <c r="F19" s="6">
        <v>483.46</v>
      </c>
      <c r="G19" s="149">
        <v>1.3125</v>
      </c>
      <c r="H19" s="152">
        <v>472.65</v>
      </c>
      <c r="I19" s="149">
        <v>2.1315</v>
      </c>
      <c r="J19" s="6">
        <v>333.96</v>
      </c>
      <c r="K19" s="155">
        <v>2.5935000000000001</v>
      </c>
      <c r="L19" s="152">
        <v>299.29000000000002</v>
      </c>
      <c r="M19" s="149">
        <v>2.5935000000000001</v>
      </c>
      <c r="N19" s="152">
        <v>294.13</v>
      </c>
      <c r="O19" s="149">
        <v>2.5830000000000002</v>
      </c>
      <c r="P19" s="152">
        <v>290.64999999999998</v>
      </c>
      <c r="Q19" s="149">
        <v>2.6145</v>
      </c>
      <c r="R19" s="152">
        <v>284.44</v>
      </c>
      <c r="S19" s="149">
        <v>2.1629999999999998</v>
      </c>
      <c r="T19" s="152">
        <v>307.57</v>
      </c>
      <c r="U19" s="149">
        <v>1.7115</v>
      </c>
      <c r="V19" s="152">
        <v>358.84</v>
      </c>
      <c r="W19" s="150">
        <v>0.95550000000000002</v>
      </c>
      <c r="X19" s="151">
        <v>550.91</v>
      </c>
    </row>
    <row r="20" spans="1:24" ht="16" thickBot="1" x14ac:dyDescent="0.25">
      <c r="E20" s="150">
        <v>0.85050000000000003</v>
      </c>
      <c r="F20" s="151">
        <v>665.98</v>
      </c>
      <c r="G20" s="150">
        <v>0.85050000000000003</v>
      </c>
      <c r="H20" s="153">
        <v>668.26</v>
      </c>
      <c r="I20" s="149">
        <v>1.659</v>
      </c>
      <c r="J20" s="6">
        <v>393.96</v>
      </c>
      <c r="K20" s="155">
        <v>2.1524999999999999</v>
      </c>
      <c r="L20" s="152">
        <v>333.04</v>
      </c>
      <c r="M20" s="149">
        <v>2.2050000000000001</v>
      </c>
      <c r="N20" s="152">
        <v>320.51</v>
      </c>
      <c r="O20" s="149">
        <v>2.1315</v>
      </c>
      <c r="P20" s="152">
        <v>321.27</v>
      </c>
      <c r="Q20" s="149">
        <v>2.1629999999999998</v>
      </c>
      <c r="R20" s="152">
        <v>320.36</v>
      </c>
      <c r="S20" s="149">
        <v>1.7745</v>
      </c>
      <c r="T20" s="152">
        <v>351.45</v>
      </c>
      <c r="U20" s="149">
        <v>1.2915000000000001</v>
      </c>
      <c r="V20" s="6">
        <v>428.54</v>
      </c>
    </row>
    <row r="21" spans="1:24" ht="16" thickBot="1" x14ac:dyDescent="0.25">
      <c r="A21" s="75"/>
      <c r="I21" s="149">
        <v>1.26</v>
      </c>
      <c r="J21" s="6">
        <v>468.72</v>
      </c>
      <c r="K21" s="155">
        <v>1.7430000000000001</v>
      </c>
      <c r="L21" s="152">
        <v>378.71</v>
      </c>
      <c r="M21" s="149">
        <v>1.7010000000000001</v>
      </c>
      <c r="N21" s="152">
        <v>376.98</v>
      </c>
      <c r="O21" s="149">
        <v>1.7115</v>
      </c>
      <c r="P21" s="152">
        <v>376.49</v>
      </c>
      <c r="Q21" s="149">
        <v>1.7115</v>
      </c>
      <c r="R21" s="152">
        <v>369.95</v>
      </c>
      <c r="S21" s="149">
        <v>1.302</v>
      </c>
      <c r="T21" s="152">
        <v>437.59</v>
      </c>
      <c r="U21" s="150">
        <v>0.85050000000000003</v>
      </c>
      <c r="V21" s="151">
        <v>607.87</v>
      </c>
    </row>
    <row r="22" spans="1:24" ht="16" thickBot="1" x14ac:dyDescent="0.25">
      <c r="I22" s="150">
        <v>0.85050000000000003</v>
      </c>
      <c r="J22" s="151">
        <v>634.45000000000005</v>
      </c>
      <c r="K22" s="155">
        <v>1.2915000000000001</v>
      </c>
      <c r="L22" s="152">
        <v>468.79</v>
      </c>
      <c r="M22" s="149">
        <v>1.2495000000000001</v>
      </c>
      <c r="N22" s="152">
        <v>469.09</v>
      </c>
      <c r="O22" s="149">
        <v>1.302</v>
      </c>
      <c r="P22" s="152">
        <v>449.34</v>
      </c>
      <c r="Q22" s="149">
        <v>1.3440000000000001</v>
      </c>
      <c r="R22" s="152">
        <v>441.3</v>
      </c>
      <c r="S22" s="150">
        <v>0.89249999999999996</v>
      </c>
      <c r="T22" s="151">
        <v>615.41999999999996</v>
      </c>
    </row>
    <row r="23" spans="1:24" ht="16" thickBot="1" x14ac:dyDescent="0.25">
      <c r="K23" s="150">
        <v>0.85050000000000003</v>
      </c>
      <c r="L23" s="153">
        <v>651.01</v>
      </c>
      <c r="M23" s="150">
        <v>0.90300000000000002</v>
      </c>
      <c r="N23" s="153">
        <v>604.64</v>
      </c>
      <c r="O23" s="150">
        <v>0.85050000000000003</v>
      </c>
      <c r="P23" s="153">
        <v>646.79</v>
      </c>
      <c r="Q23" s="150">
        <v>0.90300000000000002</v>
      </c>
      <c r="R23" s="151">
        <v>601.83000000000004</v>
      </c>
    </row>
    <row r="31" spans="1:24" x14ac:dyDescent="0.2"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F18" sqref="F18"/>
    </sheetView>
  </sheetViews>
  <sheetFormatPr baseColWidth="10" defaultRowHeight="15" x14ac:dyDescent="0.2"/>
  <sheetData>
    <row r="1" spans="1:26" x14ac:dyDescent="0.2">
      <c r="A1" s="106">
        <v>1000</v>
      </c>
      <c r="B1" s="106"/>
      <c r="C1" s="106">
        <v>1500</v>
      </c>
      <c r="D1" s="243"/>
      <c r="E1" s="106">
        <v>2000</v>
      </c>
      <c r="F1" s="243"/>
      <c r="G1" s="106">
        <v>2500</v>
      </c>
      <c r="H1" s="243"/>
      <c r="I1" s="106">
        <v>3000</v>
      </c>
      <c r="J1" s="243"/>
      <c r="K1" s="106">
        <v>3250</v>
      </c>
      <c r="L1" s="243"/>
      <c r="M1" s="106">
        <v>3500</v>
      </c>
      <c r="N1" s="106"/>
      <c r="O1" s="106">
        <v>4000</v>
      </c>
      <c r="P1" s="243"/>
      <c r="Q1" s="106">
        <v>4500</v>
      </c>
      <c r="R1" s="243"/>
      <c r="S1" s="106">
        <v>5000</v>
      </c>
      <c r="T1" s="243"/>
      <c r="U1" s="106">
        <v>5500</v>
      </c>
      <c r="V1" s="243"/>
      <c r="W1" s="106">
        <v>6000</v>
      </c>
      <c r="X1" s="243"/>
      <c r="Y1" s="106">
        <v>6500</v>
      </c>
      <c r="Z1" s="106"/>
    </row>
    <row r="2" spans="1:26" x14ac:dyDescent="0.2">
      <c r="A2" s="148">
        <v>5.9850000000000003</v>
      </c>
      <c r="B2" s="148">
        <v>220.11</v>
      </c>
      <c r="C2" s="148">
        <v>8.5785</v>
      </c>
      <c r="D2" s="152">
        <v>216.89</v>
      </c>
      <c r="E2" s="148">
        <v>8.8409999999999993</v>
      </c>
      <c r="F2" s="152">
        <v>218.32</v>
      </c>
      <c r="G2" s="148">
        <v>9.3345000000000002</v>
      </c>
      <c r="H2" s="152">
        <v>211.28</v>
      </c>
      <c r="I2" s="148">
        <v>9.5129999999999999</v>
      </c>
      <c r="J2" s="152">
        <v>212.14</v>
      </c>
      <c r="K2" s="148">
        <v>9.6705000000000005</v>
      </c>
      <c r="L2" s="152">
        <v>214.88</v>
      </c>
      <c r="M2" s="148">
        <v>9.6074999999999999</v>
      </c>
      <c r="N2" s="148">
        <v>216.68</v>
      </c>
      <c r="O2" s="148">
        <v>9.6285000000000007</v>
      </c>
      <c r="P2" s="152">
        <v>218.27</v>
      </c>
      <c r="Q2" s="148">
        <v>9.4815000000000005</v>
      </c>
      <c r="R2" s="152">
        <v>220.05</v>
      </c>
      <c r="S2" s="148">
        <v>8.9250000000000007</v>
      </c>
      <c r="T2" s="152">
        <v>228.47</v>
      </c>
      <c r="U2" s="148">
        <v>8.2530000000000001</v>
      </c>
      <c r="V2" s="152">
        <v>235.16</v>
      </c>
      <c r="W2" s="148">
        <v>7.7910000000000004</v>
      </c>
      <c r="X2" s="152">
        <v>254.91</v>
      </c>
      <c r="Y2" s="148">
        <v>7.1189999999999998</v>
      </c>
      <c r="Z2" s="148">
        <v>286.06</v>
      </c>
    </row>
    <row r="3" spans="1:26" x14ac:dyDescent="0.2">
      <c r="A3" s="148">
        <v>5.5439999999999996</v>
      </c>
      <c r="B3" s="148">
        <v>220.83</v>
      </c>
      <c r="C3" s="148">
        <v>8.1270000000000007</v>
      </c>
      <c r="D3" s="152">
        <v>206.23</v>
      </c>
      <c r="E3" s="148">
        <v>8.6624999999999996</v>
      </c>
      <c r="F3" s="152">
        <v>210.47</v>
      </c>
      <c r="G3" s="148">
        <v>8.9565000000000001</v>
      </c>
      <c r="H3" s="152">
        <v>200.12</v>
      </c>
      <c r="I3" s="148">
        <v>9.4184999999999999</v>
      </c>
      <c r="J3" s="152">
        <v>209.04</v>
      </c>
      <c r="K3" s="148">
        <v>9.3765000000000001</v>
      </c>
      <c r="L3" s="152">
        <v>201.96</v>
      </c>
      <c r="M3" s="148">
        <v>9.3975000000000009</v>
      </c>
      <c r="N3" s="148">
        <v>214.48</v>
      </c>
      <c r="O3" s="148">
        <v>9.4079999999999995</v>
      </c>
      <c r="P3" s="152">
        <v>217.73</v>
      </c>
      <c r="Q3" s="148">
        <v>8.9565000000000001</v>
      </c>
      <c r="R3" s="152">
        <v>197</v>
      </c>
      <c r="S3" s="148">
        <v>8.4</v>
      </c>
      <c r="T3" s="152">
        <v>203.06</v>
      </c>
      <c r="U3" s="148">
        <v>8.1270000000000007</v>
      </c>
      <c r="V3" s="152">
        <v>229.94</v>
      </c>
      <c r="W3" s="148">
        <v>7.2554999999999996</v>
      </c>
      <c r="X3" s="152">
        <v>221.89</v>
      </c>
      <c r="Y3" s="148">
        <v>6.867</v>
      </c>
      <c r="Z3" s="148">
        <v>249.21</v>
      </c>
    </row>
    <row r="4" spans="1:26" x14ac:dyDescent="0.2">
      <c r="A4" s="148">
        <v>5.1239999999999997</v>
      </c>
      <c r="B4" s="148">
        <v>224.85</v>
      </c>
      <c r="C4" s="148">
        <v>7.6755000000000004</v>
      </c>
      <c r="D4" s="152">
        <v>204.51</v>
      </c>
      <c r="E4" s="148">
        <v>8.1795000000000009</v>
      </c>
      <c r="F4" s="152">
        <v>199.05</v>
      </c>
      <c r="G4" s="148">
        <v>8.5365000000000002</v>
      </c>
      <c r="H4" s="152">
        <v>196.95</v>
      </c>
      <c r="I4" s="148">
        <v>8.9774999999999991</v>
      </c>
      <c r="J4" s="152">
        <v>202.48</v>
      </c>
      <c r="K4" s="148">
        <v>8.9565000000000001</v>
      </c>
      <c r="L4" s="152">
        <v>198.95</v>
      </c>
      <c r="M4" s="148">
        <v>8.9459999999999997</v>
      </c>
      <c r="N4" s="148">
        <v>201.37</v>
      </c>
      <c r="O4" s="148">
        <v>8.9145000000000003</v>
      </c>
      <c r="P4" s="152">
        <v>200.17</v>
      </c>
      <c r="Q4" s="148">
        <v>8.5365000000000002</v>
      </c>
      <c r="R4" s="152">
        <v>201.44</v>
      </c>
      <c r="S4" s="148">
        <v>7.665</v>
      </c>
      <c r="T4" s="152">
        <v>205.85</v>
      </c>
      <c r="U4" s="148">
        <v>7.665</v>
      </c>
      <c r="V4" s="152">
        <v>217.52</v>
      </c>
      <c r="W4" s="148">
        <v>6.8040000000000003</v>
      </c>
      <c r="X4" s="152">
        <v>225.65</v>
      </c>
      <c r="Y4" s="148">
        <v>6.4260000000000002</v>
      </c>
      <c r="Z4" s="148">
        <v>253.6</v>
      </c>
    </row>
    <row r="5" spans="1:26" x14ac:dyDescent="0.2">
      <c r="A5" s="148">
        <v>4.6935000000000002</v>
      </c>
      <c r="B5" s="148">
        <v>229.6</v>
      </c>
      <c r="C5" s="148">
        <v>7.2554999999999996</v>
      </c>
      <c r="D5" s="152">
        <v>204.24</v>
      </c>
      <c r="E5" s="148">
        <v>7.6965000000000003</v>
      </c>
      <c r="F5" s="152">
        <v>198.59</v>
      </c>
      <c r="G5" s="148">
        <v>8.1059999999999999</v>
      </c>
      <c r="H5" s="152">
        <v>192.45</v>
      </c>
      <c r="I5" s="148">
        <v>8.5365000000000002</v>
      </c>
      <c r="J5" s="152">
        <v>193.67</v>
      </c>
      <c r="K5" s="148">
        <v>8.5365000000000002</v>
      </c>
      <c r="L5" s="152">
        <v>192.77</v>
      </c>
      <c r="M5" s="148">
        <v>8.5365000000000002</v>
      </c>
      <c r="N5" s="148">
        <v>196.93</v>
      </c>
      <c r="O5" s="148">
        <v>8.5470000000000006</v>
      </c>
      <c r="P5" s="152">
        <v>200.54</v>
      </c>
      <c r="Q5" s="148">
        <v>8.1165000000000003</v>
      </c>
      <c r="R5" s="152">
        <v>199.89</v>
      </c>
      <c r="S5" s="148">
        <v>7.2554999999999996</v>
      </c>
      <c r="T5" s="152">
        <v>207.39</v>
      </c>
      <c r="U5" s="148">
        <v>7.2554999999999996</v>
      </c>
      <c r="V5" s="152">
        <v>213.42</v>
      </c>
      <c r="W5" s="148">
        <v>6.3840000000000003</v>
      </c>
      <c r="X5" s="152">
        <v>230.81</v>
      </c>
      <c r="Y5" s="148">
        <v>5.9535</v>
      </c>
      <c r="Z5" s="148">
        <v>259.95</v>
      </c>
    </row>
    <row r="6" spans="1:26" x14ac:dyDescent="0.2">
      <c r="A6" s="148">
        <v>4.2629999999999999</v>
      </c>
      <c r="B6" s="148">
        <v>240.01</v>
      </c>
      <c r="C6" s="148">
        <v>6.8250000000000002</v>
      </c>
      <c r="D6" s="152">
        <v>205.89</v>
      </c>
      <c r="E6" s="148">
        <v>7.2554999999999996</v>
      </c>
      <c r="F6" s="152">
        <v>200.12</v>
      </c>
      <c r="G6" s="148">
        <v>7.6755000000000004</v>
      </c>
      <c r="H6" s="152">
        <v>192.69</v>
      </c>
      <c r="I6" s="148">
        <v>8.1059999999999999</v>
      </c>
      <c r="J6" s="152">
        <v>192.02</v>
      </c>
      <c r="K6" s="148">
        <v>8.0640000000000001</v>
      </c>
      <c r="L6" s="152">
        <v>192.52</v>
      </c>
      <c r="M6" s="148">
        <v>8.0850000000000009</v>
      </c>
      <c r="N6" s="148">
        <v>195.91</v>
      </c>
      <c r="O6" s="148">
        <v>8.0954999999999995</v>
      </c>
      <c r="P6" s="152">
        <v>199.54</v>
      </c>
      <c r="Q6" s="148">
        <v>7.6440000000000001</v>
      </c>
      <c r="R6" s="152">
        <v>201.48</v>
      </c>
      <c r="S6" s="148">
        <v>6.8250000000000002</v>
      </c>
      <c r="T6" s="152">
        <v>208.98</v>
      </c>
      <c r="U6" s="148">
        <v>6.8250000000000002</v>
      </c>
      <c r="V6" s="152">
        <v>215.11</v>
      </c>
      <c r="W6" s="148">
        <v>5.9640000000000004</v>
      </c>
      <c r="X6" s="152">
        <v>235.02</v>
      </c>
      <c r="Y6" s="148">
        <v>5.5860000000000003</v>
      </c>
      <c r="Z6" s="148">
        <v>264.64</v>
      </c>
    </row>
    <row r="7" spans="1:26" x14ac:dyDescent="0.2">
      <c r="A7" s="148">
        <v>3.9060000000000001</v>
      </c>
      <c r="B7" s="148">
        <v>243.18</v>
      </c>
      <c r="C7" s="148">
        <v>6.3944999999999999</v>
      </c>
      <c r="D7" s="152">
        <v>207.06</v>
      </c>
      <c r="E7" s="148">
        <v>6.8250000000000002</v>
      </c>
      <c r="F7" s="152">
        <v>200</v>
      </c>
      <c r="G7" s="148">
        <v>7.2554999999999996</v>
      </c>
      <c r="H7" s="152">
        <v>193.32</v>
      </c>
      <c r="I7" s="148">
        <v>7.7175000000000002</v>
      </c>
      <c r="J7" s="152">
        <v>191.97</v>
      </c>
      <c r="K7" s="148">
        <v>7.6755000000000004</v>
      </c>
      <c r="L7" s="152">
        <v>197.3</v>
      </c>
      <c r="M7" s="148">
        <v>7.665</v>
      </c>
      <c r="N7" s="148">
        <v>196.34</v>
      </c>
      <c r="O7" s="148">
        <v>7.6334999999999997</v>
      </c>
      <c r="P7" s="152">
        <v>200.63</v>
      </c>
      <c r="Q7" s="148">
        <v>7.2765000000000004</v>
      </c>
      <c r="R7" s="152">
        <v>201.6</v>
      </c>
      <c r="S7" s="148">
        <v>6.3944999999999999</v>
      </c>
      <c r="T7" s="152">
        <v>213.08</v>
      </c>
      <c r="U7" s="148">
        <v>6.4154999999999998</v>
      </c>
      <c r="V7" s="152">
        <v>218.03</v>
      </c>
      <c r="W7" s="148">
        <v>5.5439999999999996</v>
      </c>
      <c r="X7" s="152">
        <v>240.67</v>
      </c>
      <c r="Y7" s="148">
        <v>5.1239999999999997</v>
      </c>
      <c r="Z7" s="148">
        <v>275.66000000000003</v>
      </c>
    </row>
    <row r="8" spans="1:26" x14ac:dyDescent="0.2">
      <c r="A8" s="148">
        <v>3.4125000000000001</v>
      </c>
      <c r="B8" s="148">
        <v>250.99</v>
      </c>
      <c r="C8" s="148">
        <v>5.9954999999999998</v>
      </c>
      <c r="D8" s="152">
        <v>205.94</v>
      </c>
      <c r="E8" s="148">
        <v>6.3944999999999999</v>
      </c>
      <c r="F8" s="152">
        <v>202.88</v>
      </c>
      <c r="G8" s="148">
        <v>6.8250000000000002</v>
      </c>
      <c r="H8" s="152">
        <v>196.38</v>
      </c>
      <c r="I8" s="148">
        <v>7.2869999999999999</v>
      </c>
      <c r="J8" s="152">
        <v>193.11</v>
      </c>
      <c r="K8" s="148">
        <v>7.2554999999999996</v>
      </c>
      <c r="L8" s="152">
        <v>198.71</v>
      </c>
      <c r="M8" s="148">
        <v>7.2975000000000003</v>
      </c>
      <c r="N8" s="148">
        <v>197.07</v>
      </c>
      <c r="O8" s="148">
        <v>7.2240000000000002</v>
      </c>
      <c r="P8" s="152">
        <v>200.42</v>
      </c>
      <c r="Q8" s="148">
        <v>6.8040000000000003</v>
      </c>
      <c r="R8" s="152">
        <v>205.92</v>
      </c>
      <c r="S8" s="148">
        <v>5.9954999999999998</v>
      </c>
      <c r="T8" s="152">
        <v>216.16</v>
      </c>
      <c r="U8" s="148">
        <v>5.9640000000000004</v>
      </c>
      <c r="V8" s="152">
        <v>222.5</v>
      </c>
      <c r="W8" s="148">
        <v>5.1239999999999997</v>
      </c>
      <c r="X8" s="152">
        <v>247.43</v>
      </c>
      <c r="Y8" s="148">
        <v>4.7249999999999996</v>
      </c>
      <c r="Z8" s="148">
        <v>283.73</v>
      </c>
    </row>
    <row r="9" spans="1:26" x14ac:dyDescent="0.2">
      <c r="C9" s="148">
        <v>5.5650000000000004</v>
      </c>
      <c r="D9" s="152">
        <v>213.33</v>
      </c>
      <c r="E9" s="148">
        <v>5.9744999999999999</v>
      </c>
      <c r="F9" s="152">
        <v>205.61</v>
      </c>
      <c r="G9" s="148">
        <v>6.4050000000000002</v>
      </c>
      <c r="H9" s="152">
        <v>199.22</v>
      </c>
      <c r="I9" s="148">
        <v>6.8250000000000002</v>
      </c>
      <c r="J9" s="152">
        <v>196.99</v>
      </c>
      <c r="K9" s="148">
        <v>6.8250000000000002</v>
      </c>
      <c r="L9" s="152">
        <v>199.63</v>
      </c>
      <c r="M9" s="148">
        <v>6.7934999999999999</v>
      </c>
      <c r="N9" s="148">
        <v>200.38</v>
      </c>
      <c r="O9" s="148">
        <v>6.867</v>
      </c>
      <c r="P9" s="152">
        <v>203.57</v>
      </c>
      <c r="Q9" s="148">
        <v>6.3944999999999999</v>
      </c>
      <c r="R9" s="152">
        <v>209.12</v>
      </c>
      <c r="S9" s="148">
        <v>5.5335000000000001</v>
      </c>
      <c r="T9" s="152">
        <v>223.38</v>
      </c>
      <c r="U9" s="148">
        <v>5.46</v>
      </c>
      <c r="V9" s="152">
        <v>231.23</v>
      </c>
      <c r="W9" s="148">
        <v>4.7145000000000001</v>
      </c>
      <c r="X9" s="152">
        <v>256.63</v>
      </c>
      <c r="Y9" s="148">
        <v>4.2735000000000003</v>
      </c>
      <c r="Z9" s="148">
        <v>295.01</v>
      </c>
    </row>
    <row r="10" spans="1:26" x14ac:dyDescent="0.2">
      <c r="C10" s="148">
        <v>5.0925000000000002</v>
      </c>
      <c r="D10" s="152">
        <v>214.47</v>
      </c>
      <c r="E10" s="148">
        <v>5.5439999999999996</v>
      </c>
      <c r="F10" s="152">
        <v>206.94</v>
      </c>
      <c r="G10" s="148">
        <v>5.9744999999999999</v>
      </c>
      <c r="H10" s="152">
        <v>201.58</v>
      </c>
      <c r="I10" s="148">
        <v>6.3944999999999999</v>
      </c>
      <c r="J10" s="152">
        <v>198.62</v>
      </c>
      <c r="K10" s="148">
        <v>6.3944999999999999</v>
      </c>
      <c r="L10" s="152">
        <v>201.72</v>
      </c>
      <c r="M10" s="148">
        <v>6.3944999999999999</v>
      </c>
      <c r="N10" s="148">
        <v>204.02</v>
      </c>
      <c r="O10" s="148">
        <v>6.4050000000000002</v>
      </c>
      <c r="P10" s="152">
        <v>205.4</v>
      </c>
      <c r="Q10" s="148">
        <v>5.9850000000000003</v>
      </c>
      <c r="R10" s="152">
        <v>212.22</v>
      </c>
      <c r="S10" s="148">
        <v>5.1345000000000001</v>
      </c>
      <c r="T10" s="152">
        <v>228.2</v>
      </c>
      <c r="U10" s="148">
        <v>5.1239999999999997</v>
      </c>
      <c r="V10" s="152">
        <v>234.05</v>
      </c>
      <c r="W10" s="148">
        <v>4.2735000000000003</v>
      </c>
      <c r="X10" s="152">
        <v>265.52999999999997</v>
      </c>
      <c r="Y10" s="148">
        <v>3.8639999999999999</v>
      </c>
      <c r="Z10" s="148">
        <v>311.35000000000002</v>
      </c>
    </row>
    <row r="11" spans="1:26" x14ac:dyDescent="0.2">
      <c r="C11" s="148">
        <v>4.7039999999999997</v>
      </c>
      <c r="D11" s="152">
        <v>220.04</v>
      </c>
      <c r="E11" s="148">
        <v>5.1660000000000004</v>
      </c>
      <c r="F11" s="152">
        <v>213.56</v>
      </c>
      <c r="G11" s="148">
        <v>5.5439999999999996</v>
      </c>
      <c r="H11" s="152">
        <v>204.66</v>
      </c>
      <c r="I11" s="148">
        <v>5.9744999999999999</v>
      </c>
      <c r="J11" s="152">
        <v>204.2</v>
      </c>
      <c r="K11" s="148">
        <v>5.9744999999999999</v>
      </c>
      <c r="L11" s="152">
        <v>206.08</v>
      </c>
      <c r="M11" s="148">
        <v>5.9640000000000004</v>
      </c>
      <c r="N11" s="148">
        <v>207.39</v>
      </c>
      <c r="O11" s="148">
        <v>5.9640000000000004</v>
      </c>
      <c r="P11" s="152">
        <v>211.16</v>
      </c>
      <c r="Q11" s="148">
        <v>5.5335000000000001</v>
      </c>
      <c r="R11" s="152">
        <v>218.31</v>
      </c>
      <c r="S11" s="148">
        <v>4.6935000000000002</v>
      </c>
      <c r="T11" s="152">
        <v>237.22</v>
      </c>
      <c r="U11" s="148">
        <v>4.7039999999999997</v>
      </c>
      <c r="V11" s="152">
        <v>240.4</v>
      </c>
      <c r="W11" s="148">
        <v>3.8534999999999999</v>
      </c>
      <c r="X11" s="152">
        <v>274.64999999999998</v>
      </c>
      <c r="Y11" s="148">
        <v>3.4335</v>
      </c>
      <c r="Z11" s="148">
        <v>327.36</v>
      </c>
    </row>
    <row r="12" spans="1:26" x14ac:dyDescent="0.2">
      <c r="C12" s="148">
        <v>4.2735000000000003</v>
      </c>
      <c r="D12" s="152">
        <v>230.51</v>
      </c>
      <c r="E12" s="148">
        <v>4.6935000000000002</v>
      </c>
      <c r="F12" s="152">
        <v>217.48</v>
      </c>
      <c r="G12" s="148">
        <v>5.1239999999999997</v>
      </c>
      <c r="H12" s="152">
        <v>210.83</v>
      </c>
      <c r="I12" s="148">
        <v>5.5754999999999999</v>
      </c>
      <c r="J12" s="152">
        <v>206.49</v>
      </c>
      <c r="K12" s="148">
        <v>5.5439999999999996</v>
      </c>
      <c r="L12" s="152">
        <v>211.22</v>
      </c>
      <c r="M12" s="148">
        <v>5.5439999999999996</v>
      </c>
      <c r="N12" s="148">
        <v>211.25</v>
      </c>
      <c r="O12" s="148">
        <v>5.5545</v>
      </c>
      <c r="P12" s="152">
        <v>216.18</v>
      </c>
      <c r="Q12" s="148">
        <v>5.0819999999999999</v>
      </c>
      <c r="R12" s="152">
        <v>225.1</v>
      </c>
      <c r="S12" s="148">
        <v>4.2629999999999999</v>
      </c>
      <c r="T12" s="152">
        <v>246.18</v>
      </c>
      <c r="U12" s="148">
        <v>4.2629999999999999</v>
      </c>
      <c r="V12" s="152">
        <v>249.76</v>
      </c>
      <c r="W12" s="148">
        <v>3.4544999999999999</v>
      </c>
      <c r="X12" s="152">
        <v>290.7</v>
      </c>
      <c r="Y12" s="148">
        <v>3.0030000000000001</v>
      </c>
      <c r="Z12" s="148">
        <v>347.46</v>
      </c>
    </row>
    <row r="13" spans="1:26" x14ac:dyDescent="0.2">
      <c r="C13" s="148">
        <v>3.8744999999999998</v>
      </c>
      <c r="D13" s="152">
        <v>236.11</v>
      </c>
      <c r="E13" s="148">
        <v>4.2629999999999999</v>
      </c>
      <c r="F13" s="152">
        <v>228.25</v>
      </c>
      <c r="G13" s="148">
        <v>4.7039999999999997</v>
      </c>
      <c r="H13" s="152">
        <v>218</v>
      </c>
      <c r="I13" s="148">
        <v>5.1239999999999997</v>
      </c>
      <c r="J13" s="152">
        <v>213.4</v>
      </c>
      <c r="K13" s="148">
        <v>5.1239999999999997</v>
      </c>
      <c r="L13" s="152">
        <v>213.87</v>
      </c>
      <c r="M13" s="148">
        <v>5.1239999999999997</v>
      </c>
      <c r="N13" s="148">
        <v>217.28</v>
      </c>
      <c r="O13" s="148">
        <v>5.1555</v>
      </c>
      <c r="P13" s="152">
        <v>220.02</v>
      </c>
      <c r="Q13" s="148">
        <v>4.7145000000000001</v>
      </c>
      <c r="R13" s="152">
        <v>231.67</v>
      </c>
      <c r="S13" s="148">
        <v>3.8220000000000001</v>
      </c>
      <c r="T13" s="152">
        <v>256.89999999999998</v>
      </c>
      <c r="U13" s="148">
        <v>3.843</v>
      </c>
      <c r="V13" s="152">
        <v>259.86</v>
      </c>
      <c r="W13" s="148">
        <v>2.9820000000000002</v>
      </c>
      <c r="X13" s="152">
        <v>314.33999999999997</v>
      </c>
      <c r="Y13" s="148">
        <v>2.5724999999999998</v>
      </c>
      <c r="Z13" s="148">
        <v>379</v>
      </c>
    </row>
    <row r="14" spans="1:26" x14ac:dyDescent="0.2">
      <c r="C14" s="148">
        <v>3.4335</v>
      </c>
      <c r="D14" s="152">
        <v>247.14</v>
      </c>
      <c r="E14" s="148">
        <v>3.8744999999999998</v>
      </c>
      <c r="F14" s="152">
        <v>234.1</v>
      </c>
      <c r="G14" s="148">
        <v>4.2629999999999999</v>
      </c>
      <c r="H14" s="152">
        <v>223.39</v>
      </c>
      <c r="I14" s="148">
        <v>4.6935000000000002</v>
      </c>
      <c r="J14" s="152">
        <v>221.52</v>
      </c>
      <c r="K14" s="148">
        <v>4.6935000000000002</v>
      </c>
      <c r="L14" s="152">
        <v>221.97</v>
      </c>
      <c r="M14" s="148">
        <v>4.7249999999999996</v>
      </c>
      <c r="N14" s="148">
        <v>223.58</v>
      </c>
      <c r="O14" s="148">
        <v>4.6935000000000002</v>
      </c>
      <c r="P14" s="152">
        <v>227</v>
      </c>
      <c r="Q14" s="148">
        <v>4.2525000000000004</v>
      </c>
      <c r="R14" s="152">
        <v>239.64</v>
      </c>
      <c r="S14" s="148">
        <v>3.4754999999999998</v>
      </c>
      <c r="T14" s="152">
        <v>265.82</v>
      </c>
      <c r="U14" s="148">
        <v>3.4335</v>
      </c>
      <c r="V14" s="152">
        <v>275.16000000000003</v>
      </c>
      <c r="W14" s="148">
        <v>2.5619999999999998</v>
      </c>
      <c r="X14" s="152">
        <v>330.98</v>
      </c>
      <c r="Y14" s="148">
        <v>2.1419999999999999</v>
      </c>
      <c r="Z14" s="148">
        <v>420.05</v>
      </c>
    </row>
    <row r="15" spans="1:26" x14ac:dyDescent="0.2">
      <c r="C15" s="148">
        <v>3.0345</v>
      </c>
      <c r="D15" s="152">
        <v>262.92</v>
      </c>
      <c r="E15" s="148">
        <v>3.4335</v>
      </c>
      <c r="F15" s="152">
        <v>243.89</v>
      </c>
      <c r="G15" s="148">
        <v>3.843</v>
      </c>
      <c r="H15" s="152">
        <v>234.33</v>
      </c>
      <c r="I15" s="148">
        <v>4.2629999999999999</v>
      </c>
      <c r="J15" s="152">
        <v>229.03</v>
      </c>
      <c r="K15" s="148">
        <v>4.2629999999999999</v>
      </c>
      <c r="L15" s="152">
        <v>229.75</v>
      </c>
      <c r="M15" s="148">
        <v>4.2735000000000003</v>
      </c>
      <c r="N15" s="148">
        <v>231.64</v>
      </c>
      <c r="O15" s="148">
        <v>4.2629999999999999</v>
      </c>
      <c r="P15" s="152">
        <v>236.75</v>
      </c>
      <c r="Q15" s="148">
        <v>3.8534999999999999</v>
      </c>
      <c r="R15" s="152">
        <v>249.38</v>
      </c>
      <c r="S15" s="148">
        <v>2.9820000000000002</v>
      </c>
      <c r="T15" s="152">
        <v>287.06</v>
      </c>
      <c r="U15" s="148">
        <v>3.0135000000000001</v>
      </c>
      <c r="V15" s="152">
        <v>291.61</v>
      </c>
      <c r="W15" s="148">
        <v>2.1315</v>
      </c>
      <c r="X15" s="152">
        <v>368.64</v>
      </c>
      <c r="Y15" s="148">
        <v>1.7115</v>
      </c>
      <c r="Z15" s="148">
        <v>483.88</v>
      </c>
    </row>
    <row r="16" spans="1:26" x14ac:dyDescent="0.2">
      <c r="C16" s="148">
        <v>2.5935000000000001</v>
      </c>
      <c r="D16" s="152">
        <v>275.20999999999998</v>
      </c>
      <c r="E16" s="148">
        <v>3.0030000000000001</v>
      </c>
      <c r="F16" s="152">
        <v>260.7</v>
      </c>
      <c r="G16" s="148">
        <v>3.4335</v>
      </c>
      <c r="H16" s="152">
        <v>242.72</v>
      </c>
      <c r="I16" s="148">
        <v>3.843</v>
      </c>
      <c r="J16" s="152">
        <v>239.37</v>
      </c>
      <c r="K16" s="148">
        <v>3.843</v>
      </c>
      <c r="L16" s="152">
        <v>239.69</v>
      </c>
      <c r="M16" s="148">
        <v>3.843</v>
      </c>
      <c r="N16" s="148">
        <v>243.4</v>
      </c>
      <c r="O16" s="148">
        <v>3.843</v>
      </c>
      <c r="P16" s="152">
        <v>245.95</v>
      </c>
      <c r="Q16" s="148">
        <v>3.3704999999999998</v>
      </c>
      <c r="R16" s="152">
        <v>266.45</v>
      </c>
      <c r="S16" s="148">
        <v>2.5409999999999999</v>
      </c>
      <c r="T16" s="152">
        <v>310.58</v>
      </c>
      <c r="U16" s="148">
        <v>2.5514999999999999</v>
      </c>
      <c r="V16" s="152">
        <v>316.60000000000002</v>
      </c>
      <c r="W16" s="148">
        <v>1.7430000000000001</v>
      </c>
      <c r="X16" s="152">
        <v>412.04</v>
      </c>
      <c r="Y16" s="148">
        <v>1.2809999999999999</v>
      </c>
      <c r="Z16" s="148">
        <v>593.69000000000005</v>
      </c>
    </row>
    <row r="17" spans="3:26" x14ac:dyDescent="0.2">
      <c r="C17" s="148">
        <v>1.7115</v>
      </c>
      <c r="D17" s="152">
        <v>360.8</v>
      </c>
      <c r="E17" s="148">
        <v>2.5830000000000002</v>
      </c>
      <c r="F17" s="152">
        <v>276.98</v>
      </c>
      <c r="G17" s="148">
        <v>2.9925000000000002</v>
      </c>
      <c r="H17" s="152">
        <v>258.17</v>
      </c>
      <c r="I17" s="148">
        <v>3.4125000000000001</v>
      </c>
      <c r="J17" s="152">
        <v>247.07</v>
      </c>
      <c r="K17" s="148">
        <v>3.444</v>
      </c>
      <c r="L17" s="152">
        <v>250.9</v>
      </c>
      <c r="M17" s="148">
        <v>3.4125000000000001</v>
      </c>
      <c r="N17" s="148">
        <v>256.02999999999997</v>
      </c>
      <c r="O17" s="148">
        <v>3.423</v>
      </c>
      <c r="P17" s="152">
        <v>258.18</v>
      </c>
      <c r="Q17" s="148">
        <v>3.024</v>
      </c>
      <c r="R17" s="152">
        <v>278.68</v>
      </c>
      <c r="S17" s="148">
        <v>2.121</v>
      </c>
      <c r="T17" s="152">
        <v>344.74</v>
      </c>
      <c r="U17" s="148">
        <v>2.1315</v>
      </c>
      <c r="V17" s="152">
        <v>351.39</v>
      </c>
      <c r="W17" s="148">
        <v>1.2809999999999999</v>
      </c>
      <c r="X17" s="152">
        <v>509.83</v>
      </c>
      <c r="Y17" s="148">
        <v>0.85050000000000003</v>
      </c>
      <c r="Z17" s="148">
        <v>831.41</v>
      </c>
    </row>
    <row r="18" spans="3:26" x14ac:dyDescent="0.2">
      <c r="C18" s="148">
        <v>1.2390000000000001</v>
      </c>
      <c r="D18" s="152">
        <v>460.53</v>
      </c>
      <c r="E18" s="148">
        <v>2.2155</v>
      </c>
      <c r="F18" s="152">
        <v>304.69</v>
      </c>
      <c r="G18" s="148">
        <v>2.5095000000000001</v>
      </c>
      <c r="H18" s="152">
        <v>284.93</v>
      </c>
      <c r="I18" s="148">
        <v>2.9820000000000002</v>
      </c>
      <c r="J18" s="152">
        <v>264.44</v>
      </c>
      <c r="K18" s="148">
        <v>2.9820000000000002</v>
      </c>
      <c r="L18" s="152">
        <v>270.18</v>
      </c>
      <c r="M18" s="148">
        <v>2.9609999999999999</v>
      </c>
      <c r="N18" s="148">
        <v>272.42</v>
      </c>
      <c r="O18" s="148">
        <v>2.9820000000000002</v>
      </c>
      <c r="P18" s="152">
        <v>275.08</v>
      </c>
      <c r="Q18" s="148">
        <v>2.5514999999999999</v>
      </c>
      <c r="R18" s="152">
        <v>301.85000000000002</v>
      </c>
      <c r="S18" s="148">
        <v>1.6904999999999999</v>
      </c>
      <c r="T18" s="152">
        <v>399.3</v>
      </c>
      <c r="U18" s="148">
        <v>1.722</v>
      </c>
      <c r="V18" s="152">
        <v>399.59</v>
      </c>
      <c r="W18" s="148">
        <v>0.85050000000000003</v>
      </c>
      <c r="X18" s="152">
        <v>692.84</v>
      </c>
      <c r="Y18" s="244"/>
      <c r="Z18" s="244"/>
    </row>
    <row r="19" spans="3:26" x14ac:dyDescent="0.2">
      <c r="C19" s="148">
        <v>0.95550000000000002</v>
      </c>
      <c r="D19" s="152">
        <v>550.91</v>
      </c>
      <c r="E19" s="148">
        <v>1.7115</v>
      </c>
      <c r="F19" s="152">
        <v>358.84</v>
      </c>
      <c r="G19" s="148">
        <v>2.1629999999999998</v>
      </c>
      <c r="H19" s="152">
        <v>307.57</v>
      </c>
      <c r="I19" s="148">
        <v>2.6145</v>
      </c>
      <c r="J19" s="152">
        <v>284.44</v>
      </c>
      <c r="K19" s="148">
        <v>2.5830000000000002</v>
      </c>
      <c r="L19" s="152">
        <v>290.64999999999998</v>
      </c>
      <c r="M19" s="148">
        <v>2.5935000000000001</v>
      </c>
      <c r="N19" s="148">
        <v>294.13</v>
      </c>
      <c r="O19" s="148">
        <v>2.5935000000000001</v>
      </c>
      <c r="P19" s="152">
        <v>299.29000000000002</v>
      </c>
      <c r="Q19" s="148">
        <v>2.1315</v>
      </c>
      <c r="R19" s="152">
        <v>333.96</v>
      </c>
      <c r="S19" s="148">
        <v>1.3125</v>
      </c>
      <c r="T19" s="152">
        <v>472.65</v>
      </c>
      <c r="U19" s="148">
        <v>1.302</v>
      </c>
      <c r="V19" s="148">
        <v>483.46</v>
      </c>
    </row>
    <row r="20" spans="3:26" x14ac:dyDescent="0.2">
      <c r="E20" s="148">
        <v>1.2915000000000001</v>
      </c>
      <c r="F20" s="152">
        <v>428.54</v>
      </c>
      <c r="G20" s="148">
        <v>1.7745</v>
      </c>
      <c r="H20" s="152">
        <v>351.45</v>
      </c>
      <c r="I20" s="148">
        <v>2.1629999999999998</v>
      </c>
      <c r="J20" s="152">
        <v>320.36</v>
      </c>
      <c r="K20" s="148">
        <v>2.1315</v>
      </c>
      <c r="L20" s="152">
        <v>321.27</v>
      </c>
      <c r="M20" s="148">
        <v>2.2050000000000001</v>
      </c>
      <c r="N20" s="148">
        <v>320.51</v>
      </c>
      <c r="O20" s="148">
        <v>2.1524999999999999</v>
      </c>
      <c r="P20" s="152">
        <v>333.04</v>
      </c>
      <c r="Q20" s="148">
        <v>1.659</v>
      </c>
      <c r="R20" s="152">
        <v>393.96</v>
      </c>
      <c r="S20" s="148">
        <v>0.85050000000000003</v>
      </c>
      <c r="T20" s="152">
        <v>668.26</v>
      </c>
      <c r="U20" s="148">
        <v>0.85050000000000003</v>
      </c>
      <c r="V20" s="148">
        <v>665.98</v>
      </c>
    </row>
    <row r="21" spans="3:26" x14ac:dyDescent="0.2">
      <c r="E21" s="148">
        <v>0.85050000000000003</v>
      </c>
      <c r="F21" s="152">
        <v>607.87</v>
      </c>
      <c r="G21" s="148">
        <v>1.302</v>
      </c>
      <c r="H21" s="152">
        <v>437.59</v>
      </c>
      <c r="I21" s="148">
        <v>1.7115</v>
      </c>
      <c r="J21" s="152">
        <v>369.95</v>
      </c>
      <c r="K21" s="148">
        <v>1.7115</v>
      </c>
      <c r="L21" s="152">
        <v>376.49</v>
      </c>
      <c r="M21" s="148">
        <v>1.7010000000000001</v>
      </c>
      <c r="N21" s="148">
        <v>376.98</v>
      </c>
      <c r="O21" s="148">
        <v>1.7430000000000001</v>
      </c>
      <c r="P21" s="152">
        <v>378.71</v>
      </c>
      <c r="Q21" s="148">
        <v>1.26</v>
      </c>
      <c r="R21" s="148">
        <v>468.72</v>
      </c>
    </row>
    <row r="22" spans="3:26" x14ac:dyDescent="0.2">
      <c r="G22" s="148">
        <v>0.89249999999999996</v>
      </c>
      <c r="H22" s="152">
        <v>615.41999999999996</v>
      </c>
      <c r="I22" s="148">
        <v>1.3440000000000001</v>
      </c>
      <c r="J22" s="152">
        <v>441.3</v>
      </c>
      <c r="K22" s="148">
        <v>1.302</v>
      </c>
      <c r="L22" s="152">
        <v>449.34</v>
      </c>
      <c r="M22" s="148">
        <v>1.2495000000000001</v>
      </c>
      <c r="N22" s="148">
        <v>469.09</v>
      </c>
      <c r="O22" s="148">
        <v>1.2915000000000001</v>
      </c>
      <c r="P22" s="152">
        <v>468.79</v>
      </c>
      <c r="Q22" s="148">
        <v>0.85050000000000003</v>
      </c>
      <c r="R22" s="148">
        <v>634.45000000000005</v>
      </c>
    </row>
    <row r="23" spans="3:26" x14ac:dyDescent="0.2">
      <c r="I23" s="148">
        <v>0.90300000000000002</v>
      </c>
      <c r="J23" s="152">
        <v>601.83000000000004</v>
      </c>
      <c r="K23" s="148">
        <v>0.85050000000000003</v>
      </c>
      <c r="L23" s="152">
        <v>646.79</v>
      </c>
      <c r="M23" s="148">
        <v>0.90300000000000002</v>
      </c>
      <c r="N23" s="148">
        <v>604.64</v>
      </c>
      <c r="O23" s="148">
        <v>0.85050000000000003</v>
      </c>
      <c r="P23" s="148">
        <v>651.01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1_1.1 </vt:lpstr>
      <vt:lpstr>1_1.2</vt:lpstr>
      <vt:lpstr>1_1.3</vt:lpstr>
      <vt:lpstr>1_2.1</vt:lpstr>
      <vt:lpstr>1_2.2</vt:lpstr>
      <vt:lpstr>1_2.3</vt:lpstr>
      <vt:lpstr>NEDC</vt:lpstr>
      <vt:lpstr>Team 14 engine map</vt:lpstr>
      <vt:lpstr>engine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 NICCOLO'</dc:creator>
  <cp:lastModifiedBy>Microsoft Office User</cp:lastModifiedBy>
  <dcterms:created xsi:type="dcterms:W3CDTF">2017-10-09T09:00:23Z</dcterms:created>
  <dcterms:modified xsi:type="dcterms:W3CDTF">2018-01-21T02:37:32Z</dcterms:modified>
</cp:coreProperties>
</file>