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Volumes/Storage/University/Politecnico/ThirdYear/Fall/Motor Vehicle Design/Project 4/"/>
    </mc:Choice>
  </mc:AlternateContent>
  <bookViews>
    <workbookView xWindow="0" yWindow="0" windowWidth="25600" windowHeight="16000" activeTab="1"/>
  </bookViews>
  <sheets>
    <sheet name="Ideal_braking" sheetId="1" r:id="rId1"/>
    <sheet name="Real_braking" sheetId="2" r:id="rId2"/>
    <sheet name="Foglio3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8" i="2"/>
  <c r="B4" i="2"/>
  <c r="E1" i="2"/>
  <c r="E7" i="2"/>
  <c r="E3" i="2"/>
  <c r="Q7" i="2"/>
  <c r="B1" i="2"/>
  <c r="R7" i="2"/>
  <c r="P7" i="2"/>
  <c r="S7" i="2"/>
  <c r="U7" i="2"/>
  <c r="V7" i="2"/>
  <c r="T7" i="2"/>
  <c r="E2" i="2"/>
  <c r="L7" i="2"/>
  <c r="M7" i="2"/>
  <c r="N7" i="2"/>
  <c r="I7" i="2"/>
  <c r="J7" i="2"/>
  <c r="K7" i="2"/>
  <c r="H7" i="2"/>
  <c r="Q6" i="2"/>
  <c r="R6" i="2"/>
  <c r="P6" i="2"/>
  <c r="S6" i="2"/>
  <c r="U6" i="2"/>
  <c r="V6" i="2"/>
  <c r="T6" i="2"/>
  <c r="L6" i="2"/>
  <c r="M6" i="2"/>
  <c r="N6" i="2"/>
  <c r="I6" i="2"/>
  <c r="J6" i="2"/>
  <c r="K6" i="2"/>
  <c r="H6" i="2"/>
  <c r="Q5" i="2"/>
  <c r="R5" i="2"/>
  <c r="P5" i="2"/>
  <c r="S5" i="2"/>
  <c r="U5" i="2"/>
  <c r="V5" i="2"/>
  <c r="T5" i="2"/>
  <c r="L5" i="2"/>
  <c r="M5" i="2"/>
  <c r="N5" i="2"/>
  <c r="I5" i="2"/>
  <c r="J5" i="2"/>
  <c r="K5" i="2"/>
  <c r="H5" i="2"/>
  <c r="Q4" i="2"/>
  <c r="R4" i="2"/>
  <c r="P4" i="2"/>
  <c r="S4" i="2"/>
  <c r="U4" i="2"/>
  <c r="V4" i="2"/>
  <c r="T4" i="2"/>
  <c r="L4" i="2"/>
  <c r="M4" i="2"/>
  <c r="N4" i="2"/>
  <c r="I4" i="2"/>
  <c r="J4" i="2"/>
  <c r="K4" i="2"/>
  <c r="H4" i="2"/>
  <c r="P3" i="2"/>
  <c r="R3" i="2"/>
  <c r="S3" i="2"/>
  <c r="U3" i="2"/>
  <c r="V3" i="2"/>
  <c r="T3" i="2"/>
  <c r="L3" i="2"/>
  <c r="M3" i="2"/>
  <c r="N3" i="2"/>
  <c r="I3" i="2"/>
  <c r="J3" i="2"/>
  <c r="K3" i="2"/>
  <c r="H3" i="2"/>
  <c r="P2" i="2"/>
  <c r="R2" i="2"/>
  <c r="S2" i="2"/>
  <c r="U2" i="2"/>
  <c r="V2" i="2"/>
  <c r="T2" i="2"/>
  <c r="L2" i="2"/>
  <c r="M2" i="2"/>
  <c r="N2" i="2"/>
  <c r="I2" i="2"/>
  <c r="J2" i="2"/>
  <c r="K2" i="2"/>
  <c r="H2" i="2"/>
  <c r="B8" i="1"/>
  <c r="B11" i="1"/>
  <c r="F28" i="1"/>
  <c r="I32" i="1"/>
  <c r="K32" i="1"/>
  <c r="F22" i="1"/>
  <c r="I25" i="1"/>
  <c r="K25" i="1"/>
  <c r="F16" i="1"/>
  <c r="I18" i="1"/>
  <c r="K18" i="1"/>
  <c r="F10" i="1"/>
  <c r="I11" i="1"/>
  <c r="K11" i="1"/>
  <c r="I10" i="1"/>
  <c r="N10" i="1"/>
  <c r="F4" i="1"/>
  <c r="I5" i="1"/>
  <c r="K5" i="1"/>
  <c r="I4" i="1"/>
  <c r="K4" i="1"/>
  <c r="N5" i="1"/>
  <c r="I6" i="1"/>
  <c r="N6" i="1"/>
  <c r="I7" i="1"/>
  <c r="N7" i="1"/>
  <c r="I8" i="1"/>
  <c r="N8" i="1"/>
  <c r="I9" i="1"/>
  <c r="N9" i="1"/>
  <c r="N11" i="1"/>
  <c r="I12" i="1"/>
  <c r="N12" i="1"/>
  <c r="I13" i="1"/>
  <c r="N13" i="1"/>
  <c r="I14" i="1"/>
  <c r="N14" i="1"/>
  <c r="I15" i="1"/>
  <c r="N15" i="1"/>
  <c r="I16" i="1"/>
  <c r="N16" i="1"/>
  <c r="I17" i="1"/>
  <c r="N17" i="1"/>
  <c r="N18" i="1"/>
  <c r="I19" i="1"/>
  <c r="N19" i="1"/>
  <c r="I20" i="1"/>
  <c r="N20" i="1"/>
  <c r="I21" i="1"/>
  <c r="N21" i="1"/>
  <c r="I22" i="1"/>
  <c r="N22" i="1"/>
  <c r="I23" i="1"/>
  <c r="N23" i="1"/>
  <c r="I24" i="1"/>
  <c r="N24" i="1"/>
  <c r="N25" i="1"/>
  <c r="I26" i="1"/>
  <c r="N26" i="1"/>
  <c r="I27" i="1"/>
  <c r="N27" i="1"/>
  <c r="I28" i="1"/>
  <c r="N28" i="1"/>
  <c r="I29" i="1"/>
  <c r="N29" i="1"/>
  <c r="I30" i="1"/>
  <c r="N30" i="1"/>
  <c r="I31" i="1"/>
  <c r="N31" i="1"/>
  <c r="N32" i="1"/>
  <c r="I33" i="1"/>
  <c r="N33" i="1"/>
  <c r="F34" i="1"/>
  <c r="I34" i="1"/>
  <c r="N34" i="1"/>
  <c r="I35" i="1"/>
  <c r="N35" i="1"/>
  <c r="I36" i="1"/>
  <c r="N36" i="1"/>
  <c r="I37" i="1"/>
  <c r="N37" i="1"/>
  <c r="I38" i="1"/>
  <c r="N38" i="1"/>
  <c r="I39" i="1"/>
  <c r="N39" i="1"/>
  <c r="N4" i="1"/>
  <c r="O4" i="1"/>
  <c r="O6" i="1"/>
  <c r="O9" i="1"/>
  <c r="O5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L5" i="1"/>
  <c r="J5" i="1"/>
  <c r="M5" i="1"/>
  <c r="K6" i="1"/>
  <c r="L6" i="1"/>
  <c r="J6" i="1"/>
  <c r="M6" i="1"/>
  <c r="K7" i="1"/>
  <c r="L7" i="1"/>
  <c r="J7" i="1"/>
  <c r="M7" i="1"/>
  <c r="K8" i="1"/>
  <c r="L8" i="1"/>
  <c r="J8" i="1"/>
  <c r="M8" i="1"/>
  <c r="K9" i="1"/>
  <c r="L9" i="1"/>
  <c r="J9" i="1"/>
  <c r="M9" i="1"/>
  <c r="K10" i="1"/>
  <c r="L10" i="1"/>
  <c r="J10" i="1"/>
  <c r="M10" i="1"/>
  <c r="L11" i="1"/>
  <c r="J11" i="1"/>
  <c r="M11" i="1"/>
  <c r="K12" i="1"/>
  <c r="L12" i="1"/>
  <c r="J12" i="1"/>
  <c r="M12" i="1"/>
  <c r="K13" i="1"/>
  <c r="L13" i="1"/>
  <c r="J13" i="1"/>
  <c r="M13" i="1"/>
  <c r="K14" i="1"/>
  <c r="L14" i="1"/>
  <c r="J14" i="1"/>
  <c r="M14" i="1"/>
  <c r="K15" i="1"/>
  <c r="L15" i="1"/>
  <c r="J15" i="1"/>
  <c r="M15" i="1"/>
  <c r="K16" i="1"/>
  <c r="L16" i="1"/>
  <c r="J16" i="1"/>
  <c r="M16" i="1"/>
  <c r="K17" i="1"/>
  <c r="L17" i="1"/>
  <c r="J17" i="1"/>
  <c r="M17" i="1"/>
  <c r="L18" i="1"/>
  <c r="J18" i="1"/>
  <c r="M18" i="1"/>
  <c r="K19" i="1"/>
  <c r="L19" i="1"/>
  <c r="J19" i="1"/>
  <c r="M19" i="1"/>
  <c r="K20" i="1"/>
  <c r="L20" i="1"/>
  <c r="J20" i="1"/>
  <c r="M20" i="1"/>
  <c r="K21" i="1"/>
  <c r="L21" i="1"/>
  <c r="J21" i="1"/>
  <c r="M21" i="1"/>
  <c r="K22" i="1"/>
  <c r="L22" i="1"/>
  <c r="J22" i="1"/>
  <c r="M22" i="1"/>
  <c r="K23" i="1"/>
  <c r="L23" i="1"/>
  <c r="J23" i="1"/>
  <c r="M23" i="1"/>
  <c r="K24" i="1"/>
  <c r="L24" i="1"/>
  <c r="J24" i="1"/>
  <c r="M24" i="1"/>
  <c r="L25" i="1"/>
  <c r="J25" i="1"/>
  <c r="M25" i="1"/>
  <c r="K26" i="1"/>
  <c r="L26" i="1"/>
  <c r="J26" i="1"/>
  <c r="M26" i="1"/>
  <c r="K27" i="1"/>
  <c r="L27" i="1"/>
  <c r="J27" i="1"/>
  <c r="M27" i="1"/>
  <c r="K28" i="1"/>
  <c r="L28" i="1"/>
  <c r="J28" i="1"/>
  <c r="M28" i="1"/>
  <c r="K29" i="1"/>
  <c r="L29" i="1"/>
  <c r="J29" i="1"/>
  <c r="M29" i="1"/>
  <c r="K30" i="1"/>
  <c r="L30" i="1"/>
  <c r="J30" i="1"/>
  <c r="M30" i="1"/>
  <c r="K31" i="1"/>
  <c r="L31" i="1"/>
  <c r="J31" i="1"/>
  <c r="M31" i="1"/>
  <c r="L32" i="1"/>
  <c r="J32" i="1"/>
  <c r="M32" i="1"/>
  <c r="K33" i="1"/>
  <c r="L33" i="1"/>
  <c r="J33" i="1"/>
  <c r="M33" i="1"/>
  <c r="K34" i="1"/>
  <c r="L34" i="1"/>
  <c r="J34" i="1"/>
  <c r="M34" i="1"/>
  <c r="K35" i="1"/>
  <c r="L35" i="1"/>
  <c r="J35" i="1"/>
  <c r="M35" i="1"/>
  <c r="K36" i="1"/>
  <c r="L36" i="1"/>
  <c r="J36" i="1"/>
  <c r="M36" i="1"/>
  <c r="K37" i="1"/>
  <c r="L37" i="1"/>
  <c r="J37" i="1"/>
  <c r="M37" i="1"/>
  <c r="K38" i="1"/>
  <c r="L38" i="1"/>
  <c r="J38" i="1"/>
  <c r="M38" i="1"/>
  <c r="K39" i="1"/>
  <c r="L39" i="1"/>
  <c r="J39" i="1"/>
  <c r="M39" i="1"/>
  <c r="L4" i="1"/>
  <c r="J4" i="1"/>
  <c r="M4" i="1"/>
  <c r="L2" i="1"/>
  <c r="J2" i="1"/>
  <c r="G16" i="1"/>
  <c r="G34" i="1"/>
  <c r="G4" i="1"/>
  <c r="G22" i="1"/>
  <c r="G10" i="1"/>
  <c r="G28" i="1"/>
</calcChain>
</file>

<file path=xl/sharedStrings.xml><?xml version="1.0" encoding="utf-8"?>
<sst xmlns="http://schemas.openxmlformats.org/spreadsheetml/2006/main" count="69" uniqueCount="52">
  <si>
    <t>Fx</t>
  </si>
  <si>
    <t>Fx =</t>
  </si>
  <si>
    <t>Fx1</t>
  </si>
  <si>
    <t xml:space="preserve">Fx1 = </t>
  </si>
  <si>
    <t>Fx2 =</t>
  </si>
  <si>
    <t>Fz1 =</t>
  </si>
  <si>
    <t>Fz2=</t>
  </si>
  <si>
    <t>α</t>
  </si>
  <si>
    <t>m [kg]</t>
  </si>
  <si>
    <t>l [m]</t>
  </si>
  <si>
    <t>a [m]</t>
  </si>
  <si>
    <t>b [m]</t>
  </si>
  <si>
    <t>hG [m]</t>
  </si>
  <si>
    <t>Fz1</t>
  </si>
  <si>
    <t>Fz2</t>
  </si>
  <si>
    <t xml:space="preserve">Fx1 + Fx2 </t>
  </si>
  <si>
    <t>Fx2</t>
  </si>
  <si>
    <t>(dV/dt)/g</t>
  </si>
  <si>
    <t>µx</t>
  </si>
  <si>
    <r>
      <t>Fz1*</t>
    </r>
    <r>
      <rPr>
        <sz val="11"/>
        <color theme="1"/>
        <rFont val="Calibri"/>
        <family val="2"/>
      </rPr>
      <t>µx</t>
    </r>
  </si>
  <si>
    <t xml:space="preserve">m/l (gb cosa - ghG sina - hG dV/dt) </t>
  </si>
  <si>
    <r>
      <t>mg (b cosa)/hG - Fx1 ( l / (</t>
    </r>
    <r>
      <rPr>
        <sz val="11"/>
        <color theme="1"/>
        <rFont val="Calibri"/>
        <family val="2"/>
      </rPr>
      <t>µx*hG) +1 )</t>
    </r>
  </si>
  <si>
    <t>Fx2 *</t>
  </si>
  <si>
    <r>
      <rPr>
        <sz val="11"/>
        <color theme="1"/>
        <rFont val="Calibri"/>
        <family val="2"/>
      </rPr>
      <t>(µx*mga * cosa)/(l - µ</t>
    </r>
    <r>
      <rPr>
        <sz val="11"/>
        <color theme="1"/>
        <rFont val="Calibri"/>
        <family val="2"/>
        <scheme val="minor"/>
      </rPr>
      <t>x*hG) + Fx1 ((</t>
    </r>
    <r>
      <rPr>
        <sz val="11"/>
        <color theme="1"/>
        <rFont val="Calibri"/>
        <family val="2"/>
      </rPr>
      <t>µx*hG</t>
    </r>
    <r>
      <rPr>
        <sz val="11"/>
        <color theme="1"/>
        <rFont val="Calibri"/>
        <family val="2"/>
        <scheme val="minor"/>
      </rPr>
      <t xml:space="preserve">)/(l - </t>
    </r>
    <r>
      <rPr>
        <sz val="11"/>
        <color theme="1"/>
        <rFont val="Calibri"/>
        <family val="2"/>
      </rPr>
      <t>µx*hG</t>
    </r>
    <r>
      <rPr>
        <sz val="11"/>
        <color theme="1"/>
        <rFont val="Calibri"/>
        <family val="2"/>
        <scheme val="minor"/>
      </rPr>
      <t>))</t>
    </r>
  </si>
  <si>
    <t xml:space="preserve">m/l (ga cosa + ghG sina + hG dV/dt) </t>
  </si>
  <si>
    <t>g [m/s^2]</t>
  </si>
  <si>
    <t>N</t>
  </si>
  <si>
    <t>KN</t>
  </si>
  <si>
    <t>Fx2"</t>
  </si>
  <si>
    <t>Kb</t>
  </si>
  <si>
    <t>ηb</t>
  </si>
  <si>
    <t>ηbf</t>
  </si>
  <si>
    <t>ηbr</t>
  </si>
  <si>
    <t>|µx|</t>
  </si>
  <si>
    <t>Kb'</t>
  </si>
  <si>
    <t>ηbf"</t>
  </si>
  <si>
    <t>ηbr"</t>
  </si>
  <si>
    <t>ηb"</t>
  </si>
  <si>
    <t>dV/dt act</t>
  </si>
  <si>
    <t>µx'</t>
  </si>
  <si>
    <t>|µx'|</t>
  </si>
  <si>
    <t>dV/dt id</t>
  </si>
  <si>
    <t>η</t>
  </si>
  <si>
    <t>Kb"</t>
  </si>
  <si>
    <t>Fx1(A)</t>
  </si>
  <si>
    <t>Fx2(A)</t>
  </si>
  <si>
    <t>Fx1(A')</t>
  </si>
  <si>
    <t>Fx2(A')</t>
  </si>
  <si>
    <t>µx"</t>
  </si>
  <si>
    <t>Fx1(B)</t>
  </si>
  <si>
    <t>Fx2(B)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</si>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</sst>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0" fillId="2" borderId="0" xfId="0" applyNumberFormat="1" applyFill="1"/>
    <xf numFmtId="1" fontId="0" fillId="2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2" fontId="0" fillId="5" borderId="0" xfId="0" applyNumberFormat="1" applyFill="1"/>
    <xf numFmtId="1" fontId="0" fillId="5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2" fontId="0" fillId="7" borderId="0" xfId="0" applyNumberFormat="1" applyFill="1"/>
    <xf numFmtId="1" fontId="0" fillId="7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 applyBorder="1"/>
    <xf numFmtId="1" fontId="0" fillId="0" borderId="0" xfId="0" applyNumberFormat="1" applyFill="1" applyBorder="1"/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 applyAlignment="1"/>
    <xf numFmtId="2" fontId="0" fillId="0" borderId="0" xfId="0" applyNumberFormat="1" applyFont="1"/>
    <xf numFmtId="164" fontId="0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Ideal_braking!$L$2</c:f>
              <c:strCache>
                <c:ptCount val="1"/>
                <c:pt idx="0">
                  <c:v>-Fx2</c:v>
                </c:pt>
              </c:strCache>
            </c:strRef>
          </c:tx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(Ideal_braking!$L$4,Ideal_braking!$L$11,Ideal_braking!$L$18,Ideal_braking!$L$25,Ideal_braking!$L$32,Ideal_braking!$L$39)</c:f>
              <c:numCache>
                <c:formatCode>0.00</c:formatCode>
                <c:ptCount val="6"/>
                <c:pt idx="0">
                  <c:v>0.944958913043476</c:v>
                </c:pt>
                <c:pt idx="1">
                  <c:v>1.709925652173912</c:v>
                </c:pt>
                <c:pt idx="2">
                  <c:v>2.2949002173913</c:v>
                </c:pt>
                <c:pt idx="3">
                  <c:v>2.69988260869565</c:v>
                </c:pt>
                <c:pt idx="4">
                  <c:v>2.924872826086954</c:v>
                </c:pt>
                <c:pt idx="5">
                  <c:v>2.969870869565213</c:v>
                </c:pt>
              </c:numCache>
            </c:numRef>
          </c:yVal>
          <c:smooth val="0"/>
        </c:ser>
        <c:ser>
          <c:idx val="1"/>
          <c:order val="1"/>
          <c:tx>
            <c:v>µx = -0.2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(Ideal_braking!$J$4,Ideal_braking!$J$10,Ideal_braking!$J$16,Ideal_braking!$J$22,Ideal_braking!$J$28,Ideal_braking!$J$34)</c:f>
              <c:numCache>
                <c:formatCode>0.00</c:formatCode>
                <c:ptCount val="6"/>
                <c:pt idx="0">
                  <c:v>1.124951086956522</c:v>
                </c:pt>
                <c:pt idx="1">
                  <c:v>1.214947173913044</c:v>
                </c:pt>
                <c:pt idx="2">
                  <c:v>1.304943260869565</c:v>
                </c:pt>
                <c:pt idx="3">
                  <c:v>1.394939347826087</c:v>
                </c:pt>
                <c:pt idx="4">
                  <c:v>1.484935434782609</c:v>
                </c:pt>
                <c:pt idx="5">
                  <c:v>1.574931521739131</c:v>
                </c:pt>
              </c:numCache>
            </c:numRef>
          </c:xVal>
          <c:yVal>
            <c:numRef>
              <c:f>(Ideal_braking!$L$4,Ideal_braking!$L$10,Ideal_braking!$L$16,Ideal_braking!$L$22,Ideal_braking!$L$28,Ideal_braking!$L$34)</c:f>
              <c:numCache>
                <c:formatCode>0.00</c:formatCode>
                <c:ptCount val="6"/>
                <c:pt idx="0">
                  <c:v>0.944958913043476</c:v>
                </c:pt>
                <c:pt idx="1">
                  <c:v>2.924872826086954</c:v>
                </c:pt>
                <c:pt idx="2">
                  <c:v>4.904786739130428</c:v>
                </c:pt>
                <c:pt idx="3">
                  <c:v>6.884700652173913</c:v>
                </c:pt>
                <c:pt idx="4">
                  <c:v>8.864614565217387</c:v>
                </c:pt>
                <c:pt idx="5">
                  <c:v>10.84452847826087</c:v>
                </c:pt>
              </c:numCache>
            </c:numRef>
          </c:yVal>
          <c:smooth val="0"/>
        </c:ser>
        <c:ser>
          <c:idx val="2"/>
          <c:order val="2"/>
          <c:tx>
            <c:v>µx = -0.4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(Ideal_braking!$J$5,Ideal_braking!$J$11,Ideal_braking!$J$17,Ideal_braking!$J$23,Ideal_braking!$J$29,Ideal_braking!$J$35)</c:f>
              <c:numCache>
                <c:formatCode>0.00</c:formatCode>
                <c:ptCount val="6"/>
                <c:pt idx="0">
                  <c:v>2.249902173913044</c:v>
                </c:pt>
                <c:pt idx="1">
                  <c:v>2.429894347826087</c:v>
                </c:pt>
                <c:pt idx="2">
                  <c:v>2.60988652173913</c:v>
                </c:pt>
                <c:pt idx="3">
                  <c:v>2.789878695652174</c:v>
                </c:pt>
                <c:pt idx="4">
                  <c:v>2.969870869565217</c:v>
                </c:pt>
                <c:pt idx="5">
                  <c:v>3.149863043478261</c:v>
                </c:pt>
              </c:numCache>
            </c:numRef>
          </c:xVal>
          <c:yVal>
            <c:numRef>
              <c:f>(Ideal_braking!$L$5,Ideal_braking!$L$11,Ideal_braking!$L$17,Ideal_braking!$L$23,Ideal_braking!$L$29,Ideal_braking!$L$34,Ideal_braking!$L$35,Ideal_braking!$L$34)</c:f>
              <c:numCache>
                <c:formatCode>0.00</c:formatCode>
                <c:ptCount val="8"/>
                <c:pt idx="0">
                  <c:v>-0.179992173913048</c:v>
                </c:pt>
                <c:pt idx="1">
                  <c:v>1.709925652173912</c:v>
                </c:pt>
                <c:pt idx="2">
                  <c:v>3.599843478260864</c:v>
                </c:pt>
                <c:pt idx="3">
                  <c:v>5.489761304347826</c:v>
                </c:pt>
                <c:pt idx="4">
                  <c:v>7.379679130434778</c:v>
                </c:pt>
                <c:pt idx="5">
                  <c:v>10.84452847826087</c:v>
                </c:pt>
                <c:pt idx="6">
                  <c:v>9.269596956521734</c:v>
                </c:pt>
                <c:pt idx="7">
                  <c:v>10.84452847826087</c:v>
                </c:pt>
              </c:numCache>
            </c:numRef>
          </c:yVal>
          <c:smooth val="0"/>
        </c:ser>
        <c:ser>
          <c:idx val="3"/>
          <c:order val="3"/>
          <c:tx>
            <c:v>µx = -0.6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(Ideal_braking!$J$6,Ideal_braking!$J$12,Ideal_braking!$J$18,Ideal_braking!$J$24,Ideal_braking!$J$30,Ideal_braking!$J$36)</c:f>
              <c:numCache>
                <c:formatCode>0.00</c:formatCode>
                <c:ptCount val="6"/>
                <c:pt idx="0">
                  <c:v>3.374853260869565</c:v>
                </c:pt>
                <c:pt idx="1">
                  <c:v>3.64484152173913</c:v>
                </c:pt>
                <c:pt idx="2">
                  <c:v>3.914829782608695</c:v>
                </c:pt>
                <c:pt idx="3">
                  <c:v>4.184818043478261</c:v>
                </c:pt>
                <c:pt idx="4">
                  <c:v>4.454806304347825</c:v>
                </c:pt>
                <c:pt idx="5">
                  <c:v>4.724794565217391</c:v>
                </c:pt>
              </c:numCache>
            </c:numRef>
          </c:xVal>
          <c:yVal>
            <c:numRef>
              <c:f>(Ideal_braking!$L$6,Ideal_braking!$L$12,Ideal_braking!$L$18,Ideal_braking!$L$24,Ideal_braking!$L$30,Ideal_braking!$L$36)</c:f>
              <c:numCache>
                <c:formatCode>0.00</c:formatCode>
                <c:ptCount val="6"/>
                <c:pt idx="0">
                  <c:v>-1.304943260869564</c:v>
                </c:pt>
                <c:pt idx="1">
                  <c:v>0.494978478260866</c:v>
                </c:pt>
                <c:pt idx="2">
                  <c:v>2.2949002173913</c:v>
                </c:pt>
                <c:pt idx="3">
                  <c:v>4.094821956521737</c:v>
                </c:pt>
                <c:pt idx="4">
                  <c:v>5.89474369565217</c:v>
                </c:pt>
                <c:pt idx="5">
                  <c:v>7.694665434782604</c:v>
                </c:pt>
              </c:numCache>
            </c:numRef>
          </c:yVal>
          <c:smooth val="0"/>
        </c:ser>
        <c:ser>
          <c:idx val="4"/>
          <c:order val="4"/>
          <c:tx>
            <c:v>µx = -0.8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(Ideal_braking!$J$7,Ideal_braking!$J$13,Ideal_braking!$J$19,Ideal_braking!$J$25,Ideal_braking!$J$31,Ideal_braking!$J$37)</c:f>
              <c:numCache>
                <c:formatCode>0.00</c:formatCode>
                <c:ptCount val="6"/>
                <c:pt idx="0">
                  <c:v>4.499804347826087</c:v>
                </c:pt>
                <c:pt idx="1">
                  <c:v>4.859788695652174</c:v>
                </c:pt>
                <c:pt idx="2">
                  <c:v>5.21977304347826</c:v>
                </c:pt>
                <c:pt idx="3">
                  <c:v>5.579757391304348</c:v>
                </c:pt>
                <c:pt idx="4">
                  <c:v>5.939741739130434</c:v>
                </c:pt>
                <c:pt idx="5">
                  <c:v>6.299726086956522</c:v>
                </c:pt>
              </c:numCache>
            </c:numRef>
          </c:xVal>
          <c:yVal>
            <c:numRef>
              <c:f>(Ideal_braking!$L$7,Ideal_braking!$L$13,Ideal_braking!$L$19,Ideal_braking!$L$25,Ideal_braking!$L$31,Ideal_braking!$L$37)</c:f>
              <c:numCache>
                <c:formatCode>0.00</c:formatCode>
                <c:ptCount val="6"/>
                <c:pt idx="0">
                  <c:v>-2.429894347826091</c:v>
                </c:pt>
                <c:pt idx="1">
                  <c:v>-0.719968695652176</c:v>
                </c:pt>
                <c:pt idx="2">
                  <c:v>0.989956956521732</c:v>
                </c:pt>
                <c:pt idx="3">
                  <c:v>2.69988260869565</c:v>
                </c:pt>
                <c:pt idx="4">
                  <c:v>4.409808260869562</c:v>
                </c:pt>
                <c:pt idx="5">
                  <c:v>6.119733913043477</c:v>
                </c:pt>
              </c:numCache>
            </c:numRef>
          </c:yVal>
          <c:smooth val="0"/>
        </c:ser>
        <c:ser>
          <c:idx val="5"/>
          <c:order val="5"/>
          <c:tx>
            <c:v>µx = -1.0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(Ideal_braking!$J$8,Ideal_braking!$J$14,Ideal_braking!$J$20,Ideal_braking!$J$26,Ideal_braking!$J$32,Ideal_braking!$J$38)</c:f>
              <c:numCache>
                <c:formatCode>0.00</c:formatCode>
                <c:ptCount val="6"/>
                <c:pt idx="0">
                  <c:v>5.624755434782608</c:v>
                </c:pt>
                <c:pt idx="1">
                  <c:v>6.074735869565218</c:v>
                </c:pt>
                <c:pt idx="2">
                  <c:v>6.524716304347826</c:v>
                </c:pt>
                <c:pt idx="3">
                  <c:v>6.974696739130434</c:v>
                </c:pt>
                <c:pt idx="4">
                  <c:v>7.424677173913044</c:v>
                </c:pt>
                <c:pt idx="5">
                  <c:v>7.874657608695653</c:v>
                </c:pt>
              </c:numCache>
            </c:numRef>
          </c:xVal>
          <c:yVal>
            <c:numRef>
              <c:f>(Ideal_braking!$L$8,Ideal_braking!$L$14,Ideal_braking!$L$20,Ideal_braking!$L$26,Ideal_braking!$L$32,Ideal_braking!$L$38)</c:f>
              <c:numCache>
                <c:formatCode>0.00</c:formatCode>
                <c:ptCount val="6"/>
                <c:pt idx="0">
                  <c:v>-3.554845434782608</c:v>
                </c:pt>
                <c:pt idx="1">
                  <c:v>-1.934915869565219</c:v>
                </c:pt>
                <c:pt idx="2">
                  <c:v>-0.314986304347829</c:v>
                </c:pt>
                <c:pt idx="3">
                  <c:v>1.304943260869564</c:v>
                </c:pt>
                <c:pt idx="4">
                  <c:v>2.924872826086954</c:v>
                </c:pt>
                <c:pt idx="5">
                  <c:v>4.544802391304346</c:v>
                </c:pt>
              </c:numCache>
            </c:numRef>
          </c:yVal>
          <c:smooth val="0"/>
        </c:ser>
        <c:ser>
          <c:idx val="6"/>
          <c:order val="6"/>
          <c:tx>
            <c:v>µx = -1.2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(Ideal_braking!$J$9,Ideal_braking!$J$15,Ideal_braking!$J$21,Ideal_braking!$J$27,Ideal_braking!$J$33,Ideal_braking!$J$39)</c:f>
              <c:numCache>
                <c:formatCode>0.00</c:formatCode>
                <c:ptCount val="6"/>
                <c:pt idx="0">
                  <c:v>6.74970652173913</c:v>
                </c:pt>
                <c:pt idx="1">
                  <c:v>7.28968304347826</c:v>
                </c:pt>
                <c:pt idx="2">
                  <c:v>7.829659565217391</c:v>
                </c:pt>
                <c:pt idx="3">
                  <c:v>8.36963608695652</c:v>
                </c:pt>
                <c:pt idx="4">
                  <c:v>8.90961260869565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(Ideal_braking!$L$9,Ideal_braking!$L$15,Ideal_braking!$L$21,Ideal_braking!$L$27,Ideal_braking!$L$33,Ideal_braking!$L$39)</c:f>
              <c:numCache>
                <c:formatCode>0.00</c:formatCode>
                <c:ptCount val="6"/>
                <c:pt idx="0">
                  <c:v>-4.679796521739132</c:v>
                </c:pt>
                <c:pt idx="1">
                  <c:v>-3.149863043478264</c:v>
                </c:pt>
                <c:pt idx="2">
                  <c:v>-1.619929565217393</c:v>
                </c:pt>
                <c:pt idx="3">
                  <c:v>-0.0899960869565257</c:v>
                </c:pt>
                <c:pt idx="4">
                  <c:v>1.439937391304346</c:v>
                </c:pt>
                <c:pt idx="5">
                  <c:v>2.969870869565213</c:v>
                </c:pt>
              </c:numCache>
            </c:numRef>
          </c:yVal>
          <c:smooth val="0"/>
        </c:ser>
        <c:ser>
          <c:idx val="9"/>
          <c:order val="7"/>
          <c:tx>
            <c:v>dV/dt=-0.2g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(Ideal_braking!$L$4,Ideal_braking!$L$5,Ideal_braking!$L$6,Ideal_braking!$L$7,Ideal_braking!$L$8,Ideal_braking!$L$9)</c:f>
              <c:numCache>
                <c:formatCode>0.00</c:formatCode>
                <c:ptCount val="6"/>
                <c:pt idx="0">
                  <c:v>0.944958913043476</c:v>
                </c:pt>
                <c:pt idx="1">
                  <c:v>-0.179992173913048</c:v>
                </c:pt>
                <c:pt idx="2">
                  <c:v>-1.304943260869564</c:v>
                </c:pt>
                <c:pt idx="3">
                  <c:v>-2.429894347826091</c:v>
                </c:pt>
                <c:pt idx="4">
                  <c:v>-3.554845434782608</c:v>
                </c:pt>
                <c:pt idx="5">
                  <c:v>-4.679796521739132</c:v>
                </c:pt>
              </c:numCache>
            </c:numRef>
          </c:yVal>
          <c:smooth val="0"/>
        </c:ser>
        <c:ser>
          <c:idx val="10"/>
          <c:order val="8"/>
          <c:tx>
            <c:v>dV/dt=-0.4g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Ideal_braking!$L$10:$L$15</c:f>
              <c:numCache>
                <c:formatCode>0.00</c:formatCode>
                <c:ptCount val="6"/>
                <c:pt idx="0">
                  <c:v>2.924872826086954</c:v>
                </c:pt>
                <c:pt idx="1">
                  <c:v>1.709925652173912</c:v>
                </c:pt>
                <c:pt idx="2">
                  <c:v>0.494978478260866</c:v>
                </c:pt>
                <c:pt idx="3">
                  <c:v>-0.719968695652176</c:v>
                </c:pt>
                <c:pt idx="4">
                  <c:v>-1.934915869565219</c:v>
                </c:pt>
                <c:pt idx="5">
                  <c:v>-3.149863043478264</c:v>
                </c:pt>
              </c:numCache>
            </c:numRef>
          </c:yVal>
          <c:smooth val="0"/>
        </c:ser>
        <c:ser>
          <c:idx val="7"/>
          <c:order val="9"/>
          <c:tx>
            <c:v>dV/dt=-0.6g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Ideal_braking!$L$16:$L$21</c:f>
              <c:numCache>
                <c:formatCode>0.00</c:formatCode>
                <c:ptCount val="6"/>
                <c:pt idx="0">
                  <c:v>4.904786739130428</c:v>
                </c:pt>
                <c:pt idx="1">
                  <c:v>3.599843478260864</c:v>
                </c:pt>
                <c:pt idx="2">
                  <c:v>2.2949002173913</c:v>
                </c:pt>
                <c:pt idx="3">
                  <c:v>0.989956956521732</c:v>
                </c:pt>
                <c:pt idx="4">
                  <c:v>-0.314986304347829</c:v>
                </c:pt>
                <c:pt idx="5">
                  <c:v>-1.619929565217393</c:v>
                </c:pt>
              </c:numCache>
            </c:numRef>
          </c:yVal>
          <c:smooth val="0"/>
        </c:ser>
        <c:ser>
          <c:idx val="8"/>
          <c:order val="10"/>
          <c:tx>
            <c:v>dV/dt=-0.8g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Ideal_braking!$L$22:$L$27</c:f>
              <c:numCache>
                <c:formatCode>0.00</c:formatCode>
                <c:ptCount val="6"/>
                <c:pt idx="0">
                  <c:v>6.884700652173913</c:v>
                </c:pt>
                <c:pt idx="1">
                  <c:v>5.489761304347826</c:v>
                </c:pt>
                <c:pt idx="2">
                  <c:v>4.094821956521737</c:v>
                </c:pt>
                <c:pt idx="3">
                  <c:v>2.69988260869565</c:v>
                </c:pt>
                <c:pt idx="4">
                  <c:v>1.304943260869564</c:v>
                </c:pt>
                <c:pt idx="5">
                  <c:v>-0.0899960869565257</c:v>
                </c:pt>
              </c:numCache>
            </c:numRef>
          </c:yVal>
          <c:smooth val="0"/>
        </c:ser>
        <c:ser>
          <c:idx val="11"/>
          <c:order val="11"/>
          <c:tx>
            <c:v>dV/dt=-1.0g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Ideal_braking!$L$28:$L$33</c:f>
              <c:numCache>
                <c:formatCode>0.00</c:formatCode>
                <c:ptCount val="6"/>
                <c:pt idx="0">
                  <c:v>8.864614565217387</c:v>
                </c:pt>
                <c:pt idx="1">
                  <c:v>7.379679130434778</c:v>
                </c:pt>
                <c:pt idx="2">
                  <c:v>5.89474369565217</c:v>
                </c:pt>
                <c:pt idx="3">
                  <c:v>4.409808260869562</c:v>
                </c:pt>
                <c:pt idx="4">
                  <c:v>2.924872826086954</c:v>
                </c:pt>
                <c:pt idx="5">
                  <c:v>1.439937391304346</c:v>
                </c:pt>
              </c:numCache>
            </c:numRef>
          </c:yVal>
          <c:smooth val="0"/>
        </c:ser>
        <c:ser>
          <c:idx val="12"/>
          <c:order val="12"/>
          <c:tx>
            <c:v>dV/dt=-1.2g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Ideal_braking!$L$34:$L$39</c:f>
              <c:numCache>
                <c:formatCode>0.00</c:formatCode>
                <c:ptCount val="6"/>
                <c:pt idx="0">
                  <c:v>10.84452847826087</c:v>
                </c:pt>
                <c:pt idx="1">
                  <c:v>9.269596956521734</c:v>
                </c:pt>
                <c:pt idx="2">
                  <c:v>7.694665434782604</c:v>
                </c:pt>
                <c:pt idx="3">
                  <c:v>6.119733913043477</c:v>
                </c:pt>
                <c:pt idx="4">
                  <c:v>4.544802391304346</c:v>
                </c:pt>
                <c:pt idx="5">
                  <c:v>2.969870869565213</c:v>
                </c:pt>
              </c:numCache>
            </c:numRef>
          </c:yVal>
          <c:smooth val="0"/>
        </c:ser>
        <c:ser>
          <c:idx val="13"/>
          <c:order val="13"/>
          <c:tx>
            <c:v>a</c:v>
          </c:tx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(Ideal_braking!$O$4,Ideal_braking!$O$10,Ideal_braking!$O$16,Ideal_braking!$O$22,Ideal_braking!$O$28,Ideal_braking!$O$34)</c:f>
              <c:numCache>
                <c:formatCode>0.00</c:formatCode>
                <c:ptCount val="6"/>
                <c:pt idx="0">
                  <c:v>0.944958913043478</c:v>
                </c:pt>
                <c:pt idx="1">
                  <c:v>0.941209076086957</c:v>
                </c:pt>
                <c:pt idx="2">
                  <c:v>0.937459239130435</c:v>
                </c:pt>
                <c:pt idx="3">
                  <c:v>0.933709402173913</c:v>
                </c:pt>
                <c:pt idx="4">
                  <c:v>0.929959565217392</c:v>
                </c:pt>
                <c:pt idx="5">
                  <c:v>0.92620972826087</c:v>
                </c:pt>
              </c:numCache>
            </c:numRef>
          </c:yVal>
          <c:smooth val="0"/>
        </c:ser>
        <c:ser>
          <c:idx val="14"/>
          <c:order val="14"/>
          <c:tx>
            <c:v>b</c:v>
          </c:tx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(Ideal_braking!$O$5,Ideal_braking!$O$11,Ideal_braking!$O$17,Ideal_braking!$O$23,Ideal_braking!$O$29,Ideal_braking!$O$35)</c:f>
              <c:numCache>
                <c:formatCode>0.00</c:formatCode>
                <c:ptCount val="6"/>
                <c:pt idx="0">
                  <c:v>1.724325026086957</c:v>
                </c:pt>
                <c:pt idx="1">
                  <c:v>1.709925652173913</c:v>
                </c:pt>
                <c:pt idx="2">
                  <c:v>1.69552627826087</c:v>
                </c:pt>
                <c:pt idx="3">
                  <c:v>1.681126904347826</c:v>
                </c:pt>
                <c:pt idx="4">
                  <c:v>1.666727530434783</c:v>
                </c:pt>
                <c:pt idx="5">
                  <c:v>1.65232815652174</c:v>
                </c:pt>
              </c:numCache>
            </c:numRef>
          </c:yVal>
          <c:smooth val="0"/>
        </c:ser>
        <c:ser>
          <c:idx val="15"/>
          <c:order val="15"/>
          <c:tx>
            <c:v>f</c:v>
          </c:tx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(Ideal_braking!$O$9,Ideal_braking!$O$15,Ideal_braking!$O$21,Ideal_braking!$O$27,Ideal_braking!$O$33,Ideal_braking!$O$39)</c:f>
              <c:numCache>
                <c:formatCode>0.00</c:formatCode>
                <c:ptCount val="6"/>
                <c:pt idx="0">
                  <c:v>3.528467271364317</c:v>
                </c:pt>
                <c:pt idx="1">
                  <c:v>3.416747991004498</c:v>
                </c:pt>
                <c:pt idx="2">
                  <c:v>3.305028710644678</c:v>
                </c:pt>
                <c:pt idx="3">
                  <c:v>3.193309430284858</c:v>
                </c:pt>
                <c:pt idx="4">
                  <c:v>3.081590149925037</c:v>
                </c:pt>
                <c:pt idx="5">
                  <c:v>2.969870869565217</c:v>
                </c:pt>
              </c:numCache>
            </c:numRef>
          </c:yVal>
          <c:smooth val="0"/>
        </c:ser>
        <c:ser>
          <c:idx val="16"/>
          <c:order val="16"/>
          <c:tx>
            <c:v>c</c:v>
          </c:tx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(Ideal_braking!$O$6,Ideal_braking!$O$12,Ideal_braking!$O$18,Ideal_braking!$O$24,Ideal_braking!$O$30,Ideal_braking!$O$36)</c:f>
              <c:numCache>
                <c:formatCode>0.00</c:formatCode>
                <c:ptCount val="6"/>
                <c:pt idx="0">
                  <c:v>2.357205200668897</c:v>
                </c:pt>
                <c:pt idx="1">
                  <c:v>2.326052709030101</c:v>
                </c:pt>
                <c:pt idx="2">
                  <c:v>2.294900217391305</c:v>
                </c:pt>
                <c:pt idx="3">
                  <c:v>2.263747725752508</c:v>
                </c:pt>
                <c:pt idx="4">
                  <c:v>2.232595234113713</c:v>
                </c:pt>
                <c:pt idx="5">
                  <c:v>2.201442742474916</c:v>
                </c:pt>
              </c:numCache>
            </c:numRef>
          </c:yVal>
          <c:smooth val="0"/>
        </c:ser>
        <c:ser>
          <c:idx val="17"/>
          <c:order val="17"/>
          <c:tx>
            <c:v>d</c:v>
          </c:tx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(Ideal_braking!$O$7,Ideal_braking!$O$13,Ideal_braking!$O$19,Ideal_braking!$O$25,Ideal_braking!$O$31,Ideal_braking!$O$37)</c:f>
              <c:numCache>
                <c:formatCode>0.00</c:formatCode>
                <c:ptCount val="6"/>
                <c:pt idx="0">
                  <c:v>2.859875652173914</c:v>
                </c:pt>
                <c:pt idx="1">
                  <c:v>2.80654463768116</c:v>
                </c:pt>
                <c:pt idx="2">
                  <c:v>2.753213623188406</c:v>
                </c:pt>
                <c:pt idx="3">
                  <c:v>2.699882608695653</c:v>
                </c:pt>
                <c:pt idx="4">
                  <c:v>2.646551594202899</c:v>
                </c:pt>
                <c:pt idx="5">
                  <c:v>2.593220579710146</c:v>
                </c:pt>
              </c:numCache>
            </c:numRef>
          </c:yVal>
          <c:smooth val="0"/>
        </c:ser>
        <c:ser>
          <c:idx val="18"/>
          <c:order val="18"/>
          <c:tx>
            <c:v>e</c:v>
          </c:tx>
          <c:marker>
            <c:symbol val="none"/>
          </c:marker>
          <c:xVal>
            <c:numRef>
              <c:f>(Ideal_braking!$J$4,Ideal_braking!$J$11,Ideal_braking!$J$18,Ideal_braking!$J$25,Ideal_braking!$J$32,Ideal_braking!$J$39)</c:f>
              <c:numCache>
                <c:formatCode>0.00</c:formatCode>
                <c:ptCount val="6"/>
                <c:pt idx="0">
                  <c:v>1.124951086956522</c:v>
                </c:pt>
                <c:pt idx="1">
                  <c:v>2.429894347826087</c:v>
                </c:pt>
                <c:pt idx="2">
                  <c:v>3.914829782608695</c:v>
                </c:pt>
                <c:pt idx="3">
                  <c:v>5.579757391304348</c:v>
                </c:pt>
                <c:pt idx="4">
                  <c:v>7.424677173913044</c:v>
                </c:pt>
                <c:pt idx="5">
                  <c:v>9.449589130434782</c:v>
                </c:pt>
              </c:numCache>
            </c:numRef>
          </c:xVal>
          <c:yVal>
            <c:numRef>
              <c:f>(Ideal_braking!$O$8,Ideal_braking!$O$14,Ideal_braking!$O$20,Ideal_braking!$O$26,Ideal_braking!$O$32,Ideal_braking!$O$38)</c:f>
              <c:numCache>
                <c:formatCode>0.00</c:formatCode>
                <c:ptCount val="6"/>
                <c:pt idx="0">
                  <c:v>3.246287422360248</c:v>
                </c:pt>
                <c:pt idx="1">
                  <c:v>3.165933773291926</c:v>
                </c:pt>
                <c:pt idx="2">
                  <c:v>3.085580124223603</c:v>
                </c:pt>
                <c:pt idx="3">
                  <c:v>3.00522647515528</c:v>
                </c:pt>
                <c:pt idx="4">
                  <c:v>2.924872826086957</c:v>
                </c:pt>
                <c:pt idx="5">
                  <c:v>2.844519177018633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3024"/>
        <c:axId val="102765360"/>
      </c:scatterChart>
      <c:valAx>
        <c:axId val="102763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2765360"/>
        <c:crosses val="autoZero"/>
        <c:crossBetween val="midCat"/>
      </c:valAx>
      <c:valAx>
        <c:axId val="102765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76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9540307461567"/>
          <c:y val="0.0514005540974045"/>
          <c:w val="0.797136407949006"/>
          <c:h val="0.83261956838728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[1]Real_braking!$K$1</c:f>
              <c:strCache>
                <c:ptCount val="1"/>
                <c:pt idx="0">
                  <c:v>ηb</c:v>
                </c:pt>
              </c:strCache>
            </c:strRef>
          </c:tx>
          <c:marker>
            <c:symbol val="none"/>
          </c:marker>
          <c:xVal>
            <c:numRef>
              <c:f>[1]Real_braking!$H$2:$H$7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[1]Real_braking!$K$2:$K$7</c:f>
              <c:numCache>
                <c:formatCode>General</c:formatCode>
                <c:ptCount val="6"/>
                <c:pt idx="0">
                  <c:v>0.851851851851852</c:v>
                </c:pt>
                <c:pt idx="1">
                  <c:v>0.92</c:v>
                </c:pt>
                <c:pt idx="2">
                  <c:v>1.0</c:v>
                </c:pt>
                <c:pt idx="3">
                  <c:v>0.92</c:v>
                </c:pt>
                <c:pt idx="4">
                  <c:v>0.851851851851852</c:v>
                </c:pt>
                <c:pt idx="5">
                  <c:v>0.793103448275862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[1]Real_braking!$N$1</c:f>
              <c:strCache>
                <c:ptCount val="1"/>
                <c:pt idx="0">
                  <c:v>ηb"</c:v>
                </c:pt>
              </c:strCache>
            </c:strRef>
          </c:tx>
          <c:marker>
            <c:symbol val="none"/>
          </c:marker>
          <c:xVal>
            <c:numRef>
              <c:f>[1]Real_braking!$H$2:$H$7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[1]Real_braking!$N$2:$N$7</c:f>
              <c:numCache>
                <c:formatCode>General</c:formatCode>
                <c:ptCount val="6"/>
                <c:pt idx="0">
                  <c:v>0.696969696969697</c:v>
                </c:pt>
                <c:pt idx="1">
                  <c:v>0.741935483870968</c:v>
                </c:pt>
                <c:pt idx="2">
                  <c:v>0.793103448275862</c:v>
                </c:pt>
                <c:pt idx="3">
                  <c:v>0.851851851851852</c:v>
                </c:pt>
                <c:pt idx="4">
                  <c:v>0.92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[1]Real_braking!$V$1</c:f>
              <c:strCache>
                <c:ptCount val="1"/>
                <c:pt idx="0">
                  <c:v>η</c:v>
                </c:pt>
              </c:strCache>
            </c:strRef>
          </c:tx>
          <c:marker>
            <c:symbol val="none"/>
          </c:marker>
          <c:xVal>
            <c:numRef>
              <c:f>[1]Real_braking!$H$3:$H$7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</c:numCache>
            </c:numRef>
          </c:xVal>
          <c:yVal>
            <c:numRef>
              <c:f>[1]Real_braking!$V$2:$V$6</c:f>
              <c:numCache>
                <c:formatCode>General</c:formatCode>
                <c:ptCount val="5"/>
                <c:pt idx="0">
                  <c:v>0.920438957475994</c:v>
                </c:pt>
                <c:pt idx="1">
                  <c:v>1.0</c:v>
                </c:pt>
                <c:pt idx="2">
                  <c:v>0.891720806263534</c:v>
                </c:pt>
                <c:pt idx="3">
                  <c:v>0.960270727599709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4176"/>
        <c:axId val="175955952"/>
      </c:scatterChart>
      <c:valAx>
        <c:axId val="17595417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5955952"/>
        <c:crosses val="autoZero"/>
        <c:crossBetween val="midCat"/>
      </c:valAx>
      <c:valAx>
        <c:axId val="17595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595417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76199</xdr:rowOff>
    </xdr:from>
    <xdr:to>
      <xdr:col>28</xdr:col>
      <xdr:colOff>323850</xdr:colOff>
      <xdr:row>39</xdr:row>
      <xdr:rowOff>19050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18</xdr:col>
      <xdr:colOff>226003</xdr:colOff>
      <xdr:row>23</xdr:row>
      <xdr:rowOff>157018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14_project4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al_braking"/>
      <sheetName val="Real_braking"/>
      <sheetName val="Foglio3"/>
    </sheetNames>
    <sheetDataSet>
      <sheetData sheetId="0" refreshError="1"/>
      <sheetData sheetId="1">
        <row r="1">
          <cell r="K1" t="str">
            <v>ηb</v>
          </cell>
          <cell r="N1" t="str">
            <v>ηb"</v>
          </cell>
          <cell r="V1" t="str">
            <v>η</v>
          </cell>
        </row>
        <row r="2">
          <cell r="H2">
            <v>0</v>
          </cell>
          <cell r="K2">
            <v>0.85185185185185197</v>
          </cell>
          <cell r="N2">
            <v>0.69696969696969691</v>
          </cell>
          <cell r="V2">
            <v>0.92043895747599447</v>
          </cell>
        </row>
        <row r="3">
          <cell r="H3">
            <v>0.2</v>
          </cell>
          <cell r="K3">
            <v>0.92</v>
          </cell>
          <cell r="N3">
            <v>0.74193548387096764</v>
          </cell>
          <cell r="V3">
            <v>1</v>
          </cell>
        </row>
        <row r="4">
          <cell r="H4">
            <v>0.4</v>
          </cell>
          <cell r="K4">
            <v>1.0000000000000002</v>
          </cell>
          <cell r="N4">
            <v>0.79310344827586199</v>
          </cell>
          <cell r="V4">
            <v>0.89172080626353456</v>
          </cell>
        </row>
        <row r="5">
          <cell r="H5">
            <v>0.6</v>
          </cell>
          <cell r="K5">
            <v>0.92000000000000015</v>
          </cell>
          <cell r="N5">
            <v>0.85185185185185164</v>
          </cell>
          <cell r="V5">
            <v>0.96027072759970911</v>
          </cell>
        </row>
        <row r="6">
          <cell r="H6">
            <v>0.8</v>
          </cell>
          <cell r="K6">
            <v>0.85185185185185197</v>
          </cell>
          <cell r="N6">
            <v>0.91999999999999993</v>
          </cell>
          <cell r="V6">
            <v>0.99999999999999967</v>
          </cell>
        </row>
        <row r="7">
          <cell r="H7">
            <v>1</v>
          </cell>
          <cell r="K7">
            <v>0.79310344827586221</v>
          </cell>
          <cell r="N7">
            <v>0.99999999999999978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9.33203125" bestFit="1" customWidth="1"/>
    <col min="2" max="2" width="33.5" bestFit="1" customWidth="1"/>
    <col min="5" max="5" width="9.5" style="1" bestFit="1" customWidth="1"/>
    <col min="6" max="7" width="5" bestFit="1" customWidth="1"/>
    <col min="8" max="8" width="5.33203125" bestFit="1" customWidth="1"/>
    <col min="9" max="9" width="5.6640625" bestFit="1" customWidth="1"/>
    <col min="10" max="10" width="5.6640625" customWidth="1"/>
    <col min="11" max="11" width="6.6640625" bestFit="1" customWidth="1"/>
    <col min="12" max="12" width="5.5" bestFit="1" customWidth="1"/>
    <col min="13" max="13" width="6.33203125" bestFit="1" customWidth="1"/>
    <col min="14" max="14" width="7.5" bestFit="1" customWidth="1"/>
    <col min="17" max="17" width="10.5" bestFit="1" customWidth="1"/>
  </cols>
  <sheetData>
    <row r="1" spans="1:17" x14ac:dyDescent="0.2">
      <c r="G1" s="2"/>
      <c r="H1" s="2"/>
    </row>
    <row r="2" spans="1:17" x14ac:dyDescent="0.2">
      <c r="A2" t="s">
        <v>1</v>
      </c>
      <c r="B2" t="s">
        <v>15</v>
      </c>
      <c r="E2" s="1" t="s">
        <v>17</v>
      </c>
      <c r="F2" s="2" t="s">
        <v>13</v>
      </c>
      <c r="G2" s="2" t="s">
        <v>14</v>
      </c>
      <c r="H2" s="4" t="s">
        <v>18</v>
      </c>
      <c r="I2" t="s">
        <v>2</v>
      </c>
      <c r="J2" t="str">
        <f>"-Fx1"</f>
        <v>-Fx1</v>
      </c>
      <c r="K2" t="s">
        <v>16</v>
      </c>
      <c r="L2" t="str">
        <f>"-Fx2"</f>
        <v>-Fx2</v>
      </c>
      <c r="M2" t="s">
        <v>0</v>
      </c>
      <c r="N2" t="s">
        <v>28</v>
      </c>
      <c r="O2" t="str">
        <f>"-Fx2"""</f>
        <v>-Fx2"</v>
      </c>
    </row>
    <row r="3" spans="1:17" x14ac:dyDescent="0.2">
      <c r="A3" t="s">
        <v>3</v>
      </c>
      <c r="B3" t="s">
        <v>19</v>
      </c>
      <c r="F3" s="2" t="s">
        <v>26</v>
      </c>
      <c r="G3" s="2" t="s">
        <v>26</v>
      </c>
      <c r="H3" s="4"/>
      <c r="I3" t="s">
        <v>26</v>
      </c>
      <c r="J3" s="4" t="s">
        <v>27</v>
      </c>
      <c r="K3" s="4" t="s">
        <v>26</v>
      </c>
      <c r="L3" s="4" t="s">
        <v>27</v>
      </c>
      <c r="M3" s="4" t="s">
        <v>27</v>
      </c>
      <c r="N3" s="4"/>
      <c r="O3" s="4" t="s">
        <v>27</v>
      </c>
    </row>
    <row r="4" spans="1:17" x14ac:dyDescent="0.2">
      <c r="A4" t="s">
        <v>4</v>
      </c>
      <c r="B4" t="s">
        <v>21</v>
      </c>
      <c r="E4" s="21">
        <v>-0.2</v>
      </c>
      <c r="F4" s="22">
        <f>($B$8/$B$9)*($B$14*$B$11*COS($B$13) - $B$14*$B$12*SIN($B$13)-$B$12*E4*$B$14)</f>
        <v>5624.755434782609</v>
      </c>
      <c r="G4" s="22">
        <f>($B$8/$B$9)*($B$14*$B$10*COS($B$13) + $B$14*$B$12*SIN($B$13)+$B$12*E4*$B$14)</f>
        <v>4724.7945652173912</v>
      </c>
      <c r="H4" s="7">
        <v>-0.2</v>
      </c>
      <c r="I4" s="8">
        <f t="shared" ref="I4:I9" si="0">$F$4*H4</f>
        <v>-1124.9510869565217</v>
      </c>
      <c r="J4" s="7">
        <f>I4/-1000</f>
        <v>1.1249510869565218</v>
      </c>
      <c r="K4" s="8">
        <f>$B$8*$B$14*($B$11*COS($B$13))/$B$12 - I4 * ($B$9/(H4*$B$12) +1)</f>
        <v>-944.95891304347606</v>
      </c>
      <c r="L4" s="7">
        <f>K4/-1000</f>
        <v>0.94495891304347601</v>
      </c>
      <c r="M4" s="21">
        <f>-(L4+J4)</f>
        <v>-2.0699099999999979</v>
      </c>
      <c r="N4" s="18">
        <f>(H4*$B$8*$B$14*$B$10*COS($B$13)/($B$9-H4*$B$12)+I4*(H4*$B$12)/($B$9-H4*$B$12))</f>
        <v>-944.95891304347845</v>
      </c>
      <c r="O4" s="1">
        <f>N4/(-1000)</f>
        <v>0.94495891304347845</v>
      </c>
      <c r="P4" s="1"/>
      <c r="Q4" s="1"/>
    </row>
    <row r="5" spans="1:17" x14ac:dyDescent="0.2">
      <c r="A5" t="s">
        <v>22</v>
      </c>
      <c r="B5" t="s">
        <v>23</v>
      </c>
      <c r="E5" s="21"/>
      <c r="F5" s="22"/>
      <c r="G5" s="22"/>
      <c r="H5" s="17">
        <v>-0.4</v>
      </c>
      <c r="I5" s="18">
        <f t="shared" si="0"/>
        <v>-2249.9021739130435</v>
      </c>
      <c r="J5" s="17">
        <f t="shared" ref="J5:J39" si="1">I5/-1000</f>
        <v>2.2499021739130436</v>
      </c>
      <c r="K5" s="18">
        <f>$B$8*$B$14*($B$11*COS($B$13))/$B$12 - I5 * ($B$9/(H5*$B$12) +1)</f>
        <v>179.99217391304774</v>
      </c>
      <c r="L5" s="17">
        <f t="shared" ref="L5:L39" si="2">K5/-1000</f>
        <v>-0.17999217391304773</v>
      </c>
      <c r="M5" s="21">
        <f t="shared" ref="M5:M39" si="3">-(L5+J5)</f>
        <v>-2.0699099999999957</v>
      </c>
      <c r="N5" s="18">
        <f t="shared" ref="N5:N39" si="4">(H5*$B$8*$B$14*$B$10*COS($B$13)/($B$9-H5*$B$12)+I5*(H5*$B$12)/($B$9-H5*$B$12))</f>
        <v>-1724.3250260869568</v>
      </c>
      <c r="O5" s="1">
        <f t="shared" ref="O5:O39" si="5">N5/(-1000)</f>
        <v>1.7243250260869567</v>
      </c>
      <c r="P5" s="1"/>
      <c r="Q5" s="1"/>
    </row>
    <row r="6" spans="1:17" x14ac:dyDescent="0.2">
      <c r="A6" t="s">
        <v>5</v>
      </c>
      <c r="B6" t="s">
        <v>20</v>
      </c>
      <c r="E6" s="21"/>
      <c r="F6" s="22"/>
      <c r="G6" s="22"/>
      <c r="H6" s="17">
        <v>-0.6</v>
      </c>
      <c r="I6" s="18">
        <f t="shared" si="0"/>
        <v>-3374.8532608695655</v>
      </c>
      <c r="J6" s="17">
        <f t="shared" si="1"/>
        <v>3.3748532608695654</v>
      </c>
      <c r="K6" s="18">
        <f t="shared" ref="K6:K39" si="6">$B$8*$B$14*($B$11*COS($B$13))/$B$12 - I6 * ($B$9/(H6*$B$12) +1)</f>
        <v>1304.9432608695643</v>
      </c>
      <c r="L6" s="17">
        <f t="shared" si="2"/>
        <v>-1.3049432608695644</v>
      </c>
      <c r="M6" s="21">
        <f t="shared" si="3"/>
        <v>-2.069910000000001</v>
      </c>
      <c r="N6" s="18">
        <f t="shared" si="4"/>
        <v>-2357.2052006688969</v>
      </c>
      <c r="O6" s="1">
        <f t="shared" si="5"/>
        <v>2.357205200668897</v>
      </c>
      <c r="P6" s="1"/>
      <c r="Q6" s="1"/>
    </row>
    <row r="7" spans="1:17" x14ac:dyDescent="0.2">
      <c r="A7" t="s">
        <v>6</v>
      </c>
      <c r="B7" t="s">
        <v>24</v>
      </c>
      <c r="E7" s="21"/>
      <c r="F7" s="22"/>
      <c r="G7" s="22"/>
      <c r="H7" s="17">
        <v>-0.8</v>
      </c>
      <c r="I7" s="18">
        <f t="shared" si="0"/>
        <v>-4499.804347826087</v>
      </c>
      <c r="J7" s="17">
        <f t="shared" si="1"/>
        <v>4.4998043478260872</v>
      </c>
      <c r="K7" s="18">
        <f t="shared" si="6"/>
        <v>2429.8943478260917</v>
      </c>
      <c r="L7" s="17">
        <f t="shared" si="2"/>
        <v>-2.4298943478260915</v>
      </c>
      <c r="M7" s="21">
        <f t="shared" si="3"/>
        <v>-2.0699099999999957</v>
      </c>
      <c r="N7" s="18">
        <f t="shared" si="4"/>
        <v>-2859.8756521739137</v>
      </c>
      <c r="O7" s="1">
        <f t="shared" si="5"/>
        <v>2.8598756521739137</v>
      </c>
      <c r="P7" s="1"/>
      <c r="Q7" s="1"/>
    </row>
    <row r="8" spans="1:17" x14ac:dyDescent="0.2">
      <c r="A8" t="s">
        <v>8</v>
      </c>
      <c r="B8">
        <f>970+10+75</f>
        <v>1055</v>
      </c>
      <c r="E8" s="21"/>
      <c r="F8" s="22"/>
      <c r="G8" s="22"/>
      <c r="H8" s="17">
        <v>-1</v>
      </c>
      <c r="I8" s="18">
        <f t="shared" si="0"/>
        <v>-5624.755434782609</v>
      </c>
      <c r="J8" s="17">
        <f t="shared" si="1"/>
        <v>5.6247554347826085</v>
      </c>
      <c r="K8" s="18">
        <f t="shared" si="6"/>
        <v>3554.8454347826082</v>
      </c>
      <c r="L8" s="17">
        <f t="shared" si="2"/>
        <v>-3.5548454347826084</v>
      </c>
      <c r="M8" s="21">
        <f t="shared" si="3"/>
        <v>-2.0699100000000001</v>
      </c>
      <c r="N8" s="18">
        <f t="shared" si="4"/>
        <v>-3246.2874223602485</v>
      </c>
      <c r="O8" s="1">
        <f t="shared" si="5"/>
        <v>3.2462874223602483</v>
      </c>
      <c r="P8" s="1"/>
      <c r="Q8" s="1"/>
    </row>
    <row r="9" spans="1:17" x14ac:dyDescent="0.2">
      <c r="A9" t="s">
        <v>9</v>
      </c>
      <c r="B9">
        <v>2.2999999999999998</v>
      </c>
      <c r="E9" s="21"/>
      <c r="F9" s="22"/>
      <c r="G9" s="22"/>
      <c r="H9" s="17">
        <v>-1.2</v>
      </c>
      <c r="I9" s="18">
        <f t="shared" si="0"/>
        <v>-6749.7065217391309</v>
      </c>
      <c r="J9" s="17">
        <f t="shared" si="1"/>
        <v>6.7497065217391308</v>
      </c>
      <c r="K9" s="18">
        <f t="shared" si="6"/>
        <v>4679.796521739132</v>
      </c>
      <c r="L9" s="17">
        <f t="shared" si="2"/>
        <v>-4.6797965217391324</v>
      </c>
      <c r="M9" s="21">
        <f t="shared" si="3"/>
        <v>-2.0699099999999984</v>
      </c>
      <c r="N9" s="18">
        <f t="shared" si="4"/>
        <v>-3528.4672713643176</v>
      </c>
      <c r="O9" s="1">
        <f t="shared" si="5"/>
        <v>3.5284672713643177</v>
      </c>
      <c r="P9" s="1"/>
      <c r="Q9" s="1"/>
    </row>
    <row r="10" spans="1:17" x14ac:dyDescent="0.2">
      <c r="A10" t="s">
        <v>10</v>
      </c>
      <c r="B10">
        <v>1.1499999999999999</v>
      </c>
      <c r="E10" s="23">
        <v>-0.4</v>
      </c>
      <c r="F10" s="24">
        <f>($B$8/$B$9)*($B$14*$B$11*COS($B$13) - $B$14*$B$12*SIN($B$13)-$B$12*E10*$B$14)</f>
        <v>6074.7358695652174</v>
      </c>
      <c r="G10" s="24">
        <f>($B$8/$B$9)*($B$14*$B$10*COS($B$13) + $B$14*$B$12*SIN($B$13)+$B$12*E10*$B$14)</f>
        <v>4274.8141304347828</v>
      </c>
      <c r="H10" s="17">
        <v>-0.2</v>
      </c>
      <c r="I10" s="18">
        <f>$F$10*H10</f>
        <v>-1214.9471739130436</v>
      </c>
      <c r="J10" s="17">
        <f t="shared" si="1"/>
        <v>1.2149471739130435</v>
      </c>
      <c r="K10" s="18">
        <f t="shared" si="6"/>
        <v>-2924.8728260869539</v>
      </c>
      <c r="L10" s="17">
        <f t="shared" si="2"/>
        <v>2.9248728260869536</v>
      </c>
      <c r="M10" s="23">
        <f t="shared" si="3"/>
        <v>-4.1398199999999967</v>
      </c>
      <c r="N10" s="18">
        <f>(H10*$B$8*$B$14*$B$10*COS($B$13)/($B$9-H10*$B$12)+I10*(H10*$B$12)/($B$9-H10*$B$12))</f>
        <v>-941.20907608695666</v>
      </c>
      <c r="O10" s="1">
        <f t="shared" si="5"/>
        <v>0.9412090760869567</v>
      </c>
      <c r="P10" s="1"/>
      <c r="Q10" s="1"/>
    </row>
    <row r="11" spans="1:17" x14ac:dyDescent="0.2">
      <c r="A11" t="s">
        <v>11</v>
      </c>
      <c r="B11">
        <f>B9-B10</f>
        <v>1.1499999999999999</v>
      </c>
      <c r="E11" s="23"/>
      <c r="F11" s="24"/>
      <c r="G11" s="24"/>
      <c r="H11" s="5">
        <v>-0.4</v>
      </c>
      <c r="I11" s="6">
        <f t="shared" ref="I11:I15" si="7">$F$10*H11</f>
        <v>-2429.8943478260871</v>
      </c>
      <c r="J11" s="5">
        <f t="shared" si="1"/>
        <v>2.429894347826087</v>
      </c>
      <c r="K11" s="6">
        <f t="shared" si="6"/>
        <v>-1709.9256521739117</v>
      </c>
      <c r="L11" s="5">
        <f t="shared" si="2"/>
        <v>1.7099256521739117</v>
      </c>
      <c r="M11" s="23">
        <f t="shared" si="3"/>
        <v>-4.1398199999999985</v>
      </c>
      <c r="N11" s="18">
        <f t="shared" si="4"/>
        <v>-1709.9256521739132</v>
      </c>
      <c r="O11" s="1">
        <f t="shared" si="5"/>
        <v>1.7099256521739132</v>
      </c>
      <c r="P11" s="1"/>
      <c r="Q11" s="1"/>
    </row>
    <row r="12" spans="1:17" x14ac:dyDescent="0.2">
      <c r="A12" t="s">
        <v>12</v>
      </c>
      <c r="B12">
        <v>0.5</v>
      </c>
      <c r="E12" s="23"/>
      <c r="F12" s="24"/>
      <c r="G12" s="24"/>
      <c r="H12" s="17">
        <v>-0.6</v>
      </c>
      <c r="I12" s="18">
        <f t="shared" si="7"/>
        <v>-3644.8415217391303</v>
      </c>
      <c r="J12" s="17">
        <f t="shared" si="1"/>
        <v>3.6448415217391301</v>
      </c>
      <c r="K12" s="18">
        <f t="shared" si="6"/>
        <v>-494.97847826086581</v>
      </c>
      <c r="L12" s="17">
        <f t="shared" si="2"/>
        <v>0.49497847826086583</v>
      </c>
      <c r="M12" s="23">
        <f t="shared" si="3"/>
        <v>-4.1398199999999958</v>
      </c>
      <c r="N12" s="18">
        <f t="shared" si="4"/>
        <v>-2326.0527090301007</v>
      </c>
      <c r="O12" s="1">
        <f t="shared" si="5"/>
        <v>2.3260527090301006</v>
      </c>
      <c r="P12" s="1"/>
      <c r="Q12" s="1"/>
    </row>
    <row r="13" spans="1:17" x14ac:dyDescent="0.2">
      <c r="A13" s="3" t="s">
        <v>7</v>
      </c>
      <c r="B13">
        <v>0</v>
      </c>
      <c r="E13" s="23"/>
      <c r="F13" s="24"/>
      <c r="G13" s="24"/>
      <c r="H13" s="17">
        <v>-0.8</v>
      </c>
      <c r="I13" s="18">
        <f t="shared" si="7"/>
        <v>-4859.7886956521743</v>
      </c>
      <c r="J13" s="17">
        <f t="shared" si="1"/>
        <v>4.8597886956521741</v>
      </c>
      <c r="K13" s="18">
        <f t="shared" si="6"/>
        <v>719.96869565217639</v>
      </c>
      <c r="L13" s="17">
        <f t="shared" si="2"/>
        <v>-0.71996869565217636</v>
      </c>
      <c r="M13" s="23">
        <f t="shared" si="3"/>
        <v>-4.1398199999999976</v>
      </c>
      <c r="N13" s="18">
        <f t="shared" si="4"/>
        <v>-2806.5446376811601</v>
      </c>
      <c r="O13" s="1">
        <f t="shared" si="5"/>
        <v>2.80654463768116</v>
      </c>
      <c r="P13" s="1"/>
      <c r="Q13" s="1"/>
    </row>
    <row r="14" spans="1:17" x14ac:dyDescent="0.2">
      <c r="A14" s="3" t="s">
        <v>25</v>
      </c>
      <c r="B14">
        <v>9.81</v>
      </c>
      <c r="E14" s="23"/>
      <c r="F14" s="24"/>
      <c r="G14" s="24"/>
      <c r="H14" s="17">
        <v>-1</v>
      </c>
      <c r="I14" s="18">
        <f t="shared" si="7"/>
        <v>-6074.7358695652174</v>
      </c>
      <c r="J14" s="17">
        <f t="shared" si="1"/>
        <v>6.0747358695652176</v>
      </c>
      <c r="K14" s="18">
        <f t="shared" si="6"/>
        <v>1934.9158695652186</v>
      </c>
      <c r="L14" s="17">
        <f t="shared" si="2"/>
        <v>-1.9349158695652187</v>
      </c>
      <c r="M14" s="23">
        <f t="shared" si="3"/>
        <v>-4.1398199999999985</v>
      </c>
      <c r="N14" s="18">
        <f t="shared" si="4"/>
        <v>-3165.9337732919257</v>
      </c>
      <c r="O14" s="1">
        <f t="shared" si="5"/>
        <v>3.1659337732919259</v>
      </c>
      <c r="P14" s="1"/>
      <c r="Q14" s="1"/>
    </row>
    <row r="15" spans="1:17" x14ac:dyDescent="0.2">
      <c r="E15" s="23"/>
      <c r="F15" s="24"/>
      <c r="G15" s="24"/>
      <c r="H15" s="17">
        <v>-1.2</v>
      </c>
      <c r="I15" s="18">
        <f t="shared" si="7"/>
        <v>-7289.6830434782605</v>
      </c>
      <c r="J15" s="17">
        <f t="shared" si="1"/>
        <v>7.2896830434782602</v>
      </c>
      <c r="K15" s="18">
        <f t="shared" si="6"/>
        <v>3149.8630434782644</v>
      </c>
      <c r="L15" s="17">
        <f t="shared" si="2"/>
        <v>-3.1498630434782644</v>
      </c>
      <c r="M15" s="23">
        <f t="shared" si="3"/>
        <v>-4.1398199999999958</v>
      </c>
      <c r="N15" s="18">
        <f t="shared" si="4"/>
        <v>-3416.7479910044976</v>
      </c>
      <c r="O15" s="1">
        <f t="shared" si="5"/>
        <v>3.4167479910044976</v>
      </c>
      <c r="P15" s="1"/>
      <c r="Q15" s="1"/>
    </row>
    <row r="16" spans="1:17" x14ac:dyDescent="0.2">
      <c r="E16" s="25">
        <v>-0.6</v>
      </c>
      <c r="F16" s="26">
        <f>($B$8/$B$9)*($B$14*$B$11*COS($B$13) - $B$14*$B$12*SIN($B$13)-$B$12*E16*$B$14)</f>
        <v>6524.7163043478258</v>
      </c>
      <c r="G16" s="26">
        <f>($B$8/$B$9)*($B$14*$B$10*COS($B$13) + $B$14*$B$12*SIN($B$13)+$B$12*E16*$B$14)</f>
        <v>3824.8336956521739</v>
      </c>
      <c r="H16" s="17">
        <v>-0.2</v>
      </c>
      <c r="I16" s="18">
        <f>$F$16*H16</f>
        <v>-1304.9432608695652</v>
      </c>
      <c r="J16" s="17">
        <f t="shared" si="1"/>
        <v>1.3049432608695652</v>
      </c>
      <c r="K16" s="18">
        <f t="shared" si="6"/>
        <v>-4904.786739130428</v>
      </c>
      <c r="L16" s="17">
        <f t="shared" si="2"/>
        <v>4.9047867391304276</v>
      </c>
      <c r="M16" s="25">
        <f t="shared" si="3"/>
        <v>-6.2097299999999933</v>
      </c>
      <c r="N16" s="18">
        <f t="shared" si="4"/>
        <v>-937.45923913043498</v>
      </c>
      <c r="O16" s="1">
        <f t="shared" si="5"/>
        <v>0.93745923913043494</v>
      </c>
      <c r="P16" s="1"/>
      <c r="Q16" s="1"/>
    </row>
    <row r="17" spans="5:17" x14ac:dyDescent="0.2">
      <c r="E17" s="25"/>
      <c r="F17" s="26"/>
      <c r="G17" s="26"/>
      <c r="H17" s="17">
        <v>-0.4</v>
      </c>
      <c r="I17" s="18">
        <f t="shared" ref="I17:I21" si="8">$F$16*H17</f>
        <v>-2609.8865217391303</v>
      </c>
      <c r="J17" s="17">
        <f t="shared" si="1"/>
        <v>2.6098865217391305</v>
      </c>
      <c r="K17" s="18">
        <f t="shared" si="6"/>
        <v>-3599.8434782608638</v>
      </c>
      <c r="L17" s="17">
        <f t="shared" si="2"/>
        <v>3.5998434782608637</v>
      </c>
      <c r="M17" s="25">
        <f t="shared" si="3"/>
        <v>-6.2097299999999942</v>
      </c>
      <c r="N17" s="18">
        <f t="shared" si="4"/>
        <v>-1695.5262782608697</v>
      </c>
      <c r="O17" s="1">
        <f t="shared" si="5"/>
        <v>1.6955262782608698</v>
      </c>
      <c r="P17" s="1"/>
      <c r="Q17" s="1"/>
    </row>
    <row r="18" spans="5:17" x14ac:dyDescent="0.2">
      <c r="E18" s="25"/>
      <c r="F18" s="26"/>
      <c r="G18" s="26"/>
      <c r="H18" s="9">
        <v>-0.6</v>
      </c>
      <c r="I18" s="10">
        <f t="shared" si="8"/>
        <v>-3914.8297826086955</v>
      </c>
      <c r="J18" s="9">
        <f t="shared" si="1"/>
        <v>3.9148297826086953</v>
      </c>
      <c r="K18" s="10">
        <f t="shared" si="6"/>
        <v>-2294.9002173912995</v>
      </c>
      <c r="L18" s="9">
        <f t="shared" si="2"/>
        <v>2.2949002173912993</v>
      </c>
      <c r="M18" s="25">
        <f t="shared" si="3"/>
        <v>-6.2097299999999951</v>
      </c>
      <c r="N18" s="18">
        <f t="shared" si="4"/>
        <v>-2294.900217391305</v>
      </c>
      <c r="O18" s="1">
        <f t="shared" si="5"/>
        <v>2.2949002173913051</v>
      </c>
      <c r="P18" s="1"/>
      <c r="Q18" s="1"/>
    </row>
    <row r="19" spans="5:17" x14ac:dyDescent="0.2">
      <c r="E19" s="25"/>
      <c r="F19" s="26"/>
      <c r="G19" s="26"/>
      <c r="H19" s="17">
        <v>-0.8</v>
      </c>
      <c r="I19" s="18">
        <f t="shared" si="8"/>
        <v>-5219.7730434782607</v>
      </c>
      <c r="J19" s="17">
        <f t="shared" si="1"/>
        <v>5.219773043478261</v>
      </c>
      <c r="K19" s="18">
        <f t="shared" si="6"/>
        <v>-989.95695652173163</v>
      </c>
      <c r="L19" s="17">
        <f t="shared" si="2"/>
        <v>0.98995695652173166</v>
      </c>
      <c r="M19" s="25">
        <f t="shared" si="3"/>
        <v>-6.2097299999999924</v>
      </c>
      <c r="N19" s="18">
        <f t="shared" si="4"/>
        <v>-2753.2136231884065</v>
      </c>
      <c r="O19" s="1">
        <f t="shared" si="5"/>
        <v>2.7532136231884063</v>
      </c>
      <c r="P19" s="1"/>
      <c r="Q19" s="1"/>
    </row>
    <row r="20" spans="5:17" x14ac:dyDescent="0.2">
      <c r="E20" s="25"/>
      <c r="F20" s="26"/>
      <c r="G20" s="26"/>
      <c r="H20" s="17">
        <v>-1</v>
      </c>
      <c r="I20" s="18">
        <f t="shared" si="8"/>
        <v>-6524.7163043478258</v>
      </c>
      <c r="J20" s="17">
        <f t="shared" si="1"/>
        <v>6.5247163043478258</v>
      </c>
      <c r="K20" s="18">
        <f t="shared" si="6"/>
        <v>314.98630434782899</v>
      </c>
      <c r="L20" s="17">
        <f t="shared" si="2"/>
        <v>-0.31498630434782898</v>
      </c>
      <c r="M20" s="25">
        <f t="shared" si="3"/>
        <v>-6.2097299999999969</v>
      </c>
      <c r="N20" s="18">
        <f t="shared" si="4"/>
        <v>-3085.5801242236025</v>
      </c>
      <c r="O20" s="1">
        <f t="shared" si="5"/>
        <v>3.0855801242236027</v>
      </c>
      <c r="P20" s="1"/>
      <c r="Q20" s="1"/>
    </row>
    <row r="21" spans="5:17" x14ac:dyDescent="0.2">
      <c r="E21" s="25"/>
      <c r="F21" s="26"/>
      <c r="G21" s="26"/>
      <c r="H21" s="17">
        <v>-1.2</v>
      </c>
      <c r="I21" s="18">
        <f t="shared" si="8"/>
        <v>-7829.659565217391</v>
      </c>
      <c r="J21" s="17">
        <f t="shared" si="1"/>
        <v>7.8296595652173906</v>
      </c>
      <c r="K21" s="18">
        <f t="shared" si="6"/>
        <v>1619.9295652173932</v>
      </c>
      <c r="L21" s="17">
        <f t="shared" si="2"/>
        <v>-1.6199295652173933</v>
      </c>
      <c r="M21" s="25">
        <f t="shared" si="3"/>
        <v>-6.2097299999999969</v>
      </c>
      <c r="N21" s="18">
        <f t="shared" si="4"/>
        <v>-3305.0287106446776</v>
      </c>
      <c r="O21" s="1">
        <f t="shared" si="5"/>
        <v>3.3050287106446778</v>
      </c>
      <c r="P21" s="1"/>
      <c r="Q21" s="1"/>
    </row>
    <row r="22" spans="5:17" x14ac:dyDescent="0.2">
      <c r="E22" s="27">
        <v>-0.8</v>
      </c>
      <c r="F22" s="28">
        <f>($B$8/$B$9)*($B$14*$B$11*COS($B$13) - $B$14*$B$12*SIN($B$13)-$B$12*E22*$B$14)</f>
        <v>6974.6967391304352</v>
      </c>
      <c r="G22" s="28">
        <f>($B$8/$B$9)*($B$14*$B$10*COS($B$13) + $B$14*$B$12*SIN($B$13)+$B$12*E22*$B$14)</f>
        <v>3374.853260869565</v>
      </c>
      <c r="H22" s="17">
        <v>-0.2</v>
      </c>
      <c r="I22" s="18">
        <f>$F$22*H22</f>
        <v>-1394.9393478260872</v>
      </c>
      <c r="J22" s="17">
        <f t="shared" si="1"/>
        <v>1.3949393478260872</v>
      </c>
      <c r="K22" s="18">
        <f t="shared" si="6"/>
        <v>-6884.7006521739131</v>
      </c>
      <c r="L22" s="17">
        <f t="shared" si="2"/>
        <v>6.8847006521739127</v>
      </c>
      <c r="M22" s="27">
        <f t="shared" si="3"/>
        <v>-8.2796400000000006</v>
      </c>
      <c r="N22" s="18">
        <f t="shared" si="4"/>
        <v>-933.70940217391319</v>
      </c>
      <c r="O22" s="1">
        <f t="shared" si="5"/>
        <v>0.93370940217391318</v>
      </c>
      <c r="P22" s="1"/>
      <c r="Q22" s="1"/>
    </row>
    <row r="23" spans="5:17" x14ac:dyDescent="0.2">
      <c r="E23" s="27"/>
      <c r="F23" s="28"/>
      <c r="G23" s="28"/>
      <c r="H23" s="17">
        <v>-0.4</v>
      </c>
      <c r="I23" s="18">
        <f t="shared" ref="I23:I27" si="9">$F$22*H23</f>
        <v>-2789.8786956521744</v>
      </c>
      <c r="J23" s="17">
        <f t="shared" si="1"/>
        <v>2.7898786956521744</v>
      </c>
      <c r="K23" s="18">
        <f t="shared" si="6"/>
        <v>-5489.7613043478268</v>
      </c>
      <c r="L23" s="17">
        <f t="shared" si="2"/>
        <v>5.4897613043478266</v>
      </c>
      <c r="M23" s="27">
        <f t="shared" si="3"/>
        <v>-8.2796400000000006</v>
      </c>
      <c r="N23" s="18">
        <f t="shared" si="4"/>
        <v>-1681.1269043478262</v>
      </c>
      <c r="O23" s="1">
        <f t="shared" si="5"/>
        <v>1.6811269043478263</v>
      </c>
      <c r="P23" s="1"/>
      <c r="Q23" s="1"/>
    </row>
    <row r="24" spans="5:17" x14ac:dyDescent="0.2">
      <c r="E24" s="27"/>
      <c r="F24" s="28"/>
      <c r="G24" s="28"/>
      <c r="H24" s="17">
        <v>-0.6</v>
      </c>
      <c r="I24" s="18">
        <f t="shared" si="9"/>
        <v>-4184.8180434782607</v>
      </c>
      <c r="J24" s="17">
        <f t="shared" si="1"/>
        <v>4.1848180434782609</v>
      </c>
      <c r="K24" s="18">
        <f t="shared" si="6"/>
        <v>-4094.8219565217369</v>
      </c>
      <c r="L24" s="17">
        <f t="shared" si="2"/>
        <v>4.094821956521737</v>
      </c>
      <c r="M24" s="27">
        <f t="shared" si="3"/>
        <v>-8.279639999999997</v>
      </c>
      <c r="N24" s="18">
        <f t="shared" si="4"/>
        <v>-2263.7477257525088</v>
      </c>
      <c r="O24" s="1">
        <f t="shared" si="5"/>
        <v>2.2637477257525087</v>
      </c>
      <c r="P24" s="1"/>
      <c r="Q24" s="1"/>
    </row>
    <row r="25" spans="5:17" x14ac:dyDescent="0.2">
      <c r="E25" s="27"/>
      <c r="F25" s="28"/>
      <c r="G25" s="28"/>
      <c r="H25" s="11">
        <v>-0.8</v>
      </c>
      <c r="I25" s="12">
        <f t="shared" si="9"/>
        <v>-5579.7573913043489</v>
      </c>
      <c r="J25" s="11">
        <f t="shared" si="1"/>
        <v>5.5797573913043488</v>
      </c>
      <c r="K25" s="12">
        <f t="shared" si="6"/>
        <v>-2699.8826086956506</v>
      </c>
      <c r="L25" s="11">
        <f t="shared" si="2"/>
        <v>2.6998826086956504</v>
      </c>
      <c r="M25" s="27">
        <f t="shared" si="3"/>
        <v>-8.2796399999999988</v>
      </c>
      <c r="N25" s="18">
        <f t="shared" si="4"/>
        <v>-2699.8826086956528</v>
      </c>
      <c r="O25" s="1">
        <f t="shared" si="5"/>
        <v>2.6998826086956527</v>
      </c>
      <c r="P25" s="1"/>
      <c r="Q25" s="1"/>
    </row>
    <row r="26" spans="5:17" x14ac:dyDescent="0.2">
      <c r="E26" s="27"/>
      <c r="F26" s="28"/>
      <c r="G26" s="28"/>
      <c r="H26" s="19">
        <v>-1</v>
      </c>
      <c r="I26" s="20">
        <f t="shared" si="9"/>
        <v>-6974.6967391304352</v>
      </c>
      <c r="J26" s="19">
        <f t="shared" si="1"/>
        <v>6.9746967391304349</v>
      </c>
      <c r="K26" s="20">
        <f t="shared" si="6"/>
        <v>-1304.9432608695643</v>
      </c>
      <c r="L26" s="19">
        <f t="shared" si="2"/>
        <v>1.3049432608695644</v>
      </c>
      <c r="M26" s="27">
        <f t="shared" si="3"/>
        <v>-8.2796399999999988</v>
      </c>
      <c r="N26" s="18">
        <f t="shared" si="4"/>
        <v>-3005.2264751552793</v>
      </c>
      <c r="O26" s="1">
        <f t="shared" si="5"/>
        <v>3.0052264751552795</v>
      </c>
      <c r="P26" s="1"/>
      <c r="Q26" s="1"/>
    </row>
    <row r="27" spans="5:17" x14ac:dyDescent="0.2">
      <c r="E27" s="27"/>
      <c r="F27" s="28"/>
      <c r="G27" s="28"/>
      <c r="H27" s="19">
        <v>-1.2</v>
      </c>
      <c r="I27" s="20">
        <f t="shared" si="9"/>
        <v>-8369.6360869565215</v>
      </c>
      <c r="J27" s="19">
        <f t="shared" si="1"/>
        <v>8.3696360869565218</v>
      </c>
      <c r="K27" s="20">
        <f t="shared" si="6"/>
        <v>89.996086956525687</v>
      </c>
      <c r="L27" s="19">
        <f t="shared" si="2"/>
        <v>-8.9996086956525681E-2</v>
      </c>
      <c r="M27" s="27">
        <f t="shared" si="3"/>
        <v>-8.279639999999997</v>
      </c>
      <c r="N27" s="18">
        <f t="shared" si="4"/>
        <v>-3193.3094302848576</v>
      </c>
      <c r="O27" s="1">
        <f t="shared" si="5"/>
        <v>3.1933094302848577</v>
      </c>
      <c r="P27" s="1"/>
      <c r="Q27" s="1"/>
    </row>
    <row r="28" spans="5:17" x14ac:dyDescent="0.2">
      <c r="E28" s="30">
        <v>-1</v>
      </c>
      <c r="F28" s="31">
        <f>($B$8/$B$9)*($B$14*$B$11*COS($B$13) - $B$14*$B$12*SIN($B$13)-$B$12*E28*$B$14)</f>
        <v>7424.6771739130436</v>
      </c>
      <c r="G28" s="31">
        <f>($B$8/$B$9)*($B$14*$B$10*COS($B$13) + $B$14*$B$12*SIN($B$13)+$B$12*E28*$B$14)</f>
        <v>2924.8728260869561</v>
      </c>
      <c r="H28" s="19">
        <v>-0.2</v>
      </c>
      <c r="I28" s="20">
        <f>$F$28*H28</f>
        <v>-1484.9354347826088</v>
      </c>
      <c r="J28" s="19">
        <f t="shared" si="1"/>
        <v>1.4849354347826087</v>
      </c>
      <c r="K28" s="20">
        <f t="shared" si="6"/>
        <v>-8864.6145652173873</v>
      </c>
      <c r="L28" s="19">
        <f t="shared" si="2"/>
        <v>8.8646145652173871</v>
      </c>
      <c r="M28" s="30">
        <f t="shared" si="3"/>
        <v>-10.349549999999995</v>
      </c>
      <c r="N28" s="18">
        <f t="shared" si="4"/>
        <v>-929.95956521739151</v>
      </c>
      <c r="O28" s="1">
        <f t="shared" si="5"/>
        <v>0.92995956521739154</v>
      </c>
      <c r="P28" s="1"/>
      <c r="Q28" s="1"/>
    </row>
    <row r="29" spans="5:17" x14ac:dyDescent="0.2">
      <c r="E29" s="30"/>
      <c r="F29" s="31"/>
      <c r="G29" s="31"/>
      <c r="H29" s="19">
        <v>-0.4</v>
      </c>
      <c r="I29" s="20">
        <f t="shared" ref="I29:I33" si="10">$F$28*H29</f>
        <v>-2969.8708695652176</v>
      </c>
      <c r="J29" s="19">
        <f t="shared" si="1"/>
        <v>2.9698708695652174</v>
      </c>
      <c r="K29" s="20">
        <f t="shared" si="6"/>
        <v>-7379.6791304347789</v>
      </c>
      <c r="L29" s="19">
        <f t="shared" si="2"/>
        <v>7.3796791304347789</v>
      </c>
      <c r="M29" s="30">
        <f t="shared" si="3"/>
        <v>-10.349549999999997</v>
      </c>
      <c r="N29" s="18">
        <f t="shared" si="4"/>
        <v>-1666.7275304347827</v>
      </c>
      <c r="O29" s="1">
        <f t="shared" si="5"/>
        <v>1.6667275304347826</v>
      </c>
      <c r="P29" s="1"/>
      <c r="Q29" s="1"/>
    </row>
    <row r="30" spans="5:17" x14ac:dyDescent="0.2">
      <c r="E30" s="30"/>
      <c r="F30" s="31"/>
      <c r="G30" s="31"/>
      <c r="H30" s="19">
        <v>-0.6</v>
      </c>
      <c r="I30" s="20">
        <f t="shared" si="10"/>
        <v>-4454.806304347826</v>
      </c>
      <c r="J30" s="19">
        <f t="shared" si="1"/>
        <v>4.4548063043478257</v>
      </c>
      <c r="K30" s="20">
        <f t="shared" si="6"/>
        <v>-5894.7436956521706</v>
      </c>
      <c r="L30" s="19">
        <f t="shared" si="2"/>
        <v>5.8947436956521706</v>
      </c>
      <c r="M30" s="30">
        <f t="shared" si="3"/>
        <v>-10.349549999999997</v>
      </c>
      <c r="N30" s="18">
        <f t="shared" si="4"/>
        <v>-2232.5952341137126</v>
      </c>
      <c r="O30" s="1">
        <f t="shared" si="5"/>
        <v>2.2325952341137127</v>
      </c>
      <c r="P30" s="1"/>
      <c r="Q30" s="1"/>
    </row>
    <row r="31" spans="5:17" x14ac:dyDescent="0.2">
      <c r="E31" s="30"/>
      <c r="F31" s="31"/>
      <c r="G31" s="31"/>
      <c r="H31" s="19">
        <v>-0.8</v>
      </c>
      <c r="I31" s="20">
        <f t="shared" si="10"/>
        <v>-5939.7417391304352</v>
      </c>
      <c r="J31" s="19">
        <f t="shared" si="1"/>
        <v>5.9397417391304348</v>
      </c>
      <c r="K31" s="20">
        <f t="shared" si="6"/>
        <v>-4409.8082608695622</v>
      </c>
      <c r="L31" s="19">
        <f t="shared" si="2"/>
        <v>4.4098082608695623</v>
      </c>
      <c r="M31" s="30">
        <f t="shared" si="3"/>
        <v>-10.349549999999997</v>
      </c>
      <c r="N31" s="18">
        <f t="shared" si="4"/>
        <v>-2646.5515942028992</v>
      </c>
      <c r="O31" s="1">
        <f t="shared" si="5"/>
        <v>2.646551594202899</v>
      </c>
      <c r="P31" s="1"/>
      <c r="Q31" s="1"/>
    </row>
    <row r="32" spans="5:17" x14ac:dyDescent="0.2">
      <c r="E32" s="30"/>
      <c r="F32" s="31"/>
      <c r="G32" s="31"/>
      <c r="H32" s="13">
        <v>-1</v>
      </c>
      <c r="I32" s="14">
        <f t="shared" si="10"/>
        <v>-7424.6771739130436</v>
      </c>
      <c r="J32" s="13">
        <f t="shared" si="1"/>
        <v>7.4246771739130439</v>
      </c>
      <c r="K32" s="14">
        <f t="shared" si="6"/>
        <v>-2924.8728260869539</v>
      </c>
      <c r="L32" s="13">
        <f t="shared" si="2"/>
        <v>2.9248728260869536</v>
      </c>
      <c r="M32" s="30">
        <f t="shared" si="3"/>
        <v>-10.349549999999997</v>
      </c>
      <c r="N32" s="18">
        <f t="shared" si="4"/>
        <v>-2924.8728260869566</v>
      </c>
      <c r="O32" s="1">
        <f t="shared" si="5"/>
        <v>2.9248728260869568</v>
      </c>
      <c r="P32" s="1"/>
      <c r="Q32" s="1"/>
    </row>
    <row r="33" spans="5:17" x14ac:dyDescent="0.2">
      <c r="E33" s="30"/>
      <c r="F33" s="31"/>
      <c r="G33" s="31"/>
      <c r="H33" s="17">
        <v>-1.2</v>
      </c>
      <c r="I33" s="18">
        <f t="shared" si="10"/>
        <v>-8909.6126086956519</v>
      </c>
      <c r="J33" s="17">
        <f t="shared" si="1"/>
        <v>8.9096126086956513</v>
      </c>
      <c r="K33" s="18">
        <f t="shared" si="6"/>
        <v>-1439.9373913043455</v>
      </c>
      <c r="L33" s="17">
        <f t="shared" si="2"/>
        <v>1.4399373913043456</v>
      </c>
      <c r="M33" s="30">
        <f t="shared" si="3"/>
        <v>-10.349549999999997</v>
      </c>
      <c r="N33" s="18">
        <f t="shared" si="4"/>
        <v>-3081.5901499250376</v>
      </c>
      <c r="O33" s="1">
        <f t="shared" si="5"/>
        <v>3.0815901499250375</v>
      </c>
      <c r="P33" s="1"/>
      <c r="Q33" s="1"/>
    </row>
    <row r="34" spans="5:17" x14ac:dyDescent="0.2">
      <c r="E34" s="29">
        <v>-1.2</v>
      </c>
      <c r="F34" s="32">
        <f>($B$8/$B$9)*($B$14*$B$11*COS($B$13) - $B$14*$B$12*SIN($B$13)-$B$12*E34*$B$14)</f>
        <v>7874.6576086956529</v>
      </c>
      <c r="G34" s="32">
        <f>($B$8/$B$9)*($B$14*$B$10*COS($B$13) + $B$14*$B$12*SIN($B$13)+$B$12*E34*$B$14)</f>
        <v>2474.8923913043477</v>
      </c>
      <c r="H34" s="17">
        <v>-0.2</v>
      </c>
      <c r="I34" s="18">
        <f>$F$34*H34</f>
        <v>-1574.9315217391306</v>
      </c>
      <c r="J34" s="17">
        <f t="shared" si="1"/>
        <v>1.5749315217391306</v>
      </c>
      <c r="K34" s="18">
        <f t="shared" si="6"/>
        <v>-10844.528478260869</v>
      </c>
      <c r="L34" s="17">
        <f t="shared" si="2"/>
        <v>10.84452847826087</v>
      </c>
      <c r="M34" s="29">
        <f t="shared" si="3"/>
        <v>-12.419460000000001</v>
      </c>
      <c r="N34" s="18">
        <f t="shared" si="4"/>
        <v>-926.20972826086972</v>
      </c>
      <c r="O34" s="1">
        <f t="shared" si="5"/>
        <v>0.92620972826086967</v>
      </c>
      <c r="P34" s="1"/>
      <c r="Q34" s="1"/>
    </row>
    <row r="35" spans="5:17" x14ac:dyDescent="0.2">
      <c r="E35" s="29"/>
      <c r="F35" s="32"/>
      <c r="G35" s="32"/>
      <c r="H35" s="17">
        <v>-0.4</v>
      </c>
      <c r="I35" s="18">
        <f t="shared" ref="I35:I39" si="11">$F$34*H35</f>
        <v>-3149.8630434782613</v>
      </c>
      <c r="J35" s="17">
        <f t="shared" si="1"/>
        <v>3.1498630434782613</v>
      </c>
      <c r="K35" s="18">
        <f t="shared" si="6"/>
        <v>-9269.5969565217347</v>
      </c>
      <c r="L35" s="17">
        <f t="shared" si="2"/>
        <v>9.2695969565217347</v>
      </c>
      <c r="M35" s="29">
        <f t="shared" si="3"/>
        <v>-12.419459999999996</v>
      </c>
      <c r="N35" s="18">
        <f t="shared" si="4"/>
        <v>-1652.3281565217392</v>
      </c>
      <c r="O35" s="1">
        <f t="shared" si="5"/>
        <v>1.6523281565217391</v>
      </c>
      <c r="P35" s="1"/>
      <c r="Q35" s="1"/>
    </row>
    <row r="36" spans="5:17" x14ac:dyDescent="0.2">
      <c r="E36" s="29"/>
      <c r="F36" s="32"/>
      <c r="G36" s="32"/>
      <c r="H36" s="17">
        <v>-0.6</v>
      </c>
      <c r="I36" s="18">
        <f t="shared" si="11"/>
        <v>-4724.7945652173912</v>
      </c>
      <c r="J36" s="17">
        <f t="shared" si="1"/>
        <v>4.7247945652173913</v>
      </c>
      <c r="K36" s="18">
        <f t="shared" si="6"/>
        <v>-7694.6654347826043</v>
      </c>
      <c r="L36" s="17">
        <f t="shared" si="2"/>
        <v>7.6946654347826042</v>
      </c>
      <c r="M36" s="29">
        <f t="shared" si="3"/>
        <v>-12.419459999999996</v>
      </c>
      <c r="N36" s="18">
        <f t="shared" si="4"/>
        <v>-2201.4427424749169</v>
      </c>
      <c r="O36" s="1">
        <f t="shared" si="5"/>
        <v>2.2014427424749168</v>
      </c>
      <c r="P36" s="1"/>
      <c r="Q36" s="1"/>
    </row>
    <row r="37" spans="5:17" x14ac:dyDescent="0.2">
      <c r="E37" s="29"/>
      <c r="F37" s="32"/>
      <c r="G37" s="32"/>
      <c r="H37" s="17">
        <v>-0.8</v>
      </c>
      <c r="I37" s="18">
        <f t="shared" si="11"/>
        <v>-6299.7260869565225</v>
      </c>
      <c r="J37" s="17">
        <f t="shared" si="1"/>
        <v>6.2997260869565226</v>
      </c>
      <c r="K37" s="18">
        <f t="shared" si="6"/>
        <v>-6119.7339130434775</v>
      </c>
      <c r="L37" s="17">
        <f t="shared" si="2"/>
        <v>6.1197339130434774</v>
      </c>
      <c r="M37" s="29">
        <f t="shared" si="3"/>
        <v>-12.419460000000001</v>
      </c>
      <c r="N37" s="18">
        <f t="shared" si="4"/>
        <v>-2593.2205797101456</v>
      </c>
      <c r="O37" s="1">
        <f t="shared" si="5"/>
        <v>2.5932205797101457</v>
      </c>
      <c r="P37" s="1"/>
      <c r="Q37" s="1"/>
    </row>
    <row r="38" spans="5:17" x14ac:dyDescent="0.2">
      <c r="E38" s="29"/>
      <c r="F38" s="32"/>
      <c r="G38" s="32"/>
      <c r="H38" s="17">
        <v>-1</v>
      </c>
      <c r="I38" s="18">
        <f t="shared" si="11"/>
        <v>-7874.6576086956529</v>
      </c>
      <c r="J38" s="17">
        <f t="shared" si="1"/>
        <v>7.874657608695653</v>
      </c>
      <c r="K38" s="18">
        <f t="shared" si="6"/>
        <v>-4544.8023913043471</v>
      </c>
      <c r="L38" s="17">
        <f t="shared" si="2"/>
        <v>4.5448023913043469</v>
      </c>
      <c r="M38" s="29">
        <f t="shared" si="3"/>
        <v>-12.419460000000001</v>
      </c>
      <c r="N38" s="18">
        <f t="shared" si="4"/>
        <v>-2844.5191770186334</v>
      </c>
      <c r="O38" s="1">
        <f t="shared" si="5"/>
        <v>2.8445191770186335</v>
      </c>
      <c r="P38" s="1"/>
      <c r="Q38" s="1"/>
    </row>
    <row r="39" spans="5:17" x14ac:dyDescent="0.2">
      <c r="E39" s="29"/>
      <c r="F39" s="32"/>
      <c r="G39" s="32"/>
      <c r="H39" s="15">
        <v>-1.2</v>
      </c>
      <c r="I39" s="16">
        <f t="shared" si="11"/>
        <v>-9449.5891304347824</v>
      </c>
      <c r="J39" s="15">
        <f t="shared" si="1"/>
        <v>9.4495891304347825</v>
      </c>
      <c r="K39" s="16">
        <f t="shared" si="6"/>
        <v>-2969.8708695652131</v>
      </c>
      <c r="L39" s="15">
        <f t="shared" si="2"/>
        <v>2.969870869565213</v>
      </c>
      <c r="M39" s="29">
        <f t="shared" si="3"/>
        <v>-12.419459999999996</v>
      </c>
      <c r="N39" s="18">
        <f t="shared" si="4"/>
        <v>-2969.8708695652176</v>
      </c>
      <c r="O39" s="1">
        <f t="shared" si="5"/>
        <v>2.9698708695652174</v>
      </c>
      <c r="P39" s="1"/>
      <c r="Q39" s="1"/>
    </row>
  </sheetData>
  <mergeCells count="24">
    <mergeCell ref="M10:M15"/>
    <mergeCell ref="M4:M9"/>
    <mergeCell ref="M16:M21"/>
    <mergeCell ref="M22:M27"/>
    <mergeCell ref="M28:M33"/>
    <mergeCell ref="M34:M39"/>
    <mergeCell ref="E28:E33"/>
    <mergeCell ref="F28:F33"/>
    <mergeCell ref="G28:G33"/>
    <mergeCell ref="E34:E39"/>
    <mergeCell ref="F34:F39"/>
    <mergeCell ref="G34:G39"/>
    <mergeCell ref="E16:E21"/>
    <mergeCell ref="F16:F21"/>
    <mergeCell ref="G16:G21"/>
    <mergeCell ref="E22:E27"/>
    <mergeCell ref="F22:F27"/>
    <mergeCell ref="G22:G27"/>
    <mergeCell ref="E4:E9"/>
    <mergeCell ref="F4:F9"/>
    <mergeCell ref="G4:G9"/>
    <mergeCell ref="E10:E15"/>
    <mergeCell ref="G10:G15"/>
    <mergeCell ref="F10:F1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G10" sqref="G10"/>
    </sheetView>
  </sheetViews>
  <sheetFormatPr baseColWidth="10" defaultColWidth="8.83203125" defaultRowHeight="15" x14ac:dyDescent="0.2"/>
  <sheetData>
    <row r="1" spans="1:22" x14ac:dyDescent="0.2">
      <c r="A1" s="33" t="s">
        <v>8</v>
      </c>
      <c r="B1" s="33">
        <f>970+10+75</f>
        <v>1055</v>
      </c>
      <c r="C1" s="33"/>
      <c r="D1" s="33" t="s">
        <v>29</v>
      </c>
      <c r="E1" s="33">
        <f>(B4-B8*B5)/(B2+B5*B8-B4)</f>
        <v>1.4210526315789476</v>
      </c>
      <c r="F1" s="33"/>
      <c r="G1" s="34" t="s">
        <v>18</v>
      </c>
      <c r="H1" s="34" t="s">
        <v>33</v>
      </c>
      <c r="I1" s="34" t="s">
        <v>31</v>
      </c>
      <c r="J1" s="34" t="s">
        <v>32</v>
      </c>
      <c r="K1" s="34" t="s">
        <v>30</v>
      </c>
      <c r="L1" s="34" t="s">
        <v>35</v>
      </c>
      <c r="M1" s="34" t="s">
        <v>36</v>
      </c>
      <c r="N1" s="34" t="s">
        <v>37</v>
      </c>
      <c r="O1" s="34" t="s">
        <v>2</v>
      </c>
      <c r="P1" s="34" t="s">
        <v>16</v>
      </c>
      <c r="Q1" s="34"/>
      <c r="R1" s="34" t="s">
        <v>38</v>
      </c>
      <c r="S1" s="34" t="s">
        <v>39</v>
      </c>
      <c r="T1" s="34" t="s">
        <v>40</v>
      </c>
      <c r="U1" s="34" t="s">
        <v>41</v>
      </c>
      <c r="V1" s="34" t="s">
        <v>42</v>
      </c>
    </row>
    <row r="2" spans="1:22" x14ac:dyDescent="0.2">
      <c r="A2" s="33" t="s">
        <v>9</v>
      </c>
      <c r="B2" s="33">
        <v>2.2999999999999998</v>
      </c>
      <c r="C2" s="33"/>
      <c r="D2" s="34" t="s">
        <v>43</v>
      </c>
      <c r="E2" s="35">
        <f>(B4-B9*B5)/(B2+B5*B9-B4)</f>
        <v>2.5384615384615388</v>
      </c>
      <c r="F2" s="33"/>
      <c r="G2" s="33">
        <v>0</v>
      </c>
      <c r="H2" s="33">
        <f t="shared" ref="H2:H7" si="0">ABS(G2)</f>
        <v>0</v>
      </c>
      <c r="I2" s="36">
        <f t="shared" ref="I2:I7" si="1">($B$4*($E$1+1))/($B$2*$E$1+G2*$B$5*($E$1+1))</f>
        <v>0.85185185185185197</v>
      </c>
      <c r="J2" s="36">
        <f t="shared" ref="J2:J7" si="2">($B$3*($E$1+1))/($B$2-G2*$B$5*($E$1+1))</f>
        <v>1.2105263157894739</v>
      </c>
      <c r="K2" s="36">
        <f t="shared" ref="K2:K7" si="3">MIN(I2:J2)</f>
        <v>0.85185185185185197</v>
      </c>
      <c r="L2" s="36">
        <f>($B$4*($E$2+1))/($B$2*$E$2+G2*$B$5*($E$2+1))</f>
        <v>0.69696969696969691</v>
      </c>
      <c r="M2" s="36">
        <f>($B$3*($E$2+1))/($B$2-G2*$B$5*($E$2+1))</f>
        <v>1.7692307692307692</v>
      </c>
      <c r="N2" s="36">
        <f t="shared" ref="N2:N7" si="4">MIN(L2:M2)</f>
        <v>0.69696969696969691</v>
      </c>
      <c r="O2" s="37">
        <v>-1124.9510869565217</v>
      </c>
      <c r="P2" s="37">
        <f>O2/$E$1</f>
        <v>-791.63224637681151</v>
      </c>
      <c r="Q2" s="37"/>
      <c r="R2" s="33">
        <f>(O2+P2)/B1</f>
        <v>-1.8166666666666667</v>
      </c>
      <c r="S2" s="33">
        <f t="shared" ref="S2:S7" si="5">$B$2/(($B$1*$B$7*$B$4)/O2-$B$5*(1+P2/O2))</f>
        <v>-0.20119225037257824</v>
      </c>
      <c r="T2" s="38">
        <f t="shared" ref="T2:T7" si="6">ABS(S2)</f>
        <v>0.20119225037257824</v>
      </c>
      <c r="U2" s="39">
        <f>S2*$B$7</f>
        <v>-1.9736959761549926</v>
      </c>
      <c r="V2" s="40">
        <f>R2/U2</f>
        <v>0.92043895747599447</v>
      </c>
    </row>
    <row r="3" spans="1:22" x14ac:dyDescent="0.2">
      <c r="A3" s="33" t="s">
        <v>10</v>
      </c>
      <c r="B3" s="33">
        <v>1.1499999999999999</v>
      </c>
      <c r="C3" s="33"/>
      <c r="D3" s="34" t="s">
        <v>34</v>
      </c>
      <c r="E3" s="35">
        <f>(E9-E7)/(E10-E8)</f>
        <v>3.7792207792207844</v>
      </c>
      <c r="F3" s="33"/>
      <c r="G3" s="33">
        <v>-0.2</v>
      </c>
      <c r="H3" s="33">
        <f t="shared" si="0"/>
        <v>0.2</v>
      </c>
      <c r="I3" s="36">
        <f t="shared" si="1"/>
        <v>0.92</v>
      </c>
      <c r="J3" s="36">
        <f t="shared" si="2"/>
        <v>1.0952380952380956</v>
      </c>
      <c r="K3" s="36">
        <f t="shared" si="3"/>
        <v>0.92</v>
      </c>
      <c r="L3" s="36">
        <f t="shared" ref="L3:L7" si="7">($B$4*($E$2+1))/($B$2*$E$2+G3*$B$5*($E$2+1))</f>
        <v>0.74193548387096764</v>
      </c>
      <c r="M3" s="36">
        <f t="shared" ref="M3:M7" si="8">($B$3*($E$2+1))/($B$2-G3*$B$5*($E$2+1))</f>
        <v>1.5333333333333332</v>
      </c>
      <c r="N3" s="36">
        <f t="shared" si="4"/>
        <v>0.74193548387096764</v>
      </c>
      <c r="O3" s="37">
        <v>-2429.8943478260871</v>
      </c>
      <c r="P3" s="37">
        <f t="shared" ref="P3:P4" si="9">O3/$E$1</f>
        <v>-1709.925652173913</v>
      </c>
      <c r="Q3" s="37"/>
      <c r="R3" s="39">
        <f>(O3+P3)/$B$1</f>
        <v>-3.9239999999999999</v>
      </c>
      <c r="S3" s="33">
        <f t="shared" si="5"/>
        <v>-0.39999999999999997</v>
      </c>
      <c r="T3" s="38">
        <f t="shared" si="6"/>
        <v>0.39999999999999997</v>
      </c>
      <c r="U3" s="39">
        <f t="shared" ref="U3:U7" si="10">S3*$B$7</f>
        <v>-3.9239999999999999</v>
      </c>
      <c r="V3" s="40">
        <f>R3/U3</f>
        <v>1</v>
      </c>
    </row>
    <row r="4" spans="1:22" x14ac:dyDescent="0.2">
      <c r="A4" s="33" t="s">
        <v>11</v>
      </c>
      <c r="B4" s="33">
        <f>B2-B3</f>
        <v>1.1499999999999999</v>
      </c>
      <c r="C4" s="33"/>
      <c r="D4" s="33"/>
      <c r="E4" s="33"/>
      <c r="F4" s="33"/>
      <c r="G4" s="33">
        <v>-0.4</v>
      </c>
      <c r="H4" s="33">
        <f t="shared" si="0"/>
        <v>0.4</v>
      </c>
      <c r="I4" s="36">
        <f t="shared" si="1"/>
        <v>1.0000000000000002</v>
      </c>
      <c r="J4" s="36">
        <f t="shared" si="2"/>
        <v>1.0000000000000002</v>
      </c>
      <c r="K4" s="36">
        <f t="shared" si="3"/>
        <v>1.0000000000000002</v>
      </c>
      <c r="L4" s="36">
        <f t="shared" si="7"/>
        <v>0.79310344827586199</v>
      </c>
      <c r="M4" s="36">
        <f t="shared" si="8"/>
        <v>1.3529411764705881</v>
      </c>
      <c r="N4" s="36">
        <f t="shared" si="4"/>
        <v>0.79310344827586199</v>
      </c>
      <c r="O4" s="37">
        <v>-3914.8297826086955</v>
      </c>
      <c r="P4" s="37">
        <f t="shared" si="9"/>
        <v>-2754.8802173913036</v>
      </c>
      <c r="Q4" s="37">
        <f>$E$12+E7/$E$3</f>
        <v>-1538.9330869565206</v>
      </c>
      <c r="R4" s="39">
        <f>(O4+Q4)/$B$1</f>
        <v>-5.1694434782608685</v>
      </c>
      <c r="S4" s="33">
        <f t="shared" si="5"/>
        <v>-0.59094339622641512</v>
      </c>
      <c r="T4" s="38">
        <f t="shared" si="6"/>
        <v>0.59094339622641512</v>
      </c>
      <c r="U4" s="39">
        <f t="shared" si="10"/>
        <v>-5.797154716981133</v>
      </c>
      <c r="V4" s="40">
        <f t="shared" ref="V4:V7" si="11">R4/U4</f>
        <v>0.89172080626353456</v>
      </c>
    </row>
    <row r="5" spans="1:22" x14ac:dyDescent="0.2">
      <c r="A5" s="33" t="s">
        <v>12</v>
      </c>
      <c r="B5" s="33">
        <v>0.5</v>
      </c>
      <c r="C5" s="33"/>
      <c r="D5" s="33" t="s">
        <v>44</v>
      </c>
      <c r="E5" s="41">
        <v>-2429.8943478260871</v>
      </c>
      <c r="F5" s="33"/>
      <c r="G5" s="33">
        <v>-0.6</v>
      </c>
      <c r="H5" s="33">
        <f t="shared" si="0"/>
        <v>0.6</v>
      </c>
      <c r="I5" s="36">
        <f t="shared" si="1"/>
        <v>1.0952380952380953</v>
      </c>
      <c r="J5" s="36">
        <f t="shared" si="2"/>
        <v>0.92000000000000015</v>
      </c>
      <c r="K5" s="36">
        <f t="shared" si="3"/>
        <v>0.92000000000000015</v>
      </c>
      <c r="L5" s="36">
        <f t="shared" si="7"/>
        <v>0.85185185185185164</v>
      </c>
      <c r="M5" s="36">
        <f t="shared" si="8"/>
        <v>1.2105263157894737</v>
      </c>
      <c r="N5" s="36">
        <f t="shared" si="4"/>
        <v>0.85185185185185164</v>
      </c>
      <c r="O5" s="37">
        <v>-5579.7573913043489</v>
      </c>
      <c r="P5" s="37">
        <f>O5/$E$3 +$E$12</f>
        <v>-2436.6981757059598</v>
      </c>
      <c r="Q5" s="37">
        <f>$E$12+O5/$E$3</f>
        <v>-2436.6981757059598</v>
      </c>
      <c r="R5" s="39">
        <f>(O5+Q5)/$B$1</f>
        <v>-7.5985360824742267</v>
      </c>
      <c r="S5" s="33">
        <f t="shared" si="5"/>
        <v>-0.80661674304236053</v>
      </c>
      <c r="T5" s="38">
        <f t="shared" si="6"/>
        <v>0.80661674304236053</v>
      </c>
      <c r="U5" s="39">
        <f t="shared" si="10"/>
        <v>-7.9129102492455567</v>
      </c>
      <c r="V5" s="40">
        <f t="shared" si="11"/>
        <v>0.96027072759970911</v>
      </c>
    </row>
    <row r="6" spans="1:22" x14ac:dyDescent="0.2">
      <c r="A6" s="34" t="s">
        <v>7</v>
      </c>
      <c r="B6" s="33">
        <v>0</v>
      </c>
      <c r="C6" s="33"/>
      <c r="D6" s="33" t="s">
        <v>45</v>
      </c>
      <c r="E6" s="41">
        <v>-1709.9256521739117</v>
      </c>
      <c r="F6" s="33"/>
      <c r="G6" s="33">
        <v>-0.8</v>
      </c>
      <c r="H6" s="33">
        <f t="shared" si="0"/>
        <v>0.8</v>
      </c>
      <c r="I6" s="36">
        <f t="shared" si="1"/>
        <v>1.2105263157894739</v>
      </c>
      <c r="J6" s="36">
        <f t="shared" si="2"/>
        <v>0.85185185185185197</v>
      </c>
      <c r="K6" s="36">
        <f t="shared" si="3"/>
        <v>0.85185185185185197</v>
      </c>
      <c r="L6" s="36">
        <f t="shared" si="7"/>
        <v>0.91999999999999993</v>
      </c>
      <c r="M6" s="36">
        <f t="shared" si="8"/>
        <v>1.0952380952380951</v>
      </c>
      <c r="N6" s="36">
        <f t="shared" si="4"/>
        <v>0.91999999999999993</v>
      </c>
      <c r="O6" s="37">
        <v>-7424.6771739130436</v>
      </c>
      <c r="P6" s="37">
        <f t="shared" ref="P6:P7" si="12">O6/$E$3 +$E$12</f>
        <v>-2924.8728260869539</v>
      </c>
      <c r="Q6" s="37">
        <f t="shared" ref="Q6" si="13">$E$12+O6/$E$3</f>
        <v>-2924.8728260869539</v>
      </c>
      <c r="R6" s="39">
        <f>(O6+Q6)/$B$1</f>
        <v>-9.8099999999999969</v>
      </c>
      <c r="S6" s="33">
        <f t="shared" si="5"/>
        <v>-1</v>
      </c>
      <c r="T6" s="38">
        <f t="shared" si="6"/>
        <v>1</v>
      </c>
      <c r="U6" s="39">
        <f t="shared" si="10"/>
        <v>-9.81</v>
      </c>
      <c r="V6" s="40">
        <f t="shared" si="11"/>
        <v>0.99999999999999967</v>
      </c>
    </row>
    <row r="7" spans="1:22" x14ac:dyDescent="0.2">
      <c r="A7" s="34" t="s">
        <v>25</v>
      </c>
      <c r="B7" s="33">
        <v>9.81</v>
      </c>
      <c r="C7" s="33"/>
      <c r="D7" s="33" t="s">
        <v>46</v>
      </c>
      <c r="E7" s="41">
        <f>E8*E1</f>
        <v>-2186.9049130434769</v>
      </c>
      <c r="F7" s="33"/>
      <c r="G7" s="33">
        <v>-1</v>
      </c>
      <c r="H7" s="33">
        <f t="shared" si="0"/>
        <v>1</v>
      </c>
      <c r="I7" s="36">
        <f t="shared" si="1"/>
        <v>1.3529411764705885</v>
      </c>
      <c r="J7" s="36">
        <f t="shared" si="2"/>
        <v>0.79310344827586221</v>
      </c>
      <c r="K7" s="36">
        <f t="shared" si="3"/>
        <v>0.79310344827586221</v>
      </c>
      <c r="L7" s="36">
        <f t="shared" si="7"/>
        <v>0.99999999999999978</v>
      </c>
      <c r="M7" s="36">
        <f t="shared" si="8"/>
        <v>1</v>
      </c>
      <c r="N7" s="36">
        <f t="shared" si="4"/>
        <v>0.99999999999999978</v>
      </c>
      <c r="O7" s="37">
        <v>-9449.5891304347824</v>
      </c>
      <c r="P7" s="37">
        <f t="shared" si="12"/>
        <v>-3460.6742716270696</v>
      </c>
      <c r="Q7" s="37">
        <f>$E$12+O7/$E$3</f>
        <v>-3460.6742716270696</v>
      </c>
      <c r="R7" s="39">
        <f t="shared" ref="R7" si="14">(O7+Q7)/$B$1</f>
        <v>-12.237216494845358</v>
      </c>
      <c r="S7" s="33">
        <f t="shared" si="5"/>
        <v>-1.1839581517000872</v>
      </c>
      <c r="T7" s="38">
        <f t="shared" si="6"/>
        <v>1.1839581517000872</v>
      </c>
      <c r="U7" s="39">
        <f t="shared" si="10"/>
        <v>-11.614629468177856</v>
      </c>
      <c r="V7" s="40">
        <f t="shared" si="11"/>
        <v>1.0536036925132468</v>
      </c>
    </row>
    <row r="8" spans="1:22" x14ac:dyDescent="0.2">
      <c r="A8" s="34" t="s">
        <v>18</v>
      </c>
      <c r="B8" s="33">
        <v>-0.4</v>
      </c>
      <c r="C8" s="33"/>
      <c r="D8" s="33" t="s">
        <v>47</v>
      </c>
      <c r="E8" s="41">
        <f>E6*0.9</f>
        <v>-1538.9330869565206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9"/>
      <c r="S8" s="33"/>
      <c r="T8" s="39"/>
      <c r="U8" s="33"/>
      <c r="V8" s="33"/>
    </row>
    <row r="9" spans="1:22" x14ac:dyDescent="0.2">
      <c r="A9" s="34" t="s">
        <v>48</v>
      </c>
      <c r="B9" s="33">
        <v>-1</v>
      </c>
      <c r="C9" s="33"/>
      <c r="D9" s="33" t="s">
        <v>49</v>
      </c>
      <c r="E9" s="41">
        <v>-7424.6771739130436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x14ac:dyDescent="0.2">
      <c r="A10" s="33"/>
      <c r="B10" s="33"/>
      <c r="C10" s="33"/>
      <c r="D10" s="33" t="s">
        <v>50</v>
      </c>
      <c r="E10" s="41">
        <v>-2924.8728260869539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">
      <c r="A12" s="33"/>
      <c r="B12" s="33"/>
      <c r="C12" s="33"/>
      <c r="D12" s="33" t="s">
        <v>51</v>
      </c>
      <c r="E12" s="41">
        <f>E8-(1/E3)*E7</f>
        <v>-960.26752577319587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Ideal_braking</vt:lpstr>
      <vt:lpstr>Real_braking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 NICCOLO'</dc:creator>
  <cp:lastModifiedBy>Microsoft Office User</cp:lastModifiedBy>
  <dcterms:created xsi:type="dcterms:W3CDTF">2017-11-29T09:23:44Z</dcterms:created>
  <dcterms:modified xsi:type="dcterms:W3CDTF">2017-12-11T20:33:44Z</dcterms:modified>
</cp:coreProperties>
</file>