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307bb2d9fb97e0/Desktop/Verity/"/>
    </mc:Choice>
  </mc:AlternateContent>
  <xr:revisionPtr revIDLastSave="0" documentId="8_{6BE5DB08-DEFF-47CF-87E9-C5FFEE5F18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aln" sheetId="8" r:id="rId1"/>
    <sheet name="PL" sheetId="1" r:id="rId2"/>
    <sheet name="Expenses Analysis" sheetId="4" state="hidden" r:id="rId3"/>
    <sheet name="Professional Fees" sheetId="6" state="hidden" r:id="rId4"/>
    <sheet name="BS" sheetId="2" r:id="rId5"/>
    <sheet name="FA" sheetId="7" r:id="rId6"/>
    <sheet name="COE" sheetId="9" r:id="rId7"/>
    <sheet name="Working of FY23" sheetId="10" r:id="rId8"/>
    <sheet name="India  SIngapore UK" sheetId="3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8" l="1"/>
  <c r="E23" i="8"/>
  <c r="I26" i="2"/>
  <c r="J26" i="2" s="1"/>
  <c r="K26" i="2" s="1"/>
  <c r="L26" i="2" s="1"/>
  <c r="M26" i="2" s="1"/>
  <c r="J27" i="2"/>
  <c r="K27" i="2" s="1"/>
  <c r="L27" i="2" s="1"/>
  <c r="M27" i="2" s="1"/>
  <c r="I27" i="2"/>
  <c r="G24" i="2"/>
  <c r="G23" i="2"/>
  <c r="I12" i="2"/>
  <c r="J12" i="2" s="1"/>
  <c r="K12" i="2" s="1"/>
  <c r="L12" i="2" s="1"/>
  <c r="M12" i="2" s="1"/>
  <c r="C17" i="2"/>
  <c r="D17" i="2"/>
  <c r="E17" i="2"/>
  <c r="I5" i="2"/>
  <c r="H26" i="1"/>
  <c r="E4" i="7"/>
  <c r="I14" i="1"/>
  <c r="I15" i="1"/>
  <c r="K15" i="1" s="1"/>
  <c r="I16" i="1"/>
  <c r="I13" i="1"/>
  <c r="C16" i="1"/>
  <c r="D7" i="10"/>
  <c r="D8" i="10"/>
  <c r="C7" i="10"/>
  <c r="C8" i="10"/>
  <c r="C9" i="10"/>
  <c r="K6" i="1"/>
  <c r="K13" i="1" s="1"/>
  <c r="F24" i="8" l="1"/>
  <c r="E24" i="8" s="1"/>
  <c r="I24" i="8"/>
  <c r="K14" i="1"/>
  <c r="K16" i="1"/>
  <c r="I24" i="2"/>
  <c r="I23" i="2"/>
  <c r="H12" i="8"/>
  <c r="L24" i="8" l="1"/>
  <c r="L25" i="8"/>
  <c r="L26" i="8"/>
  <c r="L27" i="8"/>
  <c r="C7" i="9"/>
  <c r="I20" i="2"/>
  <c r="D40" i="1" l="1"/>
  <c r="E32" i="2"/>
  <c r="E36" i="1" s="1"/>
  <c r="C36" i="1"/>
  <c r="D32" i="2"/>
  <c r="D36" i="1" s="1"/>
  <c r="D34" i="2"/>
  <c r="C33" i="2"/>
  <c r="D33" i="2"/>
  <c r="H20" i="1"/>
  <c r="I20" i="1" s="1"/>
  <c r="K20" i="1" s="1"/>
  <c r="L20" i="1" s="1"/>
  <c r="M20" i="1" s="1"/>
  <c r="N20" i="1" s="1"/>
  <c r="O20" i="1" s="1"/>
  <c r="P20" i="1" s="1"/>
  <c r="G18" i="1"/>
  <c r="F26" i="1"/>
  <c r="F30" i="1"/>
  <c r="H19" i="1"/>
  <c r="I19" i="1" s="1"/>
  <c r="H18" i="1"/>
  <c r="I18" i="1" s="1"/>
  <c r="K18" i="1" s="1"/>
  <c r="L18" i="1" s="1"/>
  <c r="M18" i="1" s="1"/>
  <c r="N18" i="1" s="1"/>
  <c r="O18" i="1" s="1"/>
  <c r="P18" i="1" s="1"/>
  <c r="E14" i="1"/>
  <c r="D14" i="1"/>
  <c r="C14" i="1"/>
  <c r="E13" i="1"/>
  <c r="C13" i="1"/>
  <c r="D13" i="1"/>
  <c r="D7" i="1"/>
  <c r="E40" i="1"/>
  <c r="E16" i="1"/>
  <c r="D16" i="1"/>
  <c r="E15" i="1"/>
  <c r="D15" i="1"/>
  <c r="C15" i="1"/>
  <c r="C10" i="1"/>
  <c r="F5" i="1"/>
  <c r="G5" i="1"/>
  <c r="H5" i="1"/>
  <c r="K5" i="1"/>
  <c r="L5" i="1" s="1"/>
  <c r="M5" i="1" s="1"/>
  <c r="N5" i="1" s="1"/>
  <c r="O5" i="1" s="1"/>
  <c r="E7" i="1"/>
  <c r="D10" i="1"/>
  <c r="E10" i="1"/>
  <c r="F17" i="1"/>
  <c r="G17" i="1"/>
  <c r="H17" i="1"/>
  <c r="I17" i="1" s="1"/>
  <c r="F18" i="1"/>
  <c r="F19" i="1"/>
  <c r="G19" i="1"/>
  <c r="F20" i="1"/>
  <c r="G20" i="1"/>
  <c r="G26" i="1"/>
  <c r="G30" i="1"/>
  <c r="H30" i="1"/>
  <c r="K40" i="1"/>
  <c r="F6" i="1" l="1"/>
  <c r="F9" i="1"/>
  <c r="I30" i="1"/>
  <c r="H6" i="1"/>
  <c r="H9" i="1"/>
  <c r="G11" i="2"/>
  <c r="C22" i="1"/>
  <c r="C24" i="1" s="1"/>
  <c r="I26" i="1"/>
  <c r="K26" i="1" s="1"/>
  <c r="G6" i="1"/>
  <c r="G9" i="1"/>
  <c r="D22" i="1"/>
  <c r="D24" i="1" s="1"/>
  <c r="G24" i="1" s="1"/>
  <c r="G10" i="1"/>
  <c r="F10" i="1"/>
  <c r="H10" i="1"/>
  <c r="E22" i="1"/>
  <c r="K36" i="1"/>
  <c r="L6" i="1"/>
  <c r="C34" i="2"/>
  <c r="K19" i="1"/>
  <c r="D28" i="1"/>
  <c r="K17" i="1"/>
  <c r="C29" i="2"/>
  <c r="E29" i="2"/>
  <c r="D29" i="2"/>
  <c r="E24" i="1" l="1"/>
  <c r="H24" i="1" s="1"/>
  <c r="C19" i="8"/>
  <c r="K22" i="1"/>
  <c r="K24" i="1" s="1"/>
  <c r="I11" i="2"/>
  <c r="I9" i="1"/>
  <c r="K9" i="1" s="1"/>
  <c r="L15" i="1"/>
  <c r="L16" i="1"/>
  <c r="L13" i="1"/>
  <c r="L14" i="1"/>
  <c r="J24" i="2"/>
  <c r="J23" i="2"/>
  <c r="C30" i="2"/>
  <c r="E30" i="2"/>
  <c r="C28" i="1"/>
  <c r="C32" i="1" s="1"/>
  <c r="C33" i="1" s="1"/>
  <c r="C34" i="1" s="1"/>
  <c r="F24" i="1"/>
  <c r="I24" i="1" s="1"/>
  <c r="K10" i="1"/>
  <c r="E5" i="7"/>
  <c r="L9" i="1"/>
  <c r="L10" i="1" s="1"/>
  <c r="L17" i="1"/>
  <c r="L19" i="1"/>
  <c r="M6" i="1"/>
  <c r="D32" i="1"/>
  <c r="D33" i="1" s="1"/>
  <c r="D34" i="1" s="1"/>
  <c r="E28" i="1"/>
  <c r="E32" i="1" s="1"/>
  <c r="E33" i="1" s="1"/>
  <c r="E34" i="1" s="1"/>
  <c r="I6" i="2" s="1"/>
  <c r="R22" i="1"/>
  <c r="E3" i="10"/>
  <c r="E2" i="10"/>
  <c r="G2" i="10" l="1"/>
  <c r="F2" i="10"/>
  <c r="F3" i="10"/>
  <c r="G3" i="10"/>
  <c r="M13" i="1"/>
  <c r="M15" i="1"/>
  <c r="M16" i="1"/>
  <c r="M14" i="1"/>
  <c r="K24" i="2"/>
  <c r="K23" i="2"/>
  <c r="L22" i="1"/>
  <c r="L24" i="1" s="1"/>
  <c r="J11" i="2"/>
  <c r="G32" i="1"/>
  <c r="C39" i="1"/>
  <c r="C41" i="1" s="1"/>
  <c r="S24" i="1"/>
  <c r="M9" i="1"/>
  <c r="M10" i="1" s="1"/>
  <c r="M19" i="1"/>
  <c r="M17" i="1"/>
  <c r="N6" i="1"/>
  <c r="H32" i="1"/>
  <c r="G34" i="1"/>
  <c r="D39" i="1"/>
  <c r="D41" i="1" s="1"/>
  <c r="H34" i="1"/>
  <c r="E39" i="1"/>
  <c r="E41" i="1" s="1"/>
  <c r="F32" i="1"/>
  <c r="F34" i="1"/>
  <c r="R24" i="1"/>
  <c r="G13" i="2"/>
  <c r="G14" i="2"/>
  <c r="C9" i="9"/>
  <c r="C12" i="9" s="1"/>
  <c r="C15" i="8" s="1"/>
  <c r="C18" i="8"/>
  <c r="C4" i="8"/>
  <c r="E34" i="2"/>
  <c r="I3" i="2"/>
  <c r="E2" i="7" s="1"/>
  <c r="D3" i="2"/>
  <c r="E3" i="2"/>
  <c r="C3" i="2"/>
  <c r="N13" i="1" l="1"/>
  <c r="N14" i="1"/>
  <c r="N15" i="1"/>
  <c r="N16" i="1"/>
  <c r="L24" i="2"/>
  <c r="L23" i="2"/>
  <c r="M22" i="1"/>
  <c r="M24" i="1" s="1"/>
  <c r="T24" i="1" s="1"/>
  <c r="K11" i="2"/>
  <c r="N17" i="1"/>
  <c r="O6" i="1"/>
  <c r="N19" i="1"/>
  <c r="N9" i="1"/>
  <c r="N10" i="1" s="1"/>
  <c r="D4" i="8"/>
  <c r="J3" i="2"/>
  <c r="F2" i="7" s="1"/>
  <c r="P6" i="1" l="1"/>
  <c r="O15" i="1"/>
  <c r="O16" i="1"/>
  <c r="O13" i="1"/>
  <c r="O14" i="1"/>
  <c r="M24" i="2"/>
  <c r="M23" i="2"/>
  <c r="N22" i="1"/>
  <c r="N24" i="1" s="1"/>
  <c r="U24" i="1" s="1"/>
  <c r="L11" i="2"/>
  <c r="O19" i="1"/>
  <c r="P19" i="1" s="1"/>
  <c r="O9" i="1"/>
  <c r="O10" i="1" s="1"/>
  <c r="O17" i="1"/>
  <c r="P17" i="1" s="1"/>
  <c r="E4" i="10"/>
  <c r="E4" i="8"/>
  <c r="K3" i="2"/>
  <c r="G4" i="10" l="1"/>
  <c r="F4" i="10"/>
  <c r="F5" i="10" s="1"/>
  <c r="O22" i="1"/>
  <c r="O24" i="1" s="1"/>
  <c r="M11" i="2"/>
  <c r="P14" i="1"/>
  <c r="P16" i="1"/>
  <c r="P13" i="1"/>
  <c r="P15" i="1"/>
  <c r="P9" i="1"/>
  <c r="P10" i="1" s="1"/>
  <c r="G2" i="7"/>
  <c r="V24" i="1"/>
  <c r="F4" i="8"/>
  <c r="L3" i="2"/>
  <c r="H2" i="7" s="1"/>
  <c r="D5" i="10" l="1"/>
  <c r="G5" i="10"/>
  <c r="P22" i="1"/>
  <c r="P24" i="1" s="1"/>
  <c r="W22" i="1"/>
  <c r="G4" i="8"/>
  <c r="M3" i="2"/>
  <c r="C7" i="8"/>
  <c r="D28" i="8"/>
  <c r="D29" i="8" s="1"/>
  <c r="D30" i="8" s="1"/>
  <c r="J24" i="3"/>
  <c r="J23" i="3"/>
  <c r="D6" i="8"/>
  <c r="E6" i="8" s="1"/>
  <c r="E7" i="8" s="1"/>
  <c r="D9" i="10" l="1"/>
  <c r="E5" i="10"/>
  <c r="W24" i="1"/>
  <c r="I2" i="7"/>
  <c r="D26" i="8"/>
  <c r="D25" i="8" s="1"/>
  <c r="D7" i="8"/>
  <c r="F6" i="8"/>
  <c r="F7" i="8" l="1"/>
  <c r="G6" i="8"/>
  <c r="G7" i="8" s="1"/>
  <c r="M5" i="2" l="1"/>
  <c r="I14" i="2"/>
  <c r="J5" i="2" l="1"/>
  <c r="K5" i="2"/>
  <c r="L5" i="2"/>
  <c r="E33" i="2"/>
  <c r="G33" i="2" l="1"/>
  <c r="C6" i="7" s="1"/>
  <c r="E6" i="7" s="1"/>
  <c r="J14" i="2"/>
  <c r="K14" i="2" l="1"/>
  <c r="L14" i="2" l="1"/>
  <c r="M14" i="2" l="1"/>
  <c r="E23" i="3"/>
  <c r="E24" i="3"/>
  <c r="J5" i="3" l="1"/>
  <c r="J12" i="3"/>
  <c r="K15" i="3"/>
  <c r="L15" i="3"/>
  <c r="K23" i="3"/>
  <c r="L23" i="3"/>
  <c r="L27" i="3" s="1"/>
  <c r="J27" i="3"/>
  <c r="K27" i="3"/>
  <c r="D19" i="4"/>
  <c r="D17" i="4"/>
  <c r="C17" i="4"/>
  <c r="B17" i="4"/>
  <c r="J15" i="3" l="1"/>
  <c r="C8" i="4"/>
  <c r="F6" i="4" s="1"/>
  <c r="B8" i="4"/>
  <c r="E6" i="4" s="1"/>
  <c r="D8" i="4" l="1"/>
  <c r="B13" i="3"/>
  <c r="B11" i="3"/>
  <c r="B8" i="3"/>
  <c r="D13" i="3"/>
  <c r="C13" i="3"/>
  <c r="D8" i="3"/>
  <c r="C8" i="3"/>
  <c r="D15" i="3" l="1"/>
  <c r="B15" i="3"/>
  <c r="E11" i="3"/>
  <c r="C15" i="3"/>
  <c r="E13" i="3"/>
  <c r="G6" i="4"/>
  <c r="D22" i="4"/>
  <c r="C17" i="3"/>
  <c r="D17" i="3"/>
  <c r="B17" i="3" l="1"/>
  <c r="B21" i="3" s="1"/>
  <c r="B25" i="3" s="1"/>
  <c r="B29" i="3" s="1"/>
  <c r="B33" i="3" s="1"/>
  <c r="D21" i="3"/>
  <c r="D25" i="3" s="1"/>
  <c r="D29" i="3" s="1"/>
  <c r="D33" i="3" s="1"/>
  <c r="C21" i="3"/>
  <c r="E20" i="4"/>
  <c r="E19" i="4"/>
  <c r="E17" i="3" l="1"/>
  <c r="C25" i="3"/>
  <c r="C29" i="3" s="1"/>
  <c r="E21" i="3"/>
  <c r="D30" i="2"/>
  <c r="C33" i="3" l="1"/>
  <c r="E29" i="3"/>
  <c r="J13" i="2" l="1"/>
  <c r="L13" i="2"/>
  <c r="T22" i="1" l="1"/>
  <c r="V22" i="1"/>
  <c r="K13" i="2"/>
  <c r="M13" i="2"/>
  <c r="I13" i="2"/>
  <c r="I17" i="2" s="1"/>
  <c r="C20" i="8" l="1"/>
  <c r="H10" i="8" s="1"/>
  <c r="U22" i="1"/>
  <c r="S22" i="1"/>
  <c r="K34" i="2" l="1"/>
  <c r="M34" i="2" l="1"/>
  <c r="I34" i="2" l="1"/>
  <c r="K37" i="1" l="1"/>
  <c r="I6" i="7" l="1"/>
  <c r="J6" i="7"/>
  <c r="H6" i="7"/>
  <c r="F6" i="7"/>
  <c r="G6" i="7"/>
  <c r="E7" i="7"/>
  <c r="E8" i="7" s="1"/>
  <c r="K28" i="1"/>
  <c r="P26" i="1"/>
  <c r="F3" i="7" l="1"/>
  <c r="F4" i="7" s="1"/>
  <c r="L36" i="1" s="1"/>
  <c r="K32" i="1"/>
  <c r="K33" i="1" s="1"/>
  <c r="K34" i="1" s="1"/>
  <c r="R34" i="1" s="1"/>
  <c r="C16" i="8" s="1"/>
  <c r="P35" i="1"/>
  <c r="P28" i="1"/>
  <c r="P32" i="1" s="1"/>
  <c r="K39" i="1" l="1"/>
  <c r="K41" i="1" s="1"/>
  <c r="J6" i="2"/>
  <c r="P33" i="1"/>
  <c r="F5" i="7"/>
  <c r="F7" i="7" s="1"/>
  <c r="F8" i="7" s="1"/>
  <c r="J20" i="2" s="1"/>
  <c r="L26" i="1" s="1"/>
  <c r="L40" i="1" l="1"/>
  <c r="I25" i="2"/>
  <c r="I29" i="2" s="1"/>
  <c r="I30" i="2" s="1"/>
  <c r="G3" i="7"/>
  <c r="G4" i="7" s="1"/>
  <c r="M36" i="1" s="1"/>
  <c r="C5" i="8"/>
  <c r="C8" i="8" s="1"/>
  <c r="P34" i="1"/>
  <c r="L35" i="1"/>
  <c r="L28" i="1"/>
  <c r="G5" i="7" l="1"/>
  <c r="G7" i="7" s="1"/>
  <c r="G8" i="7" s="1"/>
  <c r="L32" i="1"/>
  <c r="L33" i="1" s="1"/>
  <c r="K20" i="2" l="1"/>
  <c r="H3" i="7"/>
  <c r="L34" i="1"/>
  <c r="K6" i="2" l="1"/>
  <c r="M26" i="1"/>
  <c r="H4" i="7"/>
  <c r="N36" i="1" s="1"/>
  <c r="K17" i="2" l="1"/>
  <c r="M35" i="1"/>
  <c r="M28" i="1"/>
  <c r="M32" i="1" s="1"/>
  <c r="H5" i="7"/>
  <c r="H7" i="7" s="1"/>
  <c r="H8" i="7" s="1"/>
  <c r="L20" i="2" l="1"/>
  <c r="I3" i="7"/>
  <c r="M33" i="1"/>
  <c r="M34" i="1" s="1"/>
  <c r="L6" i="2" l="1"/>
  <c r="N26" i="1"/>
  <c r="I4" i="7"/>
  <c r="O36" i="1" s="1"/>
  <c r="I5" i="7" l="1"/>
  <c r="I7" i="7" s="1"/>
  <c r="I8" i="7" s="1"/>
  <c r="N28" i="1"/>
  <c r="N32" i="1" s="1"/>
  <c r="N35" i="1"/>
  <c r="N33" i="1" l="1"/>
  <c r="N34" i="1" s="1"/>
  <c r="M20" i="2"/>
  <c r="J3" i="7"/>
  <c r="M6" i="2" l="1"/>
  <c r="M17" i="2" s="1"/>
  <c r="J4" i="7"/>
  <c r="P36" i="1" s="1"/>
  <c r="O26" i="1"/>
  <c r="J5" i="7" l="1"/>
  <c r="J7" i="7" s="1"/>
  <c r="J8" i="7" s="1"/>
  <c r="O28" i="1"/>
  <c r="O32" i="1" s="1"/>
  <c r="O35" i="1"/>
  <c r="O33" i="1" l="1"/>
  <c r="O34" i="1" s="1"/>
  <c r="J17" i="2"/>
  <c r="L17" i="2"/>
  <c r="J34" i="2"/>
  <c r="M37" i="1" s="1"/>
  <c r="M39" i="1" s="1"/>
  <c r="E5" i="8" l="1"/>
  <c r="E8" i="8" s="1"/>
  <c r="L37" i="1"/>
  <c r="L39" i="1" s="1"/>
  <c r="L34" i="2"/>
  <c r="N37" i="1" l="1"/>
  <c r="N39" i="1" s="1"/>
  <c r="O37" i="1"/>
  <c r="D5" i="8"/>
  <c r="D8" i="8" s="1"/>
  <c r="L41" i="1"/>
  <c r="M40" i="1" l="1"/>
  <c r="M41" i="1" s="1"/>
  <c r="J25" i="2"/>
  <c r="J29" i="2" s="1"/>
  <c r="J30" i="2" s="1"/>
  <c r="O39" i="1"/>
  <c r="P37" i="1"/>
  <c r="P39" i="1" s="1"/>
  <c r="F5" i="8"/>
  <c r="F8" i="8" s="1"/>
  <c r="H9" i="8" l="1"/>
  <c r="N40" i="1"/>
  <c r="N41" i="1" s="1"/>
  <c r="K25" i="2"/>
  <c r="K29" i="2" s="1"/>
  <c r="K30" i="2" s="1"/>
  <c r="G5" i="8"/>
  <c r="G8" i="8" s="1"/>
  <c r="H8" i="8" s="1"/>
  <c r="H11" i="8" l="1"/>
  <c r="O40" i="1"/>
  <c r="O41" i="1" s="1"/>
  <c r="L25" i="2"/>
  <c r="L29" i="2" s="1"/>
  <c r="L30" i="2" s="1"/>
  <c r="H13" i="8" l="1"/>
  <c r="P40" i="1"/>
  <c r="P41" i="1" s="1"/>
  <c r="M25" i="2"/>
  <c r="M29" i="2" s="1"/>
  <c r="M30" i="2" s="1"/>
  <c r="K9" i="8" l="1"/>
  <c r="D24" i="8"/>
</calcChain>
</file>

<file path=xl/sharedStrings.xml><?xml version="1.0" encoding="utf-8"?>
<sst xmlns="http://schemas.openxmlformats.org/spreadsheetml/2006/main" count="209" uniqueCount="140">
  <si>
    <t>Sales</t>
  </si>
  <si>
    <t>Other Income</t>
  </si>
  <si>
    <t>Expenses</t>
  </si>
  <si>
    <t>Employee Cost</t>
  </si>
  <si>
    <t>Other Expenses</t>
  </si>
  <si>
    <t>EBIDTA</t>
  </si>
  <si>
    <t>Total Revenue</t>
  </si>
  <si>
    <t>Total Expenses</t>
  </si>
  <si>
    <t>Depreciation</t>
  </si>
  <si>
    <t>EBIT</t>
  </si>
  <si>
    <t>Finance Cost</t>
  </si>
  <si>
    <t>EBT</t>
  </si>
  <si>
    <t>Tax</t>
  </si>
  <si>
    <t>PAT</t>
  </si>
  <si>
    <t>India</t>
  </si>
  <si>
    <t>Singapore</t>
  </si>
  <si>
    <t>UK</t>
  </si>
  <si>
    <t>Growth</t>
  </si>
  <si>
    <t>Share Capital</t>
  </si>
  <si>
    <t>Reserves and Surplus</t>
  </si>
  <si>
    <t>Shareholder's Funds</t>
  </si>
  <si>
    <t>Non-current Liabilities</t>
  </si>
  <si>
    <t>Long-term Borrowings</t>
  </si>
  <si>
    <t>Current Liabilities</t>
  </si>
  <si>
    <t>Trade Payables</t>
  </si>
  <si>
    <t>Other Current Liabilities</t>
  </si>
  <si>
    <t>Short-term Provisions</t>
  </si>
  <si>
    <t>Total</t>
  </si>
  <si>
    <t>Non-current Assets</t>
  </si>
  <si>
    <t>Property Plant and Equipments</t>
  </si>
  <si>
    <t>Deferred Tax Asset</t>
  </si>
  <si>
    <t>Current Assets</t>
  </si>
  <si>
    <t>Trade Receivables</t>
  </si>
  <si>
    <t>Short-term loans and advances</t>
  </si>
  <si>
    <t>Other Current Assets</t>
  </si>
  <si>
    <t>Cash and Bank</t>
  </si>
  <si>
    <t>Particulars</t>
  </si>
  <si>
    <t>FY 18 (A)</t>
  </si>
  <si>
    <t>FY 19 (A)</t>
  </si>
  <si>
    <t>FY 20 (P)</t>
  </si>
  <si>
    <t>Total Employee Cost</t>
  </si>
  <si>
    <t>Less:  Director's Remuneration</t>
  </si>
  <si>
    <t>Less: Expenses pertaining to Directors</t>
  </si>
  <si>
    <t>(a) Commission Expenses</t>
  </si>
  <si>
    <t>(b) Professional Fees</t>
  </si>
  <si>
    <t>(not received any explanation yet)</t>
  </si>
  <si>
    <t>Variable Cost</t>
  </si>
  <si>
    <t>Fixed Cost</t>
  </si>
  <si>
    <t>Profit and Loss</t>
  </si>
  <si>
    <t>Travelling Expenses</t>
  </si>
  <si>
    <t>Office Expenses</t>
  </si>
  <si>
    <t>Business Promotion Expenses</t>
  </si>
  <si>
    <t>Misc Expenses</t>
  </si>
  <si>
    <t>Basis</t>
  </si>
  <si>
    <t>Note</t>
  </si>
  <si>
    <t>Other provisions</t>
  </si>
  <si>
    <t>Net working capital excluding cash</t>
  </si>
  <si>
    <t>Capex</t>
  </si>
  <si>
    <t>Average dep rate</t>
  </si>
  <si>
    <t>Terminal</t>
  </si>
  <si>
    <t>Opening balance</t>
  </si>
  <si>
    <t>Additions</t>
  </si>
  <si>
    <t>Sub-total</t>
  </si>
  <si>
    <t>Depreciation rate</t>
  </si>
  <si>
    <t>Closing balance</t>
  </si>
  <si>
    <t>Calculation of value per equity share</t>
  </si>
  <si>
    <t>Net cash flow to equity shareholders</t>
  </si>
  <si>
    <t>Mid-year factor</t>
  </si>
  <si>
    <t>Discounting factor</t>
  </si>
  <si>
    <t>Discounted cash flow</t>
  </si>
  <si>
    <t>Terminal value</t>
  </si>
  <si>
    <t>Add: Depreciation</t>
  </si>
  <si>
    <t>Less: Capex</t>
  </si>
  <si>
    <t>Net cash flow to equity</t>
  </si>
  <si>
    <t>Opening cash and cash equivalents</t>
  </si>
  <si>
    <t>Closing  cash and cash equivalents</t>
  </si>
  <si>
    <t>Premoney value</t>
  </si>
  <si>
    <t>Add/ (Less): Change in working capital</t>
  </si>
  <si>
    <t>Calculation of cost of equity</t>
  </si>
  <si>
    <t>Amount</t>
  </si>
  <si>
    <t>Unlevered beta</t>
  </si>
  <si>
    <t xml:space="preserve">Tax rate </t>
  </si>
  <si>
    <t>Target debt equity ratio</t>
  </si>
  <si>
    <t>Levered beta</t>
  </si>
  <si>
    <t>Equity risk premium</t>
  </si>
  <si>
    <t>Company specific risk premium</t>
  </si>
  <si>
    <t>Illiquidity discount</t>
  </si>
  <si>
    <t>Cost of equity</t>
  </si>
  <si>
    <t>Sensitivity analysis</t>
  </si>
  <si>
    <t>Of sales</t>
  </si>
  <si>
    <t>Projected</t>
  </si>
  <si>
    <t>Less: Operating cash and cash equivalents</t>
  </si>
  <si>
    <t>Surplus cash and cash equivalents</t>
  </si>
  <si>
    <t>Lowest</t>
  </si>
  <si>
    <t>Maximum</t>
  </si>
  <si>
    <t>Median</t>
  </si>
  <si>
    <t>Average</t>
  </si>
  <si>
    <t>Valuation ranges</t>
  </si>
  <si>
    <t>Days</t>
  </si>
  <si>
    <t>Material Cost</t>
  </si>
  <si>
    <t>Manufacturing Cost</t>
  </si>
  <si>
    <t>Other Cost</t>
  </si>
  <si>
    <t>Advance from Customers</t>
  </si>
  <si>
    <t>Fixed Assets</t>
  </si>
  <si>
    <t>Investments</t>
  </si>
  <si>
    <t>Risk free rate as on 10-03-2023</t>
  </si>
  <si>
    <t>Cash and cash equivalents as on 31-03-2022</t>
  </si>
  <si>
    <t>INR in Crore</t>
  </si>
  <si>
    <t># of Shares</t>
  </si>
  <si>
    <t>Price Per Share</t>
  </si>
  <si>
    <t>3 year average</t>
  </si>
  <si>
    <t>FY22</t>
  </si>
  <si>
    <t>Debt free on yr end</t>
  </si>
  <si>
    <t>Average of 3 yrs</t>
  </si>
  <si>
    <t>INR in Crores</t>
  </si>
  <si>
    <t>Inventories</t>
  </si>
  <si>
    <t>-</t>
  </si>
  <si>
    <t>avg dep rate</t>
  </si>
  <si>
    <t>old reserve + pat</t>
  </si>
  <si>
    <t>avg of inventories</t>
  </si>
  <si>
    <t>Average inventory rate on sales</t>
  </si>
  <si>
    <t>EBITDA</t>
  </si>
  <si>
    <t>CMP</t>
  </si>
  <si>
    <t>REMARKS</t>
  </si>
  <si>
    <t>H1</t>
  </si>
  <si>
    <t>H2</t>
  </si>
  <si>
    <t>FY20</t>
  </si>
  <si>
    <t>FY23</t>
  </si>
  <si>
    <t>FY21</t>
  </si>
  <si>
    <t>10% of WDV</t>
  </si>
  <si>
    <t>Average of 3 years</t>
  </si>
  <si>
    <t>ST Borrowings + Other Borrowings + Other liability items</t>
  </si>
  <si>
    <t>YOY</t>
  </si>
  <si>
    <t>Small Size</t>
  </si>
  <si>
    <t>Sustenance of Margins and Scale</t>
  </si>
  <si>
    <t>1 month expenses of FY22</t>
  </si>
  <si>
    <t>% Change</t>
  </si>
  <si>
    <t>UPSIDE</t>
  </si>
  <si>
    <t>CONCLUSION</t>
  </si>
  <si>
    <t>Company is Undervalued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</si>
</sst>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64" formatCode="_ * #,##0_ ;_ * \-#,##0_ ;_ * &quot;-&quot;??_ ;_ @_ "/>
    <numFmt numFmtId="165" formatCode="0.0%"/>
    <numFmt numFmtId="166" formatCode="_ * #,##0.0_ ;_ * \-#,##0.0_ ;_ * &quot;-&quot;??_ ;_ @_ "/>
    <numFmt numFmtId="167" formatCode="_(* #,##0_);_(* \(#,##0\);_(* &quot;-&quot;??_);_(@_)"/>
    <numFmt numFmtId="168" formatCode="_(* #,##0.0_);_(* \(#,##0.0\);_(* &quot;-&quot;??_);_(@_)"/>
    <numFmt numFmtId="169" formatCode="0.0"/>
    <numFmt numFmtId="170" formatCode="0.00000%"/>
    <numFmt numFmtId="171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  <font>
      <i/>
      <sz val="10"/>
      <color theme="1"/>
      <name val="Cambria"/>
      <family val="1"/>
    </font>
    <font>
      <b/>
      <i/>
      <sz val="11"/>
      <color theme="1"/>
      <name val="Cambria"/>
      <family val="1"/>
    </font>
    <font>
      <sz val="10"/>
      <color rgb="FF000000"/>
      <name val="Arial"/>
      <family val="2"/>
    </font>
    <font>
      <i/>
      <sz val="9"/>
      <color theme="1"/>
      <name val="Cambri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22222F"/>
      <name val="Arial"/>
      <family val="2"/>
    </font>
    <font>
      <sz val="11"/>
      <color rgb="FF22222F"/>
      <name val="Arial"/>
      <family val="2"/>
    </font>
    <font>
      <sz val="10"/>
      <color rgb="FF22222F"/>
      <name val="Arial"/>
      <family val="2"/>
    </font>
    <font>
      <sz val="11"/>
      <color rgb="FF22222F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7">
    <xf numFmtId="0" fontId="0" fillId="0" borderId="0" xfId="0"/>
    <xf numFmtId="0" fontId="2" fillId="0" borderId="0" xfId="0" applyFont="1"/>
    <xf numFmtId="0" fontId="0" fillId="0" borderId="1" xfId="0" applyBorder="1"/>
    <xf numFmtId="164" fontId="2" fillId="0" borderId="0" xfId="1" applyNumberFormat="1" applyFont="1"/>
    <xf numFmtId="164" fontId="0" fillId="0" borderId="0" xfId="1" applyNumberFormat="1" applyFont="1"/>
    <xf numFmtId="164" fontId="0" fillId="0" borderId="1" xfId="1" applyNumberFormat="1" applyFont="1" applyBorder="1"/>
    <xf numFmtId="164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1" applyFont="1"/>
    <xf numFmtId="164" fontId="3" fillId="0" borderId="0" xfId="1" applyNumberFormat="1" applyFont="1"/>
    <xf numFmtId="164" fontId="0" fillId="0" borderId="0" xfId="1" applyNumberFormat="1" applyFont="1" applyBorder="1"/>
    <xf numFmtId="164" fontId="3" fillId="0" borderId="1" xfId="1" applyNumberFormat="1" applyFont="1" applyBorder="1"/>
    <xf numFmtId="166" fontId="0" fillId="0" borderId="1" xfId="1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/>
    <xf numFmtId="0" fontId="5" fillId="2" borderId="0" xfId="0" applyFont="1" applyFill="1"/>
    <xf numFmtId="166" fontId="5" fillId="2" borderId="5" xfId="0" applyNumberFormat="1" applyFont="1" applyFill="1" applyBorder="1" applyAlignment="1">
      <alignment horizontal="right"/>
    </xf>
    <xf numFmtId="166" fontId="5" fillId="2" borderId="6" xfId="0" applyNumberFormat="1" applyFont="1" applyFill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0" xfId="0" applyNumberFormat="1"/>
    <xf numFmtId="0" fontId="0" fillId="0" borderId="10" xfId="0" applyBorder="1"/>
    <xf numFmtId="165" fontId="0" fillId="0" borderId="0" xfId="2" applyNumberFormat="1" applyFont="1" applyBorder="1"/>
    <xf numFmtId="165" fontId="0" fillId="0" borderId="10" xfId="2" applyNumberFormat="1" applyFont="1" applyBorder="1"/>
    <xf numFmtId="0" fontId="0" fillId="0" borderId="11" xfId="0" applyBorder="1"/>
    <xf numFmtId="164" fontId="0" fillId="0" borderId="3" xfId="1" applyNumberFormat="1" applyFont="1" applyBorder="1"/>
    <xf numFmtId="0" fontId="0" fillId="0" borderId="3" xfId="0" applyBorder="1"/>
    <xf numFmtId="0" fontId="0" fillId="0" borderId="4" xfId="0" applyBorder="1"/>
    <xf numFmtId="164" fontId="0" fillId="0" borderId="3" xfId="0" applyNumberFormat="1" applyBorder="1"/>
    <xf numFmtId="166" fontId="5" fillId="2" borderId="5" xfId="0" applyNumberFormat="1" applyFont="1" applyFill="1" applyBorder="1" applyAlignment="1">
      <alignment horizontal="left"/>
    </xf>
    <xf numFmtId="164" fontId="0" fillId="2" borderId="0" xfId="1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10" fillId="0" borderId="0" xfId="0" applyFont="1"/>
    <xf numFmtId="164" fontId="5" fillId="0" borderId="0" xfId="0" applyNumberFormat="1" applyFont="1"/>
    <xf numFmtId="43" fontId="4" fillId="0" borderId="0" xfId="0" applyNumberFormat="1" applyFont="1"/>
    <xf numFmtId="165" fontId="5" fillId="0" borderId="0" xfId="2" applyNumberFormat="1" applyFont="1"/>
    <xf numFmtId="0" fontId="4" fillId="0" borderId="0" xfId="0" applyFont="1" applyAlignment="1">
      <alignment horizontal="center"/>
    </xf>
    <xf numFmtId="9" fontId="7" fillId="0" borderId="0" xfId="2" applyFont="1" applyAlignment="1">
      <alignment horizontal="center"/>
    </xf>
    <xf numFmtId="169" fontId="4" fillId="0" borderId="0" xfId="1" applyNumberFormat="1" applyFont="1" applyAlignment="1">
      <alignment horizontal="center"/>
    </xf>
    <xf numFmtId="169" fontId="4" fillId="0" borderId="0" xfId="0" applyNumberFormat="1" applyFont="1" applyAlignment="1">
      <alignment horizontal="center"/>
    </xf>
    <xf numFmtId="169" fontId="4" fillId="0" borderId="1" xfId="1" applyNumberFormat="1" applyFont="1" applyBorder="1" applyAlignment="1">
      <alignment horizontal="center"/>
    </xf>
    <xf numFmtId="169" fontId="5" fillId="0" borderId="0" xfId="1" applyNumberFormat="1" applyFont="1" applyAlignment="1">
      <alignment horizontal="center"/>
    </xf>
    <xf numFmtId="169" fontId="4" fillId="0" borderId="0" xfId="1" applyNumberFormat="1" applyFont="1" applyBorder="1" applyAlignment="1">
      <alignment horizontal="center"/>
    </xf>
    <xf numFmtId="169" fontId="4" fillId="0" borderId="1" xfId="0" applyNumberFormat="1" applyFont="1" applyBorder="1" applyAlignment="1">
      <alignment horizontal="center"/>
    </xf>
    <xf numFmtId="1" fontId="4" fillId="0" borderId="0" xfId="1" applyNumberFormat="1" applyFont="1" applyAlignment="1">
      <alignment horizontal="center"/>
    </xf>
    <xf numFmtId="1" fontId="5" fillId="0" borderId="0" xfId="1" applyNumberFormat="1" applyFont="1" applyAlignment="1">
      <alignment horizontal="center"/>
    </xf>
    <xf numFmtId="0" fontId="5" fillId="5" borderId="0" xfId="0" applyFont="1" applyFill="1"/>
    <xf numFmtId="1" fontId="5" fillId="5" borderId="0" xfId="1" applyNumberFormat="1" applyFont="1" applyFill="1" applyAlignment="1">
      <alignment horizontal="center"/>
    </xf>
    <xf numFmtId="1" fontId="5" fillId="5" borderId="2" xfId="1" applyNumberFormat="1" applyFont="1" applyFill="1" applyBorder="1" applyAlignment="1">
      <alignment horizontal="center"/>
    </xf>
    <xf numFmtId="167" fontId="4" fillId="0" borderId="0" xfId="1" applyNumberFormat="1" applyFont="1" applyAlignment="1">
      <alignment horizontal="center"/>
    </xf>
    <xf numFmtId="1" fontId="4" fillId="0" borderId="1" xfId="1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5" borderId="0" xfId="0" applyFont="1" applyFill="1" applyAlignment="1">
      <alignment horizontal="left"/>
    </xf>
    <xf numFmtId="9" fontId="11" fillId="0" borderId="0" xfId="2" applyFont="1" applyAlignment="1">
      <alignment horizontal="center"/>
    </xf>
    <xf numFmtId="1" fontId="4" fillId="0" borderId="1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9" fontId="4" fillId="3" borderId="15" xfId="2" applyFont="1" applyFill="1" applyBorder="1" applyAlignment="1">
      <alignment horizontal="center"/>
    </xf>
    <xf numFmtId="9" fontId="4" fillId="3" borderId="16" xfId="2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9" fontId="4" fillId="3" borderId="18" xfId="2" applyFont="1" applyFill="1" applyBorder="1" applyAlignment="1">
      <alignment horizontal="center"/>
    </xf>
    <xf numFmtId="0" fontId="13" fillId="4" borderId="0" xfId="0" applyFont="1" applyFill="1" applyAlignment="1">
      <alignment horizontal="right" vertical="center" wrapText="1" indent="1"/>
    </xf>
    <xf numFmtId="9" fontId="5" fillId="3" borderId="15" xfId="2" applyFont="1" applyFill="1" applyBorder="1" applyAlignment="1">
      <alignment horizontal="center"/>
    </xf>
    <xf numFmtId="9" fontId="5" fillId="3" borderId="16" xfId="2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9" fontId="6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" fontId="12" fillId="5" borderId="0" xfId="0" applyNumberFormat="1" applyFont="1" applyFill="1" applyAlignment="1">
      <alignment horizontal="center"/>
    </xf>
    <xf numFmtId="1" fontId="11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/>
    </xf>
    <xf numFmtId="1" fontId="11" fillId="0" borderId="0" xfId="2" applyNumberFormat="1" applyFont="1" applyFill="1" applyBorder="1" applyAlignment="1">
      <alignment horizontal="center"/>
    </xf>
    <xf numFmtId="1" fontId="11" fillId="0" borderId="0" xfId="2" applyNumberFormat="1" applyFont="1" applyAlignment="1">
      <alignment horizontal="center"/>
    </xf>
    <xf numFmtId="1" fontId="16" fillId="4" borderId="0" xfId="0" applyNumberFormat="1" applyFont="1" applyFill="1" applyAlignment="1">
      <alignment horizontal="center" vertical="center" wrapText="1"/>
    </xf>
    <xf numFmtId="1" fontId="15" fillId="0" borderId="0" xfId="0" applyNumberFormat="1" applyFont="1" applyAlignment="1">
      <alignment horizontal="center"/>
    </xf>
    <xf numFmtId="1" fontId="4" fillId="0" borderId="0" xfId="1" applyNumberFormat="1" applyFont="1" applyFill="1" applyAlignment="1">
      <alignment horizontal="center"/>
    </xf>
    <xf numFmtId="1" fontId="4" fillId="0" borderId="0" xfId="1" applyNumberFormat="1" applyFont="1" applyBorder="1" applyAlignment="1">
      <alignment horizontal="center"/>
    </xf>
    <xf numFmtId="1" fontId="7" fillId="0" borderId="1" xfId="2" applyNumberFormat="1" applyFont="1" applyBorder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9" fontId="4" fillId="5" borderId="0" xfId="0" applyNumberFormat="1" applyFont="1" applyFill="1" applyAlignment="1">
      <alignment vertical="top"/>
    </xf>
    <xf numFmtId="0" fontId="4" fillId="5" borderId="0" xfId="0" applyFont="1" applyFill="1"/>
    <xf numFmtId="169" fontId="11" fillId="0" borderId="0" xfId="0" applyNumberFormat="1" applyFont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9" fontId="4" fillId="0" borderId="0" xfId="1" applyNumberFormat="1" applyFont="1" applyBorder="1" applyAlignment="1">
      <alignment horizontal="center"/>
    </xf>
    <xf numFmtId="0" fontId="5" fillId="0" borderId="21" xfId="0" applyFont="1" applyBorder="1"/>
    <xf numFmtId="0" fontId="5" fillId="0" borderId="22" xfId="0" applyFont="1" applyBorder="1"/>
    <xf numFmtId="1" fontId="5" fillId="5" borderId="22" xfId="0" applyNumberFormat="1" applyFont="1" applyFill="1" applyBorder="1" applyAlignment="1">
      <alignment horizontal="center"/>
    </xf>
    <xf numFmtId="0" fontId="5" fillId="5" borderId="23" xfId="0" applyFont="1" applyFill="1" applyBorder="1" applyAlignment="1">
      <alignment horizontal="right"/>
    </xf>
    <xf numFmtId="169" fontId="5" fillId="0" borderId="22" xfId="1" applyNumberFormat="1" applyFont="1" applyBorder="1" applyAlignment="1">
      <alignment horizontal="center"/>
    </xf>
    <xf numFmtId="169" fontId="5" fillId="0" borderId="23" xfId="1" applyNumberFormat="1" applyFont="1" applyBorder="1" applyAlignment="1">
      <alignment horizontal="center"/>
    </xf>
    <xf numFmtId="0" fontId="5" fillId="0" borderId="21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4" fillId="0" borderId="2" xfId="0" applyFont="1" applyBorder="1"/>
    <xf numFmtId="169" fontId="4" fillId="0" borderId="16" xfId="1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9" fontId="4" fillId="0" borderId="16" xfId="1" applyNumberFormat="1" applyFont="1" applyBorder="1" applyAlignment="1">
      <alignment horizontal="center"/>
    </xf>
    <xf numFmtId="1" fontId="4" fillId="0" borderId="16" xfId="1" applyNumberFormat="1" applyFont="1" applyBorder="1" applyAlignment="1">
      <alignment horizontal="center"/>
    </xf>
    <xf numFmtId="0" fontId="18" fillId="0" borderId="0" xfId="0" applyFont="1"/>
    <xf numFmtId="1" fontId="18" fillId="0" borderId="0" xfId="0" applyNumberFormat="1" applyFont="1" applyAlignment="1">
      <alignment horizontal="center"/>
    </xf>
    <xf numFmtId="1" fontId="18" fillId="0" borderId="0" xfId="1" applyNumberFormat="1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  <xf numFmtId="0" fontId="20" fillId="5" borderId="0" xfId="0" applyFont="1" applyFill="1"/>
    <xf numFmtId="1" fontId="20" fillId="5" borderId="0" xfId="1" applyNumberFormat="1" applyFont="1" applyFill="1" applyAlignment="1">
      <alignment horizontal="center"/>
    </xf>
    <xf numFmtId="0" fontId="21" fillId="0" borderId="1" xfId="0" applyFont="1" applyBorder="1"/>
    <xf numFmtId="1" fontId="20" fillId="0" borderId="0" xfId="1" applyNumberFormat="1" applyFont="1" applyAlignment="1">
      <alignment horizontal="center"/>
    </xf>
    <xf numFmtId="1" fontId="15" fillId="4" borderId="0" xfId="0" applyNumberFormat="1" applyFont="1" applyFill="1" applyAlignment="1">
      <alignment horizontal="center" vertical="center" wrapText="1"/>
    </xf>
    <xf numFmtId="164" fontId="18" fillId="0" borderId="0" xfId="1" applyNumberFormat="1" applyFont="1"/>
    <xf numFmtId="9" fontId="19" fillId="0" borderId="0" xfId="0" applyNumberFormat="1" applyFont="1"/>
    <xf numFmtId="10" fontId="18" fillId="0" borderId="0" xfId="2" applyNumberFormat="1" applyFont="1"/>
    <xf numFmtId="0" fontId="18" fillId="0" borderId="1" xfId="0" applyFont="1" applyBorder="1"/>
    <xf numFmtId="1" fontId="18" fillId="0" borderId="1" xfId="0" applyNumberFormat="1" applyFont="1" applyBorder="1" applyAlignment="1">
      <alignment horizontal="center"/>
    </xf>
    <xf numFmtId="1" fontId="18" fillId="0" borderId="1" xfId="1" applyNumberFormat="1" applyFont="1" applyBorder="1" applyAlignment="1">
      <alignment horizontal="center"/>
    </xf>
    <xf numFmtId="0" fontId="20" fillId="0" borderId="12" xfId="0" applyFont="1" applyBorder="1"/>
    <xf numFmtId="1" fontId="20" fillId="0" borderId="12" xfId="1" applyNumberFormat="1" applyFont="1" applyBorder="1" applyAlignment="1">
      <alignment horizontal="center"/>
    </xf>
    <xf numFmtId="0" fontId="21" fillId="0" borderId="0" xfId="0" applyFont="1"/>
    <xf numFmtId="9" fontId="18" fillId="0" borderId="0" xfId="2" applyFont="1"/>
    <xf numFmtId="164" fontId="18" fillId="0" borderId="0" xfId="0" applyNumberFormat="1" applyFont="1"/>
    <xf numFmtId="1" fontId="18" fillId="0" borderId="0" xfId="2" applyNumberFormat="1" applyFont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0" xfId="0" applyFont="1" applyAlignment="1">
      <alignment horizontal="center"/>
    </xf>
    <xf numFmtId="1" fontId="18" fillId="0" borderId="0" xfId="1" applyNumberFormat="1" applyFont="1" applyFill="1" applyAlignment="1">
      <alignment horizontal="center"/>
    </xf>
    <xf numFmtId="1" fontId="18" fillId="0" borderId="12" xfId="1" applyNumberFormat="1" applyFont="1" applyBorder="1" applyAlignment="1">
      <alignment horizontal="center"/>
    </xf>
    <xf numFmtId="169" fontId="15" fillId="4" borderId="0" xfId="0" applyNumberFormat="1" applyFont="1" applyFill="1" applyAlignment="1">
      <alignment horizontal="center" vertical="center" wrapText="1"/>
    </xf>
    <xf numFmtId="171" fontId="18" fillId="0" borderId="1" xfId="1" applyNumberFormat="1" applyFont="1" applyBorder="1" applyAlignment="1">
      <alignment horizontal="center"/>
    </xf>
    <xf numFmtId="9" fontId="18" fillId="0" borderId="0" xfId="2" applyFont="1" applyAlignment="1">
      <alignment horizontal="center"/>
    </xf>
    <xf numFmtId="9" fontId="4" fillId="0" borderId="0" xfId="0" applyNumberFormat="1" applyFont="1"/>
    <xf numFmtId="1" fontId="19" fillId="0" borderId="0" xfId="0" applyNumberFormat="1" applyFont="1"/>
    <xf numFmtId="164" fontId="19" fillId="0" borderId="0" xfId="1" applyNumberFormat="1" applyFont="1" applyFill="1"/>
    <xf numFmtId="0" fontId="20" fillId="2" borderId="3" xfId="3" applyFont="1" applyFill="1" applyBorder="1" applyAlignment="1">
      <alignment vertical="top"/>
    </xf>
    <xf numFmtId="0" fontId="20" fillId="2" borderId="3" xfId="3" applyFont="1" applyFill="1" applyBorder="1" applyAlignment="1">
      <alignment horizontal="right" vertical="top"/>
    </xf>
    <xf numFmtId="0" fontId="22" fillId="0" borderId="0" xfId="0" applyFont="1"/>
    <xf numFmtId="10" fontId="18" fillId="0" borderId="0" xfId="4" applyNumberFormat="1" applyFont="1"/>
    <xf numFmtId="43" fontId="18" fillId="0" borderId="1" xfId="4" applyFont="1" applyBorder="1"/>
    <xf numFmtId="43" fontId="12" fillId="0" borderId="0" xfId="4" applyFont="1" applyBorder="1"/>
    <xf numFmtId="9" fontId="18" fillId="0" borderId="0" xfId="0" applyNumberFormat="1" applyFont="1"/>
    <xf numFmtId="10" fontId="18" fillId="0" borderId="0" xfId="0" applyNumberFormat="1" applyFont="1"/>
    <xf numFmtId="170" fontId="18" fillId="0" borderId="0" xfId="0" applyNumberFormat="1" applyFont="1"/>
    <xf numFmtId="0" fontId="18" fillId="0" borderId="0" xfId="5" applyFont="1"/>
    <xf numFmtId="10" fontId="18" fillId="0" borderId="0" xfId="5" applyNumberFormat="1" applyFont="1"/>
    <xf numFmtId="10" fontId="20" fillId="0" borderId="12" xfId="5" applyNumberFormat="1" applyFont="1" applyBorder="1"/>
    <xf numFmtId="1" fontId="20" fillId="5" borderId="1" xfId="0" applyNumberFormat="1" applyFont="1" applyFill="1" applyBorder="1" applyAlignment="1">
      <alignment horizontal="center"/>
    </xf>
    <xf numFmtId="9" fontId="4" fillId="3" borderId="0" xfId="0" applyNumberFormat="1" applyFont="1" applyFill="1" applyAlignment="1">
      <alignment horizontal="center"/>
    </xf>
    <xf numFmtId="0" fontId="5" fillId="5" borderId="1" xfId="0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1" fontId="4" fillId="0" borderId="0" xfId="2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9" fontId="4" fillId="3" borderId="14" xfId="2" applyFont="1" applyFill="1" applyBorder="1" applyAlignment="1">
      <alignment horizontal="center"/>
    </xf>
    <xf numFmtId="9" fontId="4" fillId="3" borderId="17" xfId="2" applyFont="1" applyFill="1" applyBorder="1" applyAlignment="1">
      <alignment horizontal="center"/>
    </xf>
    <xf numFmtId="10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4" xfId="0" applyFont="1" applyBorder="1"/>
    <xf numFmtId="1" fontId="5" fillId="0" borderId="13" xfId="1" applyNumberFormat="1" applyFont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169" fontId="5" fillId="0" borderId="13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" fontId="5" fillId="0" borderId="19" xfId="1" applyNumberFormat="1" applyFont="1" applyBorder="1" applyAlignment="1">
      <alignment horizontal="center"/>
    </xf>
    <xf numFmtId="169" fontId="5" fillId="0" borderId="22" xfId="0" applyNumberFormat="1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" fontId="5" fillId="0" borderId="22" xfId="1" applyNumberFormat="1" applyFont="1" applyBorder="1" applyAlignment="1">
      <alignment horizontal="center"/>
    </xf>
    <xf numFmtId="1" fontId="5" fillId="0" borderId="23" xfId="1" applyNumberFormat="1" applyFont="1" applyBorder="1" applyAlignment="1">
      <alignment horizontal="center"/>
    </xf>
    <xf numFmtId="0" fontId="23" fillId="0" borderId="0" xfId="3" applyFont="1" applyAlignment="1">
      <alignment vertical="top"/>
    </xf>
    <xf numFmtId="43" fontId="9" fillId="0" borderId="0" xfId="1" applyFont="1" applyBorder="1" applyAlignment="1">
      <alignment vertical="top"/>
    </xf>
    <xf numFmtId="43" fontId="9" fillId="0" borderId="1" xfId="1" applyFont="1" applyBorder="1" applyAlignment="1">
      <alignment vertical="top"/>
    </xf>
    <xf numFmtId="168" fontId="9" fillId="0" borderId="1" xfId="1" applyNumberFormat="1" applyFont="1" applyBorder="1" applyAlignment="1">
      <alignment vertical="top"/>
    </xf>
    <xf numFmtId="168" fontId="22" fillId="0" borderId="12" xfId="1" applyNumberFormat="1" applyFont="1" applyBorder="1" applyAlignment="1">
      <alignment vertical="top"/>
    </xf>
    <xf numFmtId="168" fontId="22" fillId="0" borderId="0" xfId="1" applyNumberFormat="1" applyFont="1" applyBorder="1" applyAlignment="1">
      <alignment vertical="top"/>
    </xf>
    <xf numFmtId="168" fontId="22" fillId="0" borderId="0" xfId="1" applyNumberFormat="1" applyFont="1" applyFill="1" applyBorder="1" applyAlignment="1">
      <alignment vertical="top"/>
    </xf>
    <xf numFmtId="0" fontId="18" fillId="0" borderId="0" xfId="0" applyFont="1" applyAlignment="1">
      <alignment horizontal="center"/>
    </xf>
    <xf numFmtId="0" fontId="20" fillId="3" borderId="24" xfId="0" applyFont="1" applyFill="1" applyBorder="1"/>
    <xf numFmtId="0" fontId="18" fillId="3" borderId="19" xfId="0" applyFont="1" applyFill="1" applyBorder="1"/>
    <xf numFmtId="0" fontId="18" fillId="0" borderId="2" xfId="0" applyFont="1" applyBorder="1"/>
    <xf numFmtId="164" fontId="18" fillId="0" borderId="16" xfId="0" applyNumberFormat="1" applyFont="1" applyBorder="1"/>
    <xf numFmtId="0" fontId="18" fillId="0" borderId="25" xfId="0" applyFont="1" applyBorder="1"/>
    <xf numFmtId="164" fontId="18" fillId="0" borderId="17" xfId="0" applyNumberFormat="1" applyFont="1" applyBorder="1"/>
    <xf numFmtId="0" fontId="18" fillId="3" borderId="24" xfId="0" applyFont="1" applyFill="1" applyBorder="1"/>
    <xf numFmtId="167" fontId="9" fillId="0" borderId="0" xfId="1" applyNumberFormat="1" applyFont="1" applyBorder="1" applyAlignment="1">
      <alignment vertical="top"/>
    </xf>
    <xf numFmtId="0" fontId="12" fillId="5" borderId="21" xfId="3" applyFont="1" applyFill="1" applyBorder="1"/>
    <xf numFmtId="1" fontId="12" fillId="5" borderId="22" xfId="3" applyNumberFormat="1" applyFont="1" applyFill="1" applyBorder="1" applyAlignment="1">
      <alignment horizontal="right"/>
    </xf>
    <xf numFmtId="0" fontId="12" fillId="5" borderId="23" xfId="3" applyFont="1" applyFill="1" applyBorder="1" applyAlignment="1">
      <alignment horizontal="right" vertical="top"/>
    </xf>
    <xf numFmtId="0" fontId="23" fillId="0" borderId="25" xfId="3" applyFont="1" applyBorder="1"/>
    <xf numFmtId="0" fontId="9" fillId="0" borderId="1" xfId="3" applyBorder="1"/>
    <xf numFmtId="0" fontId="9" fillId="0" borderId="17" xfId="3" applyBorder="1"/>
    <xf numFmtId="0" fontId="9" fillId="0" borderId="2" xfId="3" applyBorder="1" applyAlignment="1">
      <alignment vertical="top"/>
    </xf>
    <xf numFmtId="43" fontId="9" fillId="0" borderId="16" xfId="1" applyFont="1" applyBorder="1" applyAlignment="1">
      <alignment vertical="top"/>
    </xf>
    <xf numFmtId="0" fontId="9" fillId="0" borderId="25" xfId="3" applyBorder="1" applyAlignment="1">
      <alignment vertical="top"/>
    </xf>
    <xf numFmtId="43" fontId="9" fillId="0" borderId="17" xfId="1" applyFont="1" applyBorder="1" applyAlignment="1">
      <alignment vertical="top"/>
    </xf>
    <xf numFmtId="0" fontId="22" fillId="0" borderId="2" xfId="3" applyFont="1" applyBorder="1" applyAlignment="1">
      <alignment vertical="top"/>
    </xf>
    <xf numFmtId="167" fontId="22" fillId="0" borderId="0" xfId="1" applyNumberFormat="1" applyFont="1" applyBorder="1" applyAlignment="1">
      <alignment vertical="top"/>
    </xf>
    <xf numFmtId="164" fontId="22" fillId="0" borderId="16" xfId="1" applyNumberFormat="1" applyFont="1" applyBorder="1" applyAlignment="1">
      <alignment vertical="top"/>
    </xf>
    <xf numFmtId="164" fontId="9" fillId="0" borderId="16" xfId="1" applyNumberFormat="1" applyFont="1" applyBorder="1" applyAlignment="1">
      <alignment vertical="top"/>
    </xf>
    <xf numFmtId="164" fontId="9" fillId="0" borderId="17" xfId="1" applyNumberFormat="1" applyFont="1" applyFill="1" applyBorder="1" applyAlignment="1">
      <alignment vertical="top"/>
    </xf>
    <xf numFmtId="0" fontId="22" fillId="0" borderId="26" xfId="3" applyFont="1" applyBorder="1" applyAlignment="1">
      <alignment vertical="top"/>
    </xf>
    <xf numFmtId="164" fontId="22" fillId="0" borderId="27" xfId="1" applyNumberFormat="1" applyFont="1" applyFill="1" applyBorder="1" applyAlignment="1">
      <alignment vertical="top"/>
    </xf>
    <xf numFmtId="0" fontId="23" fillId="0" borderId="2" xfId="3" applyFont="1" applyBorder="1" applyAlignment="1">
      <alignment vertical="top"/>
    </xf>
    <xf numFmtId="167" fontId="22" fillId="0" borderId="16" xfId="1" applyNumberFormat="1" applyFont="1" applyFill="1" applyBorder="1" applyAlignment="1">
      <alignment vertical="top"/>
    </xf>
    <xf numFmtId="0" fontId="23" fillId="0" borderId="25" xfId="3" applyFont="1" applyBorder="1" applyAlignment="1">
      <alignment vertical="top"/>
    </xf>
    <xf numFmtId="168" fontId="22" fillId="0" borderId="1" xfId="1" applyNumberFormat="1" applyFont="1" applyBorder="1" applyAlignment="1">
      <alignment vertical="top"/>
    </xf>
    <xf numFmtId="0" fontId="18" fillId="0" borderId="24" xfId="0" applyFont="1" applyBorder="1"/>
    <xf numFmtId="10" fontId="20" fillId="0" borderId="19" xfId="0" applyNumberFormat="1" applyFont="1" applyBorder="1"/>
    <xf numFmtId="167" fontId="22" fillId="0" borderId="17" xfId="1" applyNumberFormat="1" applyFont="1" applyFill="1" applyBorder="1" applyAlignment="1">
      <alignment vertical="top"/>
    </xf>
    <xf numFmtId="164" fontId="18" fillId="0" borderId="19" xfId="1" applyNumberFormat="1" applyFont="1" applyBorder="1"/>
    <xf numFmtId="164" fontId="18" fillId="0" borderId="16" xfId="1" applyNumberFormat="1" applyFont="1" applyBorder="1"/>
    <xf numFmtId="0" fontId="20" fillId="0" borderId="25" xfId="0" applyFont="1" applyBorder="1"/>
    <xf numFmtId="164" fontId="20" fillId="0" borderId="17" xfId="0" applyNumberFormat="1" applyFont="1" applyBorder="1"/>
    <xf numFmtId="9" fontId="20" fillId="3" borderId="0" xfId="0" applyNumberFormat="1" applyFont="1" applyFill="1" applyAlignment="1">
      <alignment horizontal="center"/>
    </xf>
    <xf numFmtId="9" fontId="20" fillId="3" borderId="16" xfId="0" applyNumberFormat="1" applyFont="1" applyFill="1" applyBorder="1" applyAlignment="1">
      <alignment horizontal="center"/>
    </xf>
    <xf numFmtId="0" fontId="9" fillId="0" borderId="1" xfId="3" applyBorder="1" applyAlignment="1">
      <alignment horizontal="center"/>
    </xf>
    <xf numFmtId="1" fontId="12" fillId="5" borderId="22" xfId="3" applyNumberFormat="1" applyFont="1" applyFill="1" applyBorder="1" applyAlignment="1">
      <alignment horizontal="center"/>
    </xf>
    <xf numFmtId="167" fontId="9" fillId="0" borderId="0" xfId="1" applyNumberFormat="1" applyFont="1" applyBorder="1" applyAlignment="1">
      <alignment horizontal="center" vertical="top"/>
    </xf>
    <xf numFmtId="43" fontId="9" fillId="0" borderId="0" xfId="1" applyFont="1" applyBorder="1" applyAlignment="1">
      <alignment horizontal="center" vertical="top"/>
    </xf>
    <xf numFmtId="43" fontId="9" fillId="0" borderId="1" xfId="1" applyFont="1" applyBorder="1" applyAlignment="1">
      <alignment horizontal="center" vertical="top"/>
    </xf>
    <xf numFmtId="167" fontId="22" fillId="0" borderId="0" xfId="1" applyNumberFormat="1" applyFont="1" applyBorder="1" applyAlignment="1">
      <alignment horizontal="center" vertical="top"/>
    </xf>
    <xf numFmtId="168" fontId="9" fillId="0" borderId="1" xfId="1" applyNumberFormat="1" applyFont="1" applyBorder="1" applyAlignment="1">
      <alignment horizontal="center" vertical="top"/>
    </xf>
    <xf numFmtId="168" fontId="22" fillId="0" borderId="12" xfId="1" applyNumberFormat="1" applyFont="1" applyBorder="1" applyAlignment="1">
      <alignment horizontal="center" vertical="top"/>
    </xf>
    <xf numFmtId="168" fontId="22" fillId="0" borderId="0" xfId="1" applyNumberFormat="1" applyFont="1" applyBorder="1" applyAlignment="1">
      <alignment horizontal="center" vertical="top"/>
    </xf>
    <xf numFmtId="168" fontId="22" fillId="0" borderId="1" xfId="1" applyNumberFormat="1" applyFont="1" applyBorder="1" applyAlignment="1">
      <alignment horizontal="center" vertical="top"/>
    </xf>
    <xf numFmtId="0" fontId="18" fillId="3" borderId="13" xfId="0" applyFont="1" applyFill="1" applyBorder="1" applyAlignment="1">
      <alignment horizontal="center"/>
    </xf>
    <xf numFmtId="9" fontId="20" fillId="3" borderId="1" xfId="0" applyNumberFormat="1" applyFont="1" applyFill="1" applyBorder="1" applyAlignment="1">
      <alignment horizontal="center"/>
    </xf>
    <xf numFmtId="1" fontId="19" fillId="0" borderId="0" xfId="1" applyNumberFormat="1" applyFont="1" applyBorder="1" applyAlignment="1">
      <alignment horizontal="center"/>
    </xf>
    <xf numFmtId="1" fontId="19" fillId="0" borderId="16" xfId="1" applyNumberFormat="1" applyFont="1" applyBorder="1" applyAlignment="1">
      <alignment horizontal="center"/>
    </xf>
    <xf numFmtId="1" fontId="19" fillId="3" borderId="0" xfId="1" applyNumberFormat="1" applyFont="1" applyFill="1" applyBorder="1" applyAlignment="1">
      <alignment horizontal="center"/>
    </xf>
    <xf numFmtId="1" fontId="19" fillId="0" borderId="1" xfId="1" applyNumberFormat="1" applyFont="1" applyBorder="1" applyAlignment="1">
      <alignment horizontal="center"/>
    </xf>
    <xf numFmtId="1" fontId="19" fillId="0" borderId="17" xfId="1" applyNumberFormat="1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9" fontId="18" fillId="0" borderId="20" xfId="2" applyFont="1" applyBorder="1" applyAlignment="1">
      <alignment horizontal="center"/>
    </xf>
    <xf numFmtId="164" fontId="12" fillId="3" borderId="0" xfId="0" applyNumberFormat="1" applyFont="1" applyFill="1" applyAlignment="1">
      <alignment horizontal="center"/>
    </xf>
    <xf numFmtId="10" fontId="18" fillId="0" borderId="17" xfId="0" applyNumberFormat="1" applyFont="1" applyBorder="1"/>
    <xf numFmtId="0" fontId="20" fillId="0" borderId="14" xfId="0" applyFont="1" applyBorder="1"/>
    <xf numFmtId="0" fontId="22" fillId="0" borderId="24" xfId="3" applyFont="1" applyBorder="1" applyAlignment="1">
      <alignment horizontal="center" vertical="top"/>
    </xf>
    <xf numFmtId="0" fontId="22" fillId="0" borderId="13" xfId="3" applyFont="1" applyBorder="1" applyAlignment="1">
      <alignment horizontal="center" vertical="top"/>
    </xf>
    <xf numFmtId="0" fontId="22" fillId="0" borderId="19" xfId="3" applyFont="1" applyBorder="1" applyAlignment="1">
      <alignment horizontal="center" vertical="top"/>
    </xf>
    <xf numFmtId="0" fontId="20" fillId="3" borderId="2" xfId="0" applyFont="1" applyFill="1" applyBorder="1" applyAlignment="1">
      <alignment horizontal="center" vertical="center" wrapText="1"/>
    </xf>
    <xf numFmtId="0" fontId="20" fillId="3" borderId="2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/>
    </xf>
    <xf numFmtId="0" fontId="20" fillId="3" borderId="13" xfId="0" applyFont="1" applyFill="1" applyBorder="1" applyAlignment="1">
      <alignment horizontal="center"/>
    </xf>
    <xf numFmtId="0" fontId="20" fillId="3" borderId="19" xfId="0" applyFont="1" applyFill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0" fontId="20" fillId="0" borderId="23" xfId="0" applyFont="1" applyBorder="1" applyAlignment="1">
      <alignment horizontal="center"/>
    </xf>
    <xf numFmtId="0" fontId="5" fillId="0" borderId="0" xfId="0" applyFont="1" applyAlignment="1">
      <alignment horizontal="center"/>
    </xf>
    <xf numFmtId="1" fontId="20" fillId="3" borderId="0" xfId="0" applyNumberFormat="1" applyFont="1" applyFill="1" applyAlignment="1">
      <alignment horizontal="center"/>
    </xf>
  </cellXfs>
  <cellStyles count="8">
    <cellStyle name="Comma" xfId="1" builtinId="3"/>
    <cellStyle name="Comma 2" xfId="6" xr:uid="{850C96D2-F2C2-4003-AFFE-BB09987F621A}"/>
    <cellStyle name="Comma 3" xfId="4" xr:uid="{00000000-0005-0000-0000-000001000000}"/>
    <cellStyle name="Comma 3 2" xfId="7" xr:uid="{F579EAD9-F50D-4DD8-96BF-F79FE4A6E852}"/>
    <cellStyle name="Normal" xfId="0" builtinId="0"/>
    <cellStyle name="Normal 2 2" xfId="5" xr:uid="{00000000-0005-0000-0000-000003000000}"/>
    <cellStyle name="Normal 4" xfId="3" xr:uid="{00000000-0005-0000-0000-000004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2:M30"/>
  <sheetViews>
    <sheetView showGridLines="0" tabSelected="1" zoomScaleNormal="100" workbookViewId="0">
      <selection activeCell="N11" sqref="N11"/>
    </sheetView>
  </sheetViews>
  <sheetFormatPr defaultColWidth="9.140625" defaultRowHeight="12.75" x14ac:dyDescent="0.2"/>
  <cols>
    <col min="1" max="1" width="9.140625" style="101"/>
    <col min="2" max="2" width="39" style="101" bestFit="1" customWidth="1"/>
    <col min="3" max="3" width="13.42578125" style="101" bestFit="1" customWidth="1"/>
    <col min="4" max="4" width="7" style="173" bestFit="1" customWidth="1"/>
    <col min="5" max="7" width="5.7109375" style="101" bestFit="1" customWidth="1"/>
    <col min="8" max="8" width="11.85546875" style="101" bestFit="1" customWidth="1"/>
    <col min="9" max="9" width="4.5703125" style="101" bestFit="1" customWidth="1"/>
    <col min="10" max="10" width="5.140625" style="101" bestFit="1" customWidth="1"/>
    <col min="11" max="11" width="16.5703125" style="101" bestFit="1" customWidth="1"/>
    <col min="12" max="12" width="11.140625" style="101" bestFit="1" customWidth="1"/>
    <col min="13" max="13" width="24.140625" style="101" bestFit="1" customWidth="1"/>
    <col min="14" max="16384" width="9.140625" style="101"/>
  </cols>
  <sheetData>
    <row r="2" spans="2:13" x14ac:dyDescent="0.2">
      <c r="B2" s="234" t="s">
        <v>65</v>
      </c>
      <c r="C2" s="235"/>
      <c r="D2" s="235"/>
      <c r="E2" s="235"/>
      <c r="F2" s="235"/>
      <c r="G2" s="235"/>
      <c r="H2" s="236"/>
    </row>
    <row r="3" spans="2:13" x14ac:dyDescent="0.2">
      <c r="B3" s="185" t="s">
        <v>107</v>
      </c>
      <c r="C3" s="186"/>
      <c r="D3" s="212"/>
      <c r="E3" s="186"/>
      <c r="F3" s="186"/>
      <c r="G3" s="186"/>
      <c r="H3" s="187"/>
    </row>
    <row r="4" spans="2:13" x14ac:dyDescent="0.2">
      <c r="B4" s="182" t="s">
        <v>36</v>
      </c>
      <c r="C4" s="183">
        <f>PL!K5</f>
        <v>23</v>
      </c>
      <c r="D4" s="213">
        <f>PL!L5</f>
        <v>24</v>
      </c>
      <c r="E4" s="183">
        <f>PL!M5</f>
        <v>25</v>
      </c>
      <c r="F4" s="183">
        <f>PL!N5</f>
        <v>26</v>
      </c>
      <c r="G4" s="183">
        <f>PL!O5</f>
        <v>27</v>
      </c>
      <c r="H4" s="184" t="s">
        <v>27</v>
      </c>
    </row>
    <row r="5" spans="2:13" x14ac:dyDescent="0.2">
      <c r="B5" s="188" t="s">
        <v>66</v>
      </c>
      <c r="C5" s="181">
        <f>+PL!K39</f>
        <v>32.484597991339399</v>
      </c>
      <c r="D5" s="214">
        <f>+PL!L39</f>
        <v>43.108897814242312</v>
      </c>
      <c r="E5" s="181">
        <f>+PL!M39</f>
        <v>50.665836770617105</v>
      </c>
      <c r="F5" s="181">
        <f>+PL!N39</f>
        <v>58.674055528426457</v>
      </c>
      <c r="G5" s="181">
        <f>+PL!O39</f>
        <v>67.875638020491863</v>
      </c>
      <c r="H5" s="189"/>
    </row>
    <row r="6" spans="2:13" x14ac:dyDescent="0.2">
      <c r="B6" s="188" t="s">
        <v>67</v>
      </c>
      <c r="C6" s="167">
        <v>0.5</v>
      </c>
      <c r="D6" s="215">
        <f>+C6+1</f>
        <v>1.5</v>
      </c>
      <c r="E6" s="167">
        <f t="shared" ref="E6:G6" si="0">+D6+1</f>
        <v>2.5</v>
      </c>
      <c r="F6" s="167">
        <f t="shared" si="0"/>
        <v>3.5</v>
      </c>
      <c r="G6" s="167">
        <f t="shared" si="0"/>
        <v>4.5</v>
      </c>
      <c r="H6" s="189"/>
    </row>
    <row r="7" spans="2:13" x14ac:dyDescent="0.2">
      <c r="B7" s="190" t="s">
        <v>68</v>
      </c>
      <c r="C7" s="168">
        <f>1/(1+$C$15)^C6</f>
        <v>0.91249080384995707</v>
      </c>
      <c r="D7" s="216">
        <f t="shared" ref="D7:G7" si="1">1/(1+$C$15)^D6</f>
        <v>0.75977585666108005</v>
      </c>
      <c r="E7" s="168">
        <f t="shared" si="1"/>
        <v>0.63261936441388844</v>
      </c>
      <c r="F7" s="168">
        <f t="shared" si="1"/>
        <v>0.52674385046951566</v>
      </c>
      <c r="G7" s="168">
        <f t="shared" si="1"/>
        <v>0.43858771895879739</v>
      </c>
      <c r="H7" s="191"/>
    </row>
    <row r="8" spans="2:13" x14ac:dyDescent="0.2">
      <c r="B8" s="192" t="s">
        <v>69</v>
      </c>
      <c r="C8" s="193">
        <f>+C5*C7</f>
        <v>29.641896933859989</v>
      </c>
      <c r="D8" s="217">
        <f>+D5*D7</f>
        <v>32.753099766530916</v>
      </c>
      <c r="E8" s="193">
        <f>+E5*E7</f>
        <v>32.05218945532561</v>
      </c>
      <c r="F8" s="193">
        <f>+F5*F7</f>
        <v>30.906197931705524</v>
      </c>
      <c r="G8" s="193">
        <f>+G5*G7</f>
        <v>29.769421252280548</v>
      </c>
      <c r="H8" s="194">
        <f>SUM(C8:G8)</f>
        <v>155.12280533970258</v>
      </c>
      <c r="J8" s="229" t="s">
        <v>122</v>
      </c>
      <c r="K8" s="229" t="s">
        <v>136</v>
      </c>
      <c r="L8" s="229" t="s">
        <v>123</v>
      </c>
      <c r="M8" s="229" t="s">
        <v>138</v>
      </c>
    </row>
    <row r="9" spans="2:13" x14ac:dyDescent="0.2">
      <c r="B9" s="188" t="s">
        <v>70</v>
      </c>
      <c r="C9" s="167"/>
      <c r="D9" s="215"/>
      <c r="E9" s="167"/>
      <c r="F9" s="167"/>
      <c r="G9" s="167"/>
      <c r="H9" s="195">
        <f>+PL!P39/(C15-PL!P4)*G7</f>
        <v>327.46269670438454</v>
      </c>
      <c r="J9" s="229">
        <v>284</v>
      </c>
      <c r="K9" s="230">
        <f>H13/J9-1</f>
        <v>0.58624278201709989</v>
      </c>
      <c r="L9" s="229" t="s">
        <v>137</v>
      </c>
      <c r="M9" s="233" t="s">
        <v>139</v>
      </c>
    </row>
    <row r="10" spans="2:13" x14ac:dyDescent="0.2">
      <c r="B10" s="190" t="s">
        <v>92</v>
      </c>
      <c r="C10" s="169"/>
      <c r="D10" s="218"/>
      <c r="E10" s="169"/>
      <c r="F10" s="169"/>
      <c r="G10" s="169"/>
      <c r="H10" s="196">
        <f>+C20</f>
        <v>-1.8644750000000003</v>
      </c>
    </row>
    <row r="11" spans="2:13" ht="13.5" thickBot="1" x14ac:dyDescent="0.25">
      <c r="B11" s="197" t="s">
        <v>76</v>
      </c>
      <c r="C11" s="170"/>
      <c r="D11" s="219"/>
      <c r="E11" s="170"/>
      <c r="F11" s="170"/>
      <c r="G11" s="170"/>
      <c r="H11" s="198">
        <f>SUM(H8:H10)</f>
        <v>480.72102704408707</v>
      </c>
    </row>
    <row r="12" spans="2:13" x14ac:dyDescent="0.2">
      <c r="B12" s="199" t="s">
        <v>108</v>
      </c>
      <c r="C12" s="171"/>
      <c r="D12" s="220"/>
      <c r="E12" s="171"/>
      <c r="F12" s="171"/>
      <c r="G12" s="171"/>
      <c r="H12" s="200">
        <f>10.671*10^6</f>
        <v>10671000</v>
      </c>
    </row>
    <row r="13" spans="2:13" x14ac:dyDescent="0.2">
      <c r="B13" s="201" t="s">
        <v>109</v>
      </c>
      <c r="C13" s="202"/>
      <c r="D13" s="221"/>
      <c r="E13" s="202"/>
      <c r="F13" s="202"/>
      <c r="G13" s="202"/>
      <c r="H13" s="205">
        <f>(H11*10^7)/H12</f>
        <v>450.49295009285635</v>
      </c>
    </row>
    <row r="14" spans="2:13" x14ac:dyDescent="0.2">
      <c r="B14" s="166"/>
      <c r="C14" s="171"/>
      <c r="D14" s="220"/>
      <c r="E14" s="171"/>
      <c r="F14" s="171"/>
      <c r="G14" s="171"/>
      <c r="H14" s="172"/>
    </row>
    <row r="15" spans="2:13" x14ac:dyDescent="0.2">
      <c r="B15" s="203" t="s">
        <v>68</v>
      </c>
      <c r="C15" s="204">
        <f>+COE!C12</f>
        <v>0.20100000000000001</v>
      </c>
    </row>
    <row r="16" spans="2:13" x14ac:dyDescent="0.2">
      <c r="B16" s="178" t="s">
        <v>121</v>
      </c>
      <c r="C16" s="232">
        <f>PL!R34</f>
        <v>0.393373866021207</v>
      </c>
    </row>
    <row r="17" spans="2:12" x14ac:dyDescent="0.2">
      <c r="C17" s="140"/>
    </row>
    <row r="18" spans="2:12" x14ac:dyDescent="0.2">
      <c r="B18" s="203" t="s">
        <v>106</v>
      </c>
      <c r="C18" s="206">
        <f>+BS!E25</f>
        <v>1.24</v>
      </c>
    </row>
    <row r="19" spans="2:12" x14ac:dyDescent="0.2">
      <c r="B19" s="176" t="s">
        <v>91</v>
      </c>
      <c r="C19" s="207">
        <f>-PL!E22/12*1</f>
        <v>-3.1044750000000003</v>
      </c>
      <c r="D19" s="239" t="s">
        <v>135</v>
      </c>
      <c r="E19" s="239"/>
      <c r="F19" s="239"/>
      <c r="G19" s="239"/>
      <c r="H19" s="239"/>
    </row>
    <row r="20" spans="2:12" x14ac:dyDescent="0.2">
      <c r="B20" s="208" t="s">
        <v>92</v>
      </c>
      <c r="C20" s="209">
        <f>SUM(C18:C19)</f>
        <v>-1.8644750000000003</v>
      </c>
    </row>
    <row r="21" spans="2:12" x14ac:dyDescent="0.2">
      <c r="C21" s="140"/>
    </row>
    <row r="22" spans="2:12" ht="15" customHeight="1" x14ac:dyDescent="0.2">
      <c r="C22" s="242" t="s">
        <v>88</v>
      </c>
      <c r="D22" s="243"/>
      <c r="E22" s="243"/>
      <c r="F22" s="243"/>
      <c r="G22" s="243"/>
      <c r="H22" s="243"/>
      <c r="I22" s="244"/>
    </row>
    <row r="23" spans="2:12" ht="15" customHeight="1" x14ac:dyDescent="0.2">
      <c r="C23" s="180"/>
      <c r="D23" s="222"/>
      <c r="E23" s="240" t="str">
        <f>B16</f>
        <v>EBITDA</v>
      </c>
      <c r="F23" s="240"/>
      <c r="G23" s="240"/>
      <c r="H23" s="240"/>
      <c r="I23" s="241"/>
      <c r="K23" s="174" t="s">
        <v>97</v>
      </c>
      <c r="L23" s="175"/>
    </row>
    <row r="24" spans="2:12" ht="15" customHeight="1" x14ac:dyDescent="0.2">
      <c r="C24" s="237" t="s">
        <v>87</v>
      </c>
      <c r="D24" s="231">
        <f>+H13</f>
        <v>450.49295009285635</v>
      </c>
      <c r="E24" s="210">
        <f>F24-1%</f>
        <v>0.37340000000000001</v>
      </c>
      <c r="F24" s="210">
        <f>G24-1%</f>
        <v>0.38340000000000002</v>
      </c>
      <c r="G24" s="210">
        <v>0.39340000000000003</v>
      </c>
      <c r="H24" s="210">
        <f>G24+1%</f>
        <v>0.40340000000000004</v>
      </c>
      <c r="I24" s="211">
        <f>H24+1%</f>
        <v>0.41340000000000005</v>
      </c>
      <c r="K24" s="176" t="s">
        <v>93</v>
      </c>
      <c r="L24" s="177">
        <f>+MIN(E25:I30)</f>
        <v>346.77450294733711</v>
      </c>
    </row>
    <row r="25" spans="2:12" x14ac:dyDescent="0.2">
      <c r="C25" s="237"/>
      <c r="D25" s="210">
        <f>+D26-1%</f>
        <v>0.18099999999999999</v>
      </c>
      <c r="E25" s="224">
        <f t="dataTable" ref="E25:I30" dt2D="1" dtr="1" r1="C16" r2="C15"/>
        <v>562.54830346558128</v>
      </c>
      <c r="F25" s="224">
        <v>562.54830346558128</v>
      </c>
      <c r="G25" s="224">
        <v>562.54830346558128</v>
      </c>
      <c r="H25" s="224">
        <v>562.54830346558128</v>
      </c>
      <c r="I25" s="225">
        <v>562.54830346558128</v>
      </c>
      <c r="K25" s="176" t="s">
        <v>94</v>
      </c>
      <c r="L25" s="177">
        <f>+MAX(E25:I30)</f>
        <v>562.54830346558128</v>
      </c>
    </row>
    <row r="26" spans="2:12" x14ac:dyDescent="0.2">
      <c r="C26" s="237"/>
      <c r="D26" s="210">
        <f>+D27-1%</f>
        <v>0.191</v>
      </c>
      <c r="E26" s="224">
        <v>500.34228417482223</v>
      </c>
      <c r="F26" s="224">
        <v>500.34228417482223</v>
      </c>
      <c r="G26" s="224">
        <v>500.34228417482223</v>
      </c>
      <c r="H26" s="224">
        <v>500.34228417482223</v>
      </c>
      <c r="I26" s="225">
        <v>500.34228417482223</v>
      </c>
      <c r="K26" s="176" t="s">
        <v>95</v>
      </c>
      <c r="L26" s="177">
        <f>+MEDIAN(E25:I30)</f>
        <v>430.07602829763323</v>
      </c>
    </row>
    <row r="27" spans="2:12" x14ac:dyDescent="0.2">
      <c r="C27" s="237"/>
      <c r="D27" s="210">
        <v>0.20100000000000001</v>
      </c>
      <c r="E27" s="224">
        <v>450.49295009285635</v>
      </c>
      <c r="F27" s="224">
        <v>450.49295009285635</v>
      </c>
      <c r="G27" s="226">
        <v>450.49295009285635</v>
      </c>
      <c r="H27" s="224">
        <v>450.49295009285635</v>
      </c>
      <c r="I27" s="225">
        <v>450.49295009285635</v>
      </c>
      <c r="K27" s="178" t="s">
        <v>96</v>
      </c>
      <c r="L27" s="179">
        <f>+AVERAGE(E25:I30)</f>
        <v>440.90355090692731</v>
      </c>
    </row>
    <row r="28" spans="2:12" x14ac:dyDescent="0.2">
      <c r="C28" s="237"/>
      <c r="D28" s="210">
        <f>+D27+1%</f>
        <v>0.21100000000000002</v>
      </c>
      <c r="E28" s="224">
        <v>409.65910650241017</v>
      </c>
      <c r="F28" s="224">
        <v>409.65910650241017</v>
      </c>
      <c r="G28" s="224">
        <v>409.65910650241017</v>
      </c>
      <c r="H28" s="224">
        <v>409.65910650241017</v>
      </c>
      <c r="I28" s="225">
        <v>409.65910650241017</v>
      </c>
    </row>
    <row r="29" spans="2:12" x14ac:dyDescent="0.2">
      <c r="C29" s="237"/>
      <c r="D29" s="210">
        <f t="shared" ref="D29:D30" si="2">+D28+1%</f>
        <v>0.22100000000000003</v>
      </c>
      <c r="E29" s="224">
        <v>375.60415825855722</v>
      </c>
      <c r="F29" s="224">
        <v>375.60415825855722</v>
      </c>
      <c r="G29" s="224">
        <v>375.60415825855722</v>
      </c>
      <c r="H29" s="224">
        <v>375.60415825855722</v>
      </c>
      <c r="I29" s="225">
        <v>375.60415825855722</v>
      </c>
    </row>
    <row r="30" spans="2:12" x14ac:dyDescent="0.2">
      <c r="C30" s="238"/>
      <c r="D30" s="223">
        <f t="shared" si="2"/>
        <v>0.23100000000000004</v>
      </c>
      <c r="E30" s="227">
        <v>346.77450294733711</v>
      </c>
      <c r="F30" s="227">
        <v>346.77450294733711</v>
      </c>
      <c r="G30" s="227">
        <v>346.77450294733711</v>
      </c>
      <c r="H30" s="227">
        <v>346.77450294733711</v>
      </c>
      <c r="I30" s="228">
        <v>346.77450294733711</v>
      </c>
    </row>
  </sheetData>
  <mergeCells count="5">
    <mergeCell ref="B2:H2"/>
    <mergeCell ref="C24:C30"/>
    <mergeCell ref="D19:H19"/>
    <mergeCell ref="E23:I23"/>
    <mergeCell ref="C22:I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W41"/>
  <sheetViews>
    <sheetView showGridLines="0" topLeftCell="A2" zoomScale="98" zoomScaleNormal="98" workbookViewId="0">
      <pane xSplit="2" ySplit="4" topLeftCell="C19" activePane="bottomRight" state="frozen"/>
      <selection activeCell="A2" sqref="A2"/>
      <selection pane="topRight" activeCell="C2" sqref="C2"/>
      <selection pane="bottomLeft" activeCell="A6" sqref="A6"/>
      <selection pane="bottomRight" activeCell="R34" sqref="R34"/>
    </sheetView>
  </sheetViews>
  <sheetFormatPr defaultColWidth="9.140625" defaultRowHeight="14.25" x14ac:dyDescent="0.2"/>
  <cols>
    <col min="1" max="1" width="3.5703125" style="13" customWidth="1"/>
    <col min="2" max="2" width="36.42578125" style="13" bestFit="1" customWidth="1"/>
    <col min="3" max="4" width="5.85546875" style="43" bestFit="1" customWidth="1"/>
    <col min="5" max="5" width="5.5703125" style="43" bestFit="1" customWidth="1"/>
    <col min="6" max="8" width="6.28515625" style="44" bestFit="1" customWidth="1"/>
    <col min="9" max="9" width="8.42578125" style="41" bestFit="1" customWidth="1"/>
    <col min="10" max="10" width="15" style="41" bestFit="1" customWidth="1"/>
    <col min="11" max="15" width="5.7109375" style="41" customWidth="1"/>
    <col min="16" max="16" width="11.28515625" style="41" customWidth="1"/>
    <col min="17" max="17" width="5.42578125" style="13" bestFit="1" customWidth="1"/>
    <col min="18" max="23" width="7.7109375" style="13" bestFit="1" customWidth="1"/>
    <col min="24" max="16384" width="9.140625" style="13"/>
  </cols>
  <sheetData>
    <row r="3" spans="2:17" x14ac:dyDescent="0.2">
      <c r="B3" s="13" t="s">
        <v>48</v>
      </c>
      <c r="K3" s="245" t="s">
        <v>90</v>
      </c>
      <c r="L3" s="245"/>
      <c r="M3" s="245"/>
      <c r="N3" s="245"/>
      <c r="O3" s="245"/>
      <c r="P3" s="245"/>
    </row>
    <row r="4" spans="2:17" x14ac:dyDescent="0.2">
      <c r="B4" s="37" t="s">
        <v>114</v>
      </c>
      <c r="K4" s="147">
        <v>0.4</v>
      </c>
      <c r="L4" s="147">
        <v>0.18</v>
      </c>
      <c r="M4" s="147">
        <v>0.15</v>
      </c>
      <c r="N4" s="147">
        <v>0.15</v>
      </c>
      <c r="O4" s="147">
        <v>0.15</v>
      </c>
      <c r="P4" s="147">
        <v>0.1</v>
      </c>
    </row>
    <row r="5" spans="2:17" x14ac:dyDescent="0.2">
      <c r="B5" s="51" t="s">
        <v>36</v>
      </c>
      <c r="C5" s="52">
        <v>20</v>
      </c>
      <c r="D5" s="52">
        <v>21</v>
      </c>
      <c r="E5" s="52">
        <v>22</v>
      </c>
      <c r="F5" s="53">
        <f>C5</f>
        <v>20</v>
      </c>
      <c r="G5" s="52">
        <f>D5</f>
        <v>21</v>
      </c>
      <c r="H5" s="52">
        <f>E5</f>
        <v>22</v>
      </c>
      <c r="I5" s="69" t="s">
        <v>53</v>
      </c>
      <c r="J5" s="69" t="s">
        <v>54</v>
      </c>
      <c r="K5" s="149">
        <f>E5+1</f>
        <v>23</v>
      </c>
      <c r="L5" s="149">
        <f>K5+1</f>
        <v>24</v>
      </c>
      <c r="M5" s="149">
        <f t="shared" ref="M5:O5" si="0">L5+1</f>
        <v>25</v>
      </c>
      <c r="N5" s="149">
        <f t="shared" si="0"/>
        <v>26</v>
      </c>
      <c r="O5" s="149">
        <f t="shared" si="0"/>
        <v>27</v>
      </c>
      <c r="P5" s="148" t="s">
        <v>59</v>
      </c>
    </row>
    <row r="6" spans="2:17" x14ac:dyDescent="0.2">
      <c r="B6" s="13" t="s">
        <v>0</v>
      </c>
      <c r="C6" s="49">
        <v>51</v>
      </c>
      <c r="D6" s="49">
        <v>56</v>
      </c>
      <c r="E6" s="49">
        <v>71</v>
      </c>
      <c r="F6" s="65">
        <f>C6/C10</f>
        <v>0.98076923076923073</v>
      </c>
      <c r="G6" s="65">
        <f t="shared" ref="G6:H6" si="1">D6/D10</f>
        <v>0.86153846153846159</v>
      </c>
      <c r="H6" s="65">
        <f t="shared" si="1"/>
        <v>0.83529411764705885</v>
      </c>
      <c r="I6" s="61"/>
      <c r="J6" s="61"/>
      <c r="K6" s="49">
        <f>E6*(1+K4)</f>
        <v>99.399999999999991</v>
      </c>
      <c r="L6" s="49">
        <f>+K6*(1+L4)</f>
        <v>117.29199999999999</v>
      </c>
      <c r="M6" s="49">
        <f t="shared" ref="M6:P6" si="2">+L6*(1+M4)</f>
        <v>134.88579999999999</v>
      </c>
      <c r="N6" s="49">
        <f t="shared" si="2"/>
        <v>155.11866999999998</v>
      </c>
      <c r="O6" s="49">
        <f t="shared" si="2"/>
        <v>178.38647049999997</v>
      </c>
      <c r="P6" s="49">
        <f t="shared" si="2"/>
        <v>196.22511754999999</v>
      </c>
    </row>
    <row r="7" spans="2:17" x14ac:dyDescent="0.2">
      <c r="B7" s="15" t="s">
        <v>17</v>
      </c>
      <c r="C7" s="42"/>
      <c r="D7" s="42">
        <f>D6/C6-1</f>
        <v>9.8039215686274606E-2</v>
      </c>
      <c r="E7" s="42">
        <f t="shared" ref="E7" si="3">E6/D6-1</f>
        <v>0.26785714285714279</v>
      </c>
      <c r="F7" s="62"/>
      <c r="G7" s="63"/>
      <c r="H7" s="63"/>
      <c r="I7" s="61"/>
      <c r="J7" s="61"/>
      <c r="K7" s="49"/>
      <c r="L7" s="49"/>
      <c r="M7" s="49"/>
      <c r="N7" s="49"/>
      <c r="O7" s="49"/>
      <c r="P7" s="49"/>
    </row>
    <row r="8" spans="2:17" x14ac:dyDescent="0.2">
      <c r="F8" s="62"/>
      <c r="G8" s="63"/>
      <c r="H8" s="63"/>
      <c r="I8" s="61"/>
      <c r="J8" s="61"/>
      <c r="K8" s="49"/>
      <c r="L8" s="49"/>
      <c r="M8" s="49"/>
      <c r="N8" s="49"/>
      <c r="O8" s="49"/>
      <c r="P8" s="49"/>
    </row>
    <row r="9" spans="2:17" x14ac:dyDescent="0.2">
      <c r="B9" s="16" t="s">
        <v>1</v>
      </c>
      <c r="C9" s="60">
        <v>1</v>
      </c>
      <c r="D9" s="60">
        <v>9</v>
      </c>
      <c r="E9" s="60">
        <v>14</v>
      </c>
      <c r="F9" s="62">
        <f>C9/C$10</f>
        <v>1.9230769230769232E-2</v>
      </c>
      <c r="G9" s="62">
        <f t="shared" ref="G9:H9" si="4">D9/D$10</f>
        <v>0.13846153846153847</v>
      </c>
      <c r="H9" s="62">
        <f t="shared" si="4"/>
        <v>0.16470588235294117</v>
      </c>
      <c r="I9" s="70">
        <f>AVERAGE(F9:H9)</f>
        <v>0.10746606334841628</v>
      </c>
      <c r="J9" s="70"/>
      <c r="K9" s="60">
        <f>+K6*$I$9</f>
        <v>10.682126696832578</v>
      </c>
      <c r="L9" s="60">
        <f t="shared" ref="L9:O9" si="5">+L6*$I$9</f>
        <v>12.604909502262441</v>
      </c>
      <c r="M9" s="60">
        <f t="shared" si="5"/>
        <v>14.495645927601808</v>
      </c>
      <c r="N9" s="60">
        <f t="shared" si="5"/>
        <v>16.669992816742077</v>
      </c>
      <c r="O9" s="60">
        <f t="shared" si="5"/>
        <v>19.170491739253389</v>
      </c>
      <c r="P9" s="60">
        <f t="shared" ref="P9" si="6">+P6*$I$9</f>
        <v>21.087540913178731</v>
      </c>
    </row>
    <row r="10" spans="2:17" s="14" customFormat="1" x14ac:dyDescent="0.2">
      <c r="B10" s="14" t="s">
        <v>6</v>
      </c>
      <c r="C10" s="50">
        <f>SUM(C6,C9)</f>
        <v>52</v>
      </c>
      <c r="D10" s="50">
        <f>SUM(D6,D9)</f>
        <v>65</v>
      </c>
      <c r="E10" s="50">
        <f>SUM(E6,E9)</f>
        <v>85</v>
      </c>
      <c r="F10" s="62">
        <f t="shared" ref="F10:H10" si="7">C10/C$10</f>
        <v>1</v>
      </c>
      <c r="G10" s="62">
        <f t="shared" si="7"/>
        <v>1</v>
      </c>
      <c r="H10" s="62">
        <f t="shared" si="7"/>
        <v>1</v>
      </c>
      <c r="I10" s="71"/>
      <c r="J10" s="71"/>
      <c r="K10" s="50">
        <f>SUM(K6:K9)</f>
        <v>110.08212669683257</v>
      </c>
      <c r="L10" s="50">
        <f t="shared" ref="L10:P10" si="8">SUM(L6:L9)</f>
        <v>129.89690950226242</v>
      </c>
      <c r="M10" s="50">
        <f t="shared" si="8"/>
        <v>149.38144592760179</v>
      </c>
      <c r="N10" s="50">
        <f t="shared" si="8"/>
        <v>171.78866281674206</v>
      </c>
      <c r="O10" s="50">
        <f t="shared" si="8"/>
        <v>197.55696223925335</v>
      </c>
      <c r="P10" s="50">
        <f t="shared" si="8"/>
        <v>217.31265846317874</v>
      </c>
    </row>
    <row r="11" spans="2:17" x14ac:dyDescent="0.2">
      <c r="C11" s="49"/>
      <c r="D11" s="49"/>
      <c r="E11" s="49"/>
      <c r="F11" s="62"/>
      <c r="G11" s="63"/>
      <c r="H11" s="63"/>
      <c r="I11" s="61"/>
      <c r="J11" s="61"/>
      <c r="K11" s="49"/>
      <c r="L11" s="49"/>
      <c r="M11" s="49"/>
      <c r="N11" s="49"/>
      <c r="O11" s="49"/>
      <c r="P11" s="49"/>
    </row>
    <row r="12" spans="2:17" x14ac:dyDescent="0.2">
      <c r="B12" s="14" t="s">
        <v>2</v>
      </c>
      <c r="C12" s="49"/>
      <c r="D12" s="49"/>
      <c r="E12" s="49"/>
      <c r="F12" s="62"/>
      <c r="G12" s="63"/>
      <c r="H12" s="63"/>
      <c r="I12" s="70"/>
      <c r="J12" s="61"/>
      <c r="K12" s="49"/>
      <c r="L12" s="49"/>
      <c r="M12" s="49"/>
      <c r="N12" s="49"/>
      <c r="O12" s="49"/>
      <c r="P12" s="49"/>
    </row>
    <row r="13" spans="2:17" x14ac:dyDescent="0.2">
      <c r="B13" s="13" t="s">
        <v>99</v>
      </c>
      <c r="C13" s="79">
        <f>C6*F13</f>
        <v>8.7924000000000007</v>
      </c>
      <c r="D13" s="49">
        <f>D6*G13</f>
        <v>11.569600000000001</v>
      </c>
      <c r="E13" s="49">
        <f>E6*H13</f>
        <v>7.7744999999999997</v>
      </c>
      <c r="F13" s="62">
        <v>0.1724</v>
      </c>
      <c r="G13" s="63">
        <v>0.20660000000000001</v>
      </c>
      <c r="H13" s="63">
        <v>0.1095</v>
      </c>
      <c r="I13" s="70">
        <f>AVERAGE(F13:H13)</f>
        <v>0.16283333333333333</v>
      </c>
      <c r="J13" s="70" t="s">
        <v>110</v>
      </c>
      <c r="K13" s="49">
        <f>K6*$I$13</f>
        <v>16.185633333333332</v>
      </c>
      <c r="L13" s="49">
        <f t="shared" ref="L13:P13" si="9">L6*$I$13</f>
        <v>19.099047333333331</v>
      </c>
      <c r="M13" s="49">
        <f t="shared" si="9"/>
        <v>21.96390443333333</v>
      </c>
      <c r="N13" s="49">
        <f t="shared" si="9"/>
        <v>25.258490098333329</v>
      </c>
      <c r="O13" s="49">
        <f t="shared" si="9"/>
        <v>29.047263613083327</v>
      </c>
      <c r="P13" s="49">
        <f t="shared" si="9"/>
        <v>31.951989974391665</v>
      </c>
      <c r="Q13" s="39"/>
    </row>
    <row r="14" spans="2:17" x14ac:dyDescent="0.2">
      <c r="B14" s="13" t="s">
        <v>100</v>
      </c>
      <c r="C14" s="49">
        <f>C6*F14</f>
        <v>13.5915</v>
      </c>
      <c r="D14" s="49">
        <f>D6*G14</f>
        <v>13.635999999999999</v>
      </c>
      <c r="E14" s="49">
        <f>E6*H14</f>
        <v>18.239900000000002</v>
      </c>
      <c r="F14" s="62">
        <v>0.26650000000000001</v>
      </c>
      <c r="G14" s="63">
        <v>0.24349999999999999</v>
      </c>
      <c r="H14" s="63">
        <v>0.25690000000000002</v>
      </c>
      <c r="I14" s="70">
        <f t="shared" ref="I14:I16" si="10">AVERAGE(F14:H14)</f>
        <v>0.25563333333333332</v>
      </c>
      <c r="J14" s="70" t="s">
        <v>110</v>
      </c>
      <c r="K14" s="49">
        <f>K6*$I$14</f>
        <v>25.409953333333331</v>
      </c>
      <c r="L14" s="49">
        <f t="shared" ref="L14:P14" si="11">L6*$I$14</f>
        <v>29.98374493333333</v>
      </c>
      <c r="M14" s="49">
        <f t="shared" si="11"/>
        <v>34.481306673333329</v>
      </c>
      <c r="N14" s="49">
        <f t="shared" si="11"/>
        <v>39.653502674333325</v>
      </c>
      <c r="O14" s="49">
        <f t="shared" si="11"/>
        <v>45.601528075483323</v>
      </c>
      <c r="P14" s="49">
        <f t="shared" si="11"/>
        <v>50.161680883031664</v>
      </c>
    </row>
    <row r="15" spans="2:17" x14ac:dyDescent="0.2">
      <c r="B15" s="13" t="s">
        <v>3</v>
      </c>
      <c r="C15" s="49">
        <f>C6*F15</f>
        <v>5.1459000000000001</v>
      </c>
      <c r="D15" s="49">
        <f>D6*G15</f>
        <v>5.4824000000000002</v>
      </c>
      <c r="E15" s="49">
        <f>E6*H15</f>
        <v>7.6325000000000003</v>
      </c>
      <c r="F15" s="62">
        <v>0.1009</v>
      </c>
      <c r="G15" s="63">
        <v>9.7900000000000001E-2</v>
      </c>
      <c r="H15" s="63">
        <v>0.1075</v>
      </c>
      <c r="I15" s="70">
        <f t="shared" si="10"/>
        <v>0.10210000000000001</v>
      </c>
      <c r="J15" s="70" t="s">
        <v>110</v>
      </c>
      <c r="K15" s="49">
        <f>K6*$I$15</f>
        <v>10.14874</v>
      </c>
      <c r="L15" s="49">
        <f t="shared" ref="L15:P15" si="12">L6*$I$15</f>
        <v>11.9755132</v>
      </c>
      <c r="M15" s="49">
        <f t="shared" si="12"/>
        <v>13.77184018</v>
      </c>
      <c r="N15" s="49">
        <f t="shared" si="12"/>
        <v>15.837616207</v>
      </c>
      <c r="O15" s="49">
        <f t="shared" si="12"/>
        <v>18.21325863805</v>
      </c>
      <c r="P15" s="49">
        <f t="shared" si="12"/>
        <v>20.034584501855001</v>
      </c>
    </row>
    <row r="16" spans="2:17" x14ac:dyDescent="0.2">
      <c r="B16" s="13" t="s">
        <v>101</v>
      </c>
      <c r="C16" s="49">
        <f>C6*F16</f>
        <v>2.9681999999999999</v>
      </c>
      <c r="D16" s="49">
        <f>D6*G16</f>
        <v>2.2624</v>
      </c>
      <c r="E16" s="49">
        <f>E6*H16</f>
        <v>3.6067999999999998</v>
      </c>
      <c r="F16" s="62">
        <v>5.8200000000000002E-2</v>
      </c>
      <c r="G16" s="63">
        <v>4.0399999999999998E-2</v>
      </c>
      <c r="H16" s="63">
        <v>5.0799999999999998E-2</v>
      </c>
      <c r="I16" s="70">
        <f t="shared" si="10"/>
        <v>4.979999999999999E-2</v>
      </c>
      <c r="J16" s="70" t="s">
        <v>110</v>
      </c>
      <c r="K16" s="49">
        <f>K6*$I$16</f>
        <v>4.9501199999999983</v>
      </c>
      <c r="L16" s="49">
        <f t="shared" ref="L16:P16" si="13">L6*$I$16</f>
        <v>5.8411415999999985</v>
      </c>
      <c r="M16" s="49">
        <f t="shared" si="13"/>
        <v>6.7173128399999982</v>
      </c>
      <c r="N16" s="49">
        <f t="shared" si="13"/>
        <v>7.7249097659999979</v>
      </c>
      <c r="O16" s="49">
        <f t="shared" si="13"/>
        <v>8.8836462308999966</v>
      </c>
      <c r="P16" s="49">
        <f t="shared" si="13"/>
        <v>9.7720108539899986</v>
      </c>
    </row>
    <row r="17" spans="2:23" x14ac:dyDescent="0.2">
      <c r="B17" s="13" t="s">
        <v>49</v>
      </c>
      <c r="C17" s="49"/>
      <c r="D17" s="49"/>
      <c r="E17" s="49"/>
      <c r="F17" s="62">
        <f t="shared" ref="F17:H20" si="14">C17/C$6</f>
        <v>0</v>
      </c>
      <c r="G17" s="63">
        <f t="shared" si="14"/>
        <v>0</v>
      </c>
      <c r="H17" s="63">
        <f t="shared" si="14"/>
        <v>0</v>
      </c>
      <c r="I17" s="70">
        <f>+ROUND(H17,2)</f>
        <v>0</v>
      </c>
      <c r="J17" s="70"/>
      <c r="K17" s="49">
        <f>+$I$17*K6</f>
        <v>0</v>
      </c>
      <c r="L17" s="49">
        <f t="shared" ref="L17:O17" si="15">+$I$17*L6</f>
        <v>0</v>
      </c>
      <c r="M17" s="49">
        <f t="shared" si="15"/>
        <v>0</v>
      </c>
      <c r="N17" s="49">
        <f t="shared" si="15"/>
        <v>0</v>
      </c>
      <c r="O17" s="49">
        <f t="shared" si="15"/>
        <v>0</v>
      </c>
      <c r="P17" s="49">
        <f t="shared" ref="P17:P20" si="16">+O17*(1+$P$4)</f>
        <v>0</v>
      </c>
    </row>
    <row r="18" spans="2:23" x14ac:dyDescent="0.2">
      <c r="B18" s="13" t="s">
        <v>50</v>
      </c>
      <c r="C18" s="49"/>
      <c r="D18" s="49"/>
      <c r="E18" s="49"/>
      <c r="F18" s="62">
        <f t="shared" si="14"/>
        <v>0</v>
      </c>
      <c r="G18" s="63">
        <f t="shared" si="14"/>
        <v>0</v>
      </c>
      <c r="H18" s="63">
        <f t="shared" si="14"/>
        <v>0</v>
      </c>
      <c r="I18" s="70">
        <f t="shared" ref="I18:I20" si="17">+ROUND(H18,2)</f>
        <v>0</v>
      </c>
      <c r="J18" s="61"/>
      <c r="K18" s="49">
        <f>+E18*(1+$I$18)</f>
        <v>0</v>
      </c>
      <c r="L18" s="49">
        <f>+K18*(1+$I$18)</f>
        <v>0</v>
      </c>
      <c r="M18" s="49">
        <f t="shared" ref="M18:O18" si="18">+L18*(1+$I$18)</f>
        <v>0</v>
      </c>
      <c r="N18" s="49">
        <f t="shared" si="18"/>
        <v>0</v>
      </c>
      <c r="O18" s="49">
        <f t="shared" si="18"/>
        <v>0</v>
      </c>
      <c r="P18" s="49">
        <f t="shared" si="16"/>
        <v>0</v>
      </c>
    </row>
    <row r="19" spans="2:23" x14ac:dyDescent="0.2">
      <c r="B19" s="13" t="s">
        <v>51</v>
      </c>
      <c r="C19" s="49"/>
      <c r="D19" s="49"/>
      <c r="E19" s="49"/>
      <c r="F19" s="62">
        <f t="shared" si="14"/>
        <v>0</v>
      </c>
      <c r="G19" s="63">
        <f t="shared" si="14"/>
        <v>0</v>
      </c>
      <c r="H19" s="63">
        <f t="shared" si="14"/>
        <v>0</v>
      </c>
      <c r="I19" s="70">
        <f t="shared" si="17"/>
        <v>0</v>
      </c>
      <c r="J19" s="61"/>
      <c r="K19" s="49">
        <f>+$I$19*K6</f>
        <v>0</v>
      </c>
      <c r="L19" s="49">
        <f t="shared" ref="L19:O19" si="19">+$I$19*L6</f>
        <v>0</v>
      </c>
      <c r="M19" s="49">
        <f t="shared" si="19"/>
        <v>0</v>
      </c>
      <c r="N19" s="49">
        <f t="shared" si="19"/>
        <v>0</v>
      </c>
      <c r="O19" s="49">
        <f t="shared" si="19"/>
        <v>0</v>
      </c>
      <c r="P19" s="49">
        <f t="shared" si="16"/>
        <v>0</v>
      </c>
    </row>
    <row r="20" spans="2:23" x14ac:dyDescent="0.2">
      <c r="B20" s="13" t="s">
        <v>52</v>
      </c>
      <c r="C20" s="80"/>
      <c r="D20" s="80"/>
      <c r="E20" s="80"/>
      <c r="F20" s="62">
        <f t="shared" si="14"/>
        <v>0</v>
      </c>
      <c r="G20" s="63">
        <f t="shared" si="14"/>
        <v>0</v>
      </c>
      <c r="H20" s="63">
        <f t="shared" si="14"/>
        <v>0</v>
      </c>
      <c r="I20" s="70">
        <f t="shared" si="17"/>
        <v>0</v>
      </c>
      <c r="J20" s="61"/>
      <c r="K20" s="80">
        <f>+E20*(1+$I$20)</f>
        <v>0</v>
      </c>
      <c r="L20" s="80">
        <f>+K20*(1+$I$20)</f>
        <v>0</v>
      </c>
      <c r="M20" s="80">
        <f t="shared" ref="M20:O20" si="20">+L20*(1+$I$20)</f>
        <v>0</v>
      </c>
      <c r="N20" s="80">
        <f t="shared" si="20"/>
        <v>0</v>
      </c>
      <c r="O20" s="80">
        <f t="shared" si="20"/>
        <v>0</v>
      </c>
      <c r="P20" s="80">
        <f t="shared" si="16"/>
        <v>0</v>
      </c>
    </row>
    <row r="21" spans="2:23" x14ac:dyDescent="0.2">
      <c r="B21" s="17"/>
      <c r="C21" s="60"/>
      <c r="D21" s="81"/>
      <c r="E21" s="81"/>
      <c r="F21" s="62"/>
      <c r="G21" s="63"/>
      <c r="H21" s="63"/>
      <c r="I21" s="61"/>
      <c r="J21" s="61"/>
      <c r="K21" s="60"/>
      <c r="L21" s="60"/>
      <c r="M21" s="60"/>
      <c r="N21" s="60"/>
      <c r="O21" s="60"/>
      <c r="P21" s="60"/>
    </row>
    <row r="22" spans="2:23" s="14" customFormat="1" x14ac:dyDescent="0.2">
      <c r="B22" s="14" t="s">
        <v>7</v>
      </c>
      <c r="C22" s="50">
        <f>SUM(C13:C20)</f>
        <v>30.498000000000001</v>
      </c>
      <c r="D22" s="50">
        <f t="shared" ref="D22" si="21">SUM(D13:D20)</f>
        <v>32.950400000000002</v>
      </c>
      <c r="E22" s="50">
        <f>SUM(E13:E20)</f>
        <v>37.253700000000002</v>
      </c>
      <c r="F22" s="67"/>
      <c r="G22" s="68"/>
      <c r="H22" s="68"/>
      <c r="I22" s="71"/>
      <c r="J22" s="71"/>
      <c r="K22" s="50">
        <f t="shared" ref="K22:P22" si="22">SUM(K13:K20)</f>
        <v>56.694446666666664</v>
      </c>
      <c r="L22" s="50">
        <f t="shared" si="22"/>
        <v>66.899447066666653</v>
      </c>
      <c r="M22" s="50">
        <f t="shared" si="22"/>
        <v>76.934364126666651</v>
      </c>
      <c r="N22" s="50">
        <f t="shared" si="22"/>
        <v>88.474518745666643</v>
      </c>
      <c r="O22" s="50">
        <f t="shared" si="22"/>
        <v>101.74569655751664</v>
      </c>
      <c r="P22" s="50">
        <f t="shared" si="22"/>
        <v>111.92026621326832</v>
      </c>
      <c r="R22" s="40">
        <f>K22/K$6</f>
        <v>0.57036666666666669</v>
      </c>
      <c r="S22" s="40">
        <f t="shared" ref="S22:V22" si="23">L22/L$6</f>
        <v>0.57036666666666658</v>
      </c>
      <c r="T22" s="40">
        <f t="shared" si="23"/>
        <v>0.57036666666666658</v>
      </c>
      <c r="U22" s="40">
        <f t="shared" si="23"/>
        <v>0.57036666666666658</v>
      </c>
      <c r="V22" s="40">
        <f t="shared" si="23"/>
        <v>0.57036666666666658</v>
      </c>
      <c r="W22" s="40">
        <f>P22/P$6</f>
        <v>0.57036666666666658</v>
      </c>
    </row>
    <row r="23" spans="2:23" x14ac:dyDescent="0.2">
      <c r="B23" s="18"/>
      <c r="C23" s="45"/>
      <c r="D23" s="45"/>
      <c r="E23" s="45"/>
      <c r="F23" s="62"/>
      <c r="G23" s="63"/>
      <c r="H23" s="63"/>
      <c r="I23" s="61"/>
      <c r="J23" s="61"/>
      <c r="K23" s="60"/>
      <c r="L23" s="60"/>
      <c r="M23" s="60"/>
      <c r="N23" s="60"/>
      <c r="O23" s="60"/>
      <c r="P23" s="60"/>
    </row>
    <row r="24" spans="2:23" s="14" customFormat="1" x14ac:dyDescent="0.2">
      <c r="B24" s="14" t="s">
        <v>5</v>
      </c>
      <c r="C24" s="46">
        <f>C6-C22</f>
        <v>20.501999999999999</v>
      </c>
      <c r="D24" s="46">
        <f t="shared" ref="D24:E24" si="24">D6-D22</f>
        <v>23.049599999999998</v>
      </c>
      <c r="E24" s="46">
        <f t="shared" si="24"/>
        <v>33.746299999999998</v>
      </c>
      <c r="F24" s="62">
        <f>C24/C6</f>
        <v>0.40199999999999997</v>
      </c>
      <c r="G24" s="62">
        <f t="shared" ref="G24:H24" si="25">D24/D6</f>
        <v>0.41159999999999997</v>
      </c>
      <c r="H24" s="62">
        <f t="shared" si="25"/>
        <v>0.47529999999999994</v>
      </c>
      <c r="I24" s="70">
        <f>AVERAGE(F24:H24)</f>
        <v>0.42963333333333331</v>
      </c>
      <c r="J24" s="71"/>
      <c r="K24" s="50">
        <f t="shared" ref="K24:P24" si="26">K6-K22</f>
        <v>42.705553333333327</v>
      </c>
      <c r="L24" s="50">
        <f t="shared" si="26"/>
        <v>50.392552933333334</v>
      </c>
      <c r="M24" s="50">
        <f t="shared" si="26"/>
        <v>57.951435873333338</v>
      </c>
      <c r="N24" s="50">
        <f t="shared" si="26"/>
        <v>66.644151254333337</v>
      </c>
      <c r="O24" s="50">
        <f t="shared" si="26"/>
        <v>76.640773942483335</v>
      </c>
      <c r="P24" s="50">
        <f t="shared" si="26"/>
        <v>84.304851336731673</v>
      </c>
      <c r="Q24" s="38"/>
      <c r="R24" s="40">
        <f>K24/K6</f>
        <v>0.42963333333333331</v>
      </c>
      <c r="S24" s="40">
        <f t="shared" ref="S24:W24" si="27">L24/L6</f>
        <v>0.42963333333333337</v>
      </c>
      <c r="T24" s="40">
        <f t="shared" si="27"/>
        <v>0.42963333333333342</v>
      </c>
      <c r="U24" s="40">
        <f t="shared" si="27"/>
        <v>0.42963333333333342</v>
      </c>
      <c r="V24" s="40">
        <f t="shared" si="27"/>
        <v>0.42963333333333342</v>
      </c>
      <c r="W24" s="40">
        <f t="shared" si="27"/>
        <v>0.42963333333333337</v>
      </c>
    </row>
    <row r="25" spans="2:23" x14ac:dyDescent="0.2">
      <c r="F25" s="62"/>
      <c r="G25" s="63"/>
      <c r="H25" s="63"/>
      <c r="I25" s="61"/>
      <c r="J25" s="61"/>
      <c r="K25" s="150"/>
      <c r="L25" s="49"/>
      <c r="M25" s="49"/>
      <c r="N25" s="49"/>
      <c r="O25" s="49"/>
      <c r="P25" s="49"/>
    </row>
    <row r="26" spans="2:23" x14ac:dyDescent="0.2">
      <c r="B26" s="13" t="s">
        <v>8</v>
      </c>
      <c r="C26" s="49">
        <v>3</v>
      </c>
      <c r="D26" s="49">
        <v>3</v>
      </c>
      <c r="E26" s="49">
        <v>3</v>
      </c>
      <c r="F26" s="62">
        <f>C26/C$6</f>
        <v>5.8823529411764705E-2</v>
      </c>
      <c r="G26" s="63">
        <f>D26/D$6</f>
        <v>5.3571428571428568E-2</v>
      </c>
      <c r="H26" s="63">
        <f>E26/E$6</f>
        <v>4.2253521126760563E-2</v>
      </c>
      <c r="I26" s="70">
        <f>AVERAGE(F26:H26)</f>
        <v>5.1549493036651274E-2</v>
      </c>
      <c r="J26" s="61" t="s">
        <v>117</v>
      </c>
      <c r="K26" s="55">
        <f>$I$26*BS!I20</f>
        <v>1.1340888468063279</v>
      </c>
      <c r="L26" s="55">
        <f>$I$26*BS!J20</f>
        <v>1.0386541362587285</v>
      </c>
      <c r="M26" s="55">
        <f>$I$26*BS!K20</f>
        <v>0.99399200839960322</v>
      </c>
      <c r="N26" s="55">
        <f>$I$26*BS!L20</f>
        <v>0.95125035203842012</v>
      </c>
      <c r="O26" s="55">
        <f>$I$26*BS!M20</f>
        <v>0.91034658690076808</v>
      </c>
      <c r="P26" s="55">
        <f>$I$26*BS!N20</f>
        <v>0</v>
      </c>
    </row>
    <row r="27" spans="2:23" x14ac:dyDescent="0.2">
      <c r="B27" s="16"/>
      <c r="C27" s="45"/>
      <c r="D27" s="45"/>
      <c r="E27" s="45"/>
      <c r="F27" s="62"/>
      <c r="G27" s="63"/>
      <c r="H27" s="63"/>
      <c r="I27" s="61"/>
      <c r="J27" s="61"/>
      <c r="K27" s="49"/>
      <c r="L27" s="49"/>
      <c r="M27" s="49"/>
      <c r="N27" s="49"/>
      <c r="O27" s="49"/>
      <c r="P27" s="49"/>
    </row>
    <row r="28" spans="2:23" s="14" customFormat="1" x14ac:dyDescent="0.2">
      <c r="B28" s="14" t="s">
        <v>9</v>
      </c>
      <c r="C28" s="50">
        <f>C24-C26</f>
        <v>17.501999999999999</v>
      </c>
      <c r="D28" s="50">
        <f>D24-D26</f>
        <v>20.049599999999998</v>
      </c>
      <c r="E28" s="50">
        <f>E24-E26</f>
        <v>30.746299999999998</v>
      </c>
      <c r="F28" s="67"/>
      <c r="G28" s="68"/>
      <c r="H28" s="68"/>
      <c r="I28" s="71"/>
      <c r="J28" s="71"/>
      <c r="K28" s="50">
        <f t="shared" ref="K28:O28" si="28">K24-K26</f>
        <v>41.571464486526999</v>
      </c>
      <c r="L28" s="50">
        <f t="shared" si="28"/>
        <v>49.353898797074606</v>
      </c>
      <c r="M28" s="50">
        <f t="shared" si="28"/>
        <v>56.957443864933737</v>
      </c>
      <c r="N28" s="50">
        <f t="shared" si="28"/>
        <v>65.692900902294923</v>
      </c>
      <c r="O28" s="50">
        <f t="shared" si="28"/>
        <v>75.730427355582563</v>
      </c>
      <c r="P28" s="50">
        <f t="shared" ref="P28" si="29">P24-P26</f>
        <v>84.304851336731673</v>
      </c>
    </row>
    <row r="29" spans="2:23" x14ac:dyDescent="0.2">
      <c r="F29" s="62"/>
      <c r="G29" s="63"/>
      <c r="H29" s="63"/>
      <c r="I29" s="61"/>
      <c r="J29" s="61"/>
      <c r="K29" s="49"/>
      <c r="L29" s="49"/>
      <c r="M29" s="49"/>
      <c r="N29" s="49"/>
      <c r="O29" s="49"/>
      <c r="P29" s="49"/>
    </row>
    <row r="30" spans="2:23" x14ac:dyDescent="0.2">
      <c r="B30" s="13" t="s">
        <v>10</v>
      </c>
      <c r="C30" s="43">
        <v>0</v>
      </c>
      <c r="D30" s="43">
        <v>0</v>
      </c>
      <c r="E30" s="43">
        <v>0</v>
      </c>
      <c r="F30" s="62">
        <f>C30/C$6</f>
        <v>0</v>
      </c>
      <c r="G30" s="63">
        <f>D30/D$6</f>
        <v>0</v>
      </c>
      <c r="H30" s="63">
        <f>E30/E$6</f>
        <v>0</v>
      </c>
      <c r="I30" s="70">
        <f>AVERAGE(F30:H30)</f>
        <v>0</v>
      </c>
      <c r="J30" s="61" t="s">
        <v>116</v>
      </c>
      <c r="K30" s="60">
        <v>0</v>
      </c>
      <c r="L30" s="60">
        <v>0</v>
      </c>
      <c r="M30" s="60">
        <v>0</v>
      </c>
      <c r="N30" s="60">
        <v>0</v>
      </c>
      <c r="O30" s="60">
        <v>0</v>
      </c>
      <c r="P30" s="60">
        <v>0</v>
      </c>
    </row>
    <row r="31" spans="2:23" x14ac:dyDescent="0.2">
      <c r="B31" s="16"/>
      <c r="C31" s="45"/>
      <c r="D31" s="45"/>
      <c r="E31" s="45"/>
      <c r="F31" s="62"/>
      <c r="G31" s="63"/>
      <c r="H31" s="63"/>
      <c r="I31" s="61"/>
      <c r="J31" s="61"/>
      <c r="K31" s="49"/>
      <c r="L31" s="49"/>
      <c r="M31" s="49"/>
      <c r="N31" s="49"/>
      <c r="O31" s="49"/>
      <c r="P31" s="49"/>
    </row>
    <row r="32" spans="2:23" s="14" customFormat="1" x14ac:dyDescent="0.2">
      <c r="B32" s="14" t="s">
        <v>11</v>
      </c>
      <c r="C32" s="50">
        <f t="shared" ref="C32:D32" si="30">C28-C30</f>
        <v>17.501999999999999</v>
      </c>
      <c r="D32" s="50">
        <f t="shared" si="30"/>
        <v>20.049599999999998</v>
      </c>
      <c r="E32" s="50">
        <f>E28-E30</f>
        <v>30.746299999999998</v>
      </c>
      <c r="F32" s="62">
        <f>C32/C$6</f>
        <v>0.34317647058823525</v>
      </c>
      <c r="G32" s="63">
        <f>D32/D$6</f>
        <v>0.35802857142857142</v>
      </c>
      <c r="H32" s="63">
        <f>E32/E$6</f>
        <v>0.43304647887323938</v>
      </c>
      <c r="I32" s="71"/>
      <c r="J32" s="71"/>
      <c r="K32" s="50">
        <f>K28-K30+K9</f>
        <v>52.253591183359575</v>
      </c>
      <c r="L32" s="50">
        <f>L28-L30+L9</f>
        <v>61.958808299337051</v>
      </c>
      <c r="M32" s="50">
        <f t="shared" ref="M32:O32" si="31">M28-M30+M9</f>
        <v>71.45308979253555</v>
      </c>
      <c r="N32" s="50">
        <f t="shared" si="31"/>
        <v>82.362893719037004</v>
      </c>
      <c r="O32" s="50">
        <f t="shared" si="31"/>
        <v>94.900919094835956</v>
      </c>
      <c r="P32" s="50">
        <f>P28-P30+P9</f>
        <v>105.3923922499104</v>
      </c>
    </row>
    <row r="33" spans="2:18" x14ac:dyDescent="0.2">
      <c r="B33" s="16" t="s">
        <v>12</v>
      </c>
      <c r="C33" s="45">
        <f>C32*F33</f>
        <v>4.2004799999999998</v>
      </c>
      <c r="D33" s="45">
        <f>D32*G33</f>
        <v>3.6089279999999997</v>
      </c>
      <c r="E33" s="45">
        <f>E32*H33</f>
        <v>6.1492599999999999</v>
      </c>
      <c r="F33" s="152">
        <v>0.24</v>
      </c>
      <c r="G33" s="153">
        <v>0.18</v>
      </c>
      <c r="H33" s="153">
        <v>0.2</v>
      </c>
      <c r="I33" s="154">
        <v>0.25169999999999998</v>
      </c>
      <c r="J33" s="155"/>
      <c r="K33" s="55">
        <f>+K32*$I$33</f>
        <v>13.152228900851604</v>
      </c>
      <c r="L33" s="55">
        <f t="shared" ref="L33:P33" si="32">+L32*$I$33</f>
        <v>15.595032048943134</v>
      </c>
      <c r="M33" s="55">
        <f t="shared" si="32"/>
        <v>17.984742700781197</v>
      </c>
      <c r="N33" s="55">
        <f t="shared" si="32"/>
        <v>20.730740349081611</v>
      </c>
      <c r="O33" s="55">
        <f t="shared" si="32"/>
        <v>23.886561336170207</v>
      </c>
      <c r="P33" s="55">
        <f t="shared" si="32"/>
        <v>26.527265129302446</v>
      </c>
    </row>
    <row r="34" spans="2:18" s="14" customFormat="1" x14ac:dyDescent="0.2">
      <c r="B34" s="14" t="s">
        <v>13</v>
      </c>
      <c r="C34" s="50">
        <f>C32-C33</f>
        <v>13.30152</v>
      </c>
      <c r="D34" s="50">
        <f>D32-D33</f>
        <v>16.440671999999999</v>
      </c>
      <c r="E34" s="50">
        <f>E32-E33</f>
        <v>24.59704</v>
      </c>
      <c r="F34" s="62">
        <f>C34/C6</f>
        <v>0.26081411764705881</v>
      </c>
      <c r="G34" s="63">
        <f>D34/D6</f>
        <v>0.29358342857142855</v>
      </c>
      <c r="H34" s="63">
        <f>E34/E6</f>
        <v>0.34643718309859156</v>
      </c>
      <c r="I34" s="71"/>
      <c r="J34" s="71"/>
      <c r="K34" s="50">
        <f t="shared" ref="K34:P34" si="33">K32-K33</f>
        <v>39.101362282507971</v>
      </c>
      <c r="L34" s="50">
        <f t="shared" si="33"/>
        <v>46.363776250393919</v>
      </c>
      <c r="M34" s="50">
        <f t="shared" si="33"/>
        <v>53.468347091754353</v>
      </c>
      <c r="N34" s="50">
        <f t="shared" si="33"/>
        <v>61.63215336995539</v>
      </c>
      <c r="O34" s="50">
        <f t="shared" si="33"/>
        <v>71.014357758665753</v>
      </c>
      <c r="P34" s="50">
        <f t="shared" si="33"/>
        <v>78.865127120607951</v>
      </c>
      <c r="R34" s="40">
        <f>K34/K6</f>
        <v>0.393373866021207</v>
      </c>
    </row>
    <row r="35" spans="2:18" x14ac:dyDescent="0.2">
      <c r="B35" s="13" t="s">
        <v>71</v>
      </c>
      <c r="C35" s="49">
        <v>3</v>
      </c>
      <c r="D35" s="49">
        <v>3</v>
      </c>
      <c r="E35" s="49">
        <v>3</v>
      </c>
      <c r="K35" s="49">
        <v>3</v>
      </c>
      <c r="L35" s="49">
        <f>+L26</f>
        <v>1.0386541362587285</v>
      </c>
      <c r="M35" s="49">
        <f>+M26</f>
        <v>0.99399200839960322</v>
      </c>
      <c r="N35" s="49">
        <f>+N26</f>
        <v>0.95125035203842012</v>
      </c>
      <c r="O35" s="49">
        <f>+O26</f>
        <v>0.91034658690076808</v>
      </c>
      <c r="P35" s="49">
        <f>+P26</f>
        <v>0</v>
      </c>
    </row>
    <row r="36" spans="2:18" ht="15" x14ac:dyDescent="0.2">
      <c r="B36" s="13" t="s">
        <v>72</v>
      </c>
      <c r="C36" s="80">
        <f>BS!C32</f>
        <v>0</v>
      </c>
      <c r="D36" s="151">
        <f>BS!D32</f>
        <v>1</v>
      </c>
      <c r="E36" s="151">
        <f>BS!E32</f>
        <v>3</v>
      </c>
      <c r="K36" s="86">
        <f>-FA!E4</f>
        <v>-2.2000000000000002</v>
      </c>
      <c r="L36" s="86">
        <f>-FA!F4</f>
        <v>-2.1053999999999999</v>
      </c>
      <c r="M36" s="86">
        <f>-FA!G4</f>
        <v>-2.0148677999999998</v>
      </c>
      <c r="N36" s="86">
        <f>-FA!H4</f>
        <v>-1.9282284845999997</v>
      </c>
      <c r="O36" s="86">
        <f>-FA!I4</f>
        <v>-1.8453146597621997</v>
      </c>
      <c r="P36" s="86">
        <f>-FA!J4</f>
        <v>-1.7659661293924249</v>
      </c>
    </row>
    <row r="37" spans="2:18" x14ac:dyDescent="0.2">
      <c r="B37" s="16" t="s">
        <v>77</v>
      </c>
      <c r="C37" s="82">
        <v>2.93</v>
      </c>
      <c r="D37" s="82">
        <v>-2.15</v>
      </c>
      <c r="E37" s="82">
        <v>6.38</v>
      </c>
      <c r="F37" s="48"/>
      <c r="G37" s="48"/>
      <c r="H37" s="48"/>
      <c r="I37" s="64"/>
      <c r="J37" s="64"/>
      <c r="K37" s="60">
        <f>+BS!E34-BS!I34</f>
        <v>-7.4167642911685725</v>
      </c>
      <c r="L37" s="55">
        <f>+BS!I34-BS!J34</f>
        <v>-2.1881325724103355</v>
      </c>
      <c r="M37" s="55">
        <f>+BS!J34-BS!K34</f>
        <v>-1.7816345295368556</v>
      </c>
      <c r="N37" s="55">
        <f>+BS!K34-BS!L34</f>
        <v>-1.9811197089673556</v>
      </c>
      <c r="O37" s="55">
        <f>+BS!L34-BS!M34</f>
        <v>-2.2037516653124669</v>
      </c>
      <c r="P37" s="55">
        <f>+O37/(O6-N6)*(P6-O6)</f>
        <v>-1.689542943406227</v>
      </c>
    </row>
    <row r="38" spans="2:18" x14ac:dyDescent="0.2">
      <c r="K38" s="49"/>
      <c r="L38" s="49"/>
      <c r="M38" s="49"/>
      <c r="N38" s="49"/>
      <c r="O38" s="49"/>
      <c r="P38" s="49"/>
    </row>
    <row r="39" spans="2:18" ht="15" x14ac:dyDescent="0.25">
      <c r="B39" s="156" t="s">
        <v>73</v>
      </c>
      <c r="C39" s="157">
        <f>C34+C35</f>
        <v>16.30152</v>
      </c>
      <c r="D39" s="158">
        <f>D34+D35-D36+D37</f>
        <v>16.290672000000001</v>
      </c>
      <c r="E39" s="158">
        <f>E34+E35-E36+E37</f>
        <v>30.977039999999999</v>
      </c>
      <c r="F39" s="159"/>
      <c r="G39" s="159"/>
      <c r="H39" s="159"/>
      <c r="I39" s="160"/>
      <c r="J39" s="160"/>
      <c r="K39" s="157">
        <f>SUM(K34:K38)</f>
        <v>32.484597991339399</v>
      </c>
      <c r="L39" s="157">
        <f t="shared" ref="L39:P39" si="34">SUM(L34:L38)</f>
        <v>43.108897814242312</v>
      </c>
      <c r="M39" s="157">
        <f t="shared" si="34"/>
        <v>50.665836770617105</v>
      </c>
      <c r="N39" s="157">
        <f t="shared" si="34"/>
        <v>58.674055528426457</v>
      </c>
      <c r="O39" s="157">
        <f t="shared" si="34"/>
        <v>67.875638020491863</v>
      </c>
      <c r="P39" s="161">
        <f t="shared" si="34"/>
        <v>75.409618047809303</v>
      </c>
    </row>
    <row r="40" spans="2:18" x14ac:dyDescent="0.2">
      <c r="B40" s="96" t="s">
        <v>74</v>
      </c>
      <c r="C40" s="47">
        <v>1.37</v>
      </c>
      <c r="D40" s="47">
        <f>BS!C25</f>
        <v>1.37</v>
      </c>
      <c r="E40" s="47">
        <f>BS!D25</f>
        <v>0.81</v>
      </c>
      <c r="K40" s="80">
        <f>+BS!E25</f>
        <v>1.24</v>
      </c>
      <c r="L40" s="80">
        <f>+K41</f>
        <v>33.724597991339401</v>
      </c>
      <c r="M40" s="80">
        <f t="shared" ref="M40:P40" si="35">+L41</f>
        <v>76.83349580558172</v>
      </c>
      <c r="N40" s="80">
        <f t="shared" si="35"/>
        <v>127.49933257619882</v>
      </c>
      <c r="O40" s="80">
        <f t="shared" si="35"/>
        <v>186.17338810462527</v>
      </c>
      <c r="P40" s="100">
        <f t="shared" si="35"/>
        <v>254.04902612511714</v>
      </c>
    </row>
    <row r="41" spans="2:18" x14ac:dyDescent="0.2">
      <c r="B41" s="88" t="s">
        <v>75</v>
      </c>
      <c r="C41" s="92">
        <f>C39-C40</f>
        <v>14.931519999999999</v>
      </c>
      <c r="D41" s="92">
        <f t="shared" ref="D41" si="36">D39-D40</f>
        <v>14.920672</v>
      </c>
      <c r="E41" s="92">
        <f>E39-E40</f>
        <v>30.16704</v>
      </c>
      <c r="F41" s="162"/>
      <c r="G41" s="162"/>
      <c r="H41" s="162"/>
      <c r="I41" s="163"/>
      <c r="J41" s="163"/>
      <c r="K41" s="164">
        <f>SUM(K39:K40)</f>
        <v>33.724597991339401</v>
      </c>
      <c r="L41" s="164">
        <f t="shared" ref="L41:P41" si="37">SUM(L39:L40)</f>
        <v>76.83349580558172</v>
      </c>
      <c r="M41" s="164">
        <f t="shared" si="37"/>
        <v>127.49933257619882</v>
      </c>
      <c r="N41" s="164">
        <f t="shared" si="37"/>
        <v>186.17338810462527</v>
      </c>
      <c r="O41" s="164">
        <f t="shared" si="37"/>
        <v>254.04902612511714</v>
      </c>
      <c r="P41" s="165">
        <f t="shared" si="37"/>
        <v>329.45864417292643</v>
      </c>
    </row>
  </sheetData>
  <mergeCells count="1">
    <mergeCell ref="K3:P3"/>
  </mergeCells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2"/>
  <sheetViews>
    <sheetView showGridLines="0" workbookViewId="0">
      <selection activeCell="B7" sqref="B7"/>
    </sheetView>
  </sheetViews>
  <sheetFormatPr defaultRowHeight="15" x14ac:dyDescent="0.25"/>
  <cols>
    <col min="1" max="1" width="35.140625" bestFit="1" customWidth="1"/>
    <col min="2" max="3" width="14.42578125" bestFit="1" customWidth="1"/>
    <col min="4" max="4" width="15.42578125" bestFit="1" customWidth="1"/>
  </cols>
  <sheetData>
    <row r="2" spans="1:7" ht="15.75" thickBot="1" x14ac:dyDescent="0.3">
      <c r="A2" s="1" t="s">
        <v>3</v>
      </c>
    </row>
    <row r="3" spans="1:7" ht="15.75" thickBot="1" x14ac:dyDescent="0.3">
      <c r="A3" s="34" t="s">
        <v>36</v>
      </c>
      <c r="B3" s="20" t="s">
        <v>37</v>
      </c>
      <c r="C3" s="20" t="s">
        <v>38</v>
      </c>
      <c r="D3" s="21" t="s">
        <v>39</v>
      </c>
      <c r="E3" s="22"/>
      <c r="F3" s="22"/>
      <c r="G3" s="23"/>
    </row>
    <row r="4" spans="1:7" x14ac:dyDescent="0.25">
      <c r="A4" s="24" t="s">
        <v>40</v>
      </c>
      <c r="B4" s="25">
        <v>5915591.7699999996</v>
      </c>
      <c r="C4" s="25">
        <v>23964059.25</v>
      </c>
      <c r="D4" s="25">
        <v>52396766</v>
      </c>
      <c r="G4" s="26"/>
    </row>
    <row r="5" spans="1:7" x14ac:dyDescent="0.25">
      <c r="A5" s="24" t="s">
        <v>41</v>
      </c>
      <c r="B5" s="5">
        <v>600000</v>
      </c>
      <c r="C5" s="5">
        <v>2880000</v>
      </c>
      <c r="D5" s="12">
        <v>7500000</v>
      </c>
      <c r="G5" s="26"/>
    </row>
    <row r="6" spans="1:7" x14ac:dyDescent="0.25">
      <c r="A6" s="24"/>
      <c r="B6" s="10">
        <v>5315591.7699999996</v>
      </c>
      <c r="C6" s="10">
        <v>21084059.25</v>
      </c>
      <c r="D6" s="10">
        <v>44896766</v>
      </c>
      <c r="E6" s="27">
        <f>B6/B$8</f>
        <v>1.0422728960784313</v>
      </c>
      <c r="F6" s="27">
        <f t="shared" ref="F6:G6" si="0">C6/C$8</f>
        <v>3.765010580357143</v>
      </c>
      <c r="G6" s="28">
        <f t="shared" si="0"/>
        <v>6.3234881690140847</v>
      </c>
    </row>
    <row r="7" spans="1:7" x14ac:dyDescent="0.25">
      <c r="A7" s="24"/>
      <c r="G7" s="26"/>
    </row>
    <row r="8" spans="1:7" ht="15.75" thickBot="1" x14ac:dyDescent="0.3">
      <c r="A8" s="29" t="s">
        <v>6</v>
      </c>
      <c r="B8" s="30">
        <f>PL!C6*100000</f>
        <v>5100000</v>
      </c>
      <c r="C8" s="30">
        <f>PL!D6*100000</f>
        <v>5600000</v>
      </c>
      <c r="D8" s="30">
        <f>PL!E6*100000</f>
        <v>7100000</v>
      </c>
      <c r="E8" s="31"/>
      <c r="F8" s="31"/>
      <c r="G8" s="32"/>
    </row>
    <row r="10" spans="1:7" ht="15.75" thickBot="1" x14ac:dyDescent="0.3">
      <c r="A10" s="1" t="s">
        <v>4</v>
      </c>
    </row>
    <row r="11" spans="1:7" ht="15.75" thickBot="1" x14ac:dyDescent="0.3">
      <c r="A11" s="34" t="s">
        <v>36</v>
      </c>
      <c r="B11" s="20" t="s">
        <v>37</v>
      </c>
      <c r="C11" s="20" t="s">
        <v>38</v>
      </c>
      <c r="D11" s="21" t="s">
        <v>39</v>
      </c>
      <c r="E11" s="22"/>
      <c r="F11" s="22"/>
      <c r="G11" s="23"/>
    </row>
    <row r="12" spans="1:7" x14ac:dyDescent="0.25">
      <c r="A12" s="24" t="s">
        <v>4</v>
      </c>
      <c r="B12" s="10">
        <v>2830436.39</v>
      </c>
      <c r="C12" s="10">
        <v>16938417.199999999</v>
      </c>
      <c r="D12" s="10">
        <v>33855511.302000001</v>
      </c>
      <c r="G12" s="26"/>
    </row>
    <row r="13" spans="1:7" x14ac:dyDescent="0.25">
      <c r="A13" s="24" t="s">
        <v>42</v>
      </c>
      <c r="G13" s="26"/>
    </row>
    <row r="14" spans="1:7" x14ac:dyDescent="0.25">
      <c r="A14" s="24" t="s">
        <v>43</v>
      </c>
      <c r="D14" s="10">
        <v>-4000000</v>
      </c>
      <c r="G14" s="26"/>
    </row>
    <row r="15" spans="1:7" x14ac:dyDescent="0.25">
      <c r="A15" s="24" t="s">
        <v>44</v>
      </c>
      <c r="D15" s="10">
        <v>-13598180</v>
      </c>
      <c r="E15" t="s">
        <v>45</v>
      </c>
      <c r="G15" s="26"/>
    </row>
    <row r="16" spans="1:7" ht="5.0999999999999996" customHeight="1" x14ac:dyDescent="0.25">
      <c r="A16" s="24"/>
      <c r="B16" s="2"/>
      <c r="C16" s="2"/>
      <c r="D16" s="2"/>
      <c r="G16" s="26"/>
    </row>
    <row r="17" spans="1:7" x14ac:dyDescent="0.25">
      <c r="A17" s="24"/>
      <c r="B17" s="25">
        <f>SUM(B12:B16)</f>
        <v>2830436.39</v>
      </c>
      <c r="C17" s="25">
        <f t="shared" ref="C17:D17" si="1">SUM(C12:C16)</f>
        <v>16938417.199999999</v>
      </c>
      <c r="D17" s="25">
        <f t="shared" si="1"/>
        <v>16257331.302000001</v>
      </c>
      <c r="G17" s="26"/>
    </row>
    <row r="18" spans="1:7" x14ac:dyDescent="0.25">
      <c r="A18" s="24"/>
      <c r="G18" s="26"/>
    </row>
    <row r="19" spans="1:7" x14ac:dyDescent="0.25">
      <c r="A19" s="24" t="s">
        <v>46</v>
      </c>
      <c r="C19" s="10"/>
      <c r="D19" s="10">
        <f>24011658+SUM(D14:D15)</f>
        <v>6413478</v>
      </c>
      <c r="E19" s="27">
        <f>D19/D$22</f>
        <v>0.90330676056338033</v>
      </c>
      <c r="F19" s="27"/>
      <c r="G19" s="26"/>
    </row>
    <row r="20" spans="1:7" x14ac:dyDescent="0.25">
      <c r="A20" s="24" t="s">
        <v>47</v>
      </c>
      <c r="C20" s="10"/>
      <c r="D20" s="10">
        <v>11199628.802099999</v>
      </c>
      <c r="E20" s="27">
        <f>D20/D$22</f>
        <v>1.5774125073380281</v>
      </c>
      <c r="F20" s="27"/>
      <c r="G20" s="26"/>
    </row>
    <row r="21" spans="1:7" x14ac:dyDescent="0.25">
      <c r="A21" s="24"/>
      <c r="G21" s="26"/>
    </row>
    <row r="22" spans="1:7" ht="15.75" thickBot="1" x14ac:dyDescent="0.3">
      <c r="A22" s="29" t="s">
        <v>6</v>
      </c>
      <c r="B22" s="31"/>
      <c r="C22" s="33"/>
      <c r="D22" s="33">
        <f>D8</f>
        <v>7100000</v>
      </c>
      <c r="E22" s="31"/>
      <c r="F22" s="31"/>
      <c r="G22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B14" sqref="B1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R35"/>
  <sheetViews>
    <sheetView showGridLines="0" zoomScaleNormal="100" workbookViewId="0">
      <selection activeCell="H14" sqref="H14"/>
    </sheetView>
  </sheetViews>
  <sheetFormatPr defaultRowHeight="12.75" x14ac:dyDescent="0.2"/>
  <cols>
    <col min="1" max="1" width="2.42578125" style="101" customWidth="1"/>
    <col min="2" max="2" width="49.140625" style="101" bestFit="1" customWidth="1"/>
    <col min="3" max="3" width="6.140625" style="103" bestFit="1" customWidth="1"/>
    <col min="4" max="4" width="5.85546875" style="103" bestFit="1" customWidth="1"/>
    <col min="5" max="5" width="5.85546875" style="102" bestFit="1" customWidth="1"/>
    <col min="6" max="6" width="4.140625" style="101" bestFit="1" customWidth="1"/>
    <col min="7" max="7" width="8.28515625" style="104" bestFit="1" customWidth="1"/>
    <col min="8" max="8" width="28" style="106" bestFit="1" customWidth="1"/>
    <col min="9" max="9" width="9.42578125" style="102" bestFit="1" customWidth="1"/>
    <col min="10" max="13" width="7.28515625" style="102" bestFit="1" customWidth="1"/>
    <col min="14" max="14" width="39.5703125" style="101" bestFit="1" customWidth="1"/>
    <col min="15" max="16384" width="9.140625" style="101"/>
  </cols>
  <sheetData>
    <row r="1" spans="2:14" x14ac:dyDescent="0.2">
      <c r="I1" s="246" t="s">
        <v>90</v>
      </c>
      <c r="J1" s="246"/>
      <c r="K1" s="246"/>
      <c r="L1" s="246"/>
      <c r="M1" s="246"/>
      <c r="N1" s="105"/>
    </row>
    <row r="2" spans="2:14" x14ac:dyDescent="0.2">
      <c r="B2" s="101" t="s">
        <v>114</v>
      </c>
      <c r="E2" s="103"/>
    </row>
    <row r="3" spans="2:14" x14ac:dyDescent="0.2">
      <c r="B3" s="107" t="s">
        <v>36</v>
      </c>
      <c r="C3" s="108">
        <f>PL!C5</f>
        <v>20</v>
      </c>
      <c r="D3" s="108">
        <f>PL!D5</f>
        <v>21</v>
      </c>
      <c r="E3" s="108">
        <f>PL!E5</f>
        <v>22</v>
      </c>
      <c r="G3" s="109" t="s">
        <v>53</v>
      </c>
      <c r="H3" s="124" t="s">
        <v>54</v>
      </c>
      <c r="I3" s="146">
        <f>PL!K5</f>
        <v>23</v>
      </c>
      <c r="J3" s="146">
        <f>PL!L5</f>
        <v>24</v>
      </c>
      <c r="K3" s="146">
        <f>PL!M5</f>
        <v>25</v>
      </c>
      <c r="L3" s="146">
        <f>PL!N5</f>
        <v>26</v>
      </c>
      <c r="M3" s="146">
        <f>PL!O5</f>
        <v>27</v>
      </c>
    </row>
    <row r="4" spans="2:14" x14ac:dyDescent="0.2">
      <c r="B4" s="105" t="s">
        <v>20</v>
      </c>
      <c r="C4" s="110"/>
      <c r="D4" s="110"/>
      <c r="E4" s="110"/>
    </row>
    <row r="5" spans="2:14" x14ac:dyDescent="0.2">
      <c r="B5" s="101" t="s">
        <v>18</v>
      </c>
      <c r="C5" s="128">
        <v>11</v>
      </c>
      <c r="D5" s="128">
        <v>11</v>
      </c>
      <c r="E5" s="128">
        <v>11</v>
      </c>
      <c r="I5" s="102">
        <f>+$E$5</f>
        <v>11</v>
      </c>
      <c r="J5" s="102">
        <f>+$E$5</f>
        <v>11</v>
      </c>
      <c r="K5" s="102">
        <f>+$E$5</f>
        <v>11</v>
      </c>
      <c r="L5" s="102">
        <f>+$E$5</f>
        <v>11</v>
      </c>
      <c r="M5" s="102">
        <f>+$E$5</f>
        <v>11</v>
      </c>
    </row>
    <row r="6" spans="2:14" x14ac:dyDescent="0.2">
      <c r="B6" s="101" t="s">
        <v>19</v>
      </c>
      <c r="C6" s="128">
        <v>111</v>
      </c>
      <c r="D6" s="128">
        <v>135</v>
      </c>
      <c r="E6" s="128">
        <v>170</v>
      </c>
      <c r="H6" s="106" t="s">
        <v>118</v>
      </c>
      <c r="I6" s="102">
        <f>E6+PL!E34</f>
        <v>194.59703999999999</v>
      </c>
      <c r="J6" s="102">
        <f>I6+PL!K34</f>
        <v>233.69840228250797</v>
      </c>
      <c r="K6" s="102">
        <f>J6+PL!L34</f>
        <v>280.0621785329019</v>
      </c>
      <c r="L6" s="102">
        <f>K6+PL!M34</f>
        <v>333.53052562465626</v>
      </c>
      <c r="M6" s="102">
        <f>L6+PL!N34</f>
        <v>395.16267899461167</v>
      </c>
    </row>
    <row r="7" spans="2:14" x14ac:dyDescent="0.2">
      <c r="B7" s="105" t="s">
        <v>21</v>
      </c>
      <c r="C7" s="128"/>
      <c r="D7" s="128"/>
      <c r="E7" s="128"/>
    </row>
    <row r="8" spans="2:14" x14ac:dyDescent="0.2">
      <c r="B8" s="101" t="s">
        <v>22</v>
      </c>
      <c r="C8" s="128">
        <v>0</v>
      </c>
      <c r="D8" s="128">
        <v>0</v>
      </c>
      <c r="E8" s="128">
        <v>0.63</v>
      </c>
      <c r="G8" s="104">
        <v>0</v>
      </c>
      <c r="H8" s="106" t="s">
        <v>112</v>
      </c>
      <c r="I8" s="103">
        <v>0</v>
      </c>
      <c r="J8" s="103">
        <v>0</v>
      </c>
      <c r="K8" s="103">
        <v>0</v>
      </c>
      <c r="L8" s="103">
        <v>0</v>
      </c>
      <c r="M8" s="103">
        <v>0</v>
      </c>
    </row>
    <row r="9" spans="2:14" x14ac:dyDescent="0.2">
      <c r="C9" s="128"/>
      <c r="D9" s="128"/>
      <c r="E9" s="128"/>
    </row>
    <row r="10" spans="2:14" x14ac:dyDescent="0.2">
      <c r="B10" s="105" t="s">
        <v>23</v>
      </c>
      <c r="C10" s="128"/>
      <c r="D10" s="128"/>
      <c r="E10" s="128"/>
    </row>
    <row r="11" spans="2:14" x14ac:dyDescent="0.2">
      <c r="B11" s="101" t="s">
        <v>24</v>
      </c>
      <c r="C11" s="128">
        <v>2.34</v>
      </c>
      <c r="D11" s="128">
        <v>2.7</v>
      </c>
      <c r="E11" s="128">
        <v>3.94</v>
      </c>
      <c r="F11" s="112"/>
      <c r="G11" s="132">
        <f>(SUM(C11:E11)/SUM(PL!C13:E13))*365</f>
        <v>116.49281182805254</v>
      </c>
      <c r="H11" s="106" t="s">
        <v>119</v>
      </c>
      <c r="I11" s="126">
        <f>($G$11*PL!K13)/365</f>
        <v>5.1657806526516561</v>
      </c>
      <c r="J11" s="126">
        <f>($G$11*PL!L13)/365</f>
        <v>6.0956211701289549</v>
      </c>
      <c r="K11" s="126">
        <f>($G$11*PL!M13)/365</f>
        <v>7.0099643456482976</v>
      </c>
      <c r="L11" s="126">
        <f>($G$11*PL!N13)/365</f>
        <v>8.0614589974955422</v>
      </c>
      <c r="M11" s="126">
        <f>($G$11*PL!O13)/365</f>
        <v>9.2706778471198721</v>
      </c>
    </row>
    <row r="12" spans="2:14" x14ac:dyDescent="0.2">
      <c r="B12" s="101" t="s">
        <v>131</v>
      </c>
      <c r="C12" s="128">
        <v>12.209999999999999</v>
      </c>
      <c r="D12" s="128">
        <v>10.36</v>
      </c>
      <c r="E12" s="128">
        <v>17.87</v>
      </c>
      <c r="G12" s="113">
        <v>0.15</v>
      </c>
      <c r="H12" s="106" t="s">
        <v>132</v>
      </c>
      <c r="I12" s="103">
        <f>E12*(1+$G$12)</f>
        <v>20.5505</v>
      </c>
      <c r="J12" s="103">
        <f>I12*(1+$G$12)</f>
        <v>23.633074999999998</v>
      </c>
      <c r="K12" s="103">
        <f t="shared" ref="K12:M12" si="0">J12*(1+$G$12)</f>
        <v>27.178036249999995</v>
      </c>
      <c r="L12" s="103">
        <f t="shared" si="0"/>
        <v>31.25474168749999</v>
      </c>
      <c r="M12" s="103">
        <f t="shared" si="0"/>
        <v>35.942952940624984</v>
      </c>
    </row>
    <row r="13" spans="2:14" x14ac:dyDescent="0.2">
      <c r="B13" s="101" t="s">
        <v>102</v>
      </c>
      <c r="C13" s="128">
        <v>0</v>
      </c>
      <c r="D13" s="128">
        <v>0</v>
      </c>
      <c r="E13" s="128">
        <v>0</v>
      </c>
      <c r="F13" s="114"/>
      <c r="G13" s="113">
        <f>AVERAGE(E13/PL!$E$6,D13/PL!$D$6,C13/PL!$C$6)</f>
        <v>0</v>
      </c>
      <c r="H13" s="106" t="s">
        <v>89</v>
      </c>
      <c r="I13" s="103">
        <f>+PL!K13*$G$13</f>
        <v>0</v>
      </c>
      <c r="J13" s="103">
        <f>+PL!L13*$G$13</f>
        <v>0</v>
      </c>
      <c r="K13" s="103">
        <f>+PL!M13*$G$13</f>
        <v>0</v>
      </c>
      <c r="L13" s="103">
        <f>+PL!N13*$G$13</f>
        <v>0</v>
      </c>
      <c r="M13" s="103">
        <f>+PL!O13*$G$13</f>
        <v>0</v>
      </c>
    </row>
    <row r="14" spans="2:14" x14ac:dyDescent="0.2">
      <c r="B14" s="101" t="s">
        <v>55</v>
      </c>
      <c r="C14" s="128">
        <v>0</v>
      </c>
      <c r="D14" s="128">
        <v>0</v>
      </c>
      <c r="E14" s="128">
        <v>0</v>
      </c>
      <c r="G14" s="113">
        <f>AVERAGE(E14/PL!$E$6,D14/PL!$D$6,C14/PL!$C$6)</f>
        <v>0</v>
      </c>
      <c r="H14" s="106" t="s">
        <v>110</v>
      </c>
      <c r="I14" s="103">
        <f>+PL!K6*$G$14</f>
        <v>0</v>
      </c>
      <c r="J14" s="103">
        <f>+PL!L6*$G$14</f>
        <v>0</v>
      </c>
      <c r="K14" s="103">
        <f>+PL!M6*$G$14</f>
        <v>0</v>
      </c>
      <c r="L14" s="103">
        <f>+PL!N6*$G$14</f>
        <v>0</v>
      </c>
      <c r="M14" s="103">
        <f>+PL!O6*$G$14</f>
        <v>0</v>
      </c>
    </row>
    <row r="15" spans="2:14" ht="14.25" x14ac:dyDescent="0.2">
      <c r="C15" s="66"/>
      <c r="D15" s="66"/>
      <c r="E15" s="66"/>
      <c r="I15" s="103"/>
      <c r="J15" s="103"/>
      <c r="K15" s="103"/>
      <c r="L15" s="103"/>
      <c r="M15" s="103"/>
    </row>
    <row r="16" spans="2:14" x14ac:dyDescent="0.2">
      <c r="B16" s="115"/>
      <c r="C16" s="129"/>
      <c r="D16" s="117"/>
      <c r="E16" s="116"/>
      <c r="I16" s="103"/>
      <c r="J16" s="103"/>
      <c r="K16" s="103"/>
      <c r="L16" s="103"/>
      <c r="M16" s="103"/>
    </row>
    <row r="17" spans="2:18" s="105" customFormat="1" ht="13.5" thickBot="1" x14ac:dyDescent="0.25">
      <c r="B17" s="118" t="s">
        <v>27</v>
      </c>
      <c r="C17" s="119">
        <f>SUM(C5:C14)-0.63</f>
        <v>135.92000000000002</v>
      </c>
      <c r="D17" s="119">
        <f t="shared" ref="D17:E17" si="1">SUM(D5:D14)</f>
        <v>159.06</v>
      </c>
      <c r="E17" s="119">
        <f t="shared" si="1"/>
        <v>203.44</v>
      </c>
      <c r="G17" s="120"/>
      <c r="H17" s="125"/>
      <c r="I17" s="119">
        <f>SUM(I5:I15)</f>
        <v>231.31332065265164</v>
      </c>
      <c r="J17" s="119">
        <f>SUM(J5:J15)</f>
        <v>274.42709845263693</v>
      </c>
      <c r="K17" s="119">
        <f>SUM(K5:K15)</f>
        <v>325.2501791285502</v>
      </c>
      <c r="L17" s="119">
        <f>SUM(L5:L15)</f>
        <v>383.84672630965179</v>
      </c>
      <c r="M17" s="119">
        <f>SUM(M5:M15)</f>
        <v>451.37630978235654</v>
      </c>
    </row>
    <row r="18" spans="2:18" x14ac:dyDescent="0.2">
      <c r="I18" s="103"/>
      <c r="J18" s="103"/>
      <c r="K18" s="103"/>
      <c r="L18" s="103"/>
      <c r="M18" s="103"/>
    </row>
    <row r="19" spans="2:18" x14ac:dyDescent="0.2">
      <c r="B19" s="105" t="s">
        <v>28</v>
      </c>
      <c r="I19" s="103"/>
      <c r="J19" s="103"/>
      <c r="K19" s="103"/>
      <c r="L19" s="103"/>
      <c r="M19" s="103"/>
    </row>
    <row r="20" spans="2:18" x14ac:dyDescent="0.2">
      <c r="B20" s="101" t="s">
        <v>103</v>
      </c>
      <c r="C20" s="111">
        <v>21</v>
      </c>
      <c r="D20" s="111">
        <v>19</v>
      </c>
      <c r="E20" s="111">
        <v>19</v>
      </c>
      <c r="I20" s="103">
        <f>FA!E3</f>
        <v>22</v>
      </c>
      <c r="J20" s="103">
        <f>+FA!F8</f>
        <v>20.148677999999997</v>
      </c>
      <c r="K20" s="103">
        <f>+FA!G8</f>
        <v>19.282284845999996</v>
      </c>
      <c r="L20" s="103">
        <f>+FA!H8</f>
        <v>18.453146597621995</v>
      </c>
      <c r="M20" s="103">
        <f>+FA!I8</f>
        <v>17.659661293924248</v>
      </c>
    </row>
    <row r="21" spans="2:18" x14ac:dyDescent="0.2">
      <c r="B21" s="101" t="s">
        <v>104</v>
      </c>
      <c r="C21" s="111">
        <v>78</v>
      </c>
      <c r="D21" s="111">
        <v>99</v>
      </c>
      <c r="E21" s="111">
        <v>144</v>
      </c>
      <c r="I21" s="103">
        <v>117.8239361444583</v>
      </c>
      <c r="J21" s="103">
        <v>110.26807655716757</v>
      </c>
      <c r="K21" s="103">
        <v>101.89278640298062</v>
      </c>
      <c r="L21" s="103">
        <v>91.903410008528112</v>
      </c>
      <c r="M21" s="103">
        <v>80.073219524607282</v>
      </c>
    </row>
    <row r="22" spans="2:18" x14ac:dyDescent="0.2">
      <c r="B22" s="105" t="s">
        <v>31</v>
      </c>
      <c r="E22" s="103"/>
      <c r="I22" s="103"/>
      <c r="J22" s="103"/>
      <c r="K22" s="103"/>
      <c r="L22" s="103"/>
      <c r="M22" s="103"/>
      <c r="N22" s="121"/>
      <c r="O22" s="121"/>
      <c r="P22" s="121"/>
      <c r="Q22" s="121"/>
      <c r="R22" s="121"/>
    </row>
    <row r="23" spans="2:18" x14ac:dyDescent="0.2">
      <c r="B23" s="101" t="s">
        <v>32</v>
      </c>
      <c r="C23" s="111">
        <v>13.94</v>
      </c>
      <c r="D23" s="111">
        <v>18.09</v>
      </c>
      <c r="E23" s="111">
        <v>17.399999999999999</v>
      </c>
      <c r="F23" s="122"/>
      <c r="G23" s="133">
        <f>(SUM(C23:E23)/SUM(PL!C6:'PL'!E6)*365)</f>
        <v>101.35926966292135</v>
      </c>
      <c r="H23" s="106" t="s">
        <v>98</v>
      </c>
      <c r="I23" s="103">
        <f>+PL!K6*$G$23/365</f>
        <v>27.603044943820223</v>
      </c>
      <c r="J23" s="103">
        <f>+PL!L6*$G$23/365</f>
        <v>32.571593033707856</v>
      </c>
      <c r="K23" s="103">
        <f>+PL!M6*$G$23/365</f>
        <v>37.457331988764047</v>
      </c>
      <c r="L23" s="103">
        <f>+PL!N6*$G$23/365</f>
        <v>43.075931787078645</v>
      </c>
      <c r="M23" s="103">
        <f>+PL!O6*$G$23/365</f>
        <v>49.537321555140437</v>
      </c>
    </row>
    <row r="24" spans="2:18" x14ac:dyDescent="0.2">
      <c r="B24" s="101" t="s">
        <v>115</v>
      </c>
      <c r="C24" s="111">
        <v>15.18</v>
      </c>
      <c r="D24" s="111">
        <v>6.17</v>
      </c>
      <c r="E24" s="111">
        <v>10.6</v>
      </c>
      <c r="G24" s="132">
        <f>(SUM(C24:E24)/SUM(PL!C6:'PL'!E6)*365)</f>
        <v>65.515449438202253</v>
      </c>
      <c r="H24" s="106" t="s">
        <v>120</v>
      </c>
      <c r="I24" s="103">
        <f>($G$24*PL!K6)/365</f>
        <v>17.841741573033708</v>
      </c>
      <c r="J24" s="103">
        <f>($G$24*PL!L6)/365</f>
        <v>21.053255056179776</v>
      </c>
      <c r="K24" s="103">
        <f>($G$24*PL!M6)/365</f>
        <v>24.21124331460674</v>
      </c>
      <c r="L24" s="103">
        <f>($G$24*PL!N6)/365</f>
        <v>27.842929811797752</v>
      </c>
      <c r="M24" s="103">
        <f>($G$24*PL!O6)/365</f>
        <v>32.019369283567414</v>
      </c>
    </row>
    <row r="25" spans="2:18" x14ac:dyDescent="0.2">
      <c r="B25" s="101" t="s">
        <v>35</v>
      </c>
      <c r="C25" s="111">
        <v>1.37</v>
      </c>
      <c r="D25" s="111">
        <v>0.81</v>
      </c>
      <c r="E25" s="111">
        <v>1.24</v>
      </c>
      <c r="I25" s="103">
        <f>PL!K41</f>
        <v>33.724597991339401</v>
      </c>
      <c r="J25" s="103">
        <f>PL!L41</f>
        <v>76.83349580558172</v>
      </c>
      <c r="K25" s="103">
        <f>PL!M41</f>
        <v>127.49933257619882</v>
      </c>
      <c r="L25" s="103">
        <f>PL!N41</f>
        <v>186.17338810462527</v>
      </c>
      <c r="M25" s="103">
        <f>PL!O41</f>
        <v>254.04902612511714</v>
      </c>
    </row>
    <row r="26" spans="2:18" x14ac:dyDescent="0.2">
      <c r="B26" s="101" t="s">
        <v>33</v>
      </c>
      <c r="C26" s="111">
        <v>6.6</v>
      </c>
      <c r="D26" s="111">
        <v>16.09</v>
      </c>
      <c r="E26" s="111">
        <v>11.05</v>
      </c>
      <c r="G26" s="113">
        <v>0.1</v>
      </c>
      <c r="H26" s="106" t="s">
        <v>132</v>
      </c>
      <c r="I26" s="103">
        <f>E26*(1+$G$26)</f>
        <v>12.155000000000001</v>
      </c>
      <c r="J26" s="103">
        <f>I26*(1+$G$26)</f>
        <v>13.370500000000002</v>
      </c>
      <c r="K26" s="103">
        <f t="shared" ref="K26:M26" si="2">J26*(1+$G$26)</f>
        <v>14.707550000000003</v>
      </c>
      <c r="L26" s="103">
        <f t="shared" si="2"/>
        <v>16.178305000000005</v>
      </c>
      <c r="M26" s="103">
        <f t="shared" si="2"/>
        <v>17.796135500000009</v>
      </c>
    </row>
    <row r="27" spans="2:18" x14ac:dyDescent="0.2">
      <c r="B27" s="101" t="s">
        <v>34</v>
      </c>
      <c r="C27" s="111">
        <v>-0.17</v>
      </c>
      <c r="D27" s="111">
        <v>-0.1</v>
      </c>
      <c r="E27" s="111">
        <v>0.15</v>
      </c>
      <c r="G27" s="113">
        <v>0.1</v>
      </c>
      <c r="H27" s="106" t="s">
        <v>132</v>
      </c>
      <c r="I27" s="103">
        <f>E27*(1+$G$27)</f>
        <v>0.16500000000000001</v>
      </c>
      <c r="J27" s="103">
        <f>I27*(1+$G$27)</f>
        <v>0.18150000000000002</v>
      </c>
      <c r="K27" s="103">
        <f t="shared" ref="K27:M27" si="3">J27*(1+$G$27)</f>
        <v>0.19965000000000005</v>
      </c>
      <c r="L27" s="103">
        <f t="shared" si="3"/>
        <v>0.21961500000000006</v>
      </c>
      <c r="M27" s="103">
        <f t="shared" si="3"/>
        <v>0.24157650000000008</v>
      </c>
    </row>
    <row r="28" spans="2:18" x14ac:dyDescent="0.2">
      <c r="B28" s="115"/>
      <c r="C28" s="129"/>
      <c r="D28" s="117"/>
      <c r="E28" s="116"/>
      <c r="I28" s="103"/>
      <c r="J28" s="103"/>
      <c r="K28" s="103"/>
      <c r="L28" s="103"/>
      <c r="M28" s="103"/>
    </row>
    <row r="29" spans="2:18" ht="13.5" thickBot="1" x14ac:dyDescent="0.25">
      <c r="B29" s="118" t="s">
        <v>27</v>
      </c>
      <c r="C29" s="119">
        <f>SUM(C20:C27)</f>
        <v>135.92000000000002</v>
      </c>
      <c r="D29" s="119">
        <f>SUM(D20:D27)</f>
        <v>159.06</v>
      </c>
      <c r="E29" s="119">
        <f>SUM(E20:E27)</f>
        <v>203.44000000000003</v>
      </c>
      <c r="I29" s="127">
        <f t="shared" ref="I29:M29" si="4">SUM(I20:I27)</f>
        <v>231.31332065265164</v>
      </c>
      <c r="J29" s="127">
        <f t="shared" si="4"/>
        <v>274.42709845263698</v>
      </c>
      <c r="K29" s="127">
        <f t="shared" si="4"/>
        <v>325.25017912855026</v>
      </c>
      <c r="L29" s="127">
        <f t="shared" si="4"/>
        <v>383.84672630965179</v>
      </c>
      <c r="M29" s="127">
        <f t="shared" si="4"/>
        <v>451.37630978235649</v>
      </c>
    </row>
    <row r="30" spans="2:18" x14ac:dyDescent="0.2">
      <c r="C30" s="103" t="b">
        <f>IF(C17=C29,TRUE,FALSE)</f>
        <v>1</v>
      </c>
      <c r="D30" s="103" t="b">
        <f>D17=D29</f>
        <v>1</v>
      </c>
      <c r="E30" s="103" t="b">
        <f>E17=E29</f>
        <v>1</v>
      </c>
      <c r="I30" s="103" t="b">
        <f>IF(I17=I29,TRUE,FALSE)</f>
        <v>1</v>
      </c>
      <c r="J30" s="103" t="b">
        <f>J17=J29</f>
        <v>1</v>
      </c>
      <c r="K30" s="103" t="b">
        <f>K17=K29</f>
        <v>1</v>
      </c>
      <c r="L30" s="103" t="b">
        <f>L17=L29</f>
        <v>1</v>
      </c>
      <c r="M30" s="103" t="b">
        <f>M17=M29</f>
        <v>0</v>
      </c>
    </row>
    <row r="31" spans="2:18" x14ac:dyDescent="0.2">
      <c r="I31" s="103"/>
      <c r="J31" s="103"/>
      <c r="K31" s="103"/>
      <c r="L31" s="103"/>
      <c r="M31" s="103"/>
    </row>
    <row r="32" spans="2:18" x14ac:dyDescent="0.2">
      <c r="B32" s="101" t="s">
        <v>57</v>
      </c>
      <c r="C32" s="102"/>
      <c r="D32" s="102">
        <f>+D20+PL!D26-BS!C20</f>
        <v>1</v>
      </c>
      <c r="E32" s="102">
        <f>+E20+PL!E26-BS!D20</f>
        <v>3</v>
      </c>
    </row>
    <row r="33" spans="2:13" x14ac:dyDescent="0.2">
      <c r="B33" s="101" t="s">
        <v>58</v>
      </c>
      <c r="C33" s="130">
        <f>+PL!C26/(PL!C26+BS!C20)</f>
        <v>0.125</v>
      </c>
      <c r="D33" s="130">
        <f>+PL!D26/(PL!D26+BS!D20)</f>
        <v>0.13636363636363635</v>
      </c>
      <c r="E33" s="130">
        <f>+PL!E26/(PL!E26+BS!E20)</f>
        <v>0.13636363636363635</v>
      </c>
      <c r="G33" s="113">
        <f>ROUND(AVERAGE(C33:E33),2)</f>
        <v>0.13</v>
      </c>
      <c r="H33" s="106" t="s">
        <v>113</v>
      </c>
    </row>
    <row r="34" spans="2:13" x14ac:dyDescent="0.2">
      <c r="B34" s="101" t="s">
        <v>56</v>
      </c>
      <c r="C34" s="103">
        <f>+SUM(C23,C26,C27)-SUM(C11:C14)</f>
        <v>5.8199999999999985</v>
      </c>
      <c r="D34" s="103">
        <f>+SUM(D23,D26,D27)-SUM(D11:D14)</f>
        <v>21.02</v>
      </c>
      <c r="E34" s="103">
        <f>+SUM(E23,E26,E27)-SUM(E11:E14)</f>
        <v>6.7899999999999956</v>
      </c>
      <c r="I34" s="103">
        <f>+SUM(I23,I26,I27)-SUM(I11:I14)</f>
        <v>14.206764291168568</v>
      </c>
      <c r="J34" s="103">
        <f>+SUM(J23,J26,J27)-SUM(J11:J14)</f>
        <v>16.394896863578904</v>
      </c>
      <c r="K34" s="103">
        <f>+SUM(K23,K26,K27)-SUM(K11:K14)</f>
        <v>18.176531393115759</v>
      </c>
      <c r="L34" s="103">
        <f>+SUM(L23,L26,L27)-SUM(L11:L14)</f>
        <v>20.157651102083115</v>
      </c>
      <c r="M34" s="103">
        <f>+SUM(M23,M26,M27)-SUM(M11:M14)</f>
        <v>22.361402767395582</v>
      </c>
    </row>
    <row r="35" spans="2:13" x14ac:dyDescent="0.2">
      <c r="C35" s="123"/>
      <c r="D35" s="123"/>
      <c r="E35" s="123"/>
    </row>
  </sheetData>
  <mergeCells count="1">
    <mergeCell ref="I1:M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9"/>
  <sheetViews>
    <sheetView showGridLines="0" workbookViewId="0">
      <selection activeCell="E7" sqref="E7"/>
    </sheetView>
  </sheetViews>
  <sheetFormatPr defaultColWidth="9.140625" defaultRowHeight="14.25" x14ac:dyDescent="0.2"/>
  <cols>
    <col min="1" max="1" width="9.140625" style="13"/>
    <col min="2" max="2" width="16.5703125" style="13" bestFit="1" customWidth="1"/>
    <col min="3" max="3" width="5.140625" style="13" bestFit="1" customWidth="1"/>
    <col min="4" max="4" width="17.7109375" style="13" bestFit="1" customWidth="1"/>
    <col min="5" max="9" width="5.5703125" style="41" bestFit="1" customWidth="1"/>
    <col min="10" max="10" width="10.5703125" style="13" bestFit="1" customWidth="1"/>
    <col min="11" max="16384" width="9.140625" style="13"/>
  </cols>
  <sheetData>
    <row r="2" spans="2:10" x14ac:dyDescent="0.2">
      <c r="B2" s="88" t="s">
        <v>36</v>
      </c>
      <c r="C2" s="89"/>
      <c r="D2" s="89"/>
      <c r="E2" s="90">
        <f>BS!I3</f>
        <v>23</v>
      </c>
      <c r="F2" s="90">
        <f>BS!J3</f>
        <v>24</v>
      </c>
      <c r="G2" s="90">
        <f>BS!K3</f>
        <v>25</v>
      </c>
      <c r="H2" s="90">
        <f>BS!L3</f>
        <v>26</v>
      </c>
      <c r="I2" s="90">
        <f>BS!M3</f>
        <v>27</v>
      </c>
      <c r="J2" s="91" t="s">
        <v>59</v>
      </c>
    </row>
    <row r="3" spans="2:10" x14ac:dyDescent="0.2">
      <c r="B3" s="96" t="s">
        <v>60</v>
      </c>
      <c r="E3" s="47">
        <v>22</v>
      </c>
      <c r="F3" s="47">
        <f>+E8</f>
        <v>21.053999999999998</v>
      </c>
      <c r="G3" s="47">
        <f t="shared" ref="G3:J3" si="0">+F8</f>
        <v>20.148677999999997</v>
      </c>
      <c r="H3" s="47">
        <f t="shared" si="0"/>
        <v>19.282284845999996</v>
      </c>
      <c r="I3" s="47">
        <f t="shared" si="0"/>
        <v>18.453146597621995</v>
      </c>
      <c r="J3" s="97">
        <f t="shared" si="0"/>
        <v>17.659661293924248</v>
      </c>
    </row>
    <row r="4" spans="2:10" x14ac:dyDescent="0.2">
      <c r="B4" s="98" t="s">
        <v>61</v>
      </c>
      <c r="C4" s="83">
        <v>0.1</v>
      </c>
      <c r="D4" s="84" t="s">
        <v>129</v>
      </c>
      <c r="E4" s="85">
        <f>E3*$C$4</f>
        <v>2.2000000000000002</v>
      </c>
      <c r="F4" s="85">
        <f t="shared" ref="F4:J4" si="1">F3*$C$4</f>
        <v>2.1053999999999999</v>
      </c>
      <c r="G4" s="85">
        <f t="shared" si="1"/>
        <v>2.0148677999999998</v>
      </c>
      <c r="H4" s="85">
        <f t="shared" si="1"/>
        <v>1.9282284845999997</v>
      </c>
      <c r="I4" s="85">
        <f t="shared" si="1"/>
        <v>1.8453146597621997</v>
      </c>
      <c r="J4" s="85">
        <f t="shared" si="1"/>
        <v>1.7659661293924249</v>
      </c>
    </row>
    <row r="5" spans="2:10" x14ac:dyDescent="0.2">
      <c r="B5" s="94" t="s">
        <v>62</v>
      </c>
      <c r="C5" s="95"/>
      <c r="D5" s="95"/>
      <c r="E5" s="92">
        <f>SUM(E3:E4)</f>
        <v>24.2</v>
      </c>
      <c r="F5" s="92">
        <f t="shared" ref="F5:J5" si="2">+F3+F4</f>
        <v>23.159399999999998</v>
      </c>
      <c r="G5" s="92">
        <f t="shared" si="2"/>
        <v>22.163545799999998</v>
      </c>
      <c r="H5" s="92">
        <f t="shared" si="2"/>
        <v>21.210513330599994</v>
      </c>
      <c r="I5" s="92">
        <f t="shared" si="2"/>
        <v>20.298461257384194</v>
      </c>
      <c r="J5" s="93">
        <f t="shared" si="2"/>
        <v>19.425627423316673</v>
      </c>
    </row>
    <row r="6" spans="2:10" x14ac:dyDescent="0.2">
      <c r="B6" s="96" t="s">
        <v>63</v>
      </c>
      <c r="C6" s="131">
        <f>BS!G33</f>
        <v>0.13</v>
      </c>
      <c r="D6" s="84" t="s">
        <v>130</v>
      </c>
      <c r="E6" s="87">
        <f>C6</f>
        <v>0.13</v>
      </c>
      <c r="F6" s="87">
        <f>+$E$6</f>
        <v>0.13</v>
      </c>
      <c r="G6" s="87">
        <f>+$E$6</f>
        <v>0.13</v>
      </c>
      <c r="H6" s="87">
        <f>+$E$6</f>
        <v>0.13</v>
      </c>
      <c r="I6" s="87">
        <f>+$E$6</f>
        <v>0.13</v>
      </c>
      <c r="J6" s="99">
        <f>+$E$6</f>
        <v>0.13</v>
      </c>
    </row>
    <row r="7" spans="2:10" x14ac:dyDescent="0.2">
      <c r="B7" s="96" t="s">
        <v>8</v>
      </c>
      <c r="E7" s="80">
        <f t="shared" ref="E7:J7" si="3">+E5*E6</f>
        <v>3.1459999999999999</v>
      </c>
      <c r="F7" s="80">
        <f t="shared" si="3"/>
        <v>3.0107219999999999</v>
      </c>
      <c r="G7" s="80">
        <f t="shared" si="3"/>
        <v>2.881260954</v>
      </c>
      <c r="H7" s="80">
        <f t="shared" si="3"/>
        <v>2.7573667329779994</v>
      </c>
      <c r="I7" s="80">
        <f t="shared" si="3"/>
        <v>2.6387999634599453</v>
      </c>
      <c r="J7" s="100">
        <f t="shared" si="3"/>
        <v>2.5253315650311676</v>
      </c>
    </row>
    <row r="8" spans="2:10" x14ac:dyDescent="0.2">
      <c r="B8" s="88" t="s">
        <v>64</v>
      </c>
      <c r="C8" s="89"/>
      <c r="D8" s="89"/>
      <c r="E8" s="92">
        <f t="shared" ref="E8:J8" si="4">+E5-E7</f>
        <v>21.053999999999998</v>
      </c>
      <c r="F8" s="92">
        <f t="shared" si="4"/>
        <v>20.148677999999997</v>
      </c>
      <c r="G8" s="92">
        <f t="shared" si="4"/>
        <v>19.282284845999996</v>
      </c>
      <c r="H8" s="92">
        <f t="shared" si="4"/>
        <v>18.453146597621995</v>
      </c>
      <c r="I8" s="92">
        <f t="shared" si="4"/>
        <v>17.659661293924248</v>
      </c>
      <c r="J8" s="93">
        <f t="shared" si="4"/>
        <v>16.900295858285507</v>
      </c>
    </row>
    <row r="9" spans="2:10" x14ac:dyDescent="0.2">
      <c r="F9" s="54"/>
      <c r="G9" s="54"/>
      <c r="H9" s="54"/>
      <c r="I9" s="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E12"/>
  <sheetViews>
    <sheetView showGridLines="0" zoomScaleNormal="100" workbookViewId="0">
      <selection activeCell="B8" sqref="B8"/>
    </sheetView>
  </sheetViews>
  <sheetFormatPr defaultColWidth="9.140625" defaultRowHeight="12.75" x14ac:dyDescent="0.2"/>
  <cols>
    <col min="1" max="1" width="9.140625" style="101"/>
    <col min="2" max="2" width="27.5703125" style="101" bestFit="1" customWidth="1"/>
    <col min="3" max="3" width="8" style="101" bestFit="1" customWidth="1"/>
    <col min="4" max="4" width="29.42578125" style="101" bestFit="1" customWidth="1"/>
    <col min="5" max="5" width="10.42578125" style="101" bestFit="1" customWidth="1"/>
    <col min="6" max="16384" width="9.140625" style="101"/>
  </cols>
  <sheetData>
    <row r="2" spans="2:5" x14ac:dyDescent="0.2">
      <c r="B2" s="105" t="s">
        <v>78</v>
      </c>
    </row>
    <row r="3" spans="2:5" ht="13.5" thickBot="1" x14ac:dyDescent="0.25">
      <c r="B3" s="134" t="s">
        <v>36</v>
      </c>
      <c r="C3" s="135" t="s">
        <v>79</v>
      </c>
    </row>
    <row r="4" spans="2:5" x14ac:dyDescent="0.2">
      <c r="B4" s="105" t="s">
        <v>80</v>
      </c>
      <c r="C4" s="136">
        <v>0.89</v>
      </c>
    </row>
    <row r="5" spans="2:5" x14ac:dyDescent="0.2">
      <c r="B5" s="101" t="s">
        <v>81</v>
      </c>
      <c r="C5" s="137">
        <v>0.25169999999999998</v>
      </c>
    </row>
    <row r="6" spans="2:5" ht="16.5" customHeight="1" x14ac:dyDescent="0.2">
      <c r="B6" s="115" t="s">
        <v>82</v>
      </c>
      <c r="C6" s="138">
        <v>0</v>
      </c>
    </row>
    <row r="7" spans="2:5" x14ac:dyDescent="0.2">
      <c r="B7" s="105" t="s">
        <v>83</v>
      </c>
      <c r="C7" s="139">
        <f>+C4*(1+(1-C5)*C6)</f>
        <v>0.89</v>
      </c>
      <c r="E7" s="140"/>
    </row>
    <row r="8" spans="2:5" x14ac:dyDescent="0.2">
      <c r="B8" s="101" t="s">
        <v>105</v>
      </c>
      <c r="C8" s="141">
        <v>7.4109999999999995E-2</v>
      </c>
      <c r="E8" s="142"/>
    </row>
    <row r="9" spans="2:5" x14ac:dyDescent="0.2">
      <c r="B9" s="143" t="s">
        <v>84</v>
      </c>
      <c r="C9" s="144">
        <f>16%-C8</f>
        <v>8.5890000000000008E-2</v>
      </c>
      <c r="D9" s="141"/>
    </row>
    <row r="10" spans="2:5" x14ac:dyDescent="0.2">
      <c r="B10" s="101" t="s">
        <v>85</v>
      </c>
      <c r="C10" s="141">
        <v>2.5000000000000001E-2</v>
      </c>
      <c r="D10" s="101" t="s">
        <v>134</v>
      </c>
    </row>
    <row r="11" spans="2:5" x14ac:dyDescent="0.2">
      <c r="B11" s="101" t="s">
        <v>86</v>
      </c>
      <c r="C11" s="141">
        <v>2.5000000000000001E-2</v>
      </c>
      <c r="D11" s="101" t="s">
        <v>133</v>
      </c>
    </row>
    <row r="12" spans="2:5" ht="13.5" thickBot="1" x14ac:dyDescent="0.25">
      <c r="B12" s="118" t="s">
        <v>87</v>
      </c>
      <c r="C12" s="145">
        <f>+ROUND(C8+C7*C9+C10+C11,3)</f>
        <v>0.20100000000000001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showGridLines="0" zoomScaleNormal="100" workbookViewId="0">
      <selection activeCell="F6" sqref="F6"/>
    </sheetView>
  </sheetViews>
  <sheetFormatPr defaultColWidth="9.140625" defaultRowHeight="12.75" x14ac:dyDescent="0.2"/>
  <cols>
    <col min="1" max="1" width="12" style="57" bestFit="1" customWidth="1"/>
    <col min="2" max="2" width="4.5703125" style="74" bestFit="1" customWidth="1"/>
    <col min="3" max="3" width="6.140625" style="74" bestFit="1" customWidth="1"/>
    <col min="4" max="4" width="5.7109375" style="74" bestFit="1" customWidth="1"/>
    <col min="5" max="5" width="11.140625" style="74" bestFit="1" customWidth="1"/>
    <col min="6" max="16384" width="9.140625" style="56"/>
  </cols>
  <sheetData>
    <row r="1" spans="1:7" ht="24.95" customHeight="1" x14ac:dyDescent="0.2">
      <c r="A1" s="58"/>
      <c r="B1" s="72"/>
      <c r="C1" s="72" t="s">
        <v>124</v>
      </c>
      <c r="D1" s="72" t="s">
        <v>125</v>
      </c>
      <c r="E1" s="72" t="s">
        <v>27</v>
      </c>
    </row>
    <row r="2" spans="1:7" ht="17.100000000000001" customHeight="1" x14ac:dyDescent="0.2">
      <c r="A2" s="57" t="s">
        <v>126</v>
      </c>
      <c r="B2" s="73"/>
      <c r="C2" s="77">
        <v>27</v>
      </c>
      <c r="D2" s="77">
        <v>23</v>
      </c>
      <c r="E2" s="74">
        <f>SUM(B2:D2)</f>
        <v>50</v>
      </c>
      <c r="F2" s="59">
        <f>C2/E2</f>
        <v>0.54</v>
      </c>
      <c r="G2" s="59">
        <f>D2/E2</f>
        <v>0.46</v>
      </c>
    </row>
    <row r="3" spans="1:7" ht="14.25" x14ac:dyDescent="0.2">
      <c r="A3" s="57" t="s">
        <v>128</v>
      </c>
      <c r="B3" s="73"/>
      <c r="C3" s="77">
        <v>20</v>
      </c>
      <c r="D3" s="77">
        <v>36</v>
      </c>
      <c r="E3" s="74">
        <f>SUM(B3:D3)</f>
        <v>56</v>
      </c>
      <c r="F3" s="59">
        <f t="shared" ref="F3:F4" si="0">C3/E3</f>
        <v>0.35714285714285715</v>
      </c>
      <c r="G3" s="59">
        <f t="shared" ref="G3:G4" si="1">D3/E3</f>
        <v>0.6428571428571429</v>
      </c>
    </row>
    <row r="4" spans="1:7" x14ac:dyDescent="0.2">
      <c r="A4" s="57" t="s">
        <v>111</v>
      </c>
      <c r="B4" s="75"/>
      <c r="C4" s="75">
        <v>33</v>
      </c>
      <c r="D4" s="75">
        <v>38</v>
      </c>
      <c r="E4" s="76">
        <f>SUM(B4:D4)</f>
        <v>71</v>
      </c>
      <c r="F4" s="59">
        <f t="shared" si="0"/>
        <v>0.46478873239436619</v>
      </c>
      <c r="G4" s="59">
        <f t="shared" si="1"/>
        <v>0.53521126760563376</v>
      </c>
    </row>
    <row r="5" spans="1:7" x14ac:dyDescent="0.2">
      <c r="A5" s="57" t="s">
        <v>127</v>
      </c>
      <c r="B5" s="73"/>
      <c r="C5" s="78">
        <v>45</v>
      </c>
      <c r="D5" s="73">
        <f>C5/F5-C5</f>
        <v>54.123921522278678</v>
      </c>
      <c r="E5" s="74">
        <f>SUM(B5:D5)</f>
        <v>99.123921522278678</v>
      </c>
      <c r="F5" s="59">
        <f>AVERAGE(F2:F4)</f>
        <v>0.45397719651240781</v>
      </c>
      <c r="G5" s="59">
        <f>1-F5</f>
        <v>0.54602280348759225</v>
      </c>
    </row>
    <row r="7" spans="1:7" x14ac:dyDescent="0.2">
      <c r="C7" s="59">
        <f>C3/C2-1</f>
        <v>-0.2592592592592593</v>
      </c>
      <c r="D7" s="59">
        <f>D3/D2-1</f>
        <v>0.56521739130434789</v>
      </c>
    </row>
    <row r="8" spans="1:7" x14ac:dyDescent="0.2">
      <c r="C8" s="59">
        <f t="shared" ref="C8:D9" si="2">C4/C3-1</f>
        <v>0.64999999999999991</v>
      </c>
      <c r="D8" s="59">
        <f t="shared" si="2"/>
        <v>5.555555555555558E-2</v>
      </c>
    </row>
    <row r="9" spans="1:7" x14ac:dyDescent="0.2">
      <c r="C9" s="59">
        <f t="shared" si="2"/>
        <v>0.36363636363636354</v>
      </c>
      <c r="D9" s="59">
        <f t="shared" si="2"/>
        <v>0.42431372427049152</v>
      </c>
    </row>
    <row r="10" spans="1:7" x14ac:dyDescent="0.2">
      <c r="C10" s="5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7"/>
  <sheetViews>
    <sheetView workbookViewId="0">
      <selection activeCell="J14" sqref="J14"/>
    </sheetView>
  </sheetViews>
  <sheetFormatPr defaultRowHeight="15" x14ac:dyDescent="0.25"/>
  <cols>
    <col min="1" max="1" width="15" style="13" bestFit="1" customWidth="1"/>
    <col min="2" max="2" width="12.5703125" style="4" customWidth="1"/>
    <col min="3" max="3" width="10.5703125" style="4" customWidth="1"/>
    <col min="4" max="4" width="11.5703125" customWidth="1"/>
    <col min="5" max="5" width="11.5703125" bestFit="1" customWidth="1"/>
    <col min="9" max="9" width="29" bestFit="1" customWidth="1"/>
    <col min="10" max="10" width="11.5703125" style="4" customWidth="1"/>
    <col min="11" max="11" width="10.5703125" style="4" customWidth="1"/>
    <col min="12" max="12" width="11.5703125" customWidth="1"/>
  </cols>
  <sheetData>
    <row r="1" spans="1:12" x14ac:dyDescent="0.25">
      <c r="B1" s="4" t="s">
        <v>48</v>
      </c>
      <c r="K1" s="8">
        <v>53.47</v>
      </c>
      <c r="L1">
        <v>93.82</v>
      </c>
    </row>
    <row r="2" spans="1:12" x14ac:dyDescent="0.25">
      <c r="C2" s="8">
        <v>53.47</v>
      </c>
      <c r="D2">
        <v>93.82</v>
      </c>
      <c r="I2" s="19" t="s">
        <v>36</v>
      </c>
      <c r="J2" s="35" t="s">
        <v>14</v>
      </c>
      <c r="K2" s="35" t="s">
        <v>15</v>
      </c>
      <c r="L2" s="36" t="s">
        <v>16</v>
      </c>
    </row>
    <row r="3" spans="1:12" x14ac:dyDescent="0.25">
      <c r="A3" s="19" t="s">
        <v>36</v>
      </c>
      <c r="B3" s="35" t="s">
        <v>14</v>
      </c>
      <c r="C3" s="35" t="s">
        <v>15</v>
      </c>
      <c r="D3" s="36" t="s">
        <v>16</v>
      </c>
      <c r="I3" s="1" t="s">
        <v>20</v>
      </c>
      <c r="J3" s="6"/>
      <c r="K3" s="6"/>
      <c r="L3" s="7"/>
    </row>
    <row r="4" spans="1:12" x14ac:dyDescent="0.25">
      <c r="A4" s="13" t="s">
        <v>0</v>
      </c>
      <c r="B4" s="4">
        <v>122674305.89</v>
      </c>
      <c r="C4" s="4">
        <v>180547.81</v>
      </c>
      <c r="D4" s="4">
        <v>166950</v>
      </c>
      <c r="I4" t="s">
        <v>18</v>
      </c>
      <c r="J4" s="4">
        <v>100000</v>
      </c>
      <c r="K4" s="4">
        <v>1000</v>
      </c>
      <c r="L4" s="4">
        <v>2000</v>
      </c>
    </row>
    <row r="5" spans="1:12" x14ac:dyDescent="0.25">
      <c r="A5" s="15" t="s">
        <v>17</v>
      </c>
      <c r="B5" s="9"/>
      <c r="C5" s="9"/>
      <c r="D5" s="9"/>
      <c r="I5" t="s">
        <v>19</v>
      </c>
      <c r="J5" s="4">
        <f>5125382.86-100000+39157016</f>
        <v>44182398.859999999</v>
      </c>
      <c r="K5" s="4">
        <v>140106.73000000001</v>
      </c>
      <c r="L5" s="4">
        <v>162374.18</v>
      </c>
    </row>
    <row r="7" spans="1:12" x14ac:dyDescent="0.25">
      <c r="A7" s="16" t="s">
        <v>1</v>
      </c>
      <c r="B7" s="5">
        <v>1499517.9</v>
      </c>
      <c r="C7" s="5">
        <v>10.43</v>
      </c>
      <c r="D7" s="2"/>
      <c r="I7" s="1" t="s">
        <v>21</v>
      </c>
    </row>
    <row r="8" spans="1:12" x14ac:dyDescent="0.25">
      <c r="A8" s="14" t="s">
        <v>6</v>
      </c>
      <c r="B8" s="3">
        <f>SUM(B4:B7)</f>
        <v>124173823.79000001</v>
      </c>
      <c r="C8" s="3">
        <f>SUM(C4:C7)</f>
        <v>180558.24</v>
      </c>
      <c r="D8" s="3">
        <f>SUM(D4:D7)</f>
        <v>166950</v>
      </c>
      <c r="I8" t="s">
        <v>22</v>
      </c>
      <c r="J8" s="4">
        <v>0</v>
      </c>
    </row>
    <row r="10" spans="1:12" x14ac:dyDescent="0.25">
      <c r="A10" s="14" t="s">
        <v>2</v>
      </c>
      <c r="I10" s="1" t="s">
        <v>23</v>
      </c>
    </row>
    <row r="11" spans="1:12" x14ac:dyDescent="0.25">
      <c r="A11" s="13" t="s">
        <v>3</v>
      </c>
      <c r="B11" s="4">
        <f>53787837-2459471</f>
        <v>51328366</v>
      </c>
      <c r="C11" s="4">
        <v>20000</v>
      </c>
      <c r="E11" s="25">
        <f>SUM(B11,C11*C$2,D11*D$2)</f>
        <v>52397766</v>
      </c>
      <c r="I11" t="s">
        <v>24</v>
      </c>
      <c r="J11" s="4">
        <v>1148025</v>
      </c>
    </row>
    <row r="12" spans="1:12" x14ac:dyDescent="0.25">
      <c r="A12" s="15" t="s">
        <v>17</v>
      </c>
      <c r="B12" s="9"/>
      <c r="C12" s="9"/>
      <c r="D12" s="9"/>
      <c r="I12" t="s">
        <v>25</v>
      </c>
      <c r="J12" s="4">
        <f>45219.46-74</f>
        <v>45145.46</v>
      </c>
      <c r="L12" s="4">
        <v>15620</v>
      </c>
    </row>
    <row r="13" spans="1:12" x14ac:dyDescent="0.25">
      <c r="A13" s="13" t="s">
        <v>4</v>
      </c>
      <c r="B13" s="10">
        <f>31228970.37+2459471-1933190-33885</f>
        <v>31721366.370000005</v>
      </c>
      <c r="C13" s="10">
        <f>20451.51-304</f>
        <v>20147.509999999998</v>
      </c>
      <c r="D13">
        <f>4575.82-14.28</f>
        <v>4561.54</v>
      </c>
      <c r="E13" s="25">
        <f>SUM(B13,C13*C$2,D13*D$2)</f>
        <v>33226617.412500005</v>
      </c>
      <c r="I13" t="s">
        <v>26</v>
      </c>
      <c r="J13" s="4">
        <v>16473842</v>
      </c>
    </row>
    <row r="14" spans="1:12" x14ac:dyDescent="0.25">
      <c r="A14" s="17" t="s">
        <v>17</v>
      </c>
      <c r="B14" s="11"/>
      <c r="C14" s="11"/>
      <c r="D14" s="11"/>
      <c r="I14" s="2"/>
      <c r="J14" s="5"/>
      <c r="K14" s="5"/>
      <c r="L14" s="2"/>
    </row>
    <row r="15" spans="1:12" x14ac:dyDescent="0.25">
      <c r="A15" s="14" t="s">
        <v>7</v>
      </c>
      <c r="B15" s="3">
        <f>SUM(B11:B13)</f>
        <v>83049732.370000005</v>
      </c>
      <c r="C15" s="3">
        <f>SUM(C11:C13)</f>
        <v>40147.509999999995</v>
      </c>
      <c r="D15" s="3">
        <f>SUM(D11:D13)</f>
        <v>4561.54</v>
      </c>
      <c r="I15" s="1" t="s">
        <v>27</v>
      </c>
      <c r="J15" s="3">
        <f>SUM(J4:J13)</f>
        <v>61949411.32</v>
      </c>
      <c r="K15" s="3">
        <f>SUM(K4:K13)</f>
        <v>141106.73000000001</v>
      </c>
      <c r="L15" s="3">
        <f>SUM(L4:L13)</f>
        <v>179994.18</v>
      </c>
    </row>
    <row r="16" spans="1:12" x14ac:dyDescent="0.25">
      <c r="A16" s="18"/>
      <c r="B16" s="5"/>
      <c r="C16" s="5"/>
      <c r="D16" s="2"/>
    </row>
    <row r="17" spans="1:12" x14ac:dyDescent="0.25">
      <c r="A17" s="14" t="s">
        <v>5</v>
      </c>
      <c r="B17" s="3">
        <f>B8-B15</f>
        <v>41124091.420000002</v>
      </c>
      <c r="C17" s="3">
        <f>C8-C15</f>
        <v>140410.72999999998</v>
      </c>
      <c r="D17" s="3">
        <f>D8-D15</f>
        <v>162388.46</v>
      </c>
      <c r="E17" s="25">
        <f>SUM(B17,C17*C$2,D17*D$2)</f>
        <v>63867138.470299996</v>
      </c>
      <c r="I17" s="1" t="s">
        <v>28</v>
      </c>
    </row>
    <row r="18" spans="1:12" x14ac:dyDescent="0.25">
      <c r="D18" s="4"/>
      <c r="I18" t="s">
        <v>29</v>
      </c>
      <c r="J18" s="4">
        <v>14833013.970000001</v>
      </c>
      <c r="L18" s="4">
        <v>1250</v>
      </c>
    </row>
    <row r="19" spans="1:12" x14ac:dyDescent="0.25">
      <c r="A19" s="13" t="s">
        <v>8</v>
      </c>
      <c r="B19" s="4">
        <v>1933190</v>
      </c>
      <c r="C19" s="4">
        <v>0</v>
      </c>
      <c r="D19" s="4">
        <v>0</v>
      </c>
      <c r="I19" t="s">
        <v>30</v>
      </c>
      <c r="J19" s="4">
        <v>13599.3</v>
      </c>
    </row>
    <row r="20" spans="1:12" x14ac:dyDescent="0.25">
      <c r="A20" s="16"/>
      <c r="B20" s="5"/>
      <c r="C20" s="5"/>
      <c r="D20" s="5"/>
    </row>
    <row r="21" spans="1:12" x14ac:dyDescent="0.25">
      <c r="A21" s="14" t="s">
        <v>9</v>
      </c>
      <c r="B21" s="3">
        <f>B17-B19</f>
        <v>39190901.420000002</v>
      </c>
      <c r="C21" s="3">
        <f>C17-C19</f>
        <v>140410.72999999998</v>
      </c>
      <c r="D21" s="3">
        <f>D17-D19</f>
        <v>162388.46</v>
      </c>
      <c r="E21" s="25">
        <f>SUM(B21,C21*C$2,D21*D$2)</f>
        <v>61933948.470299996</v>
      </c>
      <c r="I21" s="1" t="s">
        <v>31</v>
      </c>
    </row>
    <row r="22" spans="1:12" x14ac:dyDescent="0.25">
      <c r="D22" s="4"/>
      <c r="I22" t="s">
        <v>32</v>
      </c>
      <c r="J22" s="4">
        <v>8041578.9199999999</v>
      </c>
      <c r="K22" s="4">
        <v>86551.15</v>
      </c>
      <c r="L22" s="4">
        <v>31440</v>
      </c>
    </row>
    <row r="23" spans="1:12" x14ac:dyDescent="0.25">
      <c r="A23" s="13" t="s">
        <v>10</v>
      </c>
      <c r="B23" s="4">
        <v>33885</v>
      </c>
      <c r="C23" s="4">
        <v>304</v>
      </c>
      <c r="D23" s="4">
        <v>14.28</v>
      </c>
      <c r="E23" s="25">
        <f>SUM(B23,C23*C$2,D23*D$2)</f>
        <v>51479.6296</v>
      </c>
      <c r="I23" t="s">
        <v>35</v>
      </c>
      <c r="J23" s="4">
        <f>1000000+69414+1410791.6+21265165.52</f>
        <v>23745371.120000001</v>
      </c>
      <c r="K23" s="4">
        <f>1100+53455.58</f>
        <v>54555.58</v>
      </c>
      <c r="L23" s="4">
        <f>75+147229.18</f>
        <v>147304.18</v>
      </c>
    </row>
    <row r="24" spans="1:12" x14ac:dyDescent="0.25">
      <c r="A24" s="16"/>
      <c r="B24" s="5"/>
      <c r="C24" s="5"/>
      <c r="D24" s="5"/>
      <c r="E24" s="25">
        <f>SUM(B24,C24*C$2,D24*D$2)</f>
        <v>0</v>
      </c>
      <c r="I24" t="s">
        <v>33</v>
      </c>
      <c r="J24" s="4">
        <f>24913590.52-21265165.52+1226536.49-1</f>
        <v>4874960.49</v>
      </c>
    </row>
    <row r="25" spans="1:12" x14ac:dyDescent="0.25">
      <c r="A25" s="14" t="s">
        <v>11</v>
      </c>
      <c r="B25" s="3">
        <f>B21-B23</f>
        <v>39157016.420000002</v>
      </c>
      <c r="C25" s="3">
        <f>C21-C23</f>
        <v>140106.72999999998</v>
      </c>
      <c r="D25" s="3">
        <f>D21-D23</f>
        <v>162374.18</v>
      </c>
      <c r="I25" t="s">
        <v>34</v>
      </c>
      <c r="J25" s="4">
        <v>10440887.550000001</v>
      </c>
    </row>
    <row r="26" spans="1:12" x14ac:dyDescent="0.25">
      <c r="D26" s="4"/>
      <c r="I26" s="2"/>
      <c r="J26" s="5"/>
      <c r="K26" s="5"/>
      <c r="L26" s="2"/>
    </row>
    <row r="27" spans="1:12" x14ac:dyDescent="0.25">
      <c r="A27" s="13" t="s">
        <v>12</v>
      </c>
      <c r="D27" s="4"/>
      <c r="I27" s="1" t="s">
        <v>27</v>
      </c>
      <c r="J27" s="3">
        <f>SUM(J18:J25)</f>
        <v>61949411.350000009</v>
      </c>
      <c r="K27" s="3">
        <f>SUM(K18:K25)</f>
        <v>141106.72999999998</v>
      </c>
      <c r="L27" s="3">
        <f>SUM(L18:L25)</f>
        <v>179994.18</v>
      </c>
    </row>
    <row r="28" spans="1:12" x14ac:dyDescent="0.25">
      <c r="A28" s="16"/>
      <c r="B28" s="5"/>
      <c r="C28" s="5"/>
      <c r="D28" s="5"/>
    </row>
    <row r="29" spans="1:12" x14ac:dyDescent="0.25">
      <c r="A29" s="14" t="s">
        <v>13</v>
      </c>
      <c r="B29" s="3">
        <f>B25-B27</f>
        <v>39157016.420000002</v>
      </c>
      <c r="C29" s="3">
        <f>C25-C27</f>
        <v>140106.72999999998</v>
      </c>
      <c r="D29" s="3">
        <f>D25-D27</f>
        <v>162374.18</v>
      </c>
      <c r="E29" s="25">
        <f>SUM(B29,C29*C$2,D29*D$2)</f>
        <v>61882468.840700001</v>
      </c>
    </row>
    <row r="32" spans="1:12" x14ac:dyDescent="0.25">
      <c r="D32" s="4"/>
    </row>
    <row r="33" spans="2:4" x14ac:dyDescent="0.25">
      <c r="B33" s="4">
        <f>B29</f>
        <v>39157016.420000002</v>
      </c>
      <c r="C33" s="4">
        <f>C29*C2</f>
        <v>7491506.853099999</v>
      </c>
      <c r="D33" s="4">
        <f>D29*D2</f>
        <v>15233945.567599999</v>
      </c>
    </row>
    <row r="34" spans="2:4" x14ac:dyDescent="0.25">
      <c r="D34" s="4"/>
    </row>
    <row r="35" spans="2:4" x14ac:dyDescent="0.25">
      <c r="D35" s="4"/>
    </row>
    <row r="36" spans="2:4" x14ac:dyDescent="0.25">
      <c r="D36" s="4"/>
    </row>
    <row r="37" spans="2:4" x14ac:dyDescent="0.25">
      <c r="D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Valn</vt:lpstr>
      <vt:lpstr>PL</vt:lpstr>
      <vt:lpstr>Expenses Analysis</vt:lpstr>
      <vt:lpstr>Professional Fees</vt:lpstr>
      <vt:lpstr>BS</vt:lpstr>
      <vt:lpstr>FA</vt:lpstr>
      <vt:lpstr>COE</vt:lpstr>
      <vt:lpstr>Working of FY23</vt:lpstr>
      <vt:lpstr>India  SIngapore 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Roopam Munjal</cp:lastModifiedBy>
  <cp:lastPrinted>2020-05-18T10:18:12Z</cp:lastPrinted>
  <dcterms:created xsi:type="dcterms:W3CDTF">2020-05-07T10:59:25Z</dcterms:created>
  <dcterms:modified xsi:type="dcterms:W3CDTF">2023-08-20T11:55:45Z</dcterms:modified>
</cp:coreProperties>
</file>