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86DEF73F-6E57-4F10-ADB3-A9F0751B2D1A}" xr6:coauthVersionLast="47" xr6:coauthVersionMax="47" xr10:uidLastSave="{00000000-0000-0000-0000-000000000000}"/>
  <bookViews>
    <workbookView xWindow="2370" yWindow="855" windowWidth="47445" windowHeight="19155" xr2:uid="{0F74DA79-CFAD-4F6F-B22B-648A2D487A97}"/>
  </bookViews>
  <sheets>
    <sheet name="Mirror Calculations" sheetId="1" r:id="rId1"/>
  </sheets>
  <definedNames>
    <definedName name="__Actual_R_Ratio">'Mirror Calculations'!$F$16</definedName>
    <definedName name="__Calc_IR1_mA">'Mirror Calculations'!$F$15</definedName>
    <definedName name="__Calc_IR3_mA">'Mirror Calculations'!$F$20</definedName>
    <definedName name="__Calc_Load_mA">'Mirror Calculations'!$F$17</definedName>
    <definedName name="__Ideal_R1">'Mirror Calculations'!$F$12</definedName>
    <definedName name="__Ideal_R2">'Mirror Calculations'!$F$10</definedName>
    <definedName name="__Ideal_R3">'Mirror Calculations'!$F$21</definedName>
    <definedName name="__Ideal_R4">'Mirror Calculations'!$F$22</definedName>
    <definedName name="__Ideal_R5">'Mirror Calculations'!$F$14</definedName>
    <definedName name="__IR1_mA">'Mirror Calculations'!$F$7</definedName>
    <definedName name="__Pdiss_R2">'Mirror Calculations'!$F$18</definedName>
    <definedName name="__Selected_R1">'Mirror Calculations'!$F$13</definedName>
    <definedName name="__Selected_R2">'Mirror Calculations'!$F$11</definedName>
    <definedName name="__Target_IR2_mA">'Mirror Calculations'!$F$8</definedName>
    <definedName name="__Target_Load_mA">'Mirror Calculations'!$F$5</definedName>
    <definedName name="__Target_R_Ratio">'Mirror Calculations'!$F$9</definedName>
    <definedName name="__VC">'Mirror Calculations'!$F$19</definedName>
    <definedName name="__VCC">'Mirror Calculations'!$F$2</definedName>
    <definedName name="__VD">'Mirror Calculations'!$F$4</definedName>
    <definedName name="__VDS_Q3">'Mirror Calculations'!$F$25</definedName>
    <definedName name="__VEB_Q2">'Mirror Calculations'!$F$27</definedName>
    <definedName name="__VEC_Q1">'Mirror Calculations'!$F$26</definedName>
    <definedName name="__VEC_Q2">'Mirror Calculations'!$F$28</definedName>
    <definedName name="__VEE">'Mirror Calculations'!$F$3</definedName>
    <definedName name="__VG">'Mirror Calculations'!$F$6</definedName>
    <definedName name="__VMB">'Mirror Calculations'!$F$23</definedName>
    <definedName name="_IR1">_xlfn.LAMBDA(_xlpm.col,MyVal(__IR1_mA,_xlpm.col))</definedName>
    <definedName name="_IR3">_xlfn.LAMBDA(_xlpm.col,MyVal(__Calc_IR3_mA,_xlpm.col))</definedName>
    <definedName name="_R1">_xlfn.LAMBDA(_xlpm.col,MyVal(__Selected_R1,_xlpm.col))</definedName>
    <definedName name="_R2">_xlfn.LAMBDA(_xlpm.col,MyVal(__Selected_R2,_xlpm.col))</definedName>
    <definedName name="Actual_IR1">_xlfn.LAMBDA(_xlpm.col,MyVal(__Calc_IR1_mA,_xlpm.col))</definedName>
    <definedName name="Actual_Load">_xlfn.LAMBDA(_xlpm.col,MyVal(__Calc_Load_mA,_xlpm.col))</definedName>
    <definedName name="Actual_Ratio">_xlfn.LAMBDA(_xlpm.col,MyVal(__Actual_R_Ratio,_xlpm.col))</definedName>
    <definedName name="CALC_TABLE">'Mirror Calculations'!$F$2:$L$28</definedName>
    <definedName name="GET">_xlfn.LAMBDA(_xlpm.key,INDEX(CALC_TABLE,MATCH(_xlpm.key,KEY_LIST,0),COLUMN()-_xlfn.SINGLE(COLUMN(CALC_TABLE))+1))</definedName>
    <definedName name="HEADERS">'Mirror Calculations'!$F$1:$L$1</definedName>
    <definedName name="Ideal_R1">_xlfn.LAMBDA(_xlpm.col,MyVal(__Ideal_R1,_xlpm.col))</definedName>
    <definedName name="Ideal_R2">_xlfn.LAMBDA(_xlpm.col,MyVal(__Ideal_R2,_xlpm.col))</definedName>
    <definedName name="Ideal_R3">_xlfn.LAMBDA(_xlpm.col,MyVal(__Ideal_R3,_xlpm.col))</definedName>
    <definedName name="Ideal_R4">_xlfn.LAMBDA(_xlpm.col,MyVal(__Ideal_R4,_xlpm.col))</definedName>
    <definedName name="Ideal_R5">_xlfn.LAMBDA(_xlpm.col,MyVal(__Ideal_R5,_xlpm.col))</definedName>
    <definedName name="KEY_LIST">'Mirror Calculations'!$F$2:$F$28</definedName>
    <definedName name="Load">_xlfn.LAMBDA(_xlpm.col,MyVal(__Target_Load_mA,_xlpm.col))</definedName>
    <definedName name="MyVal">_xlfn.LAMBDA(_xlpm.key,_xlpm.column, VLOOKUP(_xlpm.key,CALC_TABLE,MATCH(_xlpm.column,HEADERS,0),FALSE))</definedName>
    <definedName name="Pdiss_R2">_xlfn.LAMBDA(_xlpm.col,MyVal(__Pdiss_R2,_xlpm.col))</definedName>
    <definedName name="Target_IR2">_xlfn.LAMBDA(_xlpm.col,MyVal(__Target_IR2_mA,_xlpm.col))</definedName>
    <definedName name="Target_Ratio">_xlfn.LAMBDA(_xlpm.col,MyVal(__Target_R_Ratio,_xlpm.col))</definedName>
    <definedName name="VC">_xlfn.LAMBDA(_xlpm.col,MyVal(__VC,_xlpm.col))</definedName>
    <definedName name="VCC">_xlfn.LAMBDA(_xlpm.col,MyVal(__VCC,_xlpm.col))</definedName>
    <definedName name="VD">_xlfn.LAMBDA(_xlpm.col,MyVal(__VD,_xlpm.col))</definedName>
    <definedName name="VDS_Q3">_xlfn.LAMBDA(_xlpm.col,MyVal(__VDS_Q3,_xlpm.col))</definedName>
    <definedName name="VEB_Q2">_xlfn.LAMBDA(_xlpm.col,MyVal(__VEB_Q2,_xlpm.col))</definedName>
    <definedName name="VEC_Q1">_xlfn.LAMBDA(_xlpm.col,MyVal(__VEC_Q1,_xlpm.col))</definedName>
    <definedName name="VEC_Q2">_xlfn.LAMBDA(_xlpm.col,MyVal(__VEC_Q2,_xlpm.col))</definedName>
    <definedName name="VEE">_xlfn.LAMBDA(_xlpm.col,MyVal(__VEE,_xlpm.col))</definedName>
    <definedName name="VG">_xlfn.LAMBDA(_xlpm.col,MyVal(__VG,_xlpm.col))</definedName>
    <definedName name="VMB">_xlfn.LAMBDA(_xlpm.col,MyVal(__VMB,_xlpm.col))</definedName>
  </definedNames>
  <calcPr calcId="19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 a="1"/>
  <c r="I28" i="1" s="1"/>
  <c r="I14" i="1" s="1" a="1"/>
  <c r="I14" i="1" s="1"/>
  <c r="I15" i="1" s="1" a="1"/>
  <c r="I15" i="1" s="1"/>
  <c r="I16" i="1" a="1"/>
  <c r="I16" i="1" s="1"/>
  <c r="I19" i="1" a="1"/>
  <c r="I19" i="1" s="1"/>
  <c r="I20" i="1" a="1"/>
  <c r="I20" i="1" s="1"/>
  <c r="I22" i="1" s="1" a="1"/>
  <c r="I22" i="1" s="1"/>
  <c r="I8" i="1" a="1"/>
  <c r="I8" i="1" s="1"/>
  <c r="I18" i="1" s="1" a="1"/>
  <c r="I18" i="1" s="1"/>
  <c r="L28" i="1"/>
  <c r="K28" i="1"/>
  <c r="L20" i="1"/>
  <c r="L22" i="1" s="1"/>
  <c r="K20" i="1"/>
  <c r="K22" i="1" s="1"/>
  <c r="L19" i="1"/>
  <c r="K19" i="1"/>
  <c r="K21" i="1" s="1"/>
  <c r="L16" i="1"/>
  <c r="K16" i="1"/>
  <c r="K14" i="1"/>
  <c r="K15" i="1" s="1"/>
  <c r="L8" i="1"/>
  <c r="L10" i="1" s="1"/>
  <c r="K8" i="1"/>
  <c r="K10" i="1" s="1"/>
  <c r="T28" i="1" a="1"/>
  <c r="T28" i="1" s="1"/>
  <c r="T27" i="1" a="1"/>
  <c r="T27" i="1" s="1"/>
  <c r="T26" i="1" a="1"/>
  <c r="T26" i="1" s="1"/>
  <c r="T25" i="1" a="1"/>
  <c r="T25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J28" i="1"/>
  <c r="J20" i="1"/>
  <c r="J22" i="1" s="1"/>
  <c r="J19" i="1"/>
  <c r="J16" i="1"/>
  <c r="J8" i="1"/>
  <c r="J18" i="1" s="1"/>
  <c r="W8" i="1" a="1"/>
  <c r="W8" i="1" s="1"/>
  <c r="X8" i="1" a="1"/>
  <c r="X8" i="1" s="1"/>
  <c r="X2" i="1" a="1"/>
  <c r="X2" i="1" s="1"/>
  <c r="W2" i="1" a="1"/>
  <c r="W2" i="1" s="1"/>
  <c r="R11" i="1" a="1"/>
  <c r="R11" i="1" s="1"/>
  <c r="R2" i="1" a="1"/>
  <c r="R2" i="1" s="1"/>
  <c r="A1" i="1"/>
  <c r="S6" i="1" s="1" a="1"/>
  <c r="S6" i="1" s="1"/>
  <c r="H23" i="1" a="1"/>
  <c r="H23" i="1" s="1"/>
  <c r="H19" i="1" a="1"/>
  <c r="H19" i="1" s="1"/>
  <c r="H16" i="1" a="1"/>
  <c r="H16" i="1" s="1"/>
  <c r="H17" i="1" s="1" a="1"/>
  <c r="H17" i="1" s="1"/>
  <c r="H20" i="1" a="1"/>
  <c r="H20" i="1" s="1"/>
  <c r="H22" i="1" s="1" a="1"/>
  <c r="H22" i="1" s="1"/>
  <c r="G20" i="1" a="1"/>
  <c r="G20" i="1" s="1"/>
  <c r="G19" i="1" a="1"/>
  <c r="G19" i="1" s="1"/>
  <c r="S19" i="1" s="1" a="1"/>
  <c r="S19" i="1" s="1"/>
  <c r="G16" i="1" a="1"/>
  <c r="G16" i="1" s="1"/>
  <c r="A16" i="1" s="1" a="1"/>
  <c r="A16" i="1" s="1"/>
  <c r="R7" i="1" a="1"/>
  <c r="R7" i="1" s="1"/>
  <c r="Q2" i="1" a="1"/>
  <c r="P12" i="1"/>
  <c r="D28" i="1"/>
  <c r="D7" i="1"/>
  <c r="P9" i="1"/>
  <c r="D4" i="1"/>
  <c r="D23" i="1"/>
  <c r="D20" i="1"/>
  <c r="D18" i="1"/>
  <c r="D21" i="1"/>
  <c r="D10" i="1"/>
  <c r="D17" i="1"/>
  <c r="D25" i="1"/>
  <c r="P20" i="1"/>
  <c r="P10" i="1"/>
  <c r="D12" i="1"/>
  <c r="D8" i="1"/>
  <c r="P19" i="1"/>
  <c r="D19" i="1"/>
  <c r="D9" i="1"/>
  <c r="P14" i="1"/>
  <c r="D5" i="1"/>
  <c r="D16" i="1"/>
  <c r="P23" i="1"/>
  <c r="D2" i="1"/>
  <c r="D6" i="1"/>
  <c r="P28" i="1"/>
  <c r="P16" i="1"/>
  <c r="P18" i="1"/>
  <c r="D11" i="1"/>
  <c r="P17" i="1"/>
  <c r="D14" i="1"/>
  <c r="B27" i="1"/>
  <c r="P15" i="1"/>
  <c r="D13" i="1"/>
  <c r="P21" i="1"/>
  <c r="D26" i="1"/>
  <c r="P8" i="1"/>
  <c r="D22" i="1"/>
  <c r="D3" i="1"/>
  <c r="D27" i="1"/>
  <c r="D15" i="1"/>
  <c r="P22" i="1"/>
  <c r="Q2" i="1" l="1"/>
  <c r="J21" i="1"/>
  <c r="L21" i="1"/>
  <c r="I21" i="1" a="1"/>
  <c r="I21" i="1" s="1"/>
  <c r="I17" i="1" a="1"/>
  <c r="I17" i="1" s="1"/>
  <c r="I23" i="1" a="1"/>
  <c r="I23" i="1" s="1"/>
  <c r="I9" i="1" a="1"/>
  <c r="I9" i="1" s="1"/>
  <c r="I12" i="1" s="1" a="1"/>
  <c r="I12" i="1" s="1"/>
  <c r="I10" i="1" a="1"/>
  <c r="I10" i="1" s="1"/>
  <c r="K23" i="1"/>
  <c r="K17" i="1"/>
  <c r="K18" i="1"/>
  <c r="L18" i="1"/>
  <c r="K9" i="1"/>
  <c r="K12" i="1" s="1"/>
  <c r="L9" i="1"/>
  <c r="L12" i="1" s="1"/>
  <c r="L14" i="1"/>
  <c r="L15" i="1" s="1"/>
  <c r="J9" i="1"/>
  <c r="J12" i="1" s="1"/>
  <c r="J10" i="1"/>
  <c r="J14" i="1"/>
  <c r="J15" i="1" s="1"/>
  <c r="S5" i="1" a="1"/>
  <c r="S5" i="1" s="1"/>
  <c r="A26" i="1" a="1"/>
  <c r="A26" i="1" s="1"/>
  <c r="H21" i="1" a="1"/>
  <c r="H21" i="1" s="1"/>
  <c r="S27" i="1" a="1"/>
  <c r="S27" i="1" s="1"/>
  <c r="S26" i="1" a="1"/>
  <c r="S26" i="1" s="1"/>
  <c r="S25" i="1" a="1"/>
  <c r="S25" i="1" s="1"/>
  <c r="A13" i="1" a="1"/>
  <c r="A13" i="1" s="1"/>
  <c r="A27" i="1" a="1"/>
  <c r="A27" i="1" s="1"/>
  <c r="S11" i="1" a="1"/>
  <c r="S11" i="1" s="1"/>
  <c r="R3" i="1" a="1"/>
  <c r="R3" i="1" s="1"/>
  <c r="S15" i="1" a="1"/>
  <c r="S15" i="1" s="1"/>
  <c r="S16" i="1" a="1"/>
  <c r="S16" i="1" s="1"/>
  <c r="S20" i="1" a="1"/>
  <c r="S20" i="1" s="1"/>
  <c r="S4" i="1" a="1"/>
  <c r="S4" i="1" s="1"/>
  <c r="S3" i="1" a="1"/>
  <c r="S3" i="1" s="1"/>
  <c r="S13" i="1" a="1"/>
  <c r="S13" i="1" s="1"/>
  <c r="S7" i="1" a="1"/>
  <c r="S7" i="1" s="1"/>
  <c r="S2" i="1" a="1"/>
  <c r="S2" i="1" s="1"/>
  <c r="A25" i="1" a="1"/>
  <c r="A25" i="1" s="1"/>
  <c r="R6" i="1" a="1"/>
  <c r="R6" i="1" s="1"/>
  <c r="R27" i="1" a="1"/>
  <c r="R27" i="1" s="1"/>
  <c r="R26" i="1" a="1"/>
  <c r="R26" i="1" s="1"/>
  <c r="R25" i="1" a="1"/>
  <c r="R25" i="1" s="1"/>
  <c r="R5" i="1" a="1"/>
  <c r="R5" i="1" s="1"/>
  <c r="R24" i="1" a="1"/>
  <c r="R24" i="1" s="1"/>
  <c r="R13" i="1" a="1"/>
  <c r="R13" i="1" s="1"/>
  <c r="R4" i="1" a="1"/>
  <c r="R4" i="1" s="1"/>
  <c r="A2" i="1" a="1"/>
  <c r="A2" i="1" s="1"/>
  <c r="A11" i="1" a="1"/>
  <c r="A11" i="1" s="1"/>
  <c r="G22" i="1" a="1"/>
  <c r="G22" i="1" s="1"/>
  <c r="S22" i="1" s="1" a="1"/>
  <c r="S22" i="1" s="1"/>
  <c r="G21" i="1" a="1"/>
  <c r="G21" i="1" s="1"/>
  <c r="S21" i="1" s="1" a="1"/>
  <c r="S21" i="1" s="1"/>
  <c r="A7" i="1" a="1"/>
  <c r="A7" i="1" s="1"/>
  <c r="A6" i="1" a="1"/>
  <c r="A6" i="1" s="1"/>
  <c r="A4" i="1" a="1"/>
  <c r="A4" i="1" s="1"/>
  <c r="A3" i="1" a="1"/>
  <c r="A3" i="1" s="1"/>
  <c r="G28" i="1" a="1"/>
  <c r="G28" i="1" s="1"/>
  <c r="S28" i="1" s="1" a="1"/>
  <c r="S28" i="1" s="1"/>
  <c r="H28" i="1" a="1"/>
  <c r="H28" i="1" s="1"/>
  <c r="H8" i="1" a="1"/>
  <c r="H8" i="1" s="1"/>
  <c r="G8" i="1" a="1"/>
  <c r="G8" i="1" s="1"/>
  <c r="S8" i="1" s="1" a="1"/>
  <c r="S8" i="1" s="1"/>
  <c r="A5" i="1" a="1"/>
  <c r="A5" i="1" s="1"/>
  <c r="O22" i="1"/>
  <c r="O12" i="1"/>
  <c r="O9" i="1"/>
  <c r="O23" i="1"/>
  <c r="O8" i="1"/>
  <c r="N23" i="1"/>
  <c r="N9" i="1"/>
  <c r="O28" i="1"/>
  <c r="O21" i="1"/>
  <c r="O20" i="1"/>
  <c r="O19" i="1"/>
  <c r="O15" i="1"/>
  <c r="O18" i="1"/>
  <c r="O16" i="1"/>
  <c r="O14" i="1"/>
  <c r="O17" i="1"/>
  <c r="O10" i="1"/>
  <c r="L23" i="1" l="1"/>
  <c r="L17" i="1"/>
  <c r="J23" i="1"/>
  <c r="J17" i="1"/>
  <c r="H14" i="1" a="1"/>
  <c r="H14" i="1" s="1"/>
  <c r="H15" i="1" s="1" a="1"/>
  <c r="H15" i="1" s="1"/>
  <c r="H9" i="1" a="1"/>
  <c r="H9" i="1" s="1"/>
  <c r="H12" i="1" s="1" a="1"/>
  <c r="H12" i="1" s="1"/>
  <c r="H10" i="1" a="1"/>
  <c r="H10" i="1" s="1"/>
  <c r="H18" i="1" a="1"/>
  <c r="H18" i="1" s="1"/>
  <c r="R9" i="1" a="1"/>
  <c r="R9" i="1" s="1"/>
  <c r="R10" i="1" a="1"/>
  <c r="R10" i="1" s="1"/>
  <c r="R12" i="1" a="1"/>
  <c r="R12" i="1" s="1"/>
  <c r="R22" i="1" a="1"/>
  <c r="R22" i="1" s="1"/>
  <c r="R17" i="1" a="1"/>
  <c r="R17" i="1" s="1"/>
  <c r="R14" i="1" a="1"/>
  <c r="R14" i="1" s="1"/>
  <c r="R16" i="1" a="1"/>
  <c r="R16" i="1" s="1"/>
  <c r="R18" i="1" a="1"/>
  <c r="R18" i="1" s="1"/>
  <c r="R15" i="1" a="1"/>
  <c r="R15" i="1" s="1"/>
  <c r="R19" i="1" a="1"/>
  <c r="R19" i="1" s="1"/>
  <c r="R20" i="1" a="1"/>
  <c r="R20" i="1" s="1"/>
  <c r="R21" i="1" a="1"/>
  <c r="R21" i="1" s="1"/>
  <c r="R28" i="1" a="1"/>
  <c r="R28" i="1" s="1"/>
  <c r="R23" i="1" a="1"/>
  <c r="R23" i="1" s="1"/>
  <c r="R8" i="1" a="1"/>
  <c r="R8" i="1" s="1"/>
  <c r="G10" i="1" a="1"/>
  <c r="G10" i="1" s="1"/>
  <c r="S10" i="1" s="1" a="1"/>
  <c r="S10" i="1" s="1"/>
  <c r="G9" i="1" a="1"/>
  <c r="G9" i="1" s="1"/>
  <c r="G18" i="1" a="1"/>
  <c r="G18" i="1" s="1"/>
  <c r="G14" i="1" a="1"/>
  <c r="G14" i="1" s="1"/>
  <c r="A20" i="1" a="1"/>
  <c r="A20" i="1" s="1"/>
  <c r="A19" i="1" a="1"/>
  <c r="A19" i="1" s="1"/>
  <c r="A28" i="1" a="1"/>
  <c r="A28" i="1" s="1"/>
  <c r="A8" i="1" a="1"/>
  <c r="A8" i="1" s="1"/>
  <c r="C15" i="1"/>
  <c r="C10" i="1"/>
  <c r="B19" i="1"/>
  <c r="N11" i="1"/>
  <c r="N6" i="1"/>
  <c r="C17" i="1"/>
  <c r="C3" i="1"/>
  <c r="N12" i="1"/>
  <c r="B20" i="1"/>
  <c r="B9" i="1"/>
  <c r="N25" i="1"/>
  <c r="B16" i="1"/>
  <c r="C20" i="1"/>
  <c r="N19" i="1"/>
  <c r="N4" i="1"/>
  <c r="C21" i="1"/>
  <c r="B13" i="1"/>
  <c r="C22" i="1"/>
  <c r="B4" i="1"/>
  <c r="B2" i="1"/>
  <c r="B14" i="1"/>
  <c r="B12" i="1"/>
  <c r="N27" i="1"/>
  <c r="C18" i="1"/>
  <c r="C2" i="1"/>
  <c r="B28" i="1"/>
  <c r="N15" i="1"/>
  <c r="N14" i="1"/>
  <c r="C6" i="1"/>
  <c r="C4" i="1"/>
  <c r="B23" i="1"/>
  <c r="N17" i="1"/>
  <c r="N8" i="1"/>
  <c r="C7" i="1"/>
  <c r="C19" i="1"/>
  <c r="N21" i="1"/>
  <c r="N5" i="1"/>
  <c r="C5" i="1"/>
  <c r="N16" i="1"/>
  <c r="B17" i="1"/>
  <c r="B25" i="1"/>
  <c r="N18" i="1"/>
  <c r="C9" i="1"/>
  <c r="B7" i="1"/>
  <c r="C25" i="1"/>
  <c r="B26" i="1"/>
  <c r="B8" i="1"/>
  <c r="N3" i="1"/>
  <c r="B11" i="1"/>
  <c r="C12" i="1"/>
  <c r="N22" i="1"/>
  <c r="N7" i="1"/>
  <c r="C16" i="1"/>
  <c r="B10" i="1"/>
  <c r="C14" i="1"/>
  <c r="B18" i="1"/>
  <c r="N10" i="1"/>
  <c r="B15" i="1"/>
  <c r="N28" i="1"/>
  <c r="C13" i="1"/>
  <c r="C28" i="1"/>
  <c r="N13" i="1"/>
  <c r="C11" i="1"/>
  <c r="B21" i="1"/>
  <c r="C23" i="1"/>
  <c r="N20" i="1"/>
  <c r="B22" i="1"/>
  <c r="B5" i="1"/>
  <c r="C26" i="1"/>
  <c r="C8" i="1"/>
  <c r="N2" i="1"/>
  <c r="B3" i="1"/>
  <c r="B6" i="1"/>
  <c r="C27" i="1"/>
  <c r="A18" i="1" l="1" a="1"/>
  <c r="A18" i="1" s="1"/>
  <c r="S18" i="1" a="1"/>
  <c r="S18" i="1" s="1"/>
  <c r="G15" i="1" a="1"/>
  <c r="G15" i="1" s="1"/>
  <c r="G23" i="1" s="1" a="1"/>
  <c r="G23" i="1" s="1"/>
  <c r="S23" i="1" s="1" a="1"/>
  <c r="S23" i="1" s="1"/>
  <c r="S14" i="1" a="1"/>
  <c r="S14" i="1" s="1"/>
  <c r="G12" i="1" a="1"/>
  <c r="G12" i="1" s="1"/>
  <c r="S12" i="1" s="1" a="1"/>
  <c r="S12" i="1" s="1"/>
  <c r="S9" i="1" a="1"/>
  <c r="S9" i="1" s="1"/>
  <c r="A14" i="1" a="1"/>
  <c r="A14" i="1" s="1"/>
  <c r="A9" i="1" a="1"/>
  <c r="A9" i="1" s="1"/>
  <c r="A22" i="1" a="1"/>
  <c r="A22" i="1" s="1"/>
  <c r="G17" i="1" l="1" a="1"/>
  <c r="G17" i="1" s="1"/>
  <c r="S17" i="1" s="1" a="1"/>
  <c r="S17" i="1" s="1"/>
  <c r="A21" i="1" a="1"/>
  <c r="A21" i="1" s="1"/>
  <c r="A10" i="1" a="1"/>
  <c r="A10" i="1" s="1"/>
  <c r="A17" i="1" l="1" a="1"/>
  <c r="A17" i="1" s="1"/>
  <c r="A23" i="1" a="1"/>
  <c r="A23" i="1" s="1"/>
  <c r="A12" i="1" a="1"/>
  <c r="A12" i="1" s="1"/>
  <c r="A15" i="1" l="1" a="1"/>
  <c r="A15" i="1" s="1"/>
  <c r="U2" i="1" s="1" a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<sst xmlns="http://schemas.openxmlformats.org/spreadsheetml/2006/main" count="49" uniqueCount="48">
  <si>
    <t>VD</t>
  </si>
  <si>
    <t>VG</t>
  </si>
  <si>
    <t>V1</t>
  </si>
  <si>
    <t>V2</t>
  </si>
  <si>
    <t>IR1 (mA)</t>
  </si>
  <si>
    <t>IR3 (mA)</t>
  </si>
  <si>
    <t>V3</t>
  </si>
  <si>
    <t>V4</t>
  </si>
  <si>
    <t>V5</t>
  </si>
  <si>
    <t>V6</t>
  </si>
  <si>
    <t>P,R2 (W)</t>
  </si>
  <si>
    <t>VMB</t>
  </si>
  <si>
    <r>
      <t xml:space="preserve">Reference </t>
    </r>
    <r>
      <rPr>
        <b/>
        <i/>
        <sz val="11"/>
        <color theme="1"/>
        <rFont val="Aptos Narrow"/>
        <family val="2"/>
        <scheme val="minor"/>
      </rPr>
      <t>V1 transient result</t>
    </r>
    <r>
      <rPr>
        <b/>
        <sz val="11"/>
        <color theme="1"/>
        <rFont val="Aptos Narrow"/>
        <family val="2"/>
        <scheme val="minor"/>
      </rPr>
      <t xml:space="preserve"> tab for reference designators</t>
    </r>
  </si>
  <si>
    <t>VEC_Q2</t>
  </si>
  <si>
    <t>VEB_Q2</t>
  </si>
  <si>
    <t>VEC_Q1</t>
  </si>
  <si>
    <t>VDS_Q3</t>
  </si>
  <si>
    <t>Calc IR1 (mA)</t>
  </si>
  <si>
    <t>Load Current (mA)</t>
  </si>
  <si>
    <t>Ideal R2</t>
  </si>
  <si>
    <t>Transistor Constants</t>
  </si>
  <si>
    <t>Selected R2</t>
  </si>
  <si>
    <t>Selected R1</t>
  </si>
  <si>
    <t>Ideal R1</t>
  </si>
  <si>
    <t>Target IR2 (mA)</t>
  </si>
  <si>
    <t>Target R1/R2 Ratio</t>
  </si>
  <si>
    <t>Calc Load Current (mA)</t>
  </si>
  <si>
    <t>Selected R1/R2 Ratio</t>
  </si>
  <si>
    <t>VCC (Pos Rail)</t>
  </si>
  <si>
    <t>Named cells for keys</t>
  </si>
  <si>
    <t>Ideal R5</t>
  </si>
  <si>
    <t>Ideal R3</t>
  </si>
  <si>
    <t>Ideal R4</t>
  </si>
  <si>
    <t>VEE (Neg Rail)</t>
  </si>
  <si>
    <t>VC</t>
  </si>
  <si>
    <t>*If VC is highlighted, beware of Q1 saturation! (consider adjusting VEC_Q1 target)</t>
  </si>
  <si>
    <t>Wrapped</t>
  </si>
  <si>
    <t>Match?</t>
  </si>
  <si>
    <t>LAMBDA (λ) call to get value by named row and relative column header</t>
  </si>
  <si>
    <t>GET version</t>
  </si>
  <si>
    <t>"GET" reference refers to: "=LAMBDA(key,INDEX(CALC_TABLE,MATCH(key,KEY_LIST,0),COLUMN()-@COLUMN(CALC_TABLE)+1))"  named LAMBDA function</t>
  </si>
  <si>
    <t>"MyVal" reference refers to: "=LAMBDA(key,column, VLOOKUP(key,CALC_TABLE,MATCH(column,HEADERS,0),FALSE))" named LAMBDA function</t>
  </si>
  <si>
    <t>λ to get from intersection of key and current column</t>
  </si>
  <si>
    <t>λ wrappers to shorten to just relative column header</t>
  </si>
  <si>
    <t>Formulas for column "G", using single named λ function "MyVal(key, column)" to get all values</t>
  </si>
  <si>
    <t>Formulas for column "H", using a named λ function to wrap each call to MyVal(key, column)</t>
  </si>
  <si>
    <t>Formulas for column "I", using single named λ function "GET(key)" to get all values relative to current column
NOTE: Can use wrappers to have, for ex, "=_IR1()+Load()", but requires Excel 365(?) support for optional args in λs</t>
  </si>
  <si>
    <t>Formulas for column "J" using cell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</si>
</sst>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8"/>
      <color rgb="FF00206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8">
    <xf numFmtId="0" fontId="0" fillId="0" borderId="0"/>
    <xf numFmtId="0" fontId="3" fillId="2" borderId="1" applyNumberFormat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3" borderId="5" applyNumberFormat="0" applyAlignment="0" applyProtection="0"/>
    <xf numFmtId="0" fontId="7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9" fillId="5" borderId="7" applyNumberFormat="0" applyFont="0" applyAlignment="0" applyProtection="0"/>
  </cellStyleXfs>
  <cellXfs count="41">
    <xf numFmtId="0" fontId="0" fillId="0" borderId="0" xfId="0"/>
    <xf numFmtId="0" fontId="1" fillId="0" borderId="0" xfId="0" applyFont="1"/>
    <xf numFmtId="0" fontId="4" fillId="3" borderId="1" xfId="2"/>
    <xf numFmtId="0" fontId="4" fillId="3" borderId="3" xfId="2" applyBorder="1"/>
    <xf numFmtId="0" fontId="3" fillId="2" borderId="4" xfId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3" borderId="5" xfId="4" applyAlignment="1">
      <alignment horizontal="left"/>
    </xf>
    <xf numFmtId="0" fontId="6" fillId="3" borderId="5" xfId="4" applyAlignment="1">
      <alignment horizontal="right"/>
    </xf>
    <xf numFmtId="0" fontId="0" fillId="0" borderId="0" xfId="0" applyAlignment="1">
      <alignment horizontal="right"/>
    </xf>
    <xf numFmtId="0" fontId="7" fillId="0" borderId="0" xfId="5"/>
    <xf numFmtId="0" fontId="0" fillId="0" borderId="0" xfId="0" quotePrefix="1"/>
    <xf numFmtId="0" fontId="0" fillId="5" borderId="7" xfId="7" applyFont="1" applyAlignment="1">
      <alignment horizontal="center"/>
    </xf>
    <xf numFmtId="0" fontId="0" fillId="5" borderId="0" xfId="7" applyFont="1" applyBorder="1" applyAlignment="1">
      <alignment horizontal="center"/>
    </xf>
    <xf numFmtId="0" fontId="0" fillId="6" borderId="0" xfId="0" applyFill="1"/>
    <xf numFmtId="0" fontId="11" fillId="0" borderId="0" xfId="5" applyFont="1"/>
    <xf numFmtId="0" fontId="0" fillId="5" borderId="7" xfId="7" applyFont="1" applyAlignment="1">
      <alignment horizontal="center" wrapText="1"/>
    </xf>
    <xf numFmtId="0" fontId="0" fillId="5" borderId="0" xfId="7" applyFont="1" applyBorder="1" applyAlignment="1">
      <alignment horizontal="center" wrapText="1"/>
    </xf>
    <xf numFmtId="0" fontId="0" fillId="5" borderId="8" xfId="7" applyFont="1" applyBorder="1" applyAlignment="1">
      <alignment horizontal="center"/>
    </xf>
    <xf numFmtId="0" fontId="10" fillId="0" borderId="9" xfId="6" applyBorder="1" applyAlignment="1">
      <alignment horizontal="center"/>
    </xf>
    <xf numFmtId="0" fontId="10" fillId="0" borderId="10" xfId="6" applyBorder="1" applyAlignment="1">
      <alignment horizontal="center"/>
    </xf>
    <xf numFmtId="0" fontId="1" fillId="0" borderId="11" xfId="0" applyFont="1" applyBorder="1"/>
    <xf numFmtId="0" fontId="3" fillId="2" borderId="1" xfId="1" applyBorder="1"/>
    <xf numFmtId="0" fontId="3" fillId="2" borderId="12" xfId="1" applyBorder="1"/>
    <xf numFmtId="0" fontId="1" fillId="0" borderId="13" xfId="0" applyFont="1" applyBorder="1"/>
    <xf numFmtId="0" fontId="4" fillId="3" borderId="14" xfId="2" applyBorder="1"/>
    <xf numFmtId="0" fontId="4" fillId="3" borderId="1" xfId="2" applyBorder="1"/>
    <xf numFmtId="0" fontId="4" fillId="3" borderId="12" xfId="2" applyBorder="1"/>
    <xf numFmtId="0" fontId="1" fillId="0" borderId="15" xfId="0" applyFont="1" applyBorder="1"/>
    <xf numFmtId="0" fontId="3" fillId="2" borderId="16" xfId="1" applyBorder="1"/>
    <xf numFmtId="164" fontId="4" fillId="3" borderId="1" xfId="2" applyNumberFormat="1" applyBorder="1"/>
    <xf numFmtId="164" fontId="4" fillId="3" borderId="12" xfId="2" applyNumberFormat="1" applyBorder="1"/>
    <xf numFmtId="2" fontId="4" fillId="3" borderId="1" xfId="2" applyNumberFormat="1" applyBorder="1" applyAlignment="1">
      <alignment horizontal="right"/>
    </xf>
    <xf numFmtId="2" fontId="4" fillId="3" borderId="12" xfId="2" applyNumberFormat="1" applyBorder="1" applyAlignment="1">
      <alignment horizontal="right"/>
    </xf>
    <xf numFmtId="0" fontId="5" fillId="4" borderId="17" xfId="3" applyBorder="1"/>
    <xf numFmtId="0" fontId="2" fillId="0" borderId="0" xfId="0" applyFont="1" applyBorder="1"/>
    <xf numFmtId="0" fontId="0" fillId="0" borderId="0" xfId="0" applyBorder="1"/>
    <xf numFmtId="0" fontId="0" fillId="0" borderId="18" xfId="0" applyBorder="1"/>
    <xf numFmtId="0" fontId="1" fillId="0" borderId="19" xfId="0" applyFont="1" applyBorder="1"/>
    <xf numFmtId="0" fontId="4" fillId="3" borderId="20" xfId="2" applyBorder="1"/>
    <xf numFmtId="0" fontId="4" fillId="3" borderId="21" xfId="2" applyBorder="1"/>
  </cellXfs>
  <cellStyles count="8">
    <cellStyle name="Calculation" xfId="2" builtinId="22"/>
    <cellStyle name="Check Cell" xfId="3" builtinId="23"/>
    <cellStyle name="Explanatory Text" xfId="5" builtinId="53"/>
    <cellStyle name="Heading 2" xfId="6" builtinId="17"/>
    <cellStyle name="Input" xfId="1" builtinId="20"/>
    <cellStyle name="Normal" xfId="0" builtinId="0"/>
    <cellStyle name="Note" xfId="7" builtinId="10"/>
    <cellStyle name="Output" xfId="4" builtinId="21"/>
  </cellStyles>
  <dxfs count="2">
    <dxf>
      <font>
        <b/>
        <i/>
        <color rgb="FF9C0006"/>
      </font>
      <fill>
        <patternFill>
          <bgColor rgb="FFFFFF00"/>
        </patternFill>
      </fill>
    </dxf>
    <dxf>
      <font>
        <b/>
        <i/>
        <color rgb="FF9C0006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13</xdr:col>
      <xdr:colOff>3564444</xdr:colOff>
      <xdr:row>44</xdr:row>
      <xdr:rowOff>28898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E35258-E352-9B60-C4C2-682E9688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391275"/>
          <a:ext cx="15003969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815-7508-4051-9140-8EE00FCAA99A}">
  <dimension ref="A1:X34"/>
  <sheetViews>
    <sheetView tabSelected="1" workbookViewId="0"/>
  </sheetViews>
  <sheetFormatPr defaultRowHeight="15" x14ac:dyDescent="0.25"/>
  <cols>
    <col min="1" max="1" width="7.5703125" bestFit="1" customWidth="1"/>
    <col min="2" max="2" width="36.85546875" customWidth="1"/>
    <col min="3" max="3" width="25.7109375" bestFit="1" customWidth="1"/>
    <col min="4" max="4" width="25" bestFit="1" customWidth="1"/>
    <col min="5" max="5" width="3.5703125" customWidth="1"/>
    <col min="6" max="6" width="22" customWidth="1"/>
    <col min="10" max="12" width="9.140625" customWidth="1"/>
    <col min="13" max="13" width="3.5703125" customWidth="1"/>
    <col min="14" max="14" width="136.42578125" customWidth="1"/>
    <col min="15" max="15" width="77" customWidth="1"/>
    <col min="16" max="16" width="105.42578125" bestFit="1" customWidth="1"/>
    <col min="17" max="17" width="41.42578125" bestFit="1" customWidth="1"/>
    <col min="18" max="18" width="29.42578125" customWidth="1"/>
  </cols>
  <sheetData>
    <row r="1" spans="1:24" ht="31.5" thickBot="1" x14ac:dyDescent="0.35">
      <c r="A1" s="12" t="str">
        <f>G1</f>
        <v>V1</v>
      </c>
      <c r="B1" s="16" t="s">
        <v>38</v>
      </c>
      <c r="C1" s="16" t="s">
        <v>43</v>
      </c>
      <c r="D1" s="16" t="s">
        <v>42</v>
      </c>
      <c r="E1" s="14"/>
      <c r="F1" s="18" t="s">
        <v>29</v>
      </c>
      <c r="G1" s="19" t="s">
        <v>2</v>
      </c>
      <c r="H1" s="19" t="s">
        <v>3</v>
      </c>
      <c r="I1" s="19" t="s">
        <v>6</v>
      </c>
      <c r="J1" s="19" t="s">
        <v>7</v>
      </c>
      <c r="K1" s="19" t="s">
        <v>8</v>
      </c>
      <c r="L1" s="20" t="s">
        <v>9</v>
      </c>
      <c r="M1" s="14"/>
      <c r="N1" s="16" t="s">
        <v>44</v>
      </c>
      <c r="O1" s="16" t="s">
        <v>45</v>
      </c>
      <c r="P1" s="16" t="s">
        <v>46</v>
      </c>
      <c r="Q1" s="16" t="s">
        <v>47</v>
      </c>
      <c r="S1" s="13" t="s">
        <v>36</v>
      </c>
      <c r="T1" s="17" t="s">
        <v>39</v>
      </c>
      <c r="U1" s="13" t="s">
        <v>37</v>
      </c>
      <c r="W1" s="5" t="s">
        <v>2</v>
      </c>
    </row>
    <row r="2" spans="1:24" ht="15.75" thickTop="1" x14ac:dyDescent="0.25">
      <c r="A2" s="2" cm="1">
        <f t="array" ref="A2">MyVal(__VCC,A$1)</f>
        <v>4.7</v>
      </c>
      <c r="B2" s="8" t="str">
        <f t="shared" ref="B2:B7" ca="1" si="0">_xlfn.FORMULATEXT(A2)</f>
        <v>=MyVal(__VCC,A$1)</v>
      </c>
      <c r="C2" s="8" t="str">
        <f ca="1">_xlfn.FORMULATEXT(S2)</f>
        <v>=VCC(A$1)</v>
      </c>
      <c r="D2" s="8" t="str">
        <f ca="1">_xlfn.FORMULATEXT(T2)</f>
        <v>=GET(__VCC)</v>
      </c>
      <c r="E2" s="14"/>
      <c r="F2" s="21" t="s">
        <v>28</v>
      </c>
      <c r="G2" s="22">
        <v>4.7</v>
      </c>
      <c r="H2" s="22">
        <v>4.7</v>
      </c>
      <c r="I2" s="22">
        <v>4.7</v>
      </c>
      <c r="J2" s="22">
        <v>4.7</v>
      </c>
      <c r="K2" s="22">
        <v>0</v>
      </c>
      <c r="L2" s="23">
        <v>0</v>
      </c>
      <c r="M2" s="14"/>
      <c r="N2" t="str">
        <f ca="1">_xlfn.IFNA(_xlfn.FORMULATEXT(G2),"")</f>
        <v/>
      </c>
      <c r="Q2" t="str" cm="1">
        <f t="array" aca="1" ref="Q2:Q28" ca="1">_xlfn.IFNA(_xlfn.FORMULATEXT(J2:J28),"")</f>
        <v/>
      </c>
      <c r="R2" t="str" cm="1">
        <f t="array" ref="R2">IFERROR(_xlfn.TEXTJOIN(", ",TRUE,_xlfn._xlws.FILTER("F"&amp;ROW(#REF!),IFERROR(FIND(#REF!,O2),FALSE))),"")</f>
        <v/>
      </c>
      <c r="S2" cm="1">
        <f t="array" ref="S2">VCC(A$1)</f>
        <v>4.7</v>
      </c>
      <c r="T2" t="e" cm="1">
        <f t="array" ref="T2">GET(__VCC)</f>
        <v>#REF!</v>
      </c>
      <c r="U2" t="b" cm="1">
        <f t="array" ref="U2:U28">S2:S28=A2:A28</f>
        <v>1</v>
      </c>
      <c r="W2" s="11" t="e" cm="1">
        <f t="array" ref="W2">_xlfn.LAMBDA(_xlpm.row,_xlpm.column, INDEX(CALC_TABLE,_xlpm.row,_xlpm.column))(ROW(),COLUMN())</f>
        <v>#REF!</v>
      </c>
      <c r="X2" t="e" cm="1">
        <f t="array" ref="X2">INDEX(CALC_TABLE,ROW()-_xlfn.SINGLE(ROW(CALC_TABLE))+1,COLUMN()-_xlfn.SINGLE(COLUMN(CALC_TABLE))+1)</f>
        <v>#REF!</v>
      </c>
    </row>
    <row r="3" spans="1:24" x14ac:dyDescent="0.25">
      <c r="A3" s="2" cm="1">
        <f t="array" ref="A3">MyVal(__VEE,A$1)</f>
        <v>-3.2</v>
      </c>
      <c r="B3" s="8" t="str">
        <f t="shared" ca="1" si="0"/>
        <v>=MyVal(__VEE,A$1)</v>
      </c>
      <c r="C3" s="8" t="str">
        <f t="shared" ref="C3:C23" ca="1" si="1">_xlfn.FORMULATEXT(S3)</f>
        <v>=VEE(A$1)</v>
      </c>
      <c r="D3" s="8" t="str">
        <f t="shared" ref="D3:D28" ca="1" si="2">_xlfn.FORMULATEXT(T3)</f>
        <v>=GET(__VEE)</v>
      </c>
      <c r="E3" s="14"/>
      <c r="F3" s="21" t="s">
        <v>33</v>
      </c>
      <c r="G3" s="22">
        <v>-3.2</v>
      </c>
      <c r="H3" s="22">
        <v>-3.2</v>
      </c>
      <c r="I3" s="22">
        <v>-3.2</v>
      </c>
      <c r="J3" s="22">
        <v>-3.2</v>
      </c>
      <c r="K3" s="22">
        <v>0</v>
      </c>
      <c r="L3" s="23">
        <v>0</v>
      </c>
      <c r="M3" s="14"/>
      <c r="N3" t="str">
        <f t="shared" ref="N3:N28" ca="1" si="3">_xlfn.IFNA(_xlfn.FORMULATEXT(G3),"")</f>
        <v/>
      </c>
      <c r="Q3" t="str">
        <f ca="1"/>
        <v/>
      </c>
      <c r="R3" t="str" cm="1">
        <f t="array" ref="R3">IFERROR(_xlfn.TEXTJOIN(", ",TRUE,_xlfn._xlws.FILTER("F"&amp;ROW(#REF!),IFERROR(FIND(#REF!,O3),FALSE))),"")</f>
        <v/>
      </c>
      <c r="S3" cm="1">
        <f t="array" ref="S3">VEE(A$1)</f>
        <v>-3.2</v>
      </c>
      <c r="T3" t="e" cm="1">
        <f t="array" ref="T3">GET(__VEE)</f>
        <v>#REF!</v>
      </c>
      <c r="U3" t="b">
        <v>1</v>
      </c>
    </row>
    <row r="4" spans="1:24" x14ac:dyDescent="0.25">
      <c r="A4" s="2" cm="1">
        <f t="array" ref="A4">MyVal(__VD,A$1)</f>
        <v>4.5</v>
      </c>
      <c r="B4" s="8" t="str">
        <f t="shared" ca="1" si="0"/>
        <v>=MyVal(__VD,A$1)</v>
      </c>
      <c r="C4" s="8" t="str">
        <f t="shared" ca="1" si="1"/>
        <v>=VD(A$1)</v>
      </c>
      <c r="D4" s="8" t="str">
        <f t="shared" ca="1" si="2"/>
        <v>=GET(__VD)</v>
      </c>
      <c r="E4" s="14"/>
      <c r="F4" s="21" t="s">
        <v>0</v>
      </c>
      <c r="G4" s="22">
        <v>4.5</v>
      </c>
      <c r="H4" s="22">
        <v>4.5</v>
      </c>
      <c r="I4" s="22">
        <v>4.5</v>
      </c>
      <c r="J4" s="22">
        <v>4.5</v>
      </c>
      <c r="K4" s="22">
        <v>0</v>
      </c>
      <c r="L4" s="23">
        <v>0</v>
      </c>
      <c r="M4" s="14"/>
      <c r="N4" t="str">
        <f t="shared" ca="1" si="3"/>
        <v/>
      </c>
      <c r="Q4" t="str">
        <f ca="1"/>
        <v/>
      </c>
      <c r="R4" t="str" cm="1">
        <f t="array" ref="R4">IFERROR(_xlfn.TEXTJOIN(", ",TRUE,_xlfn._xlws.FILTER("F"&amp;ROW(#REF!),IFERROR(FIND(#REF!,O4),FALSE))),"")</f>
        <v/>
      </c>
      <c r="S4" cm="1">
        <f t="array" ref="S4">VD(A$1)</f>
        <v>4.5</v>
      </c>
      <c r="T4" t="e" cm="1">
        <f t="array" ref="T4">GET(__VD)</f>
        <v>#REF!</v>
      </c>
      <c r="U4" t="b">
        <v>1</v>
      </c>
    </row>
    <row r="5" spans="1:24" x14ac:dyDescent="0.25">
      <c r="A5" s="2" cm="1">
        <f t="array" ref="A5">MyVal(__Target_Load_mA,A$1)</f>
        <v>250</v>
      </c>
      <c r="B5" s="8" t="str">
        <f t="shared" ca="1" si="0"/>
        <v>=MyVal(__Target_Load_mA,A$1)</v>
      </c>
      <c r="C5" s="8" t="str">
        <f t="shared" ca="1" si="1"/>
        <v>=Load(A$1)</v>
      </c>
      <c r="D5" s="8" t="str">
        <f t="shared" ca="1" si="2"/>
        <v>=GET(__Target_Load_mA)</v>
      </c>
      <c r="E5" s="14"/>
      <c r="F5" s="24" t="s">
        <v>18</v>
      </c>
      <c r="G5" s="22">
        <v>250</v>
      </c>
      <c r="H5" s="22">
        <v>250</v>
      </c>
      <c r="I5" s="22">
        <v>250</v>
      </c>
      <c r="J5" s="22">
        <v>250</v>
      </c>
      <c r="K5" s="22">
        <v>0</v>
      </c>
      <c r="L5" s="23">
        <v>0</v>
      </c>
      <c r="M5" s="14"/>
      <c r="N5" t="str">
        <f t="shared" ca="1" si="3"/>
        <v/>
      </c>
      <c r="Q5" t="str">
        <f ca="1"/>
        <v/>
      </c>
      <c r="R5" t="str" cm="1">
        <f t="array" ref="R5">IFERROR(_xlfn.TEXTJOIN(", ",TRUE,_xlfn._xlws.FILTER("F"&amp;ROW(#REF!),IFERROR(FIND(#REF!,O5),FALSE))),"")</f>
        <v/>
      </c>
      <c r="S5" cm="1">
        <f t="array" ref="S5">Load(A$1)</f>
        <v>250</v>
      </c>
      <c r="T5" t="e" cm="1">
        <f t="array" ref="T5">GET(__Target_Load_mA)</f>
        <v>#REF!</v>
      </c>
      <c r="U5" t="b">
        <v>1</v>
      </c>
    </row>
    <row r="6" spans="1:24" x14ac:dyDescent="0.25">
      <c r="A6" s="2" cm="1">
        <f t="array" ref="A6">MyVal(__VG,A$1)</f>
        <v>-0.72</v>
      </c>
      <c r="B6" s="8" t="str">
        <f t="shared" ca="1" si="0"/>
        <v>=MyVal(__VG,A$1)</v>
      </c>
      <c r="C6" s="8" t="str">
        <f t="shared" ca="1" si="1"/>
        <v>=VG(A$1)</v>
      </c>
      <c r="D6" s="8" t="str">
        <f t="shared" ca="1" si="2"/>
        <v>=GET(__VG)</v>
      </c>
      <c r="E6" s="14"/>
      <c r="F6" s="21" t="s">
        <v>1</v>
      </c>
      <c r="G6" s="22">
        <v>-0.72</v>
      </c>
      <c r="H6" s="22">
        <v>-0.72</v>
      </c>
      <c r="I6" s="22">
        <v>-0.72</v>
      </c>
      <c r="J6" s="22">
        <v>-0.72</v>
      </c>
      <c r="K6" s="22">
        <v>0</v>
      </c>
      <c r="L6" s="23">
        <v>0</v>
      </c>
      <c r="M6" s="14"/>
      <c r="N6" t="str">
        <f t="shared" ca="1" si="3"/>
        <v/>
      </c>
      <c r="Q6" t="str">
        <f ca="1"/>
        <v/>
      </c>
      <c r="R6" t="str" cm="1">
        <f t="array" ref="R6">IFERROR(_xlfn.TEXTJOIN(", ",TRUE,_xlfn._xlws.FILTER("F"&amp;ROW(#REF!),IFERROR(FIND(#REF!,O6),FALSE))),"")</f>
        <v/>
      </c>
      <c r="S6" cm="1">
        <f t="array" ref="S6">VG(A$1)</f>
        <v>-0.72</v>
      </c>
      <c r="T6" t="e" cm="1">
        <f t="array" ref="T6">GET(__VG)</f>
        <v>#REF!</v>
      </c>
      <c r="U6" t="b">
        <v>1</v>
      </c>
    </row>
    <row r="7" spans="1:24" x14ac:dyDescent="0.25">
      <c r="A7" s="2" cm="1">
        <f t="array" ref="A7">MyVal(__IR1_mA,A$1)</f>
        <v>4</v>
      </c>
      <c r="B7" s="8" t="str">
        <f t="shared" ca="1" si="0"/>
        <v>=MyVal(__IR1_mA,A$1)</v>
      </c>
      <c r="C7" s="8" t="str">
        <f t="shared" ca="1" si="1"/>
        <v>=_IR1(A$1)</v>
      </c>
      <c r="D7" s="8" t="str">
        <f t="shared" ca="1" si="2"/>
        <v>=GET(__IR1_mA)</v>
      </c>
      <c r="E7" s="14"/>
      <c r="F7" s="21" t="s">
        <v>4</v>
      </c>
      <c r="G7" s="22">
        <v>4</v>
      </c>
      <c r="H7" s="22">
        <v>4</v>
      </c>
      <c r="I7" s="22">
        <v>4</v>
      </c>
      <c r="J7" s="22">
        <v>4</v>
      </c>
      <c r="K7" s="22">
        <v>0</v>
      </c>
      <c r="L7" s="23">
        <v>0</v>
      </c>
      <c r="M7" s="14"/>
      <c r="N7" t="str">
        <f t="shared" ca="1" si="3"/>
        <v/>
      </c>
      <c r="Q7" t="str">
        <f ca="1"/>
        <v/>
      </c>
      <c r="R7" t="str" cm="1">
        <f t="array" ref="R7">IFERROR(_xlfn.TEXTJOIN(", ",TRUE,_xlfn._xlws.FILTER("F"&amp;ROW(#REF!),IFERROR(FIND(#REF!,O7),FALSE))),"")</f>
        <v/>
      </c>
      <c r="S7" cm="1">
        <f t="array" ref="S7">_IR1(A$1)</f>
        <v>4</v>
      </c>
      <c r="T7" t="e" cm="1">
        <f t="array" ref="T7">GET(__IR1_mA)</f>
        <v>#REF!</v>
      </c>
      <c r="U7" t="b">
        <v>1</v>
      </c>
    </row>
    <row r="8" spans="1:24" x14ac:dyDescent="0.25">
      <c r="A8" s="2" cm="1">
        <f t="array" ref="A8">MyVal(__Target_IR2_mA,A$1)</f>
        <v>254</v>
      </c>
      <c r="B8" s="8" t="str">
        <f ca="1">_xlfn.FORMULATEXT(A8)</f>
        <v>=MyVal(__Target_IR2_mA,A$1)</v>
      </c>
      <c r="C8" s="8" t="str">
        <f t="shared" ca="1" si="1"/>
        <v>=Target_IR2(A$1)</v>
      </c>
      <c r="D8" s="8" t="str">
        <f t="shared" ca="1" si="2"/>
        <v>=GET(__Target_IR2_mA)</v>
      </c>
      <c r="E8" s="14"/>
      <c r="F8" s="21" t="s">
        <v>24</v>
      </c>
      <c r="G8" s="3" cm="1">
        <f t="array" ref="G8">MyVal(__Target_Load_mA,G$1)+MyVal(__IR1_mA,G$1)</f>
        <v>254</v>
      </c>
      <c r="H8" s="3" cm="1">
        <f t="array" ref="H8">_IR1(H$1)+Load(H$1)</f>
        <v>254</v>
      </c>
      <c r="I8" s="3" cm="1">
        <f t="array" ref="I8">GET(__Target_Load_mA)+GET(__IR1_mA)</f>
        <v>254</v>
      </c>
      <c r="J8" s="3">
        <f>J7+J5</f>
        <v>254</v>
      </c>
      <c r="K8" s="3">
        <f t="shared" ref="K8:L8" si="4">K7+K5</f>
        <v>0</v>
      </c>
      <c r="L8" s="25">
        <f t="shared" si="4"/>
        <v>0</v>
      </c>
      <c r="M8" s="14"/>
      <c r="N8" s="7" t="str">
        <f ca="1">_xlfn.IFNA(_xlfn.FORMULATEXT(G8),"")</f>
        <v>=MyVal(__Target_Load_mA,G$1)+MyVal(__IR1_mA,G$1)</v>
      </c>
      <c r="O8" s="7" t="str">
        <f ca="1">_xlfn.IFNA(_xlfn.FORMULATEXT(H8),"")</f>
        <v>=_IR1(H$1)+Load(H$1)</v>
      </c>
      <c r="P8" s="7" t="str">
        <f t="shared" ref="P8:P10" ca="1" si="5">_xlfn.IFNA(_xlfn.FORMULATEXT(I8),"")</f>
        <v>=GET(__Target_Load_mA)+GET(__IR1_mA)</v>
      </c>
      <c r="Q8" s="7" t="str">
        <f ca="1"/>
        <v>=J7+J5</v>
      </c>
      <c r="R8" t="str" cm="1">
        <f t="array" aca="1" ref="R8" ca="1">IFERROR(_xlfn.TEXTJOIN(", ",TRUE,_xlfn._xlws.FILTER("F"&amp;ROW(#REF!),IFERROR(FIND(#REF!,O8),FALSE))),"")</f>
        <v/>
      </c>
      <c r="S8" cm="1">
        <f t="array" ref="S8">Target_IR2(A$1)</f>
        <v>254</v>
      </c>
      <c r="T8" t="e" cm="1">
        <f t="array" ref="T8">GET(__Target_IR2_mA)</f>
        <v>#REF!</v>
      </c>
      <c r="U8" t="b">
        <v>1</v>
      </c>
      <c r="W8" t="e" cm="1">
        <f t="array" ref="W8">INDEX(INDEX_TABLE,MATCH(__Target_Load_mA,KEY_LIST,0),COLUMN()-_xlfn.SINGLE(COLUMN(INDEX_TABLE))+1)</f>
        <v>#NAME?</v>
      </c>
      <c r="X8" t="e" cm="1">
        <f t="array" ref="X8">_xlfn.LAMBDA(_xlpm.key,INDEX(INDEX_TABLE,MATCH(_xlpm.key,KEY_LIST,0),COLUMN()-_xlfn.SINGLE(COLUMN(INDEX_TABLE))+1))(__Target_Load_mA)</f>
        <v>#NAME?</v>
      </c>
    </row>
    <row r="9" spans="1:24" x14ac:dyDescent="0.25">
      <c r="A9" s="2" cm="1">
        <f t="array" ref="A9">MyVal(__Target_R_Ratio,A$1)</f>
        <v>63.5</v>
      </c>
      <c r="B9" s="8" t="str">
        <f t="shared" ref="B9:B22" ca="1" si="6">_xlfn.FORMULATEXT(A9)</f>
        <v>=MyVal(__Target_R_Ratio,A$1)</v>
      </c>
      <c r="C9" s="8" t="str">
        <f t="shared" ca="1" si="1"/>
        <v>=Target_Ratio(A$1)</v>
      </c>
      <c r="D9" s="8" t="str">
        <f t="shared" ca="1" si="2"/>
        <v>=GET(__Target_R_Ratio)</v>
      </c>
      <c r="E9" s="14"/>
      <c r="F9" s="21" t="s">
        <v>25</v>
      </c>
      <c r="G9" s="26" cm="1">
        <f t="array" ref="G9">MyVal(__Target_IR2_mA,G$1)/MyVal(__IR1_mA,G$1)</f>
        <v>63.5</v>
      </c>
      <c r="H9" s="26" cm="1">
        <f t="array" ref="H9">Target_IR2(H$1)/_IR1(H$1)</f>
        <v>63.5</v>
      </c>
      <c r="I9" s="26" cm="1">
        <f t="array" ref="I9">GET(__Target_IR2_mA)/GET(__IR1_mA)</f>
        <v>63.5</v>
      </c>
      <c r="J9" s="26">
        <f>J8/J7</f>
        <v>63.5</v>
      </c>
      <c r="K9" s="26" t="e">
        <f t="shared" ref="K9:L9" si="7">K8/K7</f>
        <v>#DIV/0!</v>
      </c>
      <c r="L9" s="27" t="e">
        <f t="shared" si="7"/>
        <v>#DIV/0!</v>
      </c>
      <c r="M9" s="14"/>
      <c r="N9" s="7" t="str">
        <f ca="1">_xlfn.IFNA(_xlfn.FORMULATEXT(G9),"")</f>
        <v>=MyVal(__Target_IR2_mA,G$1)/MyVal(__IR1_mA,G$1)</v>
      </c>
      <c r="O9" s="7" t="str">
        <f t="shared" ref="O9:O10" ca="1" si="8">_xlfn.IFNA(_xlfn.FORMULATEXT(H9),"")</f>
        <v>=Target_IR2(H$1)/_IR1(H$1)</v>
      </c>
      <c r="P9" s="7" t="str">
        <f t="shared" ca="1" si="5"/>
        <v>=GET(__Target_IR2_mA)/GET(__IR1_mA)</v>
      </c>
      <c r="Q9" s="7" t="str">
        <f ca="1"/>
        <v>=J8/J7</v>
      </c>
      <c r="R9" t="str" cm="1">
        <f t="array" aca="1" ref="R9" ca="1">IFERROR(_xlfn.TEXTJOIN(", ",TRUE,_xlfn._xlws.FILTER("F"&amp;ROW(#REF!),IFERROR(FIND(#REF!,O9),FALSE))),"")</f>
        <v/>
      </c>
      <c r="S9" cm="1">
        <f t="array" ref="S9">Target_Ratio(A$1)</f>
        <v>63.5</v>
      </c>
      <c r="T9" t="e" cm="1">
        <f t="array" ref="T9">GET(__Target_R_Ratio)</f>
        <v>#REF!</v>
      </c>
      <c r="U9" t="b">
        <v>1</v>
      </c>
    </row>
    <row r="10" spans="1:24" x14ac:dyDescent="0.25">
      <c r="A10" s="2" cm="1">
        <f t="array" ref="A10">MyVal(__Ideal_R2,A$1)</f>
        <v>0.78740157480315032</v>
      </c>
      <c r="B10" s="8" t="str">
        <f t="shared" ca="1" si="6"/>
        <v>=MyVal(__Ideal_R2,A$1)</v>
      </c>
      <c r="C10" s="8" t="str">
        <f t="shared" ca="1" si="1"/>
        <v>=Ideal_R2(A$1)</v>
      </c>
      <c r="D10" s="8" t="str">
        <f t="shared" ca="1" si="2"/>
        <v>=GET(__Ideal_R2)</v>
      </c>
      <c r="E10" s="14"/>
      <c r="F10" s="28" t="s">
        <v>19</v>
      </c>
      <c r="G10" s="26" cm="1">
        <f t="array" ref="G10">(MyVal(__VCC,G$1)-MyVal(__VD,G$1))/(MyVal(__Target_IR2_mA,G$1)/1000)</f>
        <v>0.78740157480315032</v>
      </c>
      <c r="H10" s="26" cm="1">
        <f t="array" ref="H10">(VCC(A$1)-VD(H$1))/(Target_IR2(H$1)/1000)</f>
        <v>0.78740157480315032</v>
      </c>
      <c r="I10" s="26" cm="1">
        <f t="array" ref="I10">(GET(__VCC)-GET(__VD))/(GET(__Target_IR2_mA)/1000)</f>
        <v>0.78740157480315032</v>
      </c>
      <c r="J10" s="26">
        <f>(J2-J4)/(J8/1000)</f>
        <v>0.78740157480315032</v>
      </c>
      <c r="K10" s="26" t="e">
        <f t="shared" ref="K10:L10" si="9">(K2-K4)/(K8/1000)</f>
        <v>#DIV/0!</v>
      </c>
      <c r="L10" s="27" t="e">
        <f t="shared" si="9"/>
        <v>#DIV/0!</v>
      </c>
      <c r="M10" s="14"/>
      <c r="N10" s="7" t="str">
        <f t="shared" ca="1" si="3"/>
        <v>=(MyVal(__VCC,G$1)-MyVal(__VD,G$1))/(MyVal(__Target_IR2_mA,G$1)/1000)</v>
      </c>
      <c r="O10" s="7" t="str">
        <f t="shared" ca="1" si="8"/>
        <v>=(VCC(A$1)-VD(H$1))/(Target_IR2(H$1)/1000)</v>
      </c>
      <c r="P10" s="7" t="str">
        <f t="shared" ca="1" si="5"/>
        <v>=(GET(__VCC)-GET(__VD))/(GET(__Target_IR2_mA)/1000)</v>
      </c>
      <c r="Q10" s="7" t="str">
        <f ca="1"/>
        <v>=(J2-J4)/(J8/1000)</v>
      </c>
      <c r="R10" t="str" cm="1">
        <f t="array" aca="1" ref="R10" ca="1">IFERROR(_xlfn.TEXTJOIN(", ",TRUE,_xlfn._xlws.FILTER("F"&amp;ROW(#REF!),IFERROR(FIND(#REF!,O10),FALSE))),"")</f>
        <v/>
      </c>
      <c r="S10" cm="1">
        <f t="array" ref="S10">Ideal_R2(A$1)</f>
        <v>0.78740157480315032</v>
      </c>
      <c r="T10" t="e" cm="1">
        <f t="array" ref="T10">GET(__Ideal_R2)</f>
        <v>#REF!</v>
      </c>
      <c r="U10" t="b">
        <v>1</v>
      </c>
    </row>
    <row r="11" spans="1:24" x14ac:dyDescent="0.25">
      <c r="A11" s="2" cm="1">
        <f t="array" ref="A11">MyVal(__Selected_R2,A$1)</f>
        <v>0.75</v>
      </c>
      <c r="B11" s="8" t="str">
        <f t="shared" ca="1" si="6"/>
        <v>=MyVal(__Selected_R2,A$1)</v>
      </c>
      <c r="C11" s="8" t="str">
        <f t="shared" ca="1" si="1"/>
        <v>=_R2(A$1)</v>
      </c>
      <c r="D11" s="8" t="str">
        <f t="shared" ca="1" si="2"/>
        <v>=GET(__Selected_R2)</v>
      </c>
      <c r="E11" s="14"/>
      <c r="F11" s="21" t="s">
        <v>21</v>
      </c>
      <c r="G11" s="4">
        <v>0.75</v>
      </c>
      <c r="H11" s="4">
        <v>0.75</v>
      </c>
      <c r="I11" s="4">
        <v>0.75</v>
      </c>
      <c r="J11" s="4">
        <v>0.75</v>
      </c>
      <c r="K11" s="4">
        <v>0</v>
      </c>
      <c r="L11" s="29">
        <v>0</v>
      </c>
      <c r="M11" s="14"/>
      <c r="N11" t="str">
        <f t="shared" ca="1" si="3"/>
        <v/>
      </c>
      <c r="Q11" t="str">
        <f ca="1"/>
        <v/>
      </c>
      <c r="R11" t="str" cm="1">
        <f t="array" ref="R11">IFERROR(_xlfn.TEXTJOIN(", ",TRUE,_xlfn._xlws.FILTER("F"&amp;ROW(#REF!),IFERROR(FIND(#REF!,O11),FALSE))),"")</f>
        <v/>
      </c>
      <c r="S11" cm="1">
        <f t="array" ref="S11">_R2(A$1)</f>
        <v>0.75</v>
      </c>
      <c r="T11" t="e" cm="1">
        <f t="array" ref="T11">GET(__Selected_R2)</f>
        <v>#REF!</v>
      </c>
      <c r="U11" t="b">
        <v>1</v>
      </c>
    </row>
    <row r="12" spans="1:24" x14ac:dyDescent="0.25">
      <c r="A12" s="2" cm="1">
        <f t="array" ref="A12">MyVal(__Ideal_R1,A$1)</f>
        <v>47.625</v>
      </c>
      <c r="B12" s="8" t="str">
        <f t="shared" ca="1" si="6"/>
        <v>=MyVal(__Ideal_R1,A$1)</v>
      </c>
      <c r="C12" s="8" t="str">
        <f t="shared" ca="1" si="1"/>
        <v>=Ideal_R1(A$1)</v>
      </c>
      <c r="D12" s="8" t="str">
        <f t="shared" ca="1" si="2"/>
        <v>=GET(__Ideal_R1)</v>
      </c>
      <c r="E12" s="14"/>
      <c r="F12" s="21" t="s">
        <v>23</v>
      </c>
      <c r="G12" s="26" cm="1">
        <f t="array" ref="G12">MyVal(__Target_R_Ratio,G$1)*MyVal(__Selected_R2,G$1)</f>
        <v>47.625</v>
      </c>
      <c r="H12" s="26" cm="1">
        <f t="array" ref="H12">Target_Ratio(H$1)*_R2(H$1)</f>
        <v>47.625</v>
      </c>
      <c r="I12" s="26" cm="1">
        <f t="array" ref="I12">GET(__Target_R_Ratio)*GET(__Selected_R2)</f>
        <v>47.625</v>
      </c>
      <c r="J12" s="26">
        <f t="shared" ref="J12:L12" si="10">J9*J11</f>
        <v>47.625</v>
      </c>
      <c r="K12" s="26" t="e">
        <f t="shared" si="10"/>
        <v>#DIV/0!</v>
      </c>
      <c r="L12" s="27" t="e">
        <f t="shared" si="10"/>
        <v>#DIV/0!</v>
      </c>
      <c r="M12" s="14"/>
      <c r="N12" s="7" t="str">
        <f t="shared" ca="1" si="3"/>
        <v>=MyVal(__Target_R_Ratio,G$1)*MyVal(__Selected_R2,G$1)</v>
      </c>
      <c r="O12" s="7" t="str">
        <f ca="1">_xlfn.IFNA(_xlfn.FORMULATEXT(H12),"")</f>
        <v>=Target_Ratio(H$1)*_R2(H$1)</v>
      </c>
      <c r="P12" s="7" t="str">
        <f ca="1">_xlfn.IFNA(_xlfn.FORMULATEXT(I12),"")</f>
        <v>=GET(__Target_R_Ratio)*GET(__Selected_R2)</v>
      </c>
      <c r="Q12" s="7" t="str">
        <f ca="1"/>
        <v>=J9*J11</v>
      </c>
      <c r="R12" t="str" cm="1">
        <f t="array" aca="1" ref="R12" ca="1">IFERROR(_xlfn.TEXTJOIN(", ",TRUE,_xlfn._xlws.FILTER("F"&amp;ROW(#REF!),IFERROR(FIND(#REF!,O12),FALSE))),"")</f>
        <v/>
      </c>
      <c r="S12" cm="1">
        <f t="array" ref="S12">Ideal_R1(A$1)</f>
        <v>47.625</v>
      </c>
      <c r="T12" t="e" cm="1">
        <f t="array" ref="T12">GET(__Ideal_R1)</f>
        <v>#REF!</v>
      </c>
      <c r="U12" t="b">
        <v>1</v>
      </c>
    </row>
    <row r="13" spans="1:24" x14ac:dyDescent="0.25">
      <c r="A13" s="2" cm="1">
        <f t="array" ref="A13">MyVal(__Selected_R1,A$1)</f>
        <v>47.65</v>
      </c>
      <c r="B13" s="8" t="str">
        <f t="shared" ca="1" si="6"/>
        <v>=MyVal(__Selected_R1,A$1)</v>
      </c>
      <c r="C13" s="8" t="str">
        <f t="shared" ca="1" si="1"/>
        <v>=_R1(A$1)</v>
      </c>
      <c r="D13" s="8" t="str">
        <f t="shared" ca="1" si="2"/>
        <v>=GET(__Selected_R1)</v>
      </c>
      <c r="E13" s="14"/>
      <c r="F13" s="21" t="s">
        <v>22</v>
      </c>
      <c r="G13" s="22">
        <v>47.65</v>
      </c>
      <c r="H13" s="22">
        <v>47.65</v>
      </c>
      <c r="I13" s="22">
        <v>47.65</v>
      </c>
      <c r="J13" s="22">
        <v>47.65</v>
      </c>
      <c r="K13" s="22">
        <v>0</v>
      </c>
      <c r="L13" s="23">
        <v>0</v>
      </c>
      <c r="M13" s="14"/>
      <c r="N13" t="str">
        <f t="shared" ca="1" si="3"/>
        <v/>
      </c>
      <c r="Q13" t="str">
        <f ca="1"/>
        <v/>
      </c>
      <c r="R13" t="str" cm="1">
        <f t="array" ref="R13">IFERROR(_xlfn.TEXTJOIN(", ",TRUE,_xlfn._xlws.FILTER("F"&amp;ROW(#REF!),IFERROR(FIND(#REF!,O13),FALSE))),"")</f>
        <v/>
      </c>
      <c r="S13" cm="1">
        <f t="array" ref="S13">_R1(A$1)</f>
        <v>47.65</v>
      </c>
      <c r="T13" t="e" cm="1">
        <f t="array" ref="T13">GET(__Selected_R1)</f>
        <v>#REF!</v>
      </c>
      <c r="U13" t="b">
        <v>1</v>
      </c>
    </row>
    <row r="14" spans="1:24" x14ac:dyDescent="0.25">
      <c r="A14" s="2" cm="1">
        <f t="array" ref="A14">MyVal(__Ideal_R5,A$1)</f>
        <v>949.85</v>
      </c>
      <c r="B14" s="8" t="str">
        <f t="shared" ca="1" si="6"/>
        <v>=MyVal(__Ideal_R5,A$1)</v>
      </c>
      <c r="C14" s="8" t="str">
        <f t="shared" ca="1" si="1"/>
        <v>=Ideal_R5(A$1)</v>
      </c>
      <c r="D14" s="8" t="str">
        <f t="shared" ca="1" si="2"/>
        <v>=GET(__Ideal_R5)</v>
      </c>
      <c r="E14" s="14"/>
      <c r="F14" s="21" t="s">
        <v>30</v>
      </c>
      <c r="G14" s="26" cm="1">
        <f t="array" ref="G14">(MyVal(__VCC,G$1)-MyVal(__VEC_Q2,G$1)-MyVal(__VDS_Q3,G$1)-(MyVal(__IR1_mA,G$1)/1000*MyVal(__Selected_R1,G$1)))/(MyVal(__IR1_mA,G$1)/1000)</f>
        <v>949.85</v>
      </c>
      <c r="H14" s="26" cm="1">
        <f t="array" ref="H14">(VCC(H$1)-VEC_Q2(H$1)-VDS_Q3(H$1)-(_IR1(H$1)/1000*_R1(H$1)))/(_IR1(H$1)/1000)</f>
        <v>949.85</v>
      </c>
      <c r="I14" s="26" cm="1">
        <f t="array" ref="I14">(GET(__VCC)-GET(__VEC_Q2)-GET(__VDS_Q3)-(GET(__IR1_mA)/1000*GET(__Selected_R1)))/(GET(__IR1_mA)/1000)</f>
        <v>949.85</v>
      </c>
      <c r="J14" s="26">
        <f>(J2-J28-J25-(J7/1000*J13))/(J7/1000)</f>
        <v>949.85</v>
      </c>
      <c r="K14" s="26" t="e">
        <f t="shared" ref="K14:L14" si="11">(K2-K28-K25-(K7/1000*K13))/(K7/1000)</f>
        <v>#DIV/0!</v>
      </c>
      <c r="L14" s="27" t="e">
        <f t="shared" si="11"/>
        <v>#DIV/0!</v>
      </c>
      <c r="M14" s="14"/>
      <c r="N14" s="7" t="str">
        <f t="shared" ca="1" si="3"/>
        <v>=(MyVal(__VCC,G$1)-MyVal(__VEC_Q2,G$1)-MyVal(__VDS_Q3,G$1)-(MyVal(__IR1_mA,G$1)/1000*MyVal(__Selected_R1,G$1)))/(MyVal(__IR1_mA,G$1)/1000)</v>
      </c>
      <c r="O14" s="7" t="str">
        <f t="shared" ref="O14:O22" ca="1" si="12">_xlfn.IFNA(_xlfn.FORMULATEXT(H14),"")</f>
        <v>=(VCC(H$1)-VEC_Q2(H$1)-VDS_Q3(H$1)-(_IR1(H$1)/1000*_R1(H$1)))/(_IR1(H$1)/1000)</v>
      </c>
      <c r="P14" s="7" t="str">
        <f t="shared" ref="P14:P23" ca="1" si="13">_xlfn.IFNA(_xlfn.FORMULATEXT(I14),"")</f>
        <v>=(GET(__VCC)-GET(__VEC_Q2)-GET(__VDS_Q3)-(GET(__IR1_mA)/1000*GET(__Selected_R1)))/(GET(__IR1_mA)/1000)</v>
      </c>
      <c r="Q14" s="7" t="str">
        <f ca="1"/>
        <v>=(J2-J28-J25-(J7/1000*J13))/(J7/1000)</v>
      </c>
      <c r="R14" t="str" cm="1">
        <f t="array" aca="1" ref="R14" ca="1">IFERROR(_xlfn.TEXTJOIN(", ",TRUE,_xlfn._xlws.FILTER("F"&amp;ROW(#REF!),IFERROR(FIND(#REF!,O14),FALSE))),"")</f>
        <v/>
      </c>
      <c r="S14" cm="1">
        <f t="array" ref="S14">Ideal_R5(A$1)</f>
        <v>949.85</v>
      </c>
      <c r="T14" t="e" cm="1">
        <f t="array" ref="T14">GET(__Ideal_R5)</f>
        <v>#REF!</v>
      </c>
      <c r="U14" t="b">
        <v>1</v>
      </c>
    </row>
    <row r="15" spans="1:24" x14ac:dyDescent="0.25">
      <c r="A15" s="2" cm="1">
        <f t="array" ref="A15">MyVal(__Calc_IR1_mA,A$1)</f>
        <v>4</v>
      </c>
      <c r="B15" s="8" t="str">
        <f t="shared" ca="1" si="6"/>
        <v>=MyVal(__Calc_IR1_mA,A$1)</v>
      </c>
      <c r="C15" s="8" t="str">
        <f t="shared" ca="1" si="1"/>
        <v>=_IR1(A$1)</v>
      </c>
      <c r="D15" s="8" t="str">
        <f t="shared" ca="1" si="2"/>
        <v>=GET(__Calc_IR1_mA)</v>
      </c>
      <c r="E15" s="14"/>
      <c r="F15" s="21" t="s">
        <v>17</v>
      </c>
      <c r="G15" s="30" cm="1">
        <f t="array" ref="G15">(MyVal(__VCC,G$1)-MyVal(__VEC_Q2,G$1)-MyVal(__VDS_Q3,G$1))/(MyVal(__Selected_R1,G$1)+MyVal(__Ideal_R5,G$1))*1000</f>
        <v>4</v>
      </c>
      <c r="H15" s="30" cm="1">
        <f t="array" ref="H15">(VCC(H$1)-VEC_Q2(H$1)-VDS_Q3(H$1))/(_R1(H$1)+Ideal_R5(H$1))*1000</f>
        <v>4</v>
      </c>
      <c r="I15" s="30" cm="1">
        <f t="array" ref="I15">(GET(__VCC)-GET(__VEC_Q2)-GET(__VDS_Q3))/(GET(__Selected_R1)+GET(__Ideal_R5))*1000</f>
        <v>4</v>
      </c>
      <c r="J15" s="30">
        <f>(J2-J28-J25)/(J13+J14)*1000</f>
        <v>4</v>
      </c>
      <c r="K15" s="30" t="e">
        <f t="shared" ref="K15:L15" si="14">(K2-K28-K25)/(K13+K14)*1000</f>
        <v>#DIV/0!</v>
      </c>
      <c r="L15" s="31" t="e">
        <f t="shared" si="14"/>
        <v>#DIV/0!</v>
      </c>
      <c r="M15" s="14"/>
      <c r="N15" s="7" t="str">
        <f t="shared" ca="1" si="3"/>
        <v>=(MyVal(__VCC,G$1)-MyVal(__VEC_Q2,G$1)-MyVal(__VDS_Q3,G$1))/(MyVal(__Selected_R1,G$1)+MyVal(__Ideal_R5,G$1))*1000</v>
      </c>
      <c r="O15" s="7" t="str">
        <f t="shared" ca="1" si="12"/>
        <v>=(VCC(H$1)-VEC_Q2(H$1)-VDS_Q3(H$1))/(_R1(H$1)+Ideal_R5(H$1))*1000</v>
      </c>
      <c r="P15" s="7" t="str">
        <f t="shared" ca="1" si="13"/>
        <v>=(GET(__VCC)-GET(__VEC_Q2)-GET(__VDS_Q3))/(GET(__Selected_R1)+GET(__Ideal_R5))*1000</v>
      </c>
      <c r="Q15" s="7" t="str">
        <f ca="1"/>
        <v>=(J2-J28-J25)/(J13+J14)*1000</v>
      </c>
      <c r="R15" t="str" cm="1">
        <f t="array" aca="1" ref="R15" ca="1">IFERROR(_xlfn.TEXTJOIN(", ",TRUE,_xlfn._xlws.FILTER("F"&amp;ROW(#REF!),IFERROR(FIND(#REF!,O15),FALSE))),"")</f>
        <v/>
      </c>
      <c r="S15" cm="1">
        <f t="array" ref="S15">_IR1(A$1)</f>
        <v>4</v>
      </c>
      <c r="T15" t="e" cm="1">
        <f t="array" ref="T15">GET(__Calc_IR1_mA)</f>
        <v>#REF!</v>
      </c>
      <c r="U15" t="b">
        <v>1</v>
      </c>
    </row>
    <row r="16" spans="1:24" x14ac:dyDescent="0.25">
      <c r="A16" s="2" cm="1">
        <f t="array" ref="A16">MyVal(__Actual_R_Ratio,A$1)</f>
        <v>63.533333333333331</v>
      </c>
      <c r="B16" s="8" t="str">
        <f t="shared" ca="1" si="6"/>
        <v>=MyVal(__Actual_R_Ratio,A$1)</v>
      </c>
      <c r="C16" s="8" t="str">
        <f t="shared" ca="1" si="1"/>
        <v>=Actual_Ratio(A$1)</v>
      </c>
      <c r="D16" s="8" t="str">
        <f t="shared" ca="1" si="2"/>
        <v>=GET(__Actual_R_Ratio)</v>
      </c>
      <c r="E16" s="14"/>
      <c r="F16" s="21" t="s">
        <v>27</v>
      </c>
      <c r="G16" s="32" cm="1">
        <f t="array" ref="G16">IFERROR(MyVal(__Selected_R1,G$1)/MyVal(__Selected_R2,G$1),NA())</f>
        <v>63.533333333333331</v>
      </c>
      <c r="H16" s="32" cm="1">
        <f t="array" ref="H16">IFERROR(_R1(H$1)/_R2(H$1),NA())</f>
        <v>63.533333333333331</v>
      </c>
      <c r="I16" s="32" cm="1">
        <f t="array" ref="I16">IFERROR(GET(__Selected_R1)/GET(__Selected_R2),NA())</f>
        <v>63.533333333333331</v>
      </c>
      <c r="J16" s="32">
        <f t="shared" ref="J16:L16" si="15">IFERROR(J13/J11,NA())</f>
        <v>63.533333333333331</v>
      </c>
      <c r="K16" s="32" t="e">
        <f t="shared" si="15"/>
        <v>#N/A</v>
      </c>
      <c r="L16" s="33" t="e">
        <f t="shared" si="15"/>
        <v>#N/A</v>
      </c>
      <c r="M16" s="14"/>
      <c r="N16" s="7" t="str">
        <f t="shared" ca="1" si="3"/>
        <v>=IFERROR(MyVal(__Selected_R1,G$1)/MyVal(__Selected_R2,G$1),NA())</v>
      </c>
      <c r="O16" s="7" t="str">
        <f t="shared" ca="1" si="12"/>
        <v>=IFERROR(_R1(H$1)/_R2(H$1),NA())</v>
      </c>
      <c r="P16" s="7" t="str">
        <f t="shared" ca="1" si="13"/>
        <v>=IFERROR(GET(__Selected_R1)/GET(__Selected_R2),NA())</v>
      </c>
      <c r="Q16" s="7" t="str">
        <f ca="1"/>
        <v>=IFERROR(J13/J11,NA())</v>
      </c>
      <c r="R16" t="str" cm="1">
        <f t="array" aca="1" ref="R16" ca="1">IFERROR(_xlfn.TEXTJOIN(", ",TRUE,_xlfn._xlws.FILTER("F"&amp;ROW(#REF!),IFERROR(FIND(#REF!,O16),FALSE))),"")</f>
        <v/>
      </c>
      <c r="S16" cm="1">
        <f t="array" ref="S16">Actual_Ratio(A$1)</f>
        <v>63.533333333333331</v>
      </c>
      <c r="T16" t="e" cm="1">
        <f t="array" ref="T16">GET(__Actual_R_Ratio)</f>
        <v>#REF!</v>
      </c>
      <c r="U16" t="b">
        <v>1</v>
      </c>
    </row>
    <row r="17" spans="1:21" x14ac:dyDescent="0.25">
      <c r="A17" s="2" cm="1">
        <f t="array" ref="A17">MyVal(__Calc_Load_mA,A$1)</f>
        <v>250.13333333333333</v>
      </c>
      <c r="B17" s="8" t="str">
        <f t="shared" ca="1" si="6"/>
        <v>=MyVal(__Calc_Load_mA,A$1)</v>
      </c>
      <c r="C17" s="8" t="str">
        <f t="shared" ca="1" si="1"/>
        <v>=Actual_Load(A$1)</v>
      </c>
      <c r="D17" s="8" t="str">
        <f t="shared" ca="1" si="2"/>
        <v>=GET(__Calc_Load_mA)</v>
      </c>
      <c r="E17" s="14"/>
      <c r="F17" s="21" t="s">
        <v>26</v>
      </c>
      <c r="G17" s="32" cm="1">
        <f t="array" ref="G17">IFERROR(MyVal(__Calc_IR1_mA,G$1)*(MyVal(__Actual_R_Ratio,G$1)-1),NA())</f>
        <v>250.13333333333333</v>
      </c>
      <c r="H17" s="32" cm="1">
        <f t="array" ref="H17">IFERROR(_IR1(H$1)*(Actual_Ratio(H$1)-1),NA())</f>
        <v>250.13333333333333</v>
      </c>
      <c r="I17" s="32" cm="1">
        <f t="array" ref="I17">IFERROR(GET(__Calc_IR1_mA)*(GET(__Actual_R_Ratio)-1),NA())</f>
        <v>250.13333333333333</v>
      </c>
      <c r="J17" s="32">
        <f t="shared" ref="J17:L17" si="16">IFERROR(J15*(J16-1),NA())</f>
        <v>250.13333333333333</v>
      </c>
      <c r="K17" s="32" t="e">
        <f t="shared" si="16"/>
        <v>#N/A</v>
      </c>
      <c r="L17" s="33" t="e">
        <f t="shared" si="16"/>
        <v>#N/A</v>
      </c>
      <c r="M17" s="14"/>
      <c r="N17" s="7" t="str">
        <f t="shared" ca="1" si="3"/>
        <v>=IFERROR(MyVal(__Calc_IR1_mA,G$1)*(MyVal(__Actual_R_Ratio,G$1)-1),NA())</v>
      </c>
      <c r="O17" s="7" t="str">
        <f t="shared" ca="1" si="12"/>
        <v>=IFERROR(_IR1(H$1)*(Actual_Ratio(H$1)-1),NA())</v>
      </c>
      <c r="P17" s="7" t="str">
        <f t="shared" ca="1" si="13"/>
        <v>=IFERROR(GET(__Calc_IR1_mA)*(GET(__Actual_R_Ratio)-1),NA())</v>
      </c>
      <c r="Q17" s="7" t="str">
        <f ca="1"/>
        <v>=IFERROR(J15*(J16-1),NA())</v>
      </c>
      <c r="R17" t="str" cm="1">
        <f t="array" aca="1" ref="R17" ca="1">IFERROR(_xlfn.TEXTJOIN(", ",TRUE,_xlfn._xlws.FILTER("F"&amp;ROW(#REF!),IFERROR(FIND(#REF!,O17),FALSE))),"")</f>
        <v/>
      </c>
      <c r="S17" cm="1">
        <f t="array" ref="S17">Actual_Load(A$1)</f>
        <v>250.13333333333333</v>
      </c>
      <c r="T17" t="e" cm="1">
        <f t="array" ref="T17">GET(__Calc_Load_mA)</f>
        <v>#REF!</v>
      </c>
      <c r="U17" t="b">
        <v>1</v>
      </c>
    </row>
    <row r="18" spans="1:21" x14ac:dyDescent="0.25">
      <c r="A18" s="2" cm="1">
        <f t="array" ref="A18">MyVal(__Pdiss_R2,A$1)</f>
        <v>4.8386999999999999E-2</v>
      </c>
      <c r="B18" s="8" t="str">
        <f t="shared" ca="1" si="6"/>
        <v>=MyVal(__Pdiss_R2,A$1)</v>
      </c>
      <c r="C18" s="8" t="str">
        <f t="shared" ca="1" si="1"/>
        <v>=Pdiss_R2(A$1)</v>
      </c>
      <c r="D18" s="8" t="str">
        <f t="shared" ca="1" si="2"/>
        <v>=GET(__Pdiss_R2)</v>
      </c>
      <c r="E18" s="14"/>
      <c r="F18" s="21" t="s">
        <v>10</v>
      </c>
      <c r="G18" s="26" cm="1">
        <f t="array" ref="G18">(MyVal(__Target_IR2_mA,G$1)/1000)^2*MyVal(__Selected_R2,G$1)</f>
        <v>4.8386999999999999E-2</v>
      </c>
      <c r="H18" s="26" cm="1">
        <f t="array" ref="H18">(Target_IR2(H$1)/1000)^2*_R2(H$1)</f>
        <v>4.8386999999999999E-2</v>
      </c>
      <c r="I18" s="26" cm="1">
        <f t="array" ref="I18">(GET(__Target_IR2_mA)/1000)^2*GET(__Selected_R2)</f>
        <v>4.8386999999999999E-2</v>
      </c>
      <c r="J18" s="26">
        <f t="shared" ref="J18:L18" si="17">(J8/1000)^2*J11</f>
        <v>4.8386999999999999E-2</v>
      </c>
      <c r="K18" s="26">
        <f t="shared" si="17"/>
        <v>0</v>
      </c>
      <c r="L18" s="27">
        <f t="shared" si="17"/>
        <v>0</v>
      </c>
      <c r="M18" s="14"/>
      <c r="N18" s="7" t="str">
        <f t="shared" ca="1" si="3"/>
        <v>=(MyVal(__Target_IR2_mA,G$1)/1000)^2*MyVal(__Selected_R2,G$1)</v>
      </c>
      <c r="O18" s="7" t="str">
        <f t="shared" ca="1" si="12"/>
        <v>=(Target_IR2(H$1)/1000)^2*_R2(H$1)</v>
      </c>
      <c r="P18" s="7" t="str">
        <f t="shared" ca="1" si="13"/>
        <v>=(GET(__Target_IR2_mA)/1000)^2*GET(__Selected_R2)</v>
      </c>
      <c r="Q18" s="7" t="str">
        <f ca="1"/>
        <v>=(J8/1000)^2*J11</v>
      </c>
      <c r="R18" t="str" cm="1">
        <f t="array" aca="1" ref="R18" ca="1">IFERROR(_xlfn.TEXTJOIN(", ",TRUE,_xlfn._xlws.FILTER("F"&amp;ROW(#REF!),IFERROR(FIND(#REF!,O18),FALSE))),"")</f>
        <v/>
      </c>
      <c r="S18" cm="1">
        <f t="array" ref="S18">Pdiss_R2(A$1)</f>
        <v>4.8386999999999999E-2</v>
      </c>
      <c r="T18" t="e" cm="1">
        <f t="array" ref="T18">GET(__Pdiss_R2)</f>
        <v>#REF!</v>
      </c>
      <c r="U18" t="b">
        <v>1</v>
      </c>
    </row>
    <row r="19" spans="1:21" x14ac:dyDescent="0.25">
      <c r="A19" s="2" cm="1">
        <f t="array" ref="A19">MyVal(__VC,A$1)</f>
        <v>2.56</v>
      </c>
      <c r="B19" s="8" t="str">
        <f t="shared" ca="1" si="6"/>
        <v>=MyVal(__VC,A$1)</v>
      </c>
      <c r="C19" s="8" t="str">
        <f t="shared" ca="1" si="1"/>
        <v>=VC(A$1)</v>
      </c>
      <c r="D19" s="8" t="str">
        <f t="shared" ca="1" si="2"/>
        <v>=GET(__VC)</v>
      </c>
      <c r="E19" s="14"/>
      <c r="F19" s="21" t="s">
        <v>34</v>
      </c>
      <c r="G19" s="26" cm="1">
        <f t="array" ref="G19">MyVal(__VD,G$1)-MyVal(__VEC_Q1,G$1)</f>
        <v>2.56</v>
      </c>
      <c r="H19" s="26" cm="1">
        <f t="array" ref="H19">VD(H$1)-VEC_Q1(H$1)</f>
        <v>2.56</v>
      </c>
      <c r="I19" s="26" cm="1">
        <f t="array" ref="I19">GET(__VD)-GET(__VEC_Q1)</f>
        <v>2.56</v>
      </c>
      <c r="J19" s="26">
        <f>J4-J26</f>
        <v>2.56</v>
      </c>
      <c r="K19" s="26">
        <f t="shared" ref="K19:L19" si="18">K4-K26</f>
        <v>0</v>
      </c>
      <c r="L19" s="27">
        <f t="shared" si="18"/>
        <v>0</v>
      </c>
      <c r="M19" s="14"/>
      <c r="N19" s="7" t="str">
        <f t="shared" ca="1" si="3"/>
        <v>=MyVal(__VD,G$1)-MyVal(__VEC_Q1,G$1)</v>
      </c>
      <c r="O19" s="7" t="str">
        <f t="shared" ca="1" si="12"/>
        <v>=VD(H$1)-VEC_Q1(H$1)</v>
      </c>
      <c r="P19" s="7" t="str">
        <f t="shared" ca="1" si="13"/>
        <v>=GET(__VD)-GET(__VEC_Q1)</v>
      </c>
      <c r="Q19" s="7" t="str">
        <f ca="1"/>
        <v>=J4-J26</v>
      </c>
      <c r="R19" t="str" cm="1">
        <f t="array" aca="1" ref="R19" ca="1">IFERROR(_xlfn.TEXTJOIN(", ",TRUE,_xlfn._xlws.FILTER("F"&amp;ROW(#REF!),IFERROR(FIND(#REF!,O19),FALSE))),"")</f>
        <v/>
      </c>
      <c r="S19" cm="1">
        <f t="array" ref="S19">VC(A$1)</f>
        <v>2.56</v>
      </c>
      <c r="T19" t="e" cm="1">
        <f t="array" ref="T19">GET(__VC)</f>
        <v>#REF!</v>
      </c>
      <c r="U19" t="b">
        <v>1</v>
      </c>
    </row>
    <row r="20" spans="1:21" x14ac:dyDescent="0.25">
      <c r="A20" s="2" cm="1">
        <f t="array" ref="A20">MyVal(__Calc_IR3_mA,A$1)</f>
        <v>4</v>
      </c>
      <c r="B20" s="8" t="str">
        <f t="shared" ca="1" si="6"/>
        <v>=MyVal(__Calc_IR3_mA,A$1)</v>
      </c>
      <c r="C20" s="8" t="str">
        <f t="shared" ca="1" si="1"/>
        <v>=_IR3(A$1)</v>
      </c>
      <c r="D20" s="8" t="str">
        <f t="shared" ca="1" si="2"/>
        <v>=GET(__Calc_IR3_mA)</v>
      </c>
      <c r="E20" s="14"/>
      <c r="F20" s="21" t="s">
        <v>5</v>
      </c>
      <c r="G20" s="26" cm="1">
        <f t="array" ref="G20">MyVal(__IR1_mA,G$1)</f>
        <v>4</v>
      </c>
      <c r="H20" s="26" cm="1">
        <f t="array" ref="H20">_IR1(H$1)</f>
        <v>4</v>
      </c>
      <c r="I20" s="26" cm="1">
        <f t="array" ref="I20">GET(__IR1_mA)</f>
        <v>4</v>
      </c>
      <c r="J20" s="26">
        <f>J7</f>
        <v>4</v>
      </c>
      <c r="K20" s="26">
        <f t="shared" ref="K20:L20" si="19">K7</f>
        <v>0</v>
      </c>
      <c r="L20" s="27">
        <f t="shared" si="19"/>
        <v>0</v>
      </c>
      <c r="M20" s="14"/>
      <c r="N20" s="7" t="str">
        <f t="shared" ca="1" si="3"/>
        <v>=MyVal(__IR1_mA,G$1)</v>
      </c>
      <c r="O20" s="7" t="str">
        <f t="shared" ca="1" si="12"/>
        <v>=_IR1(H$1)</v>
      </c>
      <c r="P20" s="7" t="str">
        <f t="shared" ca="1" si="13"/>
        <v>=GET(__IR1_mA)</v>
      </c>
      <c r="Q20" s="7" t="str">
        <f ca="1"/>
        <v>=J7</v>
      </c>
      <c r="R20" t="str" cm="1">
        <f t="array" aca="1" ref="R20" ca="1">IFERROR(_xlfn.TEXTJOIN(", ",TRUE,_xlfn._xlws.FILTER("F"&amp;ROW(#REF!),IFERROR(FIND(#REF!,O20),FALSE))),"")</f>
        <v/>
      </c>
      <c r="S20" cm="1">
        <f t="array" ref="S20">_IR3(A$1)</f>
        <v>4</v>
      </c>
      <c r="T20" t="e" cm="1">
        <f t="array" ref="T20">GET(__Calc_IR3_mA)</f>
        <v>#REF!</v>
      </c>
      <c r="U20" t="b">
        <v>1</v>
      </c>
    </row>
    <row r="21" spans="1:21" x14ac:dyDescent="0.25">
      <c r="A21" s="2" cm="1">
        <f t="array" ref="A21">MyVal(__Ideal_R3,A$1)</f>
        <v>820</v>
      </c>
      <c r="B21" s="8" t="str">
        <f t="shared" ca="1" si="6"/>
        <v>=MyVal(__Ideal_R3,A$1)</v>
      </c>
      <c r="C21" s="8" t="str">
        <f t="shared" ca="1" si="1"/>
        <v>=Ideal_R3(A$1)</v>
      </c>
      <c r="D21" s="8" t="str">
        <f t="shared" ca="1" si="2"/>
        <v>=GET(__Ideal_R3)</v>
      </c>
      <c r="E21" s="14"/>
      <c r="F21" s="21" t="s">
        <v>31</v>
      </c>
      <c r="G21" s="26" cm="1">
        <f t="array" ref="G21">(MyVal(__VC,G$1)-MyVal(__VG,G$1))/(MyVal(__Calc_IR3_mA,G$1)/1000)</f>
        <v>820</v>
      </c>
      <c r="H21" s="26" cm="1">
        <f t="array" ref="H21">(VC(H$1)-VG(H$1))/(_IR3(H$1)/1000)</f>
        <v>820</v>
      </c>
      <c r="I21" s="26" cm="1">
        <f t="array" ref="I21">(GET(__VC)-GET(__VG))/(GET(__Calc_IR3_mA)/1000)</f>
        <v>820</v>
      </c>
      <c r="J21" s="26">
        <f>(J19-J6)/(J20/1000)</f>
        <v>820</v>
      </c>
      <c r="K21" s="26" t="e">
        <f t="shared" ref="K21:L21" si="20">(K19-K6)/(K20/1000)</f>
        <v>#DIV/0!</v>
      </c>
      <c r="L21" s="27" t="e">
        <f t="shared" si="20"/>
        <v>#DIV/0!</v>
      </c>
      <c r="M21" s="14"/>
      <c r="N21" s="7" t="str">
        <f t="shared" ca="1" si="3"/>
        <v>=(MyVal(__VC,G$1)-MyVal(__VG,G$1))/(MyVal(__Calc_IR3_mA,G$1)/1000)</v>
      </c>
      <c r="O21" s="7" t="str">
        <f t="shared" ca="1" si="12"/>
        <v>=(VC(H$1)-VG(H$1))/(_IR3(H$1)/1000)</v>
      </c>
      <c r="P21" s="7" t="str">
        <f t="shared" ca="1" si="13"/>
        <v>=(GET(__VC)-GET(__VG))/(GET(__Calc_IR3_mA)/1000)</v>
      </c>
      <c r="Q21" s="7" t="str">
        <f ca="1"/>
        <v>=(J19-J6)/(J20/1000)</v>
      </c>
      <c r="R21" t="str" cm="1">
        <f t="array" aca="1" ref="R21" ca="1">IFERROR(_xlfn.TEXTJOIN(", ",TRUE,_xlfn._xlws.FILTER("F"&amp;ROW(#REF!),IFERROR(FIND(#REF!,O21),FALSE))),"")</f>
        <v/>
      </c>
      <c r="S21" cm="1">
        <f t="array" ref="S21">Ideal_R3(A$1)</f>
        <v>820</v>
      </c>
      <c r="T21" t="e" cm="1">
        <f t="array" ref="T21">GET(__Ideal_R3)</f>
        <v>#REF!</v>
      </c>
      <c r="U21" t="b">
        <v>1</v>
      </c>
    </row>
    <row r="22" spans="1:21" x14ac:dyDescent="0.25">
      <c r="A22" s="2" cm="1">
        <f t="array" ref="A22">MyVal(__Ideal_R4,A$1)</f>
        <v>620.00000000000011</v>
      </c>
      <c r="B22" s="8" t="str">
        <f t="shared" ca="1" si="6"/>
        <v>=MyVal(__Ideal_R4,A$1)</v>
      </c>
      <c r="C22" s="8" t="str">
        <f t="shared" ca="1" si="1"/>
        <v>=Ideal_R4(A$1)</v>
      </c>
      <c r="D22" s="8" t="str">
        <f t="shared" ca="1" si="2"/>
        <v>=GET(__Ideal_R4)</v>
      </c>
      <c r="E22" s="14"/>
      <c r="F22" s="21" t="s">
        <v>32</v>
      </c>
      <c r="G22" s="26" cm="1">
        <f t="array" ref="G22">(MyVal(__VG,G$1)-MyVal(__VEE,G$1))/(MyVal(__Calc_IR3_mA,G$1)/1000)</f>
        <v>620.00000000000011</v>
      </c>
      <c r="H22" s="26" cm="1">
        <f t="array" ref="H22">(VG(H$1)-VEE(H$1))/(_IR3(H$1)/1000)</f>
        <v>620.00000000000011</v>
      </c>
      <c r="I22" s="26" cm="1">
        <f t="array" ref="I22">(GET(__VG)-GET(__VEE))/(GET(__Calc_IR3_mA)/1000)</f>
        <v>620.00000000000011</v>
      </c>
      <c r="J22" s="26">
        <f>(J6-J3)/(J20/1000)</f>
        <v>620.00000000000011</v>
      </c>
      <c r="K22" s="26" t="e">
        <f t="shared" ref="K22:L22" si="21">(K6-K3)/(K20/1000)</f>
        <v>#DIV/0!</v>
      </c>
      <c r="L22" s="27" t="e">
        <f t="shared" si="21"/>
        <v>#DIV/0!</v>
      </c>
      <c r="M22" s="14"/>
      <c r="N22" s="7" t="str">
        <f t="shared" ca="1" si="3"/>
        <v>=(MyVal(__VG,G$1)-MyVal(__VEE,G$1))/(MyVal(__Calc_IR3_mA,G$1)/1000)</v>
      </c>
      <c r="O22" s="7" t="str">
        <f t="shared" ca="1" si="12"/>
        <v>=(VG(H$1)-VEE(H$1))/(_IR3(H$1)/1000)</v>
      </c>
      <c r="P22" s="7" t="str">
        <f t="shared" ca="1" si="13"/>
        <v>=(GET(__VG)-GET(__VEE))/(GET(__Calc_IR3_mA)/1000)</v>
      </c>
      <c r="Q22" s="7" t="str">
        <f ca="1"/>
        <v>=(J6-J3)/(J20/1000)</v>
      </c>
      <c r="R22" t="str" cm="1">
        <f t="array" aca="1" ref="R22" ca="1">IFERROR(_xlfn.TEXTJOIN(", ",TRUE,_xlfn._xlws.FILTER("F"&amp;ROW(#REF!),IFERROR(FIND(#REF!,O22),FALSE))),"")</f>
        <v/>
      </c>
      <c r="S22" cm="1">
        <f t="array" ref="S22">Ideal_R4(A$1)</f>
        <v>620.00000000000011</v>
      </c>
      <c r="T22" t="e" cm="1">
        <f t="array" ref="T22">GET(__Ideal_R4)</f>
        <v>#REF!</v>
      </c>
      <c r="U22" t="b">
        <v>1</v>
      </c>
    </row>
    <row r="23" spans="1:21" ht="15.75" thickBot="1" x14ac:dyDescent="0.3">
      <c r="A23" s="2" cm="1">
        <f t="array" ref="A23">MyVal(__VMB,A$1)</f>
        <v>3.8094000000000001</v>
      </c>
      <c r="B23" s="8" t="str">
        <f ca="1">_xlfn.FORMULATEXT(A23)</f>
        <v>=MyVal(__VMB,A$1)</v>
      </c>
      <c r="C23" s="8" t="str">
        <f t="shared" ca="1" si="1"/>
        <v>=VMB(A$1)</v>
      </c>
      <c r="D23" s="8" t="str">
        <f t="shared" ca="1" si="2"/>
        <v>=GET(__VMB)</v>
      </c>
      <c r="E23" s="14"/>
      <c r="F23" s="21" t="s">
        <v>11</v>
      </c>
      <c r="G23" s="26" cm="1">
        <f t="array" ref="G23">MyVal(__VCC,G$1)-(MyVal(__Selected_R1,G$1)*(MyVal(__Calc_IR1_mA,G$1)/1000))-MyVal(__VEB_Q2,G$1)</f>
        <v>3.8094000000000001</v>
      </c>
      <c r="H23" s="26" cm="1">
        <f t="array" ref="H23">VCC(H$1)-(_R1(H$1)*(_IR1(H$1)/1000))-VEB_Q2(H$1)</f>
        <v>3.8094000000000001</v>
      </c>
      <c r="I23" s="26" cm="1">
        <f t="array" ref="I23">GET(__VCC)-(GET(__Selected_R1)*(GET(__Calc_IR1_mA)/1000))-GET(__VEB_Q2)</f>
        <v>3.8094000000000001</v>
      </c>
      <c r="J23" s="26">
        <f>J2-(J13*(J15/1000))-J27</f>
        <v>3.8094000000000001</v>
      </c>
      <c r="K23" s="26" t="e">
        <f t="shared" ref="K23:L23" si="22">K2-(K13*(K15/1000))-K27</f>
        <v>#DIV/0!</v>
      </c>
      <c r="L23" s="27" t="e">
        <f t="shared" si="22"/>
        <v>#DIV/0!</v>
      </c>
      <c r="M23" s="14"/>
      <c r="N23" s="7" t="str">
        <f t="shared" ref="N23" ca="1" si="23">_xlfn.IFNA(_xlfn.FORMULATEXT(G23),"")</f>
        <v>=MyVal(__VCC,G$1)-(MyVal(__Selected_R1,G$1)*(MyVal(__Calc_IR1_mA,G$1)/1000))-MyVal(__VEB_Q2,G$1)</v>
      </c>
      <c r="O23" s="7" t="str">
        <f t="shared" ref="O23" ca="1" si="24">_xlfn.IFNA(_xlfn.FORMULATEXT(H23),"")</f>
        <v>=VCC(H$1)-(_R1(H$1)*(_IR1(H$1)/1000))-VEB_Q2(H$1)</v>
      </c>
      <c r="P23" s="7" t="str">
        <f t="shared" ca="1" si="13"/>
        <v>=GET(__VCC)-(GET(__Selected_R1)*(GET(__Calc_IR1_mA)/1000))-GET(__VEB_Q2)</v>
      </c>
      <c r="Q23" s="7" t="str">
        <f ca="1"/>
        <v>=J2-(J13*(J15/1000))-J27</v>
      </c>
      <c r="R23" t="str" cm="1">
        <f t="array" aca="1" ref="R23" ca="1">IFERROR(_xlfn.TEXTJOIN(", ",TRUE,_xlfn._xlws.FILTER("F"&amp;ROW(#REF!),IFERROR(FIND(#REF!,O23),FALSE))),"")</f>
        <v/>
      </c>
      <c r="S23" cm="1">
        <f t="array" ref="S23">VMB(A$1)</f>
        <v>3.8094000000000001</v>
      </c>
      <c r="T23" t="e" cm="1">
        <f t="array" ref="T23">GET(__VMB)</f>
        <v>#REF!</v>
      </c>
      <c r="U23" t="b">
        <v>1</v>
      </c>
    </row>
    <row r="24" spans="1:21" ht="16.5" thickTop="1" thickBot="1" x14ac:dyDescent="0.3">
      <c r="B24" s="9"/>
      <c r="C24" s="9"/>
      <c r="D24" s="9"/>
      <c r="E24" s="14"/>
      <c r="F24" s="34" t="s">
        <v>20</v>
      </c>
      <c r="G24" s="35" t="s">
        <v>35</v>
      </c>
      <c r="H24" s="36"/>
      <c r="I24" s="36"/>
      <c r="J24" s="36"/>
      <c r="K24" s="36"/>
      <c r="L24" s="37"/>
      <c r="N24" s="6"/>
      <c r="O24" s="6"/>
      <c r="P24" s="6"/>
      <c r="Q24" s="6" t="str">
        <f ca="1"/>
        <v/>
      </c>
      <c r="R24" t="str" cm="1">
        <f t="array" ref="R24">IFERROR(_xlfn.TEXTJOIN(", ",TRUE,_xlfn._xlws.FILTER("F"&amp;ROW(#REF!),IFERROR(FIND(#REF!,O24),FALSE))),"")</f>
        <v/>
      </c>
      <c r="U24" t="b">
        <v>1</v>
      </c>
    </row>
    <row r="25" spans="1:21" ht="15.75" thickTop="1" x14ac:dyDescent="0.25">
      <c r="A25" s="2" cm="1">
        <f t="array" ref="A25">MyVal(__VDS_Q3,A$1)</f>
        <v>0.01</v>
      </c>
      <c r="B25" s="8" t="str">
        <f t="shared" ref="B25:B28" ca="1" si="25">_xlfn.FORMULATEXT(A25)</f>
        <v>=MyVal(__VDS_Q3,A$1)</v>
      </c>
      <c r="C25" s="8" t="str">
        <f ca="1">_xlfn.FORMULATEXT(S25)</f>
        <v>=VDS_Q3(A$1)</v>
      </c>
      <c r="D25" s="8" t="str">
        <f t="shared" ca="1" si="2"/>
        <v>=GET(__VDS_Q3)</v>
      </c>
      <c r="E25" s="14"/>
      <c r="F25" s="24" t="s">
        <v>16</v>
      </c>
      <c r="G25" s="22">
        <v>0.01</v>
      </c>
      <c r="H25" s="22">
        <v>0.01</v>
      </c>
      <c r="I25" s="22">
        <v>0.01</v>
      </c>
      <c r="J25" s="22">
        <v>0.01</v>
      </c>
      <c r="K25" s="22">
        <v>0</v>
      </c>
      <c r="L25" s="23">
        <v>0</v>
      </c>
      <c r="M25" s="14"/>
      <c r="N25" t="str">
        <f t="shared" ca="1" si="3"/>
        <v/>
      </c>
      <c r="Q25" t="str">
        <f ca="1"/>
        <v/>
      </c>
      <c r="R25" t="str" cm="1">
        <f t="array" ref="R25">IFERROR(_xlfn.TEXTJOIN(", ",TRUE,_xlfn._xlws.FILTER("F"&amp;ROW(#REF!),IFERROR(FIND(#REF!,O25),FALSE))),"")</f>
        <v/>
      </c>
      <c r="S25" cm="1">
        <f t="array" ref="S25">VDS_Q3(A$1)</f>
        <v>0.01</v>
      </c>
      <c r="T25" t="e" cm="1">
        <f t="array" ref="T25">GET(__VDS_Q3)</f>
        <v>#REF!</v>
      </c>
      <c r="U25" t="b">
        <v>1</v>
      </c>
    </row>
    <row r="26" spans="1:21" x14ac:dyDescent="0.25">
      <c r="A26" s="2" cm="1">
        <f t="array" ref="A26">MyVal(__VEC_Q1,A$1)</f>
        <v>1.94</v>
      </c>
      <c r="B26" s="8" t="str">
        <f t="shared" ca="1" si="25"/>
        <v>=MyVal(__VEC_Q1,A$1)</v>
      </c>
      <c r="C26" s="8" t="str">
        <f ca="1">_xlfn.FORMULATEXT(S26)</f>
        <v>=VEC_Q1(A$1)</v>
      </c>
      <c r="D26" s="8" t="str">
        <f t="shared" ca="1" si="2"/>
        <v>=GET(__VEC_Q1)</v>
      </c>
      <c r="E26" s="14"/>
      <c r="F26" s="24" t="s">
        <v>15</v>
      </c>
      <c r="G26" s="22">
        <v>1.94</v>
      </c>
      <c r="H26" s="22">
        <v>1.94</v>
      </c>
      <c r="I26" s="22">
        <v>1.94</v>
      </c>
      <c r="J26" s="22">
        <v>1.94</v>
      </c>
      <c r="K26" s="22">
        <v>0</v>
      </c>
      <c r="L26" s="23">
        <v>0</v>
      </c>
      <c r="M26" s="14"/>
      <c r="Q26" t="str">
        <f ca="1"/>
        <v/>
      </c>
      <c r="R26" t="str" cm="1">
        <f t="array" ref="R26">IFERROR(_xlfn.TEXTJOIN(", ",TRUE,_xlfn._xlws.FILTER("F"&amp;ROW(#REF!),IFERROR(FIND(#REF!,O26),FALSE))),"")</f>
        <v/>
      </c>
      <c r="S26" cm="1">
        <f t="array" ref="S26">VEC_Q1(A$1)</f>
        <v>1.94</v>
      </c>
      <c r="T26" t="e" cm="1">
        <f t="array" ref="T26">GET(__VEC_Q1)</f>
        <v>#REF!</v>
      </c>
      <c r="U26" t="b">
        <v>1</v>
      </c>
    </row>
    <row r="27" spans="1:21" x14ac:dyDescent="0.25">
      <c r="A27" s="2" cm="1">
        <f t="array" ref="A27">MyVal(__VEB_Q2,A$1)</f>
        <v>0.7</v>
      </c>
      <c r="B27" s="8" t="str">
        <f ca="1">_xlfn.FORMULATEXT(A27)</f>
        <v>=MyVal(__VEB_Q2,A$1)</v>
      </c>
      <c r="C27" s="8" t="str">
        <f ca="1">_xlfn.FORMULATEXT(S27)</f>
        <v>=VEB_Q2(A$1)</v>
      </c>
      <c r="D27" s="8" t="str">
        <f t="shared" ca="1" si="2"/>
        <v>=GET(__VEB_Q2)</v>
      </c>
      <c r="E27" s="14"/>
      <c r="F27" s="24" t="s">
        <v>14</v>
      </c>
      <c r="G27" s="22">
        <v>0.7</v>
      </c>
      <c r="H27" s="22">
        <v>0.7</v>
      </c>
      <c r="I27" s="22">
        <v>0.7</v>
      </c>
      <c r="J27" s="22">
        <v>0.7</v>
      </c>
      <c r="K27" s="22">
        <v>0</v>
      </c>
      <c r="L27" s="23">
        <v>0</v>
      </c>
      <c r="M27" s="14"/>
      <c r="N27" t="str">
        <f t="shared" ca="1" si="3"/>
        <v/>
      </c>
      <c r="Q27" t="str">
        <f ca="1"/>
        <v/>
      </c>
      <c r="R27" t="str" cm="1">
        <f t="array" ref="R27">IFERROR(_xlfn.TEXTJOIN(", ",TRUE,_xlfn._xlws.FILTER("F"&amp;ROW(#REF!),IFERROR(FIND(#REF!,O27),FALSE))),"")</f>
        <v/>
      </c>
      <c r="S27" cm="1">
        <f t="array" ref="S27">VEB_Q2(A$1)</f>
        <v>0.7</v>
      </c>
      <c r="T27" t="e" cm="1">
        <f t="array" ref="T27">GET(__VEB_Q2)</f>
        <v>#REF!</v>
      </c>
      <c r="U27" t="b">
        <v>1</v>
      </c>
    </row>
    <row r="28" spans="1:21" ht="15.75" thickBot="1" x14ac:dyDescent="0.3">
      <c r="A28" s="2" cm="1">
        <f t="array" ref="A28">MyVal(__VEC_Q2,A$1)</f>
        <v>0.7</v>
      </c>
      <c r="B28" s="8" t="str">
        <f t="shared" ca="1" si="25"/>
        <v>=MyVal(__VEC_Q2,A$1)</v>
      </c>
      <c r="C28" s="8" t="str">
        <f ca="1">_xlfn.FORMULATEXT(S28)</f>
        <v>=VEC_Q2(A$1)</v>
      </c>
      <c r="D28" s="8" t="str">
        <f t="shared" ca="1" si="2"/>
        <v>=GET(__VEC_Q2)</v>
      </c>
      <c r="E28" s="14"/>
      <c r="F28" s="38" t="s">
        <v>13</v>
      </c>
      <c r="G28" s="39" cm="1">
        <f t="array" ref="G28">MyVal(__VEB_Q2,G$1)</f>
        <v>0.7</v>
      </c>
      <c r="H28" s="39" cm="1">
        <f t="array" ref="H28">VEB_Q2(H$1)</f>
        <v>0.7</v>
      </c>
      <c r="I28" s="39" cm="1">
        <f t="array" ref="I28">GET(__VEB_Q2)</f>
        <v>0.7</v>
      </c>
      <c r="J28" s="39">
        <f t="shared" ref="J28:L28" si="26">J27</f>
        <v>0.7</v>
      </c>
      <c r="K28" s="39">
        <f t="shared" si="26"/>
        <v>0</v>
      </c>
      <c r="L28" s="40">
        <f t="shared" si="26"/>
        <v>0</v>
      </c>
      <c r="M28" s="14"/>
      <c r="N28" s="7" t="str">
        <f t="shared" ca="1" si="3"/>
        <v>=MyVal(__VEB_Q2,G$1)</v>
      </c>
      <c r="O28" s="7" t="str">
        <f ca="1">_xlfn.IFNA(_xlfn.FORMULATEXT(H28),"")</f>
        <v>=VEB_Q2(H$1)</v>
      </c>
      <c r="P28" s="7" t="str">
        <f ca="1">_xlfn.IFNA(_xlfn.FORMULATEXT(I28),"")</f>
        <v>=GET(__VEB_Q2)</v>
      </c>
      <c r="Q28" s="7" t="str">
        <f ca="1"/>
        <v>=J27</v>
      </c>
      <c r="R28" t="str" cm="1">
        <f t="array" aca="1" ref="R28" ca="1">IFERROR(_xlfn.TEXTJOIN(", ",TRUE,_xlfn._xlws.FILTER("F"&amp;ROW(#REF!),IFERROR(FIND(#REF!,O28),FALSE))),"")</f>
        <v/>
      </c>
      <c r="S28" cm="1">
        <f t="array" ref="S28">VEC_Q2(A$1)</f>
        <v>0.7</v>
      </c>
      <c r="T28" t="e" cm="1">
        <f t="array" ref="T28">GET(__VEC_Q2)</f>
        <v>#REF!</v>
      </c>
      <c r="U28" t="b">
        <v>1</v>
      </c>
    </row>
    <row r="30" spans="1:21" ht="24" x14ac:dyDescent="0.4">
      <c r="B30" s="15" t="s">
        <v>41</v>
      </c>
      <c r="C30" s="10"/>
      <c r="D30" s="10"/>
    </row>
    <row r="31" spans="1:21" ht="24" x14ac:dyDescent="0.4">
      <c r="B31" s="15" t="s">
        <v>40</v>
      </c>
      <c r="C31" s="10"/>
      <c r="D31" s="10"/>
    </row>
    <row r="32" spans="1:21" ht="24" x14ac:dyDescent="0.4">
      <c r="B32" s="15"/>
      <c r="C32" s="10"/>
      <c r="D32" s="10"/>
    </row>
    <row r="34" spans="6:6" x14ac:dyDescent="0.25">
      <c r="F34" s="1" t="s">
        <v>12</v>
      </c>
    </row>
  </sheetData>
  <phoneticPr fontId="8" type="noConversion"/>
  <conditionalFormatting sqref="G19:M19">
    <cfRule type="cellIs" dxfId="1" priority="4" operator="greaterThan">
      <formula>$G$23-#REF!</formula>
    </cfRule>
  </conditionalFormatting>
  <conditionalFormatting sqref="E19">
    <cfRule type="cellIs" dxfId="0" priority="1" operator="greaterThan">
      <formula>$G$23-#REF!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Ts>
  <T C="16777215" N="Mirror Calculations" G="" P="False" K="d4874797-0137-4d62-b255-af1972eafb01:2071459801184" T="Worksheet" PI="0" L="" D="" A="638568061962130072" I="1"/>
</Ts>
</file>

<file path=customXml/item2.xml><?xml version="1.0" encoding="utf-8"?>
<Tags/>
</file>

<file path=customXml/item3.xml><?xml version="1.0" encoding="utf-8"?>
<State>
  <view layoutAlignment="Hidden" sort="Index" filterText=""/>
  <FilterTags/>
  <FilterColors/>
</State>
</file>

<file path=customXml/item4.xml><?xml version="1.0" encoding="utf-8"?>
<Bookmarks/>
</file>

<file path=customXml/item5.xml><?xml version="1.0" encoding="utf-8"?>
<BookmarkedExcelObjects/>
</file>

<file path=customXml/item6.xml><?xml version="1.0" encoding="utf-8"?>
<Bt/>
</file>

<file path=customXml/item7.xml><?xml version="1.0" encoding="utf-8"?>
<Es LastSaved="2024-07-17 02:54:13"/>
</file>

<file path=customXml/itemProps1.xml><?xml version="1.0" encoding="utf-8"?>
<ds:datastoreItem xmlns:ds="http://schemas.openxmlformats.org/officeDocument/2006/customXml" ds:itemID="{420E6173-570F-45CD-A3B3-E789AFA84D13}">
  <ds:schemaRefs/>
</ds:datastoreItem>
</file>

<file path=customXml/itemProps2.xml><?xml version="1.0" encoding="utf-8"?>
<ds:datastoreItem xmlns:ds="http://schemas.openxmlformats.org/officeDocument/2006/customXml" ds:itemID="{184D89B9-6DE1-4FEF-8BD3-0EB3AD6EBC70}">
  <ds:schemaRefs/>
</ds:datastoreItem>
</file>

<file path=customXml/itemProps3.xml><?xml version="1.0" encoding="utf-8"?>
<ds:datastoreItem xmlns:ds="http://schemas.openxmlformats.org/officeDocument/2006/customXml" ds:itemID="{36B59A0B-37C5-4748-8AF3-B019935AB456}">
  <ds:schemaRefs/>
</ds:datastoreItem>
</file>

<file path=customXml/itemProps4.xml><?xml version="1.0" encoding="utf-8"?>
<ds:datastoreItem xmlns:ds="http://schemas.openxmlformats.org/officeDocument/2006/customXml" ds:itemID="{040624B3-DF92-4D4A-BB50-9F3EE0C5CA7C}">
  <ds:schemaRefs/>
</ds:datastoreItem>
</file>

<file path=customXml/itemProps5.xml><?xml version="1.0" encoding="utf-8"?>
<ds:datastoreItem xmlns:ds="http://schemas.openxmlformats.org/officeDocument/2006/customXml" ds:itemID="{6405B93D-26D4-4118-A451-8172D56640AF}">
  <ds:schemaRefs/>
</ds:datastoreItem>
</file>

<file path=customXml/itemProps6.xml><?xml version="1.0" encoding="utf-8"?>
<ds:datastoreItem xmlns:ds="http://schemas.openxmlformats.org/officeDocument/2006/customXml" ds:itemID="{19E1C854-62F4-4F3A-BCE4-F69E5F2BD738}">
  <ds:schemaRefs/>
</ds:datastoreItem>
</file>

<file path=customXml/itemProps7.xml><?xml version="1.0" encoding="utf-8"?>
<ds:datastoreItem xmlns:ds="http://schemas.openxmlformats.org/officeDocument/2006/customXml" ds:itemID="{8B1EC9B5-F543-4A32-9D88-6EBF007213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Mirror Calculations</vt:lpstr>
      <vt:lpstr>__Actual_R_Ratio</vt:lpstr>
      <vt:lpstr>__Calc_IR1_mA</vt:lpstr>
      <vt:lpstr>__Calc_IR3_mA</vt:lpstr>
      <vt:lpstr>__Calc_Load_mA</vt:lpstr>
      <vt:lpstr>__Ideal_R1</vt:lpstr>
      <vt:lpstr>__Ideal_R2</vt:lpstr>
      <vt:lpstr>__Ideal_R3</vt:lpstr>
      <vt:lpstr>__Ideal_R4</vt:lpstr>
      <vt:lpstr>__Ideal_R5</vt:lpstr>
      <vt:lpstr>__IR1_mA</vt:lpstr>
      <vt:lpstr>__Pdiss_R2</vt:lpstr>
      <vt:lpstr>__Selected_R1</vt:lpstr>
      <vt:lpstr>__Selected_R2</vt:lpstr>
      <vt:lpstr>__Target_IR2_mA</vt:lpstr>
      <vt:lpstr>__Target_Load_mA</vt:lpstr>
      <vt:lpstr>__Target_R_Ratio</vt:lpstr>
      <vt:lpstr>__VC</vt:lpstr>
      <vt:lpstr>__VCC</vt:lpstr>
      <vt:lpstr>__VD</vt:lpstr>
      <vt:lpstr>__VDS_Q3</vt:lpstr>
      <vt:lpstr>__VEB_Q2</vt:lpstr>
      <vt:lpstr>__VEC_Q1</vt:lpstr>
      <vt:lpstr>__VEC_Q2</vt:lpstr>
      <vt:lpstr>__VEE</vt:lpstr>
      <vt:lpstr>__VG</vt:lpstr>
      <vt:lpstr>__VMB</vt:lpstr>
      <vt:lpstr>CALC_TABLE</vt:lpstr>
      <vt:lpstr>HEADERS</vt:lpstr>
      <vt:lpstr>KEY_LIST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2024-07-17T09:35:34Z</dcterms:created>
  <dcterms:modified xsi:type="dcterms:W3CDTF">2024-07-17T09:54:13Z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N_TrackedSheets">
    <vt:lpwstr>{420E6173-570F-45CD-A3B3-E789AFA84D13}</vt:lpwstr>
  </property>
  <property fmtid="{D5CDD505-2E9C-101B-9397-08002B2CF9AE}" pid="3" name="FDN_Tags">
    <vt:lpwstr>{184D89B9-6DE1-4FEF-8BD3-0EB3AD6EBC70}</vt:lpwstr>
  </property>
  <property fmtid="{D5CDD505-2E9C-101B-9397-08002B2CF9AE}" pid="4" name="FDN_State">
    <vt:lpwstr>{36B59A0B-37C5-4748-8AF3-B019935AB456}</vt:lpwstr>
  </property>
  <property fmtid="{D5CDD505-2E9C-101B-9397-08002B2CF9AE}" pid="5" name="FDN_Bookmarks">
    <vt:lpwstr>{040624B3-DF92-4D4A-BB50-9F3EE0C5CA7C}</vt:lpwstr>
  </property>
  <property fmtid="{D5CDD505-2E9C-101B-9397-08002B2CF9AE}" pid="6" name="FDN_BookmarkedExcelObjects">
    <vt:lpwstr>{6405B93D-26D4-4118-A451-8172D56640AF}</vt:lpwstr>
  </property>
  <property fmtid="{D5CDD505-2E9C-101B-9397-08002B2CF9AE}" pid="7" name="FDN_BookmarkTags">
    <vt:lpwstr>{19E1C854-62F4-4F3A-BCE4-F69E5F2BD738}</vt:lpwstr>
  </property>
  <property fmtid="{D5CDD505-2E9C-101B-9397-08002B2CF9AE}" pid="8" name="FDM_EquationNames">
    <vt:lpwstr>{8B1EC9B5-F543-4A32-9D88-6EBF007213A0}</vt:lpwstr>
  </property>
  <property fmtid="{D5CDD505-2E9C-101B-9397-08002B2CF9AE}" pid="9" name="FormulaDeskUniqueName">
    <vt:lpwstr>d4874797-0137-4d62-b255-af1972eafb01</vt:lpwstr>
  </property>
</Properties>
</file>