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<sst xmlns="http://schemas.openxmlformats.org/spreadsheetml/2006/main" uniqueCount="369">
  <si>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</si>
  <si>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</si>
  <si>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</si>
  <si>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</si>
  <si>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</si>
  <si>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</si>
  <si>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</si>
  <si>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</si>
  <si>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</si>
  <si>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</si>
  <si>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</si>
  <si>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</si>
  <si>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</si>
  <si>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</si>
  <si>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</si>
  <si>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</si>
  <si>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</si>
  <si>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</si>
  <si>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</si>
  <si>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</si>
  <si>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</si>
  <si>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</si>
  <si>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</si>
  <si>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</si>
  <si>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</si>
  <si>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</si>
  <si>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</si>
  <si>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</si>
  <si>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</si>
  <si>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</si>
  <si>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</si>
  <si>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</si>
  <si>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</si>
  <si>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</si>
  <si>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</si>
  <si>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</si>
  <si>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</si>
  <si>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</si>
  <si>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</si>
  <si>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</si>
  <si>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</si>
  <si>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</si>
  <si>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</si>
  <si>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</si>
  <si>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</si>
  <si>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</si>
  <si>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</si>
  <si>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</si>
  <si>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</si>
  <si>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</si>
  <si>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</si>
  <si>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</si>
  <si>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</si>
  <si>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</si>
  <si>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</si>
  <si>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</si>
  <si>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</si>
  <si>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</si>
  <si>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</si>
  <si>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</si>
  <si>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</si>
  <si>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</si>
  <si>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</si>
  <si>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</si>
  <si>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</si>
  <si>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</si>
  <si>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</si>
  <si>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</si>
  <si>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</si>
  <si>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</si>
  <si>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</si>
  <si>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</si>
  <si>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</si>
  <si>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</si>
  <si>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</si>
  <si>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</si>
  <si>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</si>
  <si>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</si>
  <si>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</si>
  <si>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</si>
  <si>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</si>
  <si>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</si>
  <si>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</si>
  <si>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</si>
  <si>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</si>
  <si>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</si>
  <si>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</si>
  <si>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</si>
  <si>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</si>
  <si>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</si>
  <si>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</si>
  <si>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</si>
  <si>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</si>
  <si>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using a solar pump</t>
  </si>
  <si>
    <t>January</t>
  </si>
  <si>
    <t>No</t>
  </si>
  <si>
    <t>September</t>
  </si>
  <si>
    <t>Onions</t>
  </si>
  <si>
    <t>Yes both manure and inorganic</t>
  </si>
  <si>
    <t>August</t>
  </si>
  <si>
    <t>Sweet potatoes</t>
  </si>
  <si>
    <t>March</t>
  </si>
  <si>
    <t>Coffee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</si>
  <si>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</si>
  <si>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</si>
  <si>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</si>
  <si>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</si>
  <si>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</si>
  <si>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</si>
  <si>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</si>
  <si>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</si>
  <si>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</si>
  <si>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</si>
  <si>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</si>
  <si>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</si>
  <si>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</si>
  <si>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</si>
  <si>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</si>
  <si>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</si>
  <si>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Sheep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</si>
  <si>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</si>
  <si>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</si>
  <si>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</si>
  <si>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</si>
  <si>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</si>
  <si>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</si>
  <si>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</si>
  <si>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</si>
  <si>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</si>
  <si>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</si>
  <si>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</si>
  <si>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</si>
  <si>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</si>
  <si>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</si>
  <si>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enetre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</si>
  <si>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</si>
  <si>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</si>
  <si>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</si>
  <si>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</si>
  <si>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</si>
  <si>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</si>
  <si>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</si>
  <si>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</si>
  <si>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</si>
  <si>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</si>
  <si>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</si>
  <si>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</si>
  <si>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</si>
  <si>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</si>
  <si>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</si>
  <si>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</si>
  <si>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</si>
  <si>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</si>
  <si>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</si>
  <si>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</si>
  <si>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</si>
  <si>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12/2/2016</t>
  </si>
  <si>
    <t>juju moto</t>
  </si>
  <si>
    <t>well paid</t>
  </si>
  <si>
    <t>Mpesa &amp; bank cash flows (from past statements)</t>
  </si>
  <si>
    <t>Cash inflows</t>
  </si>
  <si>
    <t>Cash outflows</t>
  </si>
  <si>
    <t>February</t>
  </si>
  <si>
    <t>April</t>
  </si>
  <si>
    <t>July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</si>
  <si>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</si>
  <si>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</si>
  <si>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</si>
  <si>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</si>
  <si>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</si>
  <si>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</si>
  <si>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</si>
  <si>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</si>
  <si>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</si>
  <si>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</si>
  <si>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</si>
  <si>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</si>
  <si>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</si>
  <si>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</si>
  <si>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</si>
  <si>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</si>
  <si>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</si>
  <si>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</si>
  <si>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</si>
  <si>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</si>
  <si>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</si>
  <si>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</si>
  <si>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</si>
  <si>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</si>
  <si>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</si>
  <si>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</si>
  <si>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</si>
  <si>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</si>
  <si>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</si>
  <si>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</si>
  <si>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</si>
  <si>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</si>
  <si>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</si>
  <si>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</si>
  <si>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</si>
  <si>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</si>
  <si>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</si>
  <si>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</si>
  <si>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</si>
  <si>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</si>
  <si>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</si>
  <si>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</si>
  <si>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</si>
  <si>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</si>
  <si>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</si>
  <si>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</si>
  <si>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</si>
  <si>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</si>
  <si>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</si>
  <si>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</si>
  <si>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</si>
  <si>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</si>
  <si>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</si>
  <si>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</si>
  <si>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</si>
  <si>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</si>
  <si>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</si>
  <si>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</si>
  <si>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</si>
  <si>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</si>
  <si>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</si>
  <si>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</si>
  <si>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</si>
  <si>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</si>
  <si>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</si>
  <si>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</si>
  <si>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</si>
  <si>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</si>
  <si>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</si>
  <si>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</si>
  <si>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</si>
  <si>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</si>
  <si>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</si>
  <si>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</si>
  <si>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</si>
  <si>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</si>
  <si>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</si>
  <si>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</si>
  <si>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</si>
  <si>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</si>
  <si>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</si>
  <si>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</si>
  <si>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</si>
  <si>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</si>
  <si>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</si>
  <si>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</si>
  <si>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</si>
  <si>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</si>
  <si>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</si>
  <si>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</si>
  <si>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</si>
  <si>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</si>
  <si>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</si>
  <si>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</si>
  <si>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</si>
  <si>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</si>
  <si>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</si>
  <si>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</si>
  <si>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</si>
  <si>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</si>
  <si>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</si>
  <si>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</si>
  <si>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</si>
  <si>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</si>
  <si>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</si>
  <si>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</si>
  <si>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</si>
  <si>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</si>
  <si>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</si>
  <si>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</si>
  <si>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</si>
  <si>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</si>
  <si>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</si>
  <si>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</si>
  <si>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</si>
  <si>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</si>
  <si>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</si>
  <si>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</si>
  <si>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</si>
  <si>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</si>
  <si>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</si>
  <si>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</si>
  <si>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</si>
  <si>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</si>
  <si>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</si>
  <si>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</si>
  <si>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</si>
  <si>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</si>
  <si>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</si>
  <si>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</si>
  <si>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</si>
  <si>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</si>
  <si>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</si>
  <si>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</si>
  <si>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</si>
  <si>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</si>
  <si>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</si>
  <si>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</si>
  <si>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</si>
  <si>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</si>
  <si>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</si>
  <si>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</si>
  <si>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</si>
  <si>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</si>
  <si>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</si>
  <si>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</si>
  <si>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</si>
  <si>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</si>
  <si>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</si>
  <si>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</si>
  <si>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</si>
  <si>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</si>
  <si>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</si>
  <si>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</si>
  <si>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</si>
  <si>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</si>
  <si>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</si>
  <si>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</si>
  <si>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</si>
  <si>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</si>
  <si>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</si>
  <si>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</si>
  <si>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</si>
  <si>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</si>
  <si>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</si>
  <si>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</si>
  <si>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</si>
  <si>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</si>
  <si>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</si>
  <si>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</si>
  <si>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</si>
  <si>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</si>
  <si>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</si>
  <si>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</si>
  <si>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</si>
  <si>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</si>
  <si>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</si>
  <si>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</si>
  <si>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</si>
  <si>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</si>
  <si>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</si>
  <si>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</si>
  <si>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</si>
  <si>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</si>
  <si>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</si>
  <si>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</si>
  <si>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</si>
  <si>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</si>
  <si>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</si>
  <si>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</si>
  <si>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</si>
  <si>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</si>
  <si>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</si>
  <si>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</si>
  <si>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</si>
  <si>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</si>
  <si>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</si>
  <si>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without the use of a pump</t>
  </si>
  <si>
    <t>Shop_certified variety</t>
  </si>
  <si>
    <t>NGO</t>
  </si>
  <si>
    <t>May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</si>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</sst>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Bananas, Onions, Sweet potatoes, Coffee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Sheep, Goat, Chicken: sale of ex layers</v>
      </c>
    </row>
    <row r="8" spans="1:7">
      <c r="B8" s="1" t="s">
        <v>4</v>
      </c>
      <c r="C8" t="str">
        <f>IF(Inputs!B29="","None",Inputs!B29)</f>
        <v>buchery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0.0007580770890834982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17255</v>
      </c>
    </row>
    <row r="17" spans="1:7">
      <c r="B17" s="1" t="s">
        <v>11</v>
      </c>
      <c r="C17" s="36">
        <f>SUM(Output!B6:M6)</f>
        <v>-56443.42393483734</v>
      </c>
    </row>
    <row r="18" spans="1:7">
      <c r="B18" s="1" t="s">
        <v>12</v>
      </c>
      <c r="C18" s="36">
        <f>MIN(Output!B6:M6)</f>
        <v>-114205.2283834587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454796.563283208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600005</v>
      </c>
    </row>
    <row r="25" spans="1:7">
      <c r="B25" s="1" t="s">
        <v>18</v>
      </c>
      <c r="C25" s="36">
        <f>MAX(Inputs!A56:A60)</f>
        <v>600005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-94703.82838345866</v>
      </c>
      <c r="C6" s="51">
        <f>C30-C88</f>
        <v>-114205.2283834587</v>
      </c>
      <c r="D6" s="51">
        <f>D30-D88</f>
        <v>-32703.436716792</v>
      </c>
      <c r="E6" s="51">
        <f>E30-E88</f>
        <v>-32703.436716792</v>
      </c>
      <c r="F6" s="51">
        <f>F30-F88</f>
        <v>-32703.436716792</v>
      </c>
      <c r="G6" s="51">
        <f>G30-G88</f>
        <v>-32703.436716792</v>
      </c>
      <c r="H6" s="51">
        <f>H30-H88</f>
        <v>-38703.436716792</v>
      </c>
      <c r="I6" s="51">
        <f>I30-I88</f>
        <v>-32703.436716792</v>
      </c>
      <c r="J6" s="51">
        <f>J30-J88</f>
        <v>-32703.436716792</v>
      </c>
      <c r="K6" s="51">
        <f>K30-K88</f>
        <v>-34703.436716792</v>
      </c>
      <c r="L6" s="51">
        <f>L30-L88</f>
        <v>454796.563283208</v>
      </c>
      <c r="M6" s="51">
        <f>M30-M88</f>
        <v>-32703.436716792</v>
      </c>
      <c r="N6" s="51">
        <f>N30-N88</f>
        <v>-32703.436716792</v>
      </c>
      <c r="O6" s="51">
        <f>O30-O88</f>
        <v>-64203.436716792</v>
      </c>
      <c r="P6" s="51">
        <f>P30-P88</f>
        <v>-32703.436716792</v>
      </c>
      <c r="Q6" s="51">
        <f>Q30-Q88</f>
        <v>-32703.436716792</v>
      </c>
      <c r="R6" s="51">
        <f>R30-R88</f>
        <v>-32703.436716792</v>
      </c>
      <c r="S6" s="51">
        <f>S30-S88</f>
        <v>-32703.436716792</v>
      </c>
      <c r="T6" s="51">
        <f>T30-T88</f>
        <v>-32703.436716792</v>
      </c>
      <c r="U6" s="51">
        <f>U30-U88</f>
        <v>-32703.436716792</v>
      </c>
      <c r="V6" s="51">
        <f>V30-V88</f>
        <v>-32703.436716792</v>
      </c>
      <c r="W6" s="51">
        <f>W30-W88</f>
        <v>-34703.436716792</v>
      </c>
      <c r="X6" s="51">
        <f>X30-X88</f>
        <v>-32703.436716792</v>
      </c>
      <c r="Y6" s="51">
        <f>Y30-Y88</f>
        <v>-32703.436716792</v>
      </c>
      <c r="Z6" s="51">
        <f>SUMIF($B$13:$Y$13,"Yes",B6:Y6)</f>
        <v>-378426.2403508773</v>
      </c>
      <c r="AA6" s="51">
        <f>AA30-AA88</f>
        <v>-56443.42393483687</v>
      </c>
      <c r="AB6" s="51">
        <f>AB30-AB88</f>
        <v>-482384.6645363402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3498</v>
      </c>
      <c r="D7" s="80">
        <f>IF(ISERROR(VLOOKUP(MONTH(D5),Inputs!$D$66:$D$71,1,0)),"",INDEX(Inputs!$B$66:$B$71,MATCH(MONTH(Output!D5),Inputs!$D$66:$D$71,0))-INDEX(Inputs!$C$66:$C$71,MATCH(MONTH(Output!D5),Inputs!$D$66:$D$71,0)))</f>
        <v>859097</v>
      </c>
      <c r="E7" s="80">
        <f>IF(ISERROR(VLOOKUP(MONTH(E5),Inputs!$D$66:$D$71,1,0)),"",INDEX(Inputs!$B$66:$B$71,MATCH(MONTH(Output!E5),Inputs!$D$66:$D$71,0))-INDEX(Inputs!$C$66:$C$71,MATCH(MONTH(Output!E5),Inputs!$D$66:$D$71,0)))</f>
        <v>31316</v>
      </c>
      <c r="F7" s="80">
        <f>IF(ISERROR(VLOOKUP(MONTH(F5),Inputs!$D$66:$D$71,1,0)),"",INDEX(Inputs!$B$66:$B$71,MATCH(MONTH(Output!F5),Inputs!$D$66:$D$71,0))-INDEX(Inputs!$C$66:$C$71,MATCH(MONTH(Output!F5),Inputs!$D$66:$D$71,0)))</f>
        <v>788006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-40006</v>
      </c>
      <c r="I7" s="80">
        <f>IF(ISERROR(VLOOKUP(MONTH(I5),Inputs!$D$66:$D$71,1,0)),"",INDEX(Inputs!$B$66:$B$71,MATCH(MONTH(Output!I5),Inputs!$D$66:$D$71,0))-INDEX(Inputs!$C$66:$C$71,MATCH(MONTH(Output!I5),Inputs!$D$66:$D$71,0)))</f>
        <v>879997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3498</v>
      </c>
      <c r="P7" s="80">
        <f>IF(ISERROR(VLOOKUP(MONTH(P5),Inputs!$D$66:$D$71,1,0)),"",INDEX(Inputs!$B$66:$B$71,MATCH(MONTH(Output!P5),Inputs!$D$66:$D$71,0))-INDEX(Inputs!$C$66:$C$71,MATCH(MONTH(Output!P5),Inputs!$D$66:$D$71,0)))</f>
        <v>859097</v>
      </c>
      <c r="Q7" s="80">
        <f>IF(ISERROR(VLOOKUP(MONTH(Q5),Inputs!$D$66:$D$71,1,0)),"",INDEX(Inputs!$B$66:$B$71,MATCH(MONTH(Output!Q5),Inputs!$D$66:$D$71,0))-INDEX(Inputs!$C$66:$C$71,MATCH(MONTH(Output!Q5),Inputs!$D$66:$D$71,0)))</f>
        <v>31316</v>
      </c>
      <c r="R7" s="80">
        <f>IF(ISERROR(VLOOKUP(MONTH(R5),Inputs!$D$66:$D$71,1,0)),"",INDEX(Inputs!$B$66:$B$71,MATCH(MONTH(Output!R5),Inputs!$D$66:$D$71,0))-INDEX(Inputs!$C$66:$C$71,MATCH(MONTH(Output!R5),Inputs!$D$66:$D$71,0)))</f>
        <v>788006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-40006</v>
      </c>
      <c r="U7" s="80">
        <f>IF(ISERROR(VLOOKUP(MONTH(U5),Inputs!$D$66:$D$71,1,0)),"",INDEX(Inputs!$B$66:$B$71,MATCH(MONTH(Output!U5),Inputs!$D$66:$D$71,0))-INDEX(Inputs!$C$66:$C$71,MATCH(MONTH(Output!U5),Inputs!$D$66:$D$71,0)))</f>
        <v>879997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17000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17000</v>
      </c>
      <c r="AA9" s="75">
        <f>SUM(B9:M9)</f>
        <v>17000</v>
      </c>
      <c r="AB9" s="75">
        <f>SUM(B9:Y9)</f>
        <v>17000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255</v>
      </c>
      <c r="D10" s="37">
        <f>SUMPRODUCT((Calculations!$D$33:$D$84=Output!D5)+0,Calculations!$C$33:$C$84)</f>
        <v>255</v>
      </c>
      <c r="E10" s="37">
        <f>SUMPRODUCT((Calculations!$D$33:$D$84=Output!E5)+0,Calculations!$C$33:$C$84)</f>
        <v>255</v>
      </c>
      <c r="F10" s="37">
        <f>SUMPRODUCT((Calculations!$D$33:$D$84=Output!F5)+0,Calculations!$C$33:$C$84)</f>
        <v>255</v>
      </c>
      <c r="G10" s="37">
        <f>SUMPRODUCT((Calculations!$D$33:$D$84=Output!G5)+0,Calculations!$C$33:$C$84)</f>
        <v>255</v>
      </c>
      <c r="H10" s="37">
        <f>SUMPRODUCT((Calculations!$D$33:$D$84=Output!H5)+0,Calculations!$C$33:$C$84)</f>
        <v>17255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18530</v>
      </c>
      <c r="AA10" s="37">
        <f>SUM(B10:M10)</f>
        <v>18530</v>
      </c>
      <c r="AB10" s="37">
        <f>SUM(B10:Y10)</f>
        <v>18530</v>
      </c>
    </row>
    <row r="11" spans="1:30" customHeight="1" ht="15.75">
      <c r="A11" s="43" t="s">
        <v>31</v>
      </c>
      <c r="B11" s="80">
        <f>B6+B9-B10</f>
        <v>-77703.82838345866</v>
      </c>
      <c r="C11" s="80">
        <f>C6+C9-C10</f>
        <v>-114460.2283834587</v>
      </c>
      <c r="D11" s="80">
        <f>D6+D9-D10</f>
        <v>-32958.436716792</v>
      </c>
      <c r="E11" s="80">
        <f>E6+E9-E10</f>
        <v>-32958.436716792</v>
      </c>
      <c r="F11" s="80">
        <f>F6+F9-F10</f>
        <v>-32958.436716792</v>
      </c>
      <c r="G11" s="80">
        <f>G6+G9-G10</f>
        <v>-32958.436716792</v>
      </c>
      <c r="H11" s="80">
        <f>H6+H9-H10</f>
        <v>-55958.436716792</v>
      </c>
      <c r="I11" s="80">
        <f>I6+I9-I10</f>
        <v>-32703.436716792</v>
      </c>
      <c r="J11" s="80">
        <f>J6+J9-J10</f>
        <v>-32703.436716792</v>
      </c>
      <c r="K11" s="80">
        <f>K6+K9-K10</f>
        <v>-34703.436716792</v>
      </c>
      <c r="L11" s="80">
        <f>L6+L9-L10</f>
        <v>454796.563283208</v>
      </c>
      <c r="M11" s="80">
        <f>M6+M9-M10</f>
        <v>-32703.436716792</v>
      </c>
      <c r="N11" s="80">
        <f>N6+N9-N10</f>
        <v>-32703.436716792</v>
      </c>
      <c r="O11" s="80">
        <f>O6+O9-O10</f>
        <v>-64203.436716792</v>
      </c>
      <c r="P11" s="80">
        <f>P6+P9-P10</f>
        <v>-32703.436716792</v>
      </c>
      <c r="Q11" s="80">
        <f>Q6+Q9-Q10</f>
        <v>-32703.436716792</v>
      </c>
      <c r="R11" s="80">
        <f>R6+R9-R10</f>
        <v>-32703.436716792</v>
      </c>
      <c r="S11" s="80">
        <f>S6+S9-S10</f>
        <v>-32703.436716792</v>
      </c>
      <c r="T11" s="80">
        <f>T6+T9-T10</f>
        <v>-32703.436716792</v>
      </c>
      <c r="U11" s="80">
        <f>U6+U9-U10</f>
        <v>-32703.436716792</v>
      </c>
      <c r="V11" s="80">
        <f>V6+V9-V10</f>
        <v>-32703.436716792</v>
      </c>
      <c r="W11" s="80">
        <f>W6+W9-W10</f>
        <v>-34703.436716792</v>
      </c>
      <c r="X11" s="80">
        <f>X6+X9-X10</f>
        <v>-32703.436716792</v>
      </c>
      <c r="Y11" s="80">
        <f>Y6+Y9-Y10</f>
        <v>-32703.436716792</v>
      </c>
      <c r="Z11" s="85">
        <f>SUMIF($B$13:$Y$13,"Yes",B11:Y11)</f>
        <v>-379956.2403508773</v>
      </c>
      <c r="AA11" s="80">
        <f>SUM(B11:M11)</f>
        <v>-57973.42393483728</v>
      </c>
      <c r="AB11" s="46">
        <f>SUM(B11:Y11)</f>
        <v>-483914.6645363413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Sweet potatoes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Coffee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449454.1353383461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487499.9999999999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487499.9999999999</v>
      </c>
      <c r="AB27" s="46">
        <f>SUM(B27:Y27)</f>
        <v>487499.9999999999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350000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537500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350000</v>
      </c>
      <c r="AA30" s="19">
        <f>SUM(B30:M30)</f>
        <v>1087500</v>
      </c>
      <c r="AB30" s="19">
        <f>SUM(B30:Y30)</f>
        <v>1687500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1166.666666666667</v>
      </c>
      <c r="C36" s="36">
        <f>O36</f>
        <v>1166.666666666667</v>
      </c>
      <c r="D36" s="36">
        <f>P36</f>
        <v>1166.666666666667</v>
      </c>
      <c r="E36" s="36">
        <f>Q36</f>
        <v>1166.666666666667</v>
      </c>
      <c r="F36" s="36">
        <f>R36</f>
        <v>1166.666666666667</v>
      </c>
      <c r="G36" s="36">
        <f>S36</f>
        <v>1166.666666666667</v>
      </c>
      <c r="H36" s="36">
        <f>T36</f>
        <v>1166.666666666667</v>
      </c>
      <c r="I36" s="36">
        <f>U36</f>
        <v>1166.666666666667</v>
      </c>
      <c r="J36" s="36">
        <f>V36</f>
        <v>1166.666666666667</v>
      </c>
      <c r="K36" s="36">
        <f>W36</f>
        <v>1166.666666666667</v>
      </c>
      <c r="L36" s="36">
        <f>X36</f>
        <v>1166.666666666667</v>
      </c>
      <c r="M36" s="36">
        <f>Y36</f>
        <v>1166.666666666667</v>
      </c>
      <c r="N36" s="36">
        <f>SUM(N37:N41)</f>
        <v>1166.666666666667</v>
      </c>
      <c r="O36" s="36">
        <f>SUM(O37:O41)</f>
        <v>1166.666666666667</v>
      </c>
      <c r="P36" s="36">
        <f>SUM(P37:P41)</f>
        <v>1166.666666666667</v>
      </c>
      <c r="Q36" s="36">
        <f>SUM(Q37:Q41)</f>
        <v>1166.666666666667</v>
      </c>
      <c r="R36" s="36">
        <f>SUM(R37:R41)</f>
        <v>1166.666666666667</v>
      </c>
      <c r="S36" s="36">
        <f>SUM(S37:S41)</f>
        <v>1166.666666666667</v>
      </c>
      <c r="T36" s="36">
        <f>SUM(T37:T41)</f>
        <v>1166.666666666667</v>
      </c>
      <c r="U36" s="36">
        <f>SUM(U37:U41)</f>
        <v>1166.666666666667</v>
      </c>
      <c r="V36" s="36">
        <f>SUM(V37:V41)</f>
        <v>1166.666666666667</v>
      </c>
      <c r="W36" s="36">
        <f>SUM(W37:W41)</f>
        <v>1166.666666666667</v>
      </c>
      <c r="X36" s="36">
        <f>SUM(X37:X41)</f>
        <v>1166.666666666667</v>
      </c>
      <c r="Y36" s="36">
        <f>SUM(Y37:Y41)</f>
        <v>1166.666666666667</v>
      </c>
      <c r="Z36" s="36">
        <f>SUMIF($B$13:$Y$13,"Yes",B36:Y36)</f>
        <v>8166.666666666668</v>
      </c>
      <c r="AA36" s="36">
        <f>SUM(B36:M36)</f>
        <v>14000</v>
      </c>
      <c r="AB36" s="36">
        <f>SUM(B36:Y36)</f>
        <v>28000.00000000001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1166.666666666667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Sweet potatoes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Coffee</v>
      </c>
      <c r="B41" s="36">
        <f>N41</f>
        <v>1000</v>
      </c>
      <c r="C41" s="36">
        <f>O41</f>
        <v>1000</v>
      </c>
      <c r="D41" s="36">
        <f>P41</f>
        <v>1000</v>
      </c>
      <c r="E41" s="36">
        <f>Q41</f>
        <v>1000</v>
      </c>
      <c r="F41" s="36">
        <f>R41</f>
        <v>1000</v>
      </c>
      <c r="G41" s="36">
        <f>S41</f>
        <v>1000</v>
      </c>
      <c r="H41" s="36">
        <f>T41</f>
        <v>1000</v>
      </c>
      <c r="I41" s="36">
        <f>U41</f>
        <v>1000</v>
      </c>
      <c r="J41" s="36">
        <f>V41</f>
        <v>1000</v>
      </c>
      <c r="K41" s="36">
        <f>W41</f>
        <v>1000</v>
      </c>
      <c r="L41" s="36">
        <f>X41</f>
        <v>1000</v>
      </c>
      <c r="M41" s="36">
        <f>Y41</f>
        <v>1000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1000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1000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1000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1000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1000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1000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1000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1000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1000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1000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1000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1000</v>
      </c>
      <c r="Z41" s="36">
        <f>SUMIF($B$13:$Y$13,"Yes",B41:Y41)</f>
        <v>7000</v>
      </c>
      <c r="AA41" s="36">
        <f>SUM(B41:M41)</f>
        <v>12000</v>
      </c>
      <c r="AB41" s="36">
        <f>SUM(B41:Y41)</f>
        <v>24000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Sweet potatoes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Coffee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31500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31500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2000</v>
      </c>
      <c r="X48" s="46">
        <f>SUM(X49:X53)</f>
        <v>0</v>
      </c>
      <c r="Y48" s="46">
        <f>SUM(Y49:Y53)</f>
        <v>0</v>
      </c>
      <c r="Z48" s="46">
        <f>SUMIF($B$13:$Y$13,"Yes",B48:Y48)</f>
        <v>31500</v>
      </c>
      <c r="AA48" s="46">
        <f>SUM(B48:M48)</f>
        <v>33500</v>
      </c>
      <c r="AB48" s="46">
        <f>SUM(B48:Y48)</f>
        <v>67000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Sweet potatoes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Coffee</v>
      </c>
      <c r="B53" s="36">
        <f>N53</f>
        <v>0</v>
      </c>
      <c r="C53" s="36">
        <f>O53</f>
        <v>31500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31500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31500</v>
      </c>
      <c r="AA53" s="46">
        <f>SUM(B53:M53)</f>
        <v>31500</v>
      </c>
      <c r="AB53" s="46">
        <f>SUM(B53:Y53)</f>
        <v>63000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Sweet potatoes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Coffee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Sweet potatoes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Coffee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Onions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Sweet potatoes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Coffee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55206.25</v>
      </c>
      <c r="C74" s="46">
        <f>SUM(Calculations!$Q$14:$Q$16)/12</f>
        <v>55206.25</v>
      </c>
      <c r="D74" s="46">
        <f>SUM(Calculations!$Q$14:$Q$16)/12</f>
        <v>55206.25</v>
      </c>
      <c r="E74" s="46">
        <f>SUM(Calculations!$Q$14:$Q$16)/12</f>
        <v>55206.25</v>
      </c>
      <c r="F74" s="46">
        <f>SUM(Calculations!$Q$14:$Q$16)/12</f>
        <v>55206.25</v>
      </c>
      <c r="G74" s="46">
        <f>SUM(Calculations!$Q$14:$Q$16)/12</f>
        <v>55206.25</v>
      </c>
      <c r="H74" s="46">
        <f>SUM(Calculations!$Q$14:$Q$16)/12</f>
        <v>55206.25</v>
      </c>
      <c r="I74" s="46">
        <f>SUM(Calculations!$Q$14:$Q$16)/12</f>
        <v>55206.25</v>
      </c>
      <c r="J74" s="46">
        <f>SUM(Calculations!$Q$14:$Q$16)/12</f>
        <v>55206.25</v>
      </c>
      <c r="K74" s="46">
        <f>SUM(Calculations!$Q$14:$Q$16)/12</f>
        <v>55206.25</v>
      </c>
      <c r="L74" s="46">
        <f>SUM(Calculations!$Q$14:$Q$16)/12</f>
        <v>55206.25</v>
      </c>
      <c r="M74" s="46">
        <f>SUM(Calculations!$Q$14:$Q$16)/12</f>
        <v>55206.25</v>
      </c>
      <c r="N74" s="46">
        <f>SUM(Calculations!$Q$14:$Q$16)/12</f>
        <v>55206.25</v>
      </c>
      <c r="O74" s="46">
        <f>SUM(Calculations!$Q$14:$Q$16)/12</f>
        <v>55206.25</v>
      </c>
      <c r="P74" s="46">
        <f>SUM(Calculations!$Q$14:$Q$16)/12</f>
        <v>55206.25</v>
      </c>
      <c r="Q74" s="46">
        <f>SUM(Calculations!$Q$14:$Q$16)/12</f>
        <v>55206.25</v>
      </c>
      <c r="R74" s="46">
        <f>SUM(Calculations!$Q$14:$Q$16)/12</f>
        <v>55206.25</v>
      </c>
      <c r="S74" s="46">
        <f>SUM(Calculations!$Q$14:$Q$16)/12</f>
        <v>55206.25</v>
      </c>
      <c r="T74" s="46">
        <f>SUM(Calculations!$Q$14:$Q$16)/12</f>
        <v>55206.25</v>
      </c>
      <c r="U74" s="46">
        <f>SUM(Calculations!$Q$14:$Q$16)/12</f>
        <v>55206.25</v>
      </c>
      <c r="V74" s="46">
        <f>SUM(Calculations!$Q$14:$Q$16)/12</f>
        <v>55206.25</v>
      </c>
      <c r="W74" s="46">
        <f>SUM(Calculations!$Q$14:$Q$16)/12</f>
        <v>55206.25</v>
      </c>
      <c r="X74" s="46">
        <f>SUM(Calculations!$Q$14:$Q$16)/12</f>
        <v>55206.25</v>
      </c>
      <c r="Y74" s="46">
        <f>SUM(Calculations!$Q$14:$Q$16)/12</f>
        <v>55206.25</v>
      </c>
      <c r="Z74" s="46">
        <f>SUMIF($B$13:$Y$13,"Yes",B74:Y74)</f>
        <v>386443.75</v>
      </c>
      <c r="AA74" s="46">
        <f>SUM(B74:M74)</f>
        <v>662475</v>
      </c>
      <c r="AB74" s="46">
        <f>SUM(B74:Y74)</f>
        <v>1324950</v>
      </c>
    </row>
    <row r="75" spans="1:30">
      <c r="A75" s="16" t="s">
        <v>47</v>
      </c>
      <c r="B75" s="46">
        <f>SUM(Calculations!$R$14:$R$16)/12</f>
        <v>3183.333333333333</v>
      </c>
      <c r="C75" s="46">
        <f>SUM(Calculations!$R$14:$R$16)/12</f>
        <v>3183.333333333333</v>
      </c>
      <c r="D75" s="46">
        <f>SUM(Calculations!$R$14:$R$16)/12</f>
        <v>3183.333333333333</v>
      </c>
      <c r="E75" s="46">
        <f>SUM(Calculations!$R$14:$R$16)/12</f>
        <v>3183.333333333333</v>
      </c>
      <c r="F75" s="46">
        <f>SUM(Calculations!$R$14:$R$16)/12</f>
        <v>3183.333333333333</v>
      </c>
      <c r="G75" s="46">
        <f>SUM(Calculations!$R$14:$R$16)/12</f>
        <v>3183.333333333333</v>
      </c>
      <c r="H75" s="46">
        <f>SUM(Calculations!$R$14:$R$16)/12</f>
        <v>3183.333333333333</v>
      </c>
      <c r="I75" s="46">
        <f>SUM(Calculations!$R$14:$R$16)/12</f>
        <v>3183.333333333333</v>
      </c>
      <c r="J75" s="46">
        <f>SUM(Calculations!$R$14:$R$16)/12</f>
        <v>3183.333333333333</v>
      </c>
      <c r="K75" s="46">
        <f>SUM(Calculations!$R$14:$R$16)/12</f>
        <v>3183.333333333333</v>
      </c>
      <c r="L75" s="46">
        <f>SUM(Calculations!$R$14:$R$16)/12</f>
        <v>3183.333333333333</v>
      </c>
      <c r="M75" s="46">
        <f>SUM(Calculations!$R$14:$R$16)/12</f>
        <v>3183.333333333333</v>
      </c>
      <c r="N75" s="46">
        <f>SUM(Calculations!$R$14:$R$16)/12</f>
        <v>3183.333333333333</v>
      </c>
      <c r="O75" s="46">
        <f>SUM(Calculations!$R$14:$R$16)/12</f>
        <v>3183.333333333333</v>
      </c>
      <c r="P75" s="46">
        <f>SUM(Calculations!$R$14:$R$16)/12</f>
        <v>3183.333333333333</v>
      </c>
      <c r="Q75" s="46">
        <f>SUM(Calculations!$R$14:$R$16)/12</f>
        <v>3183.333333333333</v>
      </c>
      <c r="R75" s="46">
        <f>SUM(Calculations!$R$14:$R$16)/12</f>
        <v>3183.333333333333</v>
      </c>
      <c r="S75" s="46">
        <f>SUM(Calculations!$R$14:$R$16)/12</f>
        <v>3183.333333333333</v>
      </c>
      <c r="T75" s="46">
        <f>SUM(Calculations!$R$14:$R$16)/12</f>
        <v>3183.333333333333</v>
      </c>
      <c r="U75" s="46">
        <f>SUM(Calculations!$R$14:$R$16)/12</f>
        <v>3183.333333333333</v>
      </c>
      <c r="V75" s="46">
        <f>SUM(Calculations!$R$14:$R$16)/12</f>
        <v>3183.333333333333</v>
      </c>
      <c r="W75" s="46">
        <f>SUM(Calculations!$R$14:$R$16)/12</f>
        <v>3183.333333333333</v>
      </c>
      <c r="X75" s="46">
        <f>SUM(Calculations!$R$14:$R$16)/12</f>
        <v>3183.333333333333</v>
      </c>
      <c r="Y75" s="46">
        <f>SUM(Calculations!$R$14:$R$16)/12</f>
        <v>3183.333333333333</v>
      </c>
      <c r="Z75" s="46">
        <f>SUMIF($B$13:$Y$13,"Yes",B75:Y75)</f>
        <v>22283.33333333333</v>
      </c>
      <c r="AA75" s="46">
        <f>SUM(B75:M75)</f>
        <v>38200</v>
      </c>
      <c r="AB75" s="46">
        <f>SUM(B75:Y75)</f>
        <v>76400</v>
      </c>
    </row>
    <row r="76" spans="1:30">
      <c r="A76" s="16" t="s">
        <v>48</v>
      </c>
      <c r="B76" s="46">
        <f>SUM(Calculations!$S$14:$S$16)/12</f>
        <v>18727.25563909774</v>
      </c>
      <c r="C76" s="46">
        <f>SUM(Calculations!$S$14:$S$16)/12</f>
        <v>18727.25563909774</v>
      </c>
      <c r="D76" s="46">
        <f>SUM(Calculations!$S$14:$S$16)/12</f>
        <v>18727.25563909774</v>
      </c>
      <c r="E76" s="46">
        <f>SUM(Calculations!$S$14:$S$16)/12</f>
        <v>18727.25563909774</v>
      </c>
      <c r="F76" s="46">
        <f>SUM(Calculations!$S$14:$S$16)/12</f>
        <v>18727.25563909774</v>
      </c>
      <c r="G76" s="46">
        <f>SUM(Calculations!$S$14:$S$16)/12</f>
        <v>18727.25563909774</v>
      </c>
      <c r="H76" s="46">
        <f>SUM(Calculations!$S$14:$S$16)/12</f>
        <v>18727.25563909774</v>
      </c>
      <c r="I76" s="46">
        <f>SUM(Calculations!$S$14:$S$16)/12</f>
        <v>18727.25563909774</v>
      </c>
      <c r="J76" s="46">
        <f>SUM(Calculations!$S$14:$S$16)/12</f>
        <v>18727.25563909774</v>
      </c>
      <c r="K76" s="46">
        <f>SUM(Calculations!$S$14:$S$16)/12</f>
        <v>18727.25563909774</v>
      </c>
      <c r="L76" s="46">
        <f>SUM(Calculations!$S$14:$S$16)/12</f>
        <v>18727.25563909774</v>
      </c>
      <c r="M76" s="46">
        <f>SUM(Calculations!$S$14:$S$16)/12</f>
        <v>18727.25563909774</v>
      </c>
      <c r="N76" s="46">
        <f>SUM(Calculations!$S$14:$S$16)/12</f>
        <v>18727.25563909774</v>
      </c>
      <c r="O76" s="46">
        <f>SUM(Calculations!$S$14:$S$16)/12</f>
        <v>18727.25563909774</v>
      </c>
      <c r="P76" s="46">
        <f>SUM(Calculations!$S$14:$S$16)/12</f>
        <v>18727.25563909774</v>
      </c>
      <c r="Q76" s="46">
        <f>SUM(Calculations!$S$14:$S$16)/12</f>
        <v>18727.25563909774</v>
      </c>
      <c r="R76" s="46">
        <f>SUM(Calculations!$S$14:$S$16)/12</f>
        <v>18727.25563909774</v>
      </c>
      <c r="S76" s="46">
        <f>SUM(Calculations!$S$14:$S$16)/12</f>
        <v>18727.25563909774</v>
      </c>
      <c r="T76" s="46">
        <f>SUM(Calculations!$S$14:$S$16)/12</f>
        <v>18727.25563909774</v>
      </c>
      <c r="U76" s="46">
        <f>SUM(Calculations!$S$14:$S$16)/12</f>
        <v>18727.25563909774</v>
      </c>
      <c r="V76" s="46">
        <f>SUM(Calculations!$S$14:$S$16)/12</f>
        <v>18727.25563909774</v>
      </c>
      <c r="W76" s="46">
        <f>SUM(Calculations!$S$14:$S$16)/12</f>
        <v>18727.25563909774</v>
      </c>
      <c r="X76" s="46">
        <f>SUM(Calculations!$S$14:$S$16)/12</f>
        <v>18727.25563909774</v>
      </c>
      <c r="Y76" s="46">
        <f>SUM(Calculations!$S$14:$S$16)/12</f>
        <v>18727.25563909774</v>
      </c>
      <c r="Z76" s="46">
        <f>SUMIF($B$13:$Y$13,"Yes",B76:Y76)</f>
        <v>131090.7894736842</v>
      </c>
      <c r="AA76" s="46">
        <f>SUM(B76:M76)</f>
        <v>224727.0676691729</v>
      </c>
      <c r="AB76" s="46">
        <f>SUM(B76:Y76)</f>
        <v>449454.1353383461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7000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6000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6000</v>
      </c>
      <c r="AA80" s="46">
        <f>SUM(B80:M80)</f>
        <v>6000</v>
      </c>
      <c r="AB80" s="46">
        <f>SUM(B80:Y80)</f>
        <v>6000</v>
      </c>
    </row>
    <row r="81" spans="1:30">
      <c r="A81" s="43" t="s">
        <v>51</v>
      </c>
      <c r="B81" s="46">
        <f>(SUM($AA$18:$AA$29)-SUM($AA$36,$AA$42,$AA$48,$AA$54,$AA$60,$AA$66,$AA$72:$AA$79))*Parameters!$B$37/12</f>
        <v>3419.931077694237</v>
      </c>
      <c r="C81" s="46">
        <f>(SUM($AA$18:$AA$29)-SUM($AA$36,$AA$42,$AA$48,$AA$54,$AA$60,$AA$66,$AA$72:$AA$79))*Parameters!$B$37/12</f>
        <v>3419.931077694237</v>
      </c>
      <c r="D81" s="46">
        <f>(SUM($AA$18:$AA$29)-SUM($AA$36,$AA$42,$AA$48,$AA$54,$AA$60,$AA$66,$AA$72:$AA$79))*Parameters!$B$37/12</f>
        <v>3419.931077694237</v>
      </c>
      <c r="E81" s="46">
        <f>(SUM($AA$18:$AA$29)-SUM($AA$36,$AA$42,$AA$48,$AA$54,$AA$60,$AA$66,$AA$72:$AA$79))*Parameters!$B$37/12</f>
        <v>3419.931077694237</v>
      </c>
      <c r="F81" s="46">
        <f>(SUM($AA$18:$AA$29)-SUM($AA$36,$AA$42,$AA$48,$AA$54,$AA$60,$AA$66,$AA$72:$AA$79))*Parameters!$B$37/12</f>
        <v>3419.931077694237</v>
      </c>
      <c r="G81" s="46">
        <f>(SUM($AA$18:$AA$29)-SUM($AA$36,$AA$42,$AA$48,$AA$54,$AA$60,$AA$66,$AA$72:$AA$79))*Parameters!$B$37/12</f>
        <v>3419.931077694237</v>
      </c>
      <c r="H81" s="46">
        <f>(SUM($AA$18:$AA$29)-SUM($AA$36,$AA$42,$AA$48,$AA$54,$AA$60,$AA$66,$AA$72:$AA$79))*Parameters!$B$37/12</f>
        <v>3419.931077694237</v>
      </c>
      <c r="I81" s="46">
        <f>(SUM($AA$18:$AA$29)-SUM($AA$36,$AA$42,$AA$48,$AA$54,$AA$60,$AA$66,$AA$72:$AA$79))*Parameters!$B$37/12</f>
        <v>3419.931077694237</v>
      </c>
      <c r="J81" s="46">
        <f>(SUM($AA$18:$AA$29)-SUM($AA$36,$AA$42,$AA$48,$AA$54,$AA$60,$AA$66,$AA$72:$AA$79))*Parameters!$B$37/12</f>
        <v>3419.931077694237</v>
      </c>
      <c r="K81" s="46">
        <f>(SUM($AA$18:$AA$29)-SUM($AA$36,$AA$42,$AA$48,$AA$54,$AA$60,$AA$66,$AA$72:$AA$79))*Parameters!$B$37/12</f>
        <v>3419.931077694237</v>
      </c>
      <c r="L81" s="46">
        <f>(SUM($AA$18:$AA$29)-SUM($AA$36,$AA$42,$AA$48,$AA$54,$AA$60,$AA$66,$AA$72:$AA$79))*Parameters!$B$37/12</f>
        <v>3419.931077694237</v>
      </c>
      <c r="M81" s="46">
        <f>(SUM($AA$18:$AA$29)-SUM($AA$36,$AA$42,$AA$48,$AA$54,$AA$60,$AA$66,$AA$72:$AA$79))*Parameters!$B$37/12</f>
        <v>3419.931077694237</v>
      </c>
      <c r="N81" s="46">
        <f>(SUM($AA$18:$AA$29)-SUM($AA$36,$AA$42,$AA$48,$AA$54,$AA$60,$AA$66,$AA$72:$AA$79))*Parameters!$B$37/12</f>
        <v>3419.931077694237</v>
      </c>
      <c r="O81" s="46">
        <f>(SUM($AA$18:$AA$29)-SUM($AA$36,$AA$42,$AA$48,$AA$54,$AA$60,$AA$66,$AA$72:$AA$79))*Parameters!$B$37/12</f>
        <v>3419.931077694237</v>
      </c>
      <c r="P81" s="46">
        <f>(SUM($AA$18:$AA$29)-SUM($AA$36,$AA$42,$AA$48,$AA$54,$AA$60,$AA$66,$AA$72:$AA$79))*Parameters!$B$37/12</f>
        <v>3419.931077694237</v>
      </c>
      <c r="Q81" s="46">
        <f>(SUM($AA$18:$AA$29)-SUM($AA$36,$AA$42,$AA$48,$AA$54,$AA$60,$AA$66,$AA$72:$AA$79))*Parameters!$B$37/12</f>
        <v>3419.931077694237</v>
      </c>
      <c r="R81" s="46">
        <f>(SUM($AA$18:$AA$29)-SUM($AA$36,$AA$42,$AA$48,$AA$54,$AA$60,$AA$66,$AA$72:$AA$79))*Parameters!$B$37/12</f>
        <v>3419.931077694237</v>
      </c>
      <c r="S81" s="46">
        <f>(SUM($AA$18:$AA$29)-SUM($AA$36,$AA$42,$AA$48,$AA$54,$AA$60,$AA$66,$AA$72:$AA$79))*Parameters!$B$37/12</f>
        <v>3419.931077694237</v>
      </c>
      <c r="T81" s="46">
        <f>(SUM($AA$18:$AA$29)-SUM($AA$36,$AA$42,$AA$48,$AA$54,$AA$60,$AA$66,$AA$72:$AA$79))*Parameters!$B$37/12</f>
        <v>3419.931077694237</v>
      </c>
      <c r="U81" s="46">
        <f>(SUM($AA$18:$AA$29)-SUM($AA$36,$AA$42,$AA$48,$AA$54,$AA$60,$AA$66,$AA$72:$AA$79))*Parameters!$B$37/12</f>
        <v>3419.931077694237</v>
      </c>
      <c r="V81" s="46">
        <f>(SUM($AA$18:$AA$29)-SUM($AA$36,$AA$42,$AA$48,$AA$54,$AA$60,$AA$66,$AA$72:$AA$79))*Parameters!$B$37/12</f>
        <v>3419.931077694237</v>
      </c>
      <c r="W81" s="46">
        <f>(SUM($AA$18:$AA$29)-SUM($AA$36,$AA$42,$AA$48,$AA$54,$AA$60,$AA$66,$AA$72:$AA$79))*Parameters!$B$37/12</f>
        <v>3419.931077694237</v>
      </c>
      <c r="X81" s="46">
        <f>(SUM($AA$18:$AA$29)-SUM($AA$36,$AA$42,$AA$48,$AA$54,$AA$60,$AA$66,$AA$72:$AA$79))*Parameters!$B$37/12</f>
        <v>3419.931077694237</v>
      </c>
      <c r="Y81" s="46">
        <f>(SUM($AA$18:$AA$29)-SUM($AA$36,$AA$42,$AA$48,$AA$54,$AA$60,$AA$66,$AA$72:$AA$79))*Parameters!$B$37/12</f>
        <v>3419.931077694237</v>
      </c>
      <c r="Z81" s="46">
        <f>SUMIF($B$13:$Y$13,"Yes",B81:Y81)</f>
        <v>23939.51754385966</v>
      </c>
      <c r="AA81" s="46">
        <f>SUM(B81:M81)</f>
        <v>41039.17293233085</v>
      </c>
      <c r="AB81" s="46">
        <f>SUM(B81:Y81)</f>
        <v>82078.34586466172</v>
      </c>
    </row>
    <row r="82" spans="1:30">
      <c r="A82" s="16" t="s">
        <v>52</v>
      </c>
      <c r="B82" s="46">
        <f>SUM(B83:B87)</f>
        <v>62000.39166666667</v>
      </c>
      <c r="C82" s="46">
        <f>SUM(C83:C87)</f>
        <v>50001.79166666666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112002.1833333333</v>
      </c>
      <c r="AA82" s="46">
        <f>SUM(B82:M82)</f>
        <v>112002.1833333333</v>
      </c>
      <c r="AB82" s="46">
        <f>SUM(B82:Y82)</f>
        <v>112002.1833333333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62000.39166666667</v>
      </c>
      <c r="C83" s="46">
        <f>IF(Calculations!$E23&gt;COUNT(Output!$B$35:C$35),Calculations!$B23,IF(Calculations!$E23=COUNT(Output!$B$35:C$35),Inputs!$B56-Calculations!$C23*(Calculations!$E23-1)+Calculations!$D23,0))</f>
        <v>50001.79166666666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112002.1833333333</v>
      </c>
      <c r="AA83" s="46">
        <f>SUM(B83:M83)</f>
        <v>112002.1833333333</v>
      </c>
      <c r="AB83" s="46">
        <f>SUM(B83:Y83)</f>
        <v>112002.1833333333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144703.8283834587</v>
      </c>
      <c r="C88" s="19">
        <f>SUM(C72:C82,C66,C60,C54,C48,C42,C36)</f>
        <v>164205.2283834587</v>
      </c>
      <c r="D88" s="19">
        <f>SUM(D72:D82,D66,D60,D54,D48,D42,D36)</f>
        <v>82703.436716792</v>
      </c>
      <c r="E88" s="19">
        <f>SUM(E72:E82,E66,E60,E54,E48,E42,E36)</f>
        <v>82703.436716792</v>
      </c>
      <c r="F88" s="19">
        <f>SUM(F72:F82,F66,F60,F54,F48,F42,F36)</f>
        <v>82703.436716792</v>
      </c>
      <c r="G88" s="19">
        <f>SUM(G72:G82,G66,G60,G54,G48,G42,G36)</f>
        <v>82703.436716792</v>
      </c>
      <c r="H88" s="19">
        <f>SUM(H72:H82,H66,H60,H54,H48,H42,H36)</f>
        <v>88703.436716792</v>
      </c>
      <c r="I88" s="19">
        <f>SUM(I72:I82,I66,I60,I54,I48,I42,I36)</f>
        <v>82703.436716792</v>
      </c>
      <c r="J88" s="19">
        <f>SUM(J72:J82,J66,J60,J54,J48,J42,J36)</f>
        <v>82703.436716792</v>
      </c>
      <c r="K88" s="19">
        <f>SUM(K72:K82,K66,K60,K54,K48,K42,K36)</f>
        <v>84703.436716792</v>
      </c>
      <c r="L88" s="19">
        <f>SUM(L72:L82,L66,L60,L54,L48,L42,L36)</f>
        <v>82703.436716792</v>
      </c>
      <c r="M88" s="19">
        <f>SUM(M72:M82,M66,M60,M54,M48,M42,M36)</f>
        <v>82703.436716792</v>
      </c>
      <c r="N88" s="19">
        <f>SUM(N72:N82,N66,N60,N54,N48,N42,N36)</f>
        <v>82703.436716792</v>
      </c>
      <c r="O88" s="19">
        <f>SUM(O72:O82,O66,O60,O54,O48,O42,O36)</f>
        <v>114203.436716792</v>
      </c>
      <c r="P88" s="19">
        <f>SUM(P72:P82,P66,P60,P54,P48,P42,P36)</f>
        <v>82703.436716792</v>
      </c>
      <c r="Q88" s="19">
        <f>SUM(Q72:Q82,Q66,Q60,Q54,Q48,Q42,Q36)</f>
        <v>82703.436716792</v>
      </c>
      <c r="R88" s="19">
        <f>SUM(R72:R82,R66,R60,R54,R48,R42,R36)</f>
        <v>82703.436716792</v>
      </c>
      <c r="S88" s="19">
        <f>SUM(S72:S82,S66,S60,S54,S48,S42,S36)</f>
        <v>82703.436716792</v>
      </c>
      <c r="T88" s="19">
        <f>SUM(T72:T82,T66,T60,T54,T48,T42,T36)</f>
        <v>82703.436716792</v>
      </c>
      <c r="U88" s="19">
        <f>SUM(U72:U82,U66,U60,U54,U48,U42,U36)</f>
        <v>82703.436716792</v>
      </c>
      <c r="V88" s="19">
        <f>SUM(V72:V82,V66,V60,V54,V48,V42,V36)</f>
        <v>82703.436716792</v>
      </c>
      <c r="W88" s="19">
        <f>SUM(W72:W82,W66,W60,W54,W48,W42,W36)</f>
        <v>84703.436716792</v>
      </c>
      <c r="X88" s="19">
        <f>SUM(X72:X82,X66,X60,X54,X48,X42,X36)</f>
        <v>82703.436716792</v>
      </c>
      <c r="Y88" s="19">
        <f>SUM(Y72:Y82,Y66,Y60,Y54,Y48,Y42,Y36)</f>
        <v>82703.436716792</v>
      </c>
      <c r="Z88" s="19">
        <f>SUMIF($B$13:$Y$13,"Yes",B88:Y88)</f>
        <v>728426.2403508772</v>
      </c>
      <c r="AA88" s="19">
        <f>SUM(B88:M88)</f>
        <v>1143943.423934837</v>
      </c>
      <c r="AB88" s="19">
        <f>SUM(B88:Y88)</f>
        <v>2169884.66453634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500004</v>
      </c>
    </row>
    <row r="96" spans="1:30">
      <c r="A96" t="s">
        <v>62</v>
      </c>
      <c r="B96" s="36">
        <f>SUMPRODUCT(Inputs!C19:C21,Calculations!O14:O16)</f>
        <v>1690500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132000000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20000000</v>
      </c>
    </row>
    <row r="101" spans="1:30" customHeight="1" ht="15.75">
      <c r="A101" s="1" t="s">
        <v>67</v>
      </c>
      <c r="B101" s="19">
        <f>SUM(B94:B100)</f>
        <v>154340504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90002</v>
      </c>
    </row>
    <row r="106" spans="1:30" customHeight="1" ht="15.75">
      <c r="A106" s="18" t="s">
        <v>71</v>
      </c>
      <c r="B106" s="37">
        <f>Calculations!G35</f>
        <v>17000</v>
      </c>
    </row>
    <row r="107" spans="1:30" customHeight="1" ht="15.75">
      <c r="A107" s="1" t="s">
        <v>72</v>
      </c>
      <c r="B107" s="19">
        <f>SUM(B104:B106)</f>
        <v>117002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89</v>
      </c>
      <c r="B8" s="16"/>
      <c r="C8" s="143">
        <v>5</v>
      </c>
      <c r="D8" s="16"/>
      <c r="E8" s="147" t="s">
        <v>90</v>
      </c>
      <c r="F8" s="149" t="s">
        <v>95</v>
      </c>
      <c r="G8" s="147"/>
      <c r="H8" s="147" t="s">
        <v>95</v>
      </c>
      <c r="I8" s="147" t="s">
        <v>95</v>
      </c>
      <c r="J8" s="148" t="s">
        <v>96</v>
      </c>
      <c r="K8" s="138"/>
      <c r="L8" s="16"/>
      <c r="M8" s="165">
        <v>100</v>
      </c>
      <c r="N8" s="154">
        <v>5</v>
      </c>
    </row>
    <row r="9" spans="1:48">
      <c r="A9" s="143" t="s">
        <v>97</v>
      </c>
      <c r="B9" s="16"/>
      <c r="C9" s="143">
        <v>0</v>
      </c>
      <c r="D9" s="16"/>
      <c r="E9" s="147" t="s">
        <v>90</v>
      </c>
      <c r="F9" s="149" t="s">
        <v>98</v>
      </c>
      <c r="G9" s="147">
        <v>5</v>
      </c>
      <c r="H9" s="147" t="s">
        <v>95</v>
      </c>
      <c r="I9" s="147" t="s">
        <v>95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100</v>
      </c>
      <c r="B10" s="16"/>
      <c r="C10" s="143">
        <v>0</v>
      </c>
      <c r="D10" s="16"/>
      <c r="E10" s="147" t="s">
        <v>90</v>
      </c>
      <c r="F10" s="149" t="s">
        <v>91</v>
      </c>
      <c r="G10" s="147"/>
      <c r="H10" s="147" t="s">
        <v>95</v>
      </c>
      <c r="I10" s="147" t="s">
        <v>95</v>
      </c>
      <c r="J10" s="148" t="s">
        <v>101</v>
      </c>
      <c r="K10" s="138"/>
      <c r="L10" s="16"/>
      <c r="M10" s="165">
        <v>100</v>
      </c>
      <c r="N10" s="154">
        <v>2</v>
      </c>
    </row>
    <row r="11" spans="1:48">
      <c r="A11" s="144" t="s">
        <v>102</v>
      </c>
      <c r="B11" s="23"/>
      <c r="C11" s="144">
        <v>6</v>
      </c>
      <c r="D11" s="23"/>
      <c r="E11" s="150" t="s">
        <v>103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3000</v>
      </c>
      <c r="D19" s="145">
        <v>100</v>
      </c>
      <c r="E19" s="20"/>
      <c r="F19" s="145" t="s">
        <v>92</v>
      </c>
      <c r="G19" s="20"/>
      <c r="H19" s="20"/>
      <c r="I19" s="145" t="s">
        <v>118</v>
      </c>
      <c r="J19" s="145">
        <v>100</v>
      </c>
      <c r="K19" s="145">
        <v>100</v>
      </c>
      <c r="L19" s="25">
        <v>8</v>
      </c>
    </row>
    <row r="20" spans="1:48">
      <c r="A20" s="143" t="s">
        <v>119</v>
      </c>
      <c r="B20" s="16"/>
      <c r="C20" s="143">
        <v>25</v>
      </c>
      <c r="D20" s="147"/>
      <c r="E20" s="16"/>
      <c r="F20" s="147" t="s">
        <v>95</v>
      </c>
      <c r="G20" s="16"/>
      <c r="H20" s="16"/>
      <c r="I20" s="147" t="s">
        <v>120</v>
      </c>
      <c r="J20" s="147"/>
      <c r="K20" s="147">
        <v>100</v>
      </c>
      <c r="L20" s="30"/>
    </row>
    <row r="21" spans="1:48">
      <c r="A21" s="144" t="s">
        <v>121</v>
      </c>
      <c r="B21" s="23"/>
      <c r="C21" s="144">
        <v>38</v>
      </c>
      <c r="D21" s="150">
        <v>5</v>
      </c>
      <c r="E21" s="23"/>
      <c r="F21" s="150" t="s">
        <v>95</v>
      </c>
      <c r="G21" s="23"/>
      <c r="H21" s="23"/>
      <c r="I21" s="150" t="s">
        <v>120</v>
      </c>
      <c r="J21" s="150"/>
      <c r="K21" s="150">
        <v>100</v>
      </c>
      <c r="L21" s="31"/>
    </row>
    <row r="23" spans="1:48">
      <c r="A23" s="3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123</v>
      </c>
      <c r="B25" s="177">
        <v>100</v>
      </c>
    </row>
    <row r="27" spans="1:48">
      <c r="A27" s="14" t="s">
        <v>124</v>
      </c>
    </row>
    <row r="29" spans="1:48">
      <c r="A29" s="45" t="s">
        <v>125</v>
      </c>
      <c r="B29" s="156" t="s">
        <v>126</v>
      </c>
    </row>
    <row r="30" spans="1:48">
      <c r="A30" s="44" t="s">
        <v>127</v>
      </c>
      <c r="B30" s="157">
        <v>50000</v>
      </c>
    </row>
    <row r="31" spans="1:48">
      <c r="A31" s="5" t="s">
        <v>128</v>
      </c>
      <c r="B31" s="158">
        <v>1000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 t="s">
        <v>134</v>
      </c>
      <c r="B35" s="159">
        <v>6000</v>
      </c>
      <c r="C35" s="145" t="s">
        <v>135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0" t="s">
        <v>92</v>
      </c>
    </row>
    <row r="41" spans="1:48">
      <c r="A41" s="55" t="s">
        <v>138</v>
      </c>
      <c r="B41" s="140"/>
    </row>
    <row r="42" spans="1:48">
      <c r="A42" s="55" t="s">
        <v>139</v>
      </c>
      <c r="B42" s="139"/>
    </row>
    <row r="43" spans="1:48">
      <c r="A43" s="55" t="s">
        <v>140</v>
      </c>
      <c r="B43" s="160" t="s">
        <v>141</v>
      </c>
    </row>
    <row r="44" spans="1:48">
      <c r="A44" s="56" t="s">
        <v>142</v>
      </c>
      <c r="B44" s="160" t="s">
        <v>95</v>
      </c>
    </row>
    <row r="45" spans="1:48">
      <c r="A45" s="56" t="s">
        <v>143</v>
      </c>
      <c r="B45" s="161"/>
    </row>
    <row r="46" spans="1:48" customHeight="1" ht="30">
      <c r="A46" s="57" t="s">
        <v>144</v>
      </c>
      <c r="B46" s="161">
        <v>100000</v>
      </c>
    </row>
    <row r="47" spans="1:48" customHeight="1" ht="30">
      <c r="A47" s="57" t="s">
        <v>145</v>
      </c>
      <c r="B47" s="161">
        <v>500004</v>
      </c>
    </row>
    <row r="48" spans="1:48" customHeight="1" ht="30">
      <c r="A48" s="57" t="s">
        <v>146</v>
      </c>
      <c r="B48" s="161">
        <v>20000000</v>
      </c>
    </row>
    <row r="49" spans="1:48" customHeight="1" ht="30">
      <c r="A49" s="57" t="s">
        <v>147</v>
      </c>
      <c r="B49" s="161">
        <v>50000</v>
      </c>
    </row>
    <row r="50" spans="1:48">
      <c r="A50" s="43"/>
      <c r="B50" s="36"/>
    </row>
    <row r="51" spans="1:48">
      <c r="A51" s="58" t="s">
        <v>148</v>
      </c>
      <c r="B51" s="161">
        <v>10000</v>
      </c>
    </row>
    <row r="52" spans="1:48">
      <c r="A52" s="43"/>
    </row>
    <row r="53" spans="1:48">
      <c r="A53" s="3" t="s">
        <v>149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150</v>
      </c>
      <c r="B55" s="10" t="s">
        <v>151</v>
      </c>
      <c r="C55" s="10" t="s">
        <v>152</v>
      </c>
      <c r="D55" s="10" t="s">
        <v>153</v>
      </c>
      <c r="E55" s="10" t="s">
        <v>154</v>
      </c>
      <c r="F55" s="10" t="s">
        <v>155</v>
      </c>
    </row>
    <row r="56" spans="1:48">
      <c r="A56" s="159">
        <v>600005</v>
      </c>
      <c r="B56" s="159">
        <v>90002</v>
      </c>
      <c r="C56" s="162" t="s">
        <v>156</v>
      </c>
      <c r="D56" s="163" t="s">
        <v>157</v>
      </c>
      <c r="E56" s="163" t="s">
        <v>92</v>
      </c>
      <c r="F56" s="163" t="s">
        <v>158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160</v>
      </c>
      <c r="C65" s="10" t="s">
        <v>161</v>
      </c>
    </row>
    <row r="66" spans="1:48">
      <c r="A66" s="142" t="s">
        <v>94</v>
      </c>
      <c r="B66" s="159">
        <v>6078</v>
      </c>
      <c r="C66" s="163">
        <v>2580</v>
      </c>
      <c r="D66" s="49">
        <f>INDEX(Parameters!$D$79:$D$90,MATCH(Inputs!A66,Parameters!$C$79:$C$90,0))</f>
        <v>1</v>
      </c>
    </row>
    <row r="67" spans="1:48">
      <c r="A67" s="143" t="s">
        <v>162</v>
      </c>
      <c r="B67" s="157">
        <v>907840</v>
      </c>
      <c r="C67" s="165">
        <v>48743</v>
      </c>
      <c r="D67" s="49">
        <f>INDEX(Parameters!$D$79:$D$90,MATCH(Inputs!A67,Parameters!$C$79:$C$90,0))</f>
        <v>2</v>
      </c>
    </row>
    <row r="68" spans="1:48">
      <c r="A68" s="143" t="s">
        <v>101</v>
      </c>
      <c r="B68" s="157">
        <v>90217</v>
      </c>
      <c r="C68" s="165">
        <v>58901</v>
      </c>
      <c r="D68" s="49">
        <f>INDEX(Parameters!$D$79:$D$90,MATCH(Inputs!A68,Parameters!$C$79:$C$90,0))</f>
        <v>3</v>
      </c>
    </row>
    <row r="69" spans="1:48">
      <c r="A69" s="143" t="s">
        <v>163</v>
      </c>
      <c r="B69" s="157">
        <v>800006</v>
      </c>
      <c r="C69" s="165">
        <v>12000</v>
      </c>
      <c r="D69" s="49">
        <f>INDEX(Parameters!$D$79:$D$90,MATCH(Inputs!A69,Parameters!$C$79:$C$90,0))</f>
        <v>4</v>
      </c>
    </row>
    <row r="70" spans="1:48">
      <c r="A70" s="143" t="s">
        <v>135</v>
      </c>
      <c r="B70" s="157">
        <v>60000</v>
      </c>
      <c r="C70" s="165">
        <v>100006</v>
      </c>
      <c r="D70" s="49">
        <f>INDEX(Parameters!$D$79:$D$90,MATCH(Inputs!A70,Parameters!$C$79:$C$90,0))</f>
        <v>6</v>
      </c>
    </row>
    <row r="71" spans="1:48">
      <c r="A71" s="144" t="s">
        <v>164</v>
      </c>
      <c r="B71" s="158">
        <v>980004</v>
      </c>
      <c r="C71" s="167">
        <v>100007</v>
      </c>
      <c r="D71" s="49">
        <f>INDEX(Parameters!$D$79:$D$90,MATCH(Inputs!A71,Parameters!$C$79:$C$90,0))</f>
        <v>7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18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17000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6</v>
      </c>
    </row>
    <row r="86" spans="1:48">
      <c r="A86" t="s">
        <v>179</v>
      </c>
      <c r="B86" s="161">
        <v>5</v>
      </c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5287.8112</v>
      </c>
      <c r="M5" s="30">
        <f>L5*H5</f>
        <v>26439.056</v>
      </c>
      <c r="N5" s="22">
        <f>Calculations!U5</f>
        <v>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43040</v>
      </c>
      <c r="D6" s="39">
        <f>IFERROR(DATE(YEAR(B6),MONTH(B6)+T6,DAY(B6)),"")</f>
        <v>43101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43221</v>
      </c>
      <c r="G6" s="39">
        <f>IFERROR(IF($S6=0,"",IF($S6=2,DATE(YEAR(D6),MONTH(D6)+6,DAY(D6)),IF($S6=1,D6,""))),"")</f>
        <v>43282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222.7110583293249</v>
      </c>
      <c r="M6" s="30">
        <f>L6*H6</f>
        <v>0</v>
      </c>
      <c r="N6" s="22">
        <f>Calculations!U6</f>
        <v>1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56</v>
      </c>
      <c r="P6" s="22">
        <f>IFERROR(INDEX(Parameters!$A$3:$V$17,MATCH(Calculations!$A6,Parameters!$A$3:$A$17,0),MATCH($P$3,Parameters!$A$3:$V$3,0)),0)</f>
        <v>0</v>
      </c>
      <c r="Q6" s="34">
        <f>M6*O6*(1-N6)*MAX(S6,1)</f>
        <v>0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Sweet potatoes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42795</v>
      </c>
      <c r="C7" s="39">
        <f>IFERROR(DATE(YEAR(B7),MONTH(B7)+ROUND(T7/2,0),DAY(B7)),B7)</f>
        <v>42856</v>
      </c>
      <c r="D7" s="39">
        <f>IFERROR(DATE(YEAR(B7),MONTH(B7)+T7,DAY(B7)),"")</f>
        <v>42917</v>
      </c>
      <c r="E7" s="39">
        <f>IFERROR(IF($S7=0,"",IF($S7=2,DATE(YEAR(B7),MONTH(B7)+6,DAY(B7)),IF($S7=1,B7,""))),"")</f>
        <v>42979</v>
      </c>
      <c r="F7" s="39">
        <f>IFERROR(IF($S7=0,"",IF($S7=2,DATE(YEAR(C7),MONTH(C7)+6,DAY(C7)),IF($S7=1,C7,""))),"")</f>
        <v>43040</v>
      </c>
      <c r="G7" s="39">
        <f>IFERROR(IF($S7=0,"",IF($S7=2,DATE(YEAR(D7),MONTH(D7)+6,DAY(D7)),IF($S7=1,D7,""))),"")</f>
        <v>43101</v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3150</v>
      </c>
      <c r="M7" s="30">
        <f>L7*H7</f>
        <v>0</v>
      </c>
      <c r="N7" s="22">
        <f>Calculations!U7</f>
        <v>1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28</v>
      </c>
      <c r="P7" s="22">
        <f>IFERROR(INDEX(Parameters!$A$3:$V$17,MATCH(Calculations!$A7,Parameters!$A$3:$A$17,0),MATCH($P$3,Parameters!$A$3:$V$3,0)),0)</f>
        <v>0</v>
      </c>
      <c r="Q7" s="34">
        <f>M7*O7*(1-N7)*MAX(S7,1)</f>
        <v>0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Coffee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42736</v>
      </c>
      <c r="C8" s="40">
        <f>IFERROR(DATE(YEAR(B8),MONTH(B8)+ROUND(T8/2,0),DAY(B8)),B8)</f>
        <v>42736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6</v>
      </c>
      <c r="I8" s="119" t="str">
        <f>IFERROR(VLOOKUP(Inputs!E11,Parameters!$J$77:$K$81,2,0),"")</f>
        <v>No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150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267.3672210925292</v>
      </c>
      <c r="M8" s="31">
        <f>L8*H8</f>
        <v>1604.203326555175</v>
      </c>
      <c r="N8" s="24">
        <f>Calculations!U8</f>
        <v>1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44.8</v>
      </c>
      <c r="P8" s="24">
        <f>IFERROR(INDEX(Parameters!$A$3:$V$17,MATCH(Calculations!$A8,Parameters!$A$3:$A$17,0),MATCH($P$3,Parameters!$A$3:$V$3,0)),0)</f>
        <v>0</v>
      </c>
      <c r="Q8" s="35">
        <f>M8*O8*(1-N8)*MAX(S8,1)</f>
        <v>0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N/A</v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12000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31500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105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1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25600</v>
      </c>
      <c r="S14" s="63">
        <f>IFERROR(D14*INDEX(Parameters!$A$22:$P$29,MATCH(Calculations!$A14,Parameters!$A$22:$A$29,0),MATCH(Parameters!$N$22,Parameters!$A$22:$P$22,0)),"")</f>
        <v>205827.0676691729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1.25</v>
      </c>
      <c r="H15" s="121">
        <f>IFERROR(IF(B15="meat",INDEX(Parameters!$A$22:$P$29,MATCH(Calculations!A15,Parameters!$A$22:$A$29,0),MATCH(Parameters!$I$22,Parameters!$A$22:$P$22,0))*G15,""),"")</f>
        <v>18.75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7500</v>
      </c>
    </row>
    <row r="16" spans="1:46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38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1.25</v>
      </c>
      <c r="H16" s="122">
        <f>IFERROR(IF(B16="meat",INDEX(Parameters!$A$22:$P$29,MATCH(Calculations!A16,Parameters!$A$22:$A$29,0),MATCH(Parameters!$I$22,Parameters!$A$22:$P$22,0))*G16,""),"")</f>
        <v>10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1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69350</v>
      </c>
      <c r="R16" s="64">
        <f>IFERROR(D16*INDEX(Parameters!$A$22:$P$29,MATCH(Calculations!$A16,Parameters!$A$22:$A$29,0),MATCH(Parameters!$M$22,Parameters!$A$22:$P$22,0)),"")</f>
        <v>7600</v>
      </c>
      <c r="S16" s="64">
        <f>IFERROR(D16*INDEX(Parameters!$A$22:$P$29,MATCH(Calculations!$A16,Parameters!$A$22:$A$29,0),MATCH(Parameters!$N$22,Parameters!$A$22:$P$22,0)),"")</f>
        <v>11400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43009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487499.9999999999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150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46">
      <c r="A23" s="75">
        <f>Inputs!A56</f>
        <v>600005</v>
      </c>
      <c r="B23" s="75">
        <f>SUM(C23:D23)</f>
        <v>62000.39166666667</v>
      </c>
      <c r="C23" s="75">
        <f>IF(Inputs!B56&gt;0,(Inputs!A56-Inputs!B56)/(DATE(YEAR(Inputs!$B$76),MONTH(Inputs!$B$76),DAY(Inputs!$B$76))-DATE(YEAR(Inputs!C56),MONTH(Inputs!C56),DAY(Inputs!C56)))*30,0)</f>
        <v>51000.3</v>
      </c>
      <c r="D23" s="75">
        <f>IF(Inputs!B56&gt;0,Inputs!A56*0.22/12,0)</f>
        <v>11000.09166666667</v>
      </c>
      <c r="E23" s="75">
        <f>IFERROR(ROUNDUP(Inputs!B56/C23,0),0)</f>
        <v>2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255</v>
      </c>
      <c r="D33" s="170">
        <f>IFERROR(DATE(YEAR(B33),MONTH(B33),1)," ")</f>
        <v>42736</v>
      </c>
      <c r="F33" t="s">
        <v>170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255</v>
      </c>
      <c r="D34" s="170">
        <f>IFERROR(DATE(YEAR(B34),MONTH(B34),1)," ")</f>
        <v>42767</v>
      </c>
      <c r="F34" t="s">
        <v>171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255</v>
      </c>
      <c r="D35" s="170">
        <f>IFERROR(DATE(YEAR(B35),MONTH(B35),1)," ")</f>
        <v>42795</v>
      </c>
      <c r="F35" t="s">
        <v>173</v>
      </c>
      <c r="G35" s="27">
        <f>Inputs!B81</f>
        <v>17000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255</v>
      </c>
      <c r="D36" s="170">
        <f>IFERROR(DATE(YEAR(B36),MONTH(B36),1)," ")</f>
        <v>42826</v>
      </c>
      <c r="F36" t="s">
        <v>174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255</v>
      </c>
      <c r="D37" s="170">
        <f>IFERROR(DATE(YEAR(B37),MONTH(B37),1)," ")</f>
        <v>42856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17255</v>
      </c>
      <c r="D38" s="170">
        <f>IFERROR(DATE(YEAR(B38),MONTH(B38),1)," ")</f>
        <v>42887</v>
      </c>
      <c r="F38" t="s">
        <v>236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179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180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237</v>
      </c>
      <c r="G41" s="73">
        <f>IFERROR(G35/(G38-G39),"")</f>
        <v>17000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238</v>
      </c>
      <c r="G42" s="73">
        <f>IFERROR(G35*G36*IF(G37="Monthly",G38/12,IF(G37="Fortnightly",G38/(365/14),G38/(365/28)))/(G38-G40),"")</f>
        <v>255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102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100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211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117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121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119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105</v>
      </c>
      <c r="B41" s="191" t="s">
        <v>95</v>
      </c>
      <c r="C41" s="191" t="s">
        <v>92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121</v>
      </c>
      <c r="B46" s="72">
        <v>6000</v>
      </c>
      <c r="C46" s="72">
        <v>12000</v>
      </c>
    </row>
    <row r="47" spans="1:36">
      <c r="A47" t="s">
        <v>119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319</v>
      </c>
      <c r="H52" s="12" t="s">
        <v>320</v>
      </c>
      <c r="I52" s="12" t="s">
        <v>141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239</v>
      </c>
      <c r="E53" s="10" t="s">
        <v>198</v>
      </c>
      <c r="F53" s="10" t="s">
        <v>258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176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235</v>
      </c>
      <c r="J76" s="11" t="s">
        <v>353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95</v>
      </c>
      <c r="F77" s="12" t="s">
        <v>95</v>
      </c>
      <c r="G77" s="12" t="s">
        <v>355</v>
      </c>
      <c r="H77" s="12" t="s">
        <v>320</v>
      </c>
      <c r="I77" s="12" t="s">
        <v>356</v>
      </c>
      <c r="J77" s="136" t="s">
        <v>90</v>
      </c>
      <c r="K77" s="12" t="s">
        <v>95</v>
      </c>
      <c r="AJ77" s="12"/>
    </row>
    <row r="78" spans="1:36">
      <c r="A78" t="s">
        <v>95</v>
      </c>
      <c r="B78" s="176">
        <v>5</v>
      </c>
      <c r="C78" s="134" t="s">
        <v>357</v>
      </c>
      <c r="D78" s="133"/>
      <c r="E78" s="12" t="s">
        <v>91</v>
      </c>
      <c r="F78" s="12" t="s">
        <v>358</v>
      </c>
      <c r="G78" s="12" t="s">
        <v>118</v>
      </c>
      <c r="H78" s="12" t="s">
        <v>141</v>
      </c>
      <c r="I78" s="12" t="s">
        <v>359</v>
      </c>
      <c r="J78" s="70" t="s">
        <v>360</v>
      </c>
      <c r="K78" s="12" t="s">
        <v>95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361</v>
      </c>
      <c r="F79" s="12" t="s">
        <v>93</v>
      </c>
      <c r="G79" s="12" t="s">
        <v>120</v>
      </c>
      <c r="I79" s="12" t="s">
        <v>176</v>
      </c>
      <c r="J79" s="70" t="s">
        <v>103</v>
      </c>
      <c r="K79" s="12" t="s">
        <v>95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98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101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135</v>
      </c>
      <c r="D84" s="12">
        <f>D83+1</f>
        <v>6</v>
      </c>
    </row>
    <row r="85" spans="1:36">
      <c r="B85" s="176">
        <v>70</v>
      </c>
      <c r="C85" s="12" t="s">
        <v>164</v>
      </c>
      <c r="D85" s="12">
        <f>D84+1</f>
        <v>7</v>
      </c>
    </row>
    <row r="86" spans="1:36">
      <c r="B86" s="176">
        <v>80</v>
      </c>
      <c r="C86" s="12" t="s">
        <v>99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