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<sst xmlns="http://schemas.openxmlformats.org/spreadsheetml/2006/main" uniqueCount="371">
  <si>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</si>
  <si>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</si>
  <si>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</si>
  <si>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</si>
  <si>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</si>
  <si>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</si>
  <si>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</si>
  <si>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</si>
  <si>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</si>
  <si>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</si>
  <si>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</si>
  <si>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</si>
  <si>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</si>
  <si>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</si>
  <si>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</si>
  <si>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</si>
  <si>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</si>
  <si>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</si>
  <si>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</si>
  <si>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</si>
  <si>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</si>
  <si>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</si>
  <si>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</si>
  <si>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</si>
  <si>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</si>
  <si>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</si>
  <si>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</si>
  <si>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</si>
  <si>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</si>
  <si>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</si>
  <si>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</si>
  <si>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</si>
  <si>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</si>
  <si>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</si>
  <si>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</si>
  <si>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</si>
  <si>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</si>
  <si>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</si>
  <si>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</si>
  <si>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</si>
  <si>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</si>
  <si>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</si>
  <si>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</si>
  <si>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</si>
  <si>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</si>
  <si>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</si>
  <si>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</si>
  <si>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</si>
  <si>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</si>
  <si>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</si>
  <si>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</si>
  <si>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</si>
  <si>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</si>
  <si>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</si>
  <si>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</si>
  <si>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</si>
  <si>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</si>
  <si>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</si>
  <si>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</si>
  <si>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</si>
  <si>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</si>
  <si>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</si>
  <si>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</si>
  <si>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</si>
  <si>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</si>
  <si>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</si>
  <si>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</si>
  <si>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</si>
  <si>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</si>
  <si>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</si>
  <si>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</si>
  <si>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</si>
  <si>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</si>
  <si>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</si>
  <si>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</si>
  <si>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</si>
  <si>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</si>
  <si>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</si>
  <si>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</si>
  <si>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</si>
  <si>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</si>
  <si>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</si>
  <si>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</si>
  <si>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</si>
  <si>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</si>
  <si>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</si>
  <si>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</si>
  <si>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</si>
  <si>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</si>
  <si>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</si>
  <si>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Other farmers</t>
  </si>
  <si>
    <t>Yes only manure</t>
  </si>
  <si>
    <t>No</t>
  </si>
  <si>
    <t>Yes without the use of a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</si>
  <si>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</si>
  <si>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</si>
  <si>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</si>
  <si>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</si>
  <si>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</si>
  <si>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</si>
  <si>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</si>
  <si>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</si>
  <si>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</si>
  <si>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</si>
  <si>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</si>
  <si>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</si>
  <si>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</si>
  <si>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</si>
  <si>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</si>
  <si>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</si>
  <si>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</si>
  <si>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</si>
  <si>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</si>
  <si>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</si>
  <si>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Church Employee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</si>
  <si>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</si>
  <si>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</si>
  <si>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</si>
  <si>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</si>
  <si>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</si>
  <si>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</si>
  <si>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</si>
  <si>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 houses</t>
  </si>
  <si>
    <t>January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</si>
  <si>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</si>
  <si>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</si>
  <si>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</si>
  <si>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</si>
  <si>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</si>
  <si>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</si>
  <si>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</si>
  <si>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</si>
  <si>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</si>
  <si>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</si>
  <si>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</si>
  <si>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</si>
  <si>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</si>
  <si>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</si>
  <si>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</si>
  <si>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</si>
  <si>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</si>
  <si>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</si>
  <si>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</si>
  <si>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</si>
  <si>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12/19/2014</t>
  </si>
  <si>
    <t>Equity bank</t>
  </si>
  <si>
    <t>Good repayment</t>
  </si>
  <si>
    <t>11/17/2016</t>
  </si>
  <si>
    <t>Mshwari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</si>
  <si>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</si>
  <si>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</si>
  <si>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</si>
  <si>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</si>
  <si>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</si>
  <si>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</si>
  <si>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</si>
  <si>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</si>
  <si>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</si>
  <si>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</si>
  <si>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</si>
  <si>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2016/12/19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</si>
  <si>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</si>
  <si>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</si>
  <si>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</si>
  <si>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</si>
  <si>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</si>
  <si>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</si>
  <si>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</si>
  <si>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</si>
  <si>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</si>
  <si>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</si>
  <si>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</si>
  <si>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</si>
  <si>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</si>
  <si>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</si>
  <si>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</si>
  <si>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</si>
  <si>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</si>
  <si>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</si>
  <si>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</si>
  <si>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</si>
  <si>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</si>
  <si>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</si>
  <si>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</si>
  <si>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</si>
  <si>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</si>
  <si>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</si>
  <si>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</si>
  <si>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</si>
  <si>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</si>
  <si>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</si>
  <si>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</si>
  <si>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</si>
  <si>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</si>
  <si>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</si>
  <si>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</si>
  <si>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</si>
  <si>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</si>
  <si>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</si>
  <si>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</si>
  <si>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</si>
  <si>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</si>
  <si>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</si>
  <si>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</si>
  <si>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</si>
  <si>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</si>
  <si>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</si>
  <si>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</si>
  <si>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</si>
  <si>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</si>
  <si>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</si>
  <si>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</si>
  <si>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</si>
  <si>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</si>
  <si>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</si>
  <si>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</si>
  <si>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</si>
  <si>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</si>
  <si>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</si>
  <si>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</si>
  <si>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</si>
  <si>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</si>
  <si>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</si>
  <si>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</si>
  <si>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</si>
  <si>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</si>
  <si>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</si>
  <si>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</si>
  <si>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</si>
  <si>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</si>
  <si>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</si>
  <si>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</si>
  <si>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</si>
  <si>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</si>
  <si>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</si>
  <si>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</si>
  <si>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</si>
  <si>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</si>
  <si>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</si>
  <si>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</si>
  <si>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</si>
  <si>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</si>
  <si>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</si>
  <si>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</si>
  <si>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</si>
  <si>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</si>
  <si>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</si>
  <si>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</si>
  <si>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</si>
  <si>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</si>
  <si>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</si>
  <si>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</si>
  <si>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</si>
  <si>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</si>
  <si>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</si>
  <si>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</si>
  <si>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</si>
  <si>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</si>
  <si>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</si>
  <si>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</si>
  <si>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</si>
  <si>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</si>
  <si>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</si>
  <si>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</si>
  <si>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</si>
  <si>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</si>
  <si>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</si>
  <si>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</si>
  <si>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</si>
  <si>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</si>
  <si>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</si>
  <si>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</si>
  <si>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</si>
  <si>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</si>
  <si>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</si>
  <si>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</si>
  <si>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</si>
  <si>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</si>
  <si>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</si>
  <si>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</si>
  <si>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</si>
  <si>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</si>
  <si>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</si>
  <si>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</si>
  <si>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</si>
  <si>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</si>
  <si>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</si>
  <si>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</si>
  <si>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</si>
  <si>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</si>
  <si>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</si>
  <si>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</si>
  <si>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</si>
  <si>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</si>
  <si>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</si>
  <si>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</si>
  <si>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</si>
  <si>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</si>
  <si>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</si>
  <si>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</si>
  <si>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</si>
  <si>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</si>
  <si>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</si>
  <si>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</si>
  <si>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</si>
  <si>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</si>
  <si>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</si>
  <si>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</si>
  <si>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</si>
  <si>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</si>
  <si>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</si>
  <si>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</si>
  <si>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</si>
  <si>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</si>
  <si>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</si>
  <si>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</si>
  <si>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</si>
  <si>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</si>
  <si>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</si>
  <si>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</si>
  <si>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</si>
  <si>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</si>
  <si>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</si>
  <si>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</si>
  <si>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</si>
  <si>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</si>
  <si>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</si>
  <si>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</si>
  <si>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</si>
  <si>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</si>
  <si>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</si>
  <si>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</si>
  <si>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</si>
  <si>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</si>
  <si>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</si>
  <si>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</si>
  <si>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</si>
  <si>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</si>
  <si>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</si>
  <si>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</si>
  <si>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</si>
  <si>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</si>
  <si>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</si>
  <si>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</si>
  <si>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</si>
  <si>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</si>
  <si>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</si>
  <si>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</si>
  <si>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</si>
  <si>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</si>
  <si>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</si>
  <si>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</si>
  <si>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</si>
  <si>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</si>
  <si>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</si>
  <si>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</si>
  <si>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</si>
  <si>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Weeks</t>
  </si>
  <si>
    <t>Yes inorganic fertilizers</t>
  </si>
  <si>
    <t>Yes using a solar pump</t>
  </si>
  <si>
    <t>Always</t>
  </si>
  <si>
    <t>Shop_common variety</t>
  </si>
  <si>
    <t>Yes both manure and inorganic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</si>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</sst>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Church Employee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0.008770491803278688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-360020.5696762423</v>
      </c>
    </row>
    <row r="18" spans="1:7">
      <c r="B18" s="1" t="s">
        <v>12</v>
      </c>
      <c r="C18" s="36">
        <f>MIN(Output!B6:M6)</f>
        <v>-74954.20025079799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-23925.03358413131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77500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-24954.20025079799</v>
      </c>
      <c r="C6" s="51">
        <f>C30-C88</f>
        <v>-74954.20025079799</v>
      </c>
      <c r="D6" s="51">
        <f>D30-D88</f>
        <v>-24954.20025079799</v>
      </c>
      <c r="E6" s="51">
        <f>E30-E88</f>
        <v>-25204.20025079799</v>
      </c>
      <c r="F6" s="51">
        <f>F30-F88</f>
        <v>-23925.03358413131</v>
      </c>
      <c r="G6" s="51">
        <f>G30-G88</f>
        <v>-23925.03358413131</v>
      </c>
      <c r="H6" s="51">
        <f>H30-H88</f>
        <v>-27017.28358413131</v>
      </c>
      <c r="I6" s="51">
        <f>I30-I88</f>
        <v>-27017.28358413131</v>
      </c>
      <c r="J6" s="51">
        <f>J30-J88</f>
        <v>-27017.28358413131</v>
      </c>
      <c r="K6" s="51">
        <f>K30-K88</f>
        <v>-27017.28358413131</v>
      </c>
      <c r="L6" s="51">
        <f>L30-L88</f>
        <v>-27017.28358413131</v>
      </c>
      <c r="M6" s="51">
        <f>M30-M88</f>
        <v>-27017.28358413131</v>
      </c>
      <c r="N6" s="51">
        <f>N30-N88</f>
        <v>-23925.03358413131</v>
      </c>
      <c r="O6" s="51">
        <f>O30-O88</f>
        <v>-23925.03358413131</v>
      </c>
      <c r="P6" s="51">
        <f>P30-P88</f>
        <v>-23925.03358413131</v>
      </c>
      <c r="Q6" s="51">
        <f>Q30-Q88</f>
        <v>-23925.03358413131</v>
      </c>
      <c r="R6" s="51">
        <f>R30-R88</f>
        <v>-23925.03358413131</v>
      </c>
      <c r="S6" s="51">
        <f>S30-S88</f>
        <v>-23925.03358413131</v>
      </c>
      <c r="T6" s="51">
        <f>T30-T88</f>
        <v>-27017.28358413131</v>
      </c>
      <c r="U6" s="51">
        <f>U30-U88</f>
        <v>-27017.28358413131</v>
      </c>
      <c r="V6" s="51">
        <f>V30-V88</f>
        <v>-27017.28358413131</v>
      </c>
      <c r="W6" s="51">
        <f>W30-W88</f>
        <v>-27017.28358413131</v>
      </c>
      <c r="X6" s="51">
        <f>X30-X88</f>
        <v>-27017.28358413131</v>
      </c>
      <c r="Y6" s="51">
        <f>Y30-Y88</f>
        <v>-27017.28358413131</v>
      </c>
      <c r="Z6" s="51">
        <f>SUMIF($B$13:$Y$13,"Yes",B6:Y6)</f>
        <v>-383945.6032603736</v>
      </c>
      <c r="AA6" s="51">
        <f>AA30-AA88</f>
        <v>-360020.5696762428</v>
      </c>
      <c r="AB6" s="51">
        <f>AB30-AB88</f>
        <v>-665674.4726858195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-10880</v>
      </c>
      <c r="D7" s="80">
        <f>IF(ISERROR(VLOOKUP(MONTH(D5),Inputs!$D$66:$D$71,1,0)),"",INDEX(Inputs!$B$66:$B$71,MATCH(MONTH(Output!D5),Inputs!$D$66:$D$71,0))-INDEX(Inputs!$C$66:$C$71,MATCH(MONTH(Output!D5),Inputs!$D$66:$D$71,0)))</f>
        <v>-99955</v>
      </c>
      <c r="E7" s="80">
        <f>IF(ISERROR(VLOOKUP(MONTH(E5),Inputs!$D$66:$D$71,1,0)),"",INDEX(Inputs!$B$66:$B$71,MATCH(MONTH(Output!E5),Inputs!$D$66:$D$71,0))-INDEX(Inputs!$C$66:$C$71,MATCH(MONTH(Output!E5),Inputs!$D$66:$D$71,0)))</f>
        <v>8418</v>
      </c>
      <c r="F7" s="80">
        <f>IF(ISERROR(VLOOKUP(MONTH(F5),Inputs!$D$66:$D$71,1,0)),"",INDEX(Inputs!$B$66:$B$71,MATCH(MONTH(Output!F5),Inputs!$D$66:$D$71,0))-INDEX(Inputs!$C$66:$C$71,MATCH(MONTH(Output!F5),Inputs!$D$66:$D$71,0)))</f>
        <v>333237</v>
      </c>
      <c r="G7" s="80">
        <f>IF(ISERROR(VLOOKUP(MONTH(G5),Inputs!$D$66:$D$71,1,0)),"",INDEX(Inputs!$B$66:$B$71,MATCH(MONTH(Output!G5),Inputs!$D$66:$D$71,0))-INDEX(Inputs!$C$66:$C$71,MATCH(MONTH(Output!G5),Inputs!$D$66:$D$71,0)))</f>
        <v>20389</v>
      </c>
      <c r="H7" s="80">
        <f>IF(ISERROR(VLOOKUP(MONTH(H5),Inputs!$D$66:$D$71,1,0)),"",INDEX(Inputs!$B$66:$B$71,MATCH(MONTH(Output!H5),Inputs!$D$66:$D$71,0))-INDEX(Inputs!$C$66:$C$71,MATCH(MONTH(Output!H5),Inputs!$D$66:$D$71,0)))</f>
        <v>2158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-10880</v>
      </c>
      <c r="P7" s="80">
        <f>IF(ISERROR(VLOOKUP(MONTH(P5),Inputs!$D$66:$D$71,1,0)),"",INDEX(Inputs!$B$66:$B$71,MATCH(MONTH(Output!P5),Inputs!$D$66:$D$71,0))-INDEX(Inputs!$C$66:$C$71,MATCH(MONTH(Output!P5),Inputs!$D$66:$D$71,0)))</f>
        <v>-99955</v>
      </c>
      <c r="Q7" s="80">
        <f>IF(ISERROR(VLOOKUP(MONTH(Q5),Inputs!$D$66:$D$71,1,0)),"",INDEX(Inputs!$B$66:$B$71,MATCH(MONTH(Output!Q5),Inputs!$D$66:$D$71,0))-INDEX(Inputs!$C$66:$C$71,MATCH(MONTH(Output!Q5),Inputs!$D$66:$D$71,0)))</f>
        <v>8418</v>
      </c>
      <c r="R7" s="80">
        <f>IF(ISERROR(VLOOKUP(MONTH(R5),Inputs!$D$66:$D$71,1,0)),"",INDEX(Inputs!$B$66:$B$71,MATCH(MONTH(Output!R5),Inputs!$D$66:$D$71,0))-INDEX(Inputs!$C$66:$C$71,MATCH(MONTH(Output!R5),Inputs!$D$66:$D$71,0)))</f>
        <v>333237</v>
      </c>
      <c r="S7" s="80">
        <f>IF(ISERROR(VLOOKUP(MONTH(S5),Inputs!$D$66:$D$71,1,0)),"",INDEX(Inputs!$B$66:$B$71,MATCH(MONTH(Output!S5),Inputs!$D$66:$D$71,0))-INDEX(Inputs!$C$66:$C$71,MATCH(MONTH(Output!S5),Inputs!$D$66:$D$71,0)))</f>
        <v>20389</v>
      </c>
      <c r="T7" s="80">
        <f>IF(ISERROR(VLOOKUP(MONTH(T5),Inputs!$D$66:$D$71,1,0)),"",INDEX(Inputs!$B$66:$B$71,MATCH(MONTH(Output!T5),Inputs!$D$66:$D$71,0))-INDEX(Inputs!$C$66:$C$71,MATCH(MONTH(Output!T5),Inputs!$D$66:$D$71,0)))</f>
        <v>2158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75045.79974920201</v>
      </c>
      <c r="C11" s="80">
        <f>C6+C9-C10</f>
        <v>-76454.20025079799</v>
      </c>
      <c r="D11" s="80">
        <f>D6+D9-D10</f>
        <v>-26454.20025079799</v>
      </c>
      <c r="E11" s="80">
        <f>E6+E9-E10</f>
        <v>-26704.20025079799</v>
      </c>
      <c r="F11" s="80">
        <f>F6+F9-F10</f>
        <v>-25425.03358413131</v>
      </c>
      <c r="G11" s="80">
        <f>G6+G9-G10</f>
        <v>-25425.03358413131</v>
      </c>
      <c r="H11" s="80">
        <f>H6+H9-H10</f>
        <v>-42802.9978698456</v>
      </c>
      <c r="I11" s="80">
        <f>I6+I9-I10</f>
        <v>-42802.9978698456</v>
      </c>
      <c r="J11" s="80">
        <f>J6+J9-J10</f>
        <v>-42802.9978698456</v>
      </c>
      <c r="K11" s="80">
        <f>K6+K9-K10</f>
        <v>-42802.9978698456</v>
      </c>
      <c r="L11" s="80">
        <f>L6+L9-L10</f>
        <v>-42802.9978698456</v>
      </c>
      <c r="M11" s="80">
        <f>M6+M9-M10</f>
        <v>-42802.9978698456</v>
      </c>
      <c r="N11" s="80">
        <f>N6+N9-N10</f>
        <v>-39710.7478698456</v>
      </c>
      <c r="O11" s="80">
        <f>O6+O9-O10</f>
        <v>-23925.03358413131</v>
      </c>
      <c r="P11" s="80">
        <f>P6+P9-P10</f>
        <v>-23925.03358413131</v>
      </c>
      <c r="Q11" s="80">
        <f>Q6+Q9-Q10</f>
        <v>-23925.03358413131</v>
      </c>
      <c r="R11" s="80">
        <f>R6+R9-R10</f>
        <v>-23925.03358413131</v>
      </c>
      <c r="S11" s="80">
        <f>S6+S9-S10</f>
        <v>-23925.03358413131</v>
      </c>
      <c r="T11" s="80">
        <f>T6+T9-T10</f>
        <v>-27017.28358413131</v>
      </c>
      <c r="U11" s="80">
        <f>U6+U9-U10</f>
        <v>-27017.28358413131</v>
      </c>
      <c r="V11" s="80">
        <f>V6+V9-V10</f>
        <v>-27017.28358413131</v>
      </c>
      <c r="W11" s="80">
        <f>W6+W9-W10</f>
        <v>-27017.28358413131</v>
      </c>
      <c r="X11" s="80">
        <f>X6+X9-X10</f>
        <v>-27017.28358413131</v>
      </c>
      <c r="Y11" s="80">
        <f>Y6+Y9-Y10</f>
        <v>-27017.28358413131</v>
      </c>
      <c r="Z11" s="85">
        <f>SUMIF($B$13:$Y$13,"Yes",B11:Y11)</f>
        <v>-401945.6032603738</v>
      </c>
      <c r="AA11" s="80">
        <f>SUM(B11:M11)</f>
        <v>-362234.8553905282</v>
      </c>
      <c r="AB11" s="46">
        <f>SUM(B11:Y11)</f>
        <v>-683674.4726858179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16.37563552350464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3092.25</v>
      </c>
      <c r="C18" s="36">
        <f>O18</f>
        <v>3092.25</v>
      </c>
      <c r="D18" s="36">
        <f>P18</f>
        <v>3092.25</v>
      </c>
      <c r="E18" s="36">
        <f>Q18</f>
        <v>3092.25</v>
      </c>
      <c r="F18" s="36">
        <f>R18</f>
        <v>3092.25</v>
      </c>
      <c r="G18" s="36">
        <f>S18</f>
        <v>3092.25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3092.25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3092.25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3092.25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3092.25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3092.25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3092.25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21645.75</v>
      </c>
      <c r="AA18" s="36">
        <f>SUM(B18:M18)</f>
        <v>18553.5</v>
      </c>
      <c r="AB18" s="36">
        <f>SUM(B18:Y18)</f>
        <v>37107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79843.75</v>
      </c>
      <c r="C24" s="36">
        <f>IFERROR(Calculations!$P14/12,"")</f>
        <v>79843.75</v>
      </c>
      <c r="D24" s="36">
        <f>IFERROR(Calculations!$P14/12,"")</f>
        <v>79843.75</v>
      </c>
      <c r="E24" s="36">
        <f>IFERROR(Calculations!$P14/12,"")</f>
        <v>79843.75</v>
      </c>
      <c r="F24" s="36">
        <f>IFERROR(Calculations!$P14/12,"")</f>
        <v>79843.75</v>
      </c>
      <c r="G24" s="36">
        <f>IFERROR(Calculations!$P14/12,"")</f>
        <v>79843.75</v>
      </c>
      <c r="H24" s="36">
        <f>IFERROR(Calculations!$P14/12,"")</f>
        <v>79843.75</v>
      </c>
      <c r="I24" s="36">
        <f>IFERROR(Calculations!$P14/12,"")</f>
        <v>79843.75</v>
      </c>
      <c r="J24" s="36">
        <f>IFERROR(Calculations!$P14/12,"")</f>
        <v>79843.75</v>
      </c>
      <c r="K24" s="36">
        <f>IFERROR(Calculations!$P14/12,"")</f>
        <v>79843.75</v>
      </c>
      <c r="L24" s="36">
        <f>IFERROR(Calculations!$P14/12,"")</f>
        <v>79843.75</v>
      </c>
      <c r="M24" s="36">
        <f>IFERROR(Calculations!$P14/12,"")</f>
        <v>79843.75</v>
      </c>
      <c r="N24" s="36">
        <f>IFERROR(Calculations!$P14/12,"")</f>
        <v>79843.75</v>
      </c>
      <c r="O24" s="36">
        <f>IFERROR(Calculations!$P14/12,"")</f>
        <v>79843.75</v>
      </c>
      <c r="P24" s="36">
        <f>IFERROR(Calculations!$P14/12,"")</f>
        <v>79843.75</v>
      </c>
      <c r="Q24" s="36">
        <f>IFERROR(Calculations!$P14/12,"")</f>
        <v>79843.75</v>
      </c>
      <c r="R24" s="36">
        <f>IFERROR(Calculations!$P14/12,"")</f>
        <v>79843.75</v>
      </c>
      <c r="S24" s="36">
        <f>IFERROR(Calculations!$P14/12,"")</f>
        <v>79843.75</v>
      </c>
      <c r="T24" s="36">
        <f>IFERROR(Calculations!$P14/12,"")</f>
        <v>79843.75</v>
      </c>
      <c r="U24" s="36">
        <f>IFERROR(Calculations!$P14/12,"")</f>
        <v>79843.75</v>
      </c>
      <c r="V24" s="36">
        <f>IFERROR(Calculations!$P14/12,"")</f>
        <v>79843.75</v>
      </c>
      <c r="W24" s="36">
        <f>IFERROR(Calculations!$P14/12,"")</f>
        <v>79843.75</v>
      </c>
      <c r="X24" s="36">
        <f>IFERROR(Calculations!$P14/12,"")</f>
        <v>79843.75</v>
      </c>
      <c r="Y24" s="36">
        <f>IFERROR(Calculations!$P14/12,"")</f>
        <v>79843.75</v>
      </c>
      <c r="Z24" s="36">
        <f>SUMIF($B$13:$Y$13,"Yes",B24:Y24)</f>
        <v>1037968.75</v>
      </c>
      <c r="AA24" s="36">
        <f>SUM(B24:M24)</f>
        <v>958125</v>
      </c>
      <c r="AB24" s="46">
        <f>SUM(B24:Y24)</f>
        <v>1916250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37000</v>
      </c>
      <c r="C29" s="37">
        <f>Inputs!$B$30</f>
        <v>37000</v>
      </c>
      <c r="D29" s="37">
        <f>Inputs!$B$30</f>
        <v>37000</v>
      </c>
      <c r="E29" s="37">
        <f>Inputs!$B$30</f>
        <v>37000</v>
      </c>
      <c r="F29" s="37">
        <f>Inputs!$B$30</f>
        <v>37000</v>
      </c>
      <c r="G29" s="37">
        <f>Inputs!$B$30</f>
        <v>37000</v>
      </c>
      <c r="H29" s="37">
        <f>Inputs!$B$30</f>
        <v>37000</v>
      </c>
      <c r="I29" s="37">
        <f>Inputs!$B$30</f>
        <v>37000</v>
      </c>
      <c r="J29" s="37">
        <f>Inputs!$B$30</f>
        <v>37000</v>
      </c>
      <c r="K29" s="37">
        <f>Inputs!$B$30</f>
        <v>37000</v>
      </c>
      <c r="L29" s="37">
        <f>Inputs!$B$30</f>
        <v>37000</v>
      </c>
      <c r="M29" s="37">
        <f>Inputs!$B$30</f>
        <v>37000</v>
      </c>
      <c r="N29" s="37">
        <f>Inputs!$B$30</f>
        <v>37000</v>
      </c>
      <c r="O29" s="37">
        <f>Inputs!$B$30</f>
        <v>37000</v>
      </c>
      <c r="P29" s="37">
        <f>Inputs!$B$30</f>
        <v>37000</v>
      </c>
      <c r="Q29" s="37">
        <f>Inputs!$B$30</f>
        <v>37000</v>
      </c>
      <c r="R29" s="37">
        <f>Inputs!$B$30</f>
        <v>37000</v>
      </c>
      <c r="S29" s="37">
        <f>Inputs!$B$30</f>
        <v>37000</v>
      </c>
      <c r="T29" s="37">
        <f>Inputs!$B$30</f>
        <v>37000</v>
      </c>
      <c r="U29" s="37">
        <f>Inputs!$B$30</f>
        <v>37000</v>
      </c>
      <c r="V29" s="37">
        <f>Inputs!$B$30</f>
        <v>37000</v>
      </c>
      <c r="W29" s="37">
        <f>Inputs!$B$30</f>
        <v>37000</v>
      </c>
      <c r="X29" s="37">
        <f>Inputs!$B$30</f>
        <v>37000</v>
      </c>
      <c r="Y29" s="37">
        <f>Inputs!$B$30</f>
        <v>37000</v>
      </c>
      <c r="Z29" s="37">
        <f>SUMIF($B$13:$Y$13,"Yes",B29:Y29)</f>
        <v>481000</v>
      </c>
      <c r="AA29" s="37">
        <f>SUM(B29:M29)</f>
        <v>444000</v>
      </c>
      <c r="AB29" s="37">
        <f>SUM(B29:Y29)</f>
        <v>888000</v>
      </c>
    </row>
    <row r="30" spans="1:30" customHeight="1" ht="15.75">
      <c r="A30" s="1" t="s">
        <v>37</v>
      </c>
      <c r="B30" s="19">
        <f>SUM(B18:B29)</f>
        <v>119936</v>
      </c>
      <c r="C30" s="19">
        <f>SUM(C18:C29)</f>
        <v>119936</v>
      </c>
      <c r="D30" s="19">
        <f>SUM(D18:D29)</f>
        <v>119936</v>
      </c>
      <c r="E30" s="19">
        <f>SUM(E18:E29)</f>
        <v>119936</v>
      </c>
      <c r="F30" s="19">
        <f>SUM(F18:F29)</f>
        <v>119936</v>
      </c>
      <c r="G30" s="19">
        <f>SUM(G18:G29)</f>
        <v>119936</v>
      </c>
      <c r="H30" s="19">
        <f>SUM(H18:H29)</f>
        <v>116843.75</v>
      </c>
      <c r="I30" s="19">
        <f>SUM(I18:I29)</f>
        <v>116843.75</v>
      </c>
      <c r="J30" s="19">
        <f>SUM(J18:J29)</f>
        <v>116843.75</v>
      </c>
      <c r="K30" s="19">
        <f>SUM(K18:K29)</f>
        <v>116843.75</v>
      </c>
      <c r="L30" s="19">
        <f>SUM(L18:L29)</f>
        <v>116843.75</v>
      </c>
      <c r="M30" s="19">
        <f>SUM(M18:M29)</f>
        <v>116843.75</v>
      </c>
      <c r="N30" s="19">
        <f>SUM(N18:N29)</f>
        <v>119936</v>
      </c>
      <c r="O30" s="19">
        <f>SUM(O18:O29)</f>
        <v>119936</v>
      </c>
      <c r="P30" s="19">
        <f>SUM(P18:P29)</f>
        <v>119936</v>
      </c>
      <c r="Q30" s="19">
        <f>SUM(Q18:Q29)</f>
        <v>119936</v>
      </c>
      <c r="R30" s="19">
        <f>SUM(R18:R29)</f>
        <v>119936</v>
      </c>
      <c r="S30" s="19">
        <f>SUM(S18:S29)</f>
        <v>119936</v>
      </c>
      <c r="T30" s="19">
        <f>SUM(T18:T29)</f>
        <v>116843.75</v>
      </c>
      <c r="U30" s="19">
        <f>SUM(U18:U29)</f>
        <v>116843.75</v>
      </c>
      <c r="V30" s="19">
        <f>SUM(V18:V29)</f>
        <v>116843.75</v>
      </c>
      <c r="W30" s="19">
        <f>SUM(W18:W29)</f>
        <v>116843.75</v>
      </c>
      <c r="X30" s="19">
        <f>SUM(X18:X29)</f>
        <v>116843.75</v>
      </c>
      <c r="Y30" s="19">
        <f>SUM(Y18:Y29)</f>
        <v>116843.75</v>
      </c>
      <c r="Z30" s="19">
        <f>SUMIF($B$13:$Y$13,"Yes",B30:Y30)</f>
        <v>1540614.5</v>
      </c>
      <c r="AA30" s="19">
        <f>SUM(B30:M30)</f>
        <v>1420678.5</v>
      </c>
      <c r="AB30" s="19">
        <f>SUM(B30:Y30)</f>
        <v>2841357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7776</v>
      </c>
      <c r="C66" s="36">
        <f>O66</f>
        <v>7776</v>
      </c>
      <c r="D66" s="36">
        <f>P66</f>
        <v>7776</v>
      </c>
      <c r="E66" s="36">
        <f>Q66</f>
        <v>7776</v>
      </c>
      <c r="F66" s="36">
        <f>R66</f>
        <v>7776</v>
      </c>
      <c r="G66" s="36">
        <f>S66</f>
        <v>7776</v>
      </c>
      <c r="H66" s="36">
        <f>T66</f>
        <v>7776</v>
      </c>
      <c r="I66" s="36">
        <f>U66</f>
        <v>7776</v>
      </c>
      <c r="J66" s="36">
        <f>V66</f>
        <v>7776</v>
      </c>
      <c r="K66" s="36">
        <f>W66</f>
        <v>7776</v>
      </c>
      <c r="L66" s="36">
        <f>X66</f>
        <v>7776</v>
      </c>
      <c r="M66" s="36">
        <f>Y66</f>
        <v>7776</v>
      </c>
      <c r="N66" s="46">
        <f>SUM(N67:N71)</f>
        <v>7776</v>
      </c>
      <c r="O66" s="46">
        <f>SUM(O67:O71)</f>
        <v>7776</v>
      </c>
      <c r="P66" s="46">
        <f>SUM(P67:P71)</f>
        <v>7776</v>
      </c>
      <c r="Q66" s="46">
        <f>SUM(Q67:Q71)</f>
        <v>7776</v>
      </c>
      <c r="R66" s="46">
        <f>SUM(R67:R71)</f>
        <v>7776</v>
      </c>
      <c r="S66" s="46">
        <f>SUM(S67:S71)</f>
        <v>7776</v>
      </c>
      <c r="T66" s="46">
        <f>SUM(T67:T71)</f>
        <v>7776</v>
      </c>
      <c r="U66" s="46">
        <f>SUM(U67:U71)</f>
        <v>7776</v>
      </c>
      <c r="V66" s="46">
        <f>SUM(V67:V71)</f>
        <v>7776</v>
      </c>
      <c r="W66" s="46">
        <f>SUM(W67:W71)</f>
        <v>7776</v>
      </c>
      <c r="X66" s="46">
        <f>SUM(X67:X71)</f>
        <v>7776</v>
      </c>
      <c r="Y66" s="46">
        <f>SUM(Y67:Y71)</f>
        <v>7776</v>
      </c>
      <c r="Z66" s="46">
        <f>SUMIF($B$13:$Y$13,"Yes",B66:Y66)</f>
        <v>101088</v>
      </c>
      <c r="AA66" s="46">
        <f>SUM(B66:M66)</f>
        <v>93312</v>
      </c>
      <c r="AB66" s="46">
        <f>SUM(B66:Y66)</f>
        <v>186624</v>
      </c>
    </row>
    <row r="67" spans="1:30" hidden="true" outlineLevel="1">
      <c r="A67" s="181" t="str">
        <f>Calculations!$A$4</f>
        <v>Maize</v>
      </c>
      <c r="B67" s="36">
        <f>N67</f>
        <v>7776</v>
      </c>
      <c r="C67" s="36">
        <f>O67</f>
        <v>7776</v>
      </c>
      <c r="D67" s="36">
        <f>P67</f>
        <v>7776</v>
      </c>
      <c r="E67" s="36">
        <f>Q67</f>
        <v>7776</v>
      </c>
      <c r="F67" s="36">
        <f>R67</f>
        <v>7776</v>
      </c>
      <c r="G67" s="36">
        <f>S67</f>
        <v>7776</v>
      </c>
      <c r="H67" s="36">
        <f>T67</f>
        <v>7776</v>
      </c>
      <c r="I67" s="36">
        <f>U67</f>
        <v>7776</v>
      </c>
      <c r="J67" s="36">
        <f>V67</f>
        <v>7776</v>
      </c>
      <c r="K67" s="36">
        <f>W67</f>
        <v>7776</v>
      </c>
      <c r="L67" s="36">
        <f>X67</f>
        <v>7776</v>
      </c>
      <c r="M67" s="36">
        <f>Y67</f>
        <v>7776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7776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7776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7776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7776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7776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7776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7776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7776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7776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7776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7776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7776</v>
      </c>
      <c r="Z67" s="46">
        <f>SUMIF($B$13:$Y$13,"Yes",B67:Y67)</f>
        <v>101088</v>
      </c>
      <c r="AA67" s="46">
        <f>SUM(B67:M67)</f>
        <v>93312</v>
      </c>
      <c r="AB67" s="46">
        <f>SUM(B67:Y67)</f>
        <v>186624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77562.5</v>
      </c>
      <c r="C74" s="46">
        <f>SUM(Calculations!$Q$14:$Q$16)/12</f>
        <v>77562.5</v>
      </c>
      <c r="D74" s="46">
        <f>SUM(Calculations!$Q$14:$Q$16)/12</f>
        <v>77562.5</v>
      </c>
      <c r="E74" s="46">
        <f>SUM(Calculations!$Q$14:$Q$16)/12</f>
        <v>77562.5</v>
      </c>
      <c r="F74" s="46">
        <f>SUM(Calculations!$Q$14:$Q$16)/12</f>
        <v>77562.5</v>
      </c>
      <c r="G74" s="46">
        <f>SUM(Calculations!$Q$14:$Q$16)/12</f>
        <v>77562.5</v>
      </c>
      <c r="H74" s="46">
        <f>SUM(Calculations!$Q$14:$Q$16)/12</f>
        <v>77562.5</v>
      </c>
      <c r="I74" s="46">
        <f>SUM(Calculations!$Q$14:$Q$16)/12</f>
        <v>77562.5</v>
      </c>
      <c r="J74" s="46">
        <f>SUM(Calculations!$Q$14:$Q$16)/12</f>
        <v>77562.5</v>
      </c>
      <c r="K74" s="46">
        <f>SUM(Calculations!$Q$14:$Q$16)/12</f>
        <v>77562.5</v>
      </c>
      <c r="L74" s="46">
        <f>SUM(Calculations!$Q$14:$Q$16)/12</f>
        <v>77562.5</v>
      </c>
      <c r="M74" s="46">
        <f>SUM(Calculations!$Q$14:$Q$16)/12</f>
        <v>77562.5</v>
      </c>
      <c r="N74" s="46">
        <f>SUM(Calculations!$Q$14:$Q$16)/12</f>
        <v>77562.5</v>
      </c>
      <c r="O74" s="46">
        <f>SUM(Calculations!$Q$14:$Q$16)/12</f>
        <v>77562.5</v>
      </c>
      <c r="P74" s="46">
        <f>SUM(Calculations!$Q$14:$Q$16)/12</f>
        <v>77562.5</v>
      </c>
      <c r="Q74" s="46">
        <f>SUM(Calculations!$Q$14:$Q$16)/12</f>
        <v>77562.5</v>
      </c>
      <c r="R74" s="46">
        <f>SUM(Calculations!$Q$14:$Q$16)/12</f>
        <v>77562.5</v>
      </c>
      <c r="S74" s="46">
        <f>SUM(Calculations!$Q$14:$Q$16)/12</f>
        <v>77562.5</v>
      </c>
      <c r="T74" s="46">
        <f>SUM(Calculations!$Q$14:$Q$16)/12</f>
        <v>77562.5</v>
      </c>
      <c r="U74" s="46">
        <f>SUM(Calculations!$Q$14:$Q$16)/12</f>
        <v>77562.5</v>
      </c>
      <c r="V74" s="46">
        <f>SUM(Calculations!$Q$14:$Q$16)/12</f>
        <v>77562.5</v>
      </c>
      <c r="W74" s="46">
        <f>SUM(Calculations!$Q$14:$Q$16)/12</f>
        <v>77562.5</v>
      </c>
      <c r="X74" s="46">
        <f>SUM(Calculations!$Q$14:$Q$16)/12</f>
        <v>77562.5</v>
      </c>
      <c r="Y74" s="46">
        <f>SUM(Calculations!$Q$14:$Q$16)/12</f>
        <v>77562.5</v>
      </c>
      <c r="Z74" s="46">
        <f>SUMIF($B$13:$Y$13,"Yes",B74:Y74)</f>
        <v>1008312.5</v>
      </c>
      <c r="AA74" s="46">
        <f>SUM(B74:M74)</f>
        <v>930750</v>
      </c>
      <c r="AB74" s="46">
        <f>SUM(B74:Y74)</f>
        <v>1861500</v>
      </c>
    </row>
    <row r="75" spans="1:30">
      <c r="A75" s="16" t="s">
        <v>47</v>
      </c>
      <c r="B75" s="46">
        <f>SUM(Calculations!$R$14:$R$16)/12</f>
        <v>8500</v>
      </c>
      <c r="C75" s="46">
        <f>SUM(Calculations!$R$14:$R$16)/12</f>
        <v>8500</v>
      </c>
      <c r="D75" s="46">
        <f>SUM(Calculations!$R$14:$R$16)/12</f>
        <v>8500</v>
      </c>
      <c r="E75" s="46">
        <f>SUM(Calculations!$R$14:$R$16)/12</f>
        <v>8500</v>
      </c>
      <c r="F75" s="46">
        <f>SUM(Calculations!$R$14:$R$16)/12</f>
        <v>8500</v>
      </c>
      <c r="G75" s="46">
        <f>SUM(Calculations!$R$14:$R$16)/12</f>
        <v>8500</v>
      </c>
      <c r="H75" s="46">
        <f>SUM(Calculations!$R$14:$R$16)/12</f>
        <v>8500</v>
      </c>
      <c r="I75" s="46">
        <f>SUM(Calculations!$R$14:$R$16)/12</f>
        <v>8500</v>
      </c>
      <c r="J75" s="46">
        <f>SUM(Calculations!$R$14:$R$16)/12</f>
        <v>8500</v>
      </c>
      <c r="K75" s="46">
        <f>SUM(Calculations!$R$14:$R$16)/12</f>
        <v>8500</v>
      </c>
      <c r="L75" s="46">
        <f>SUM(Calculations!$R$14:$R$16)/12</f>
        <v>8500</v>
      </c>
      <c r="M75" s="46">
        <f>SUM(Calculations!$R$14:$R$16)/12</f>
        <v>8500</v>
      </c>
      <c r="N75" s="46">
        <f>SUM(Calculations!$R$14:$R$16)/12</f>
        <v>8500</v>
      </c>
      <c r="O75" s="46">
        <f>SUM(Calculations!$R$14:$R$16)/12</f>
        <v>8500</v>
      </c>
      <c r="P75" s="46">
        <f>SUM(Calculations!$R$14:$R$16)/12</f>
        <v>8500</v>
      </c>
      <c r="Q75" s="46">
        <f>SUM(Calculations!$R$14:$R$16)/12</f>
        <v>8500</v>
      </c>
      <c r="R75" s="46">
        <f>SUM(Calculations!$R$14:$R$16)/12</f>
        <v>8500</v>
      </c>
      <c r="S75" s="46">
        <f>SUM(Calculations!$R$14:$R$16)/12</f>
        <v>8500</v>
      </c>
      <c r="T75" s="46">
        <f>SUM(Calculations!$R$14:$R$16)/12</f>
        <v>8500</v>
      </c>
      <c r="U75" s="46">
        <f>SUM(Calculations!$R$14:$R$16)/12</f>
        <v>8500</v>
      </c>
      <c r="V75" s="46">
        <f>SUM(Calculations!$R$14:$R$16)/12</f>
        <v>8500</v>
      </c>
      <c r="W75" s="46">
        <f>SUM(Calculations!$R$14:$R$16)/12</f>
        <v>8500</v>
      </c>
      <c r="X75" s="46">
        <f>SUM(Calculations!$R$14:$R$16)/12</f>
        <v>8500</v>
      </c>
      <c r="Y75" s="46">
        <f>SUM(Calculations!$R$14:$R$16)/12</f>
        <v>8500</v>
      </c>
      <c r="Z75" s="46">
        <f>SUMIF($B$13:$Y$13,"Yes",B75:Y75)</f>
        <v>110500</v>
      </c>
      <c r="AA75" s="46">
        <f>SUM(B75:M75)</f>
        <v>102000</v>
      </c>
      <c r="AB75" s="46">
        <f>SUM(B75:Y75)</f>
        <v>204000</v>
      </c>
    </row>
    <row r="76" spans="1:30">
      <c r="A76" s="16" t="s">
        <v>48</v>
      </c>
      <c r="B76" s="46">
        <f>SUM(Calculations!$S$14:$S$16)/12</f>
        <v>51000</v>
      </c>
      <c r="C76" s="46">
        <f>SUM(Calculations!$S$14:$S$16)/12</f>
        <v>51000</v>
      </c>
      <c r="D76" s="46">
        <f>SUM(Calculations!$S$14:$S$16)/12</f>
        <v>51000</v>
      </c>
      <c r="E76" s="46">
        <f>SUM(Calculations!$S$14:$S$16)/12</f>
        <v>51000</v>
      </c>
      <c r="F76" s="46">
        <f>SUM(Calculations!$S$14:$S$16)/12</f>
        <v>51000</v>
      </c>
      <c r="G76" s="46">
        <f>SUM(Calculations!$S$14:$S$16)/12</f>
        <v>51000</v>
      </c>
      <c r="H76" s="46">
        <f>SUM(Calculations!$S$14:$S$16)/12</f>
        <v>51000</v>
      </c>
      <c r="I76" s="46">
        <f>SUM(Calculations!$S$14:$S$16)/12</f>
        <v>51000</v>
      </c>
      <c r="J76" s="46">
        <f>SUM(Calculations!$S$14:$S$16)/12</f>
        <v>51000</v>
      </c>
      <c r="K76" s="46">
        <f>SUM(Calculations!$S$14:$S$16)/12</f>
        <v>51000</v>
      </c>
      <c r="L76" s="46">
        <f>SUM(Calculations!$S$14:$S$16)/12</f>
        <v>51000</v>
      </c>
      <c r="M76" s="46">
        <f>SUM(Calculations!$S$14:$S$16)/12</f>
        <v>51000</v>
      </c>
      <c r="N76" s="46">
        <f>SUM(Calculations!$S$14:$S$16)/12</f>
        <v>51000</v>
      </c>
      <c r="O76" s="46">
        <f>SUM(Calculations!$S$14:$S$16)/12</f>
        <v>51000</v>
      </c>
      <c r="P76" s="46">
        <f>SUM(Calculations!$S$14:$S$16)/12</f>
        <v>51000</v>
      </c>
      <c r="Q76" s="46">
        <f>SUM(Calculations!$S$14:$S$16)/12</f>
        <v>51000</v>
      </c>
      <c r="R76" s="46">
        <f>SUM(Calculations!$S$14:$S$16)/12</f>
        <v>51000</v>
      </c>
      <c r="S76" s="46">
        <f>SUM(Calculations!$S$14:$S$16)/12</f>
        <v>51000</v>
      </c>
      <c r="T76" s="46">
        <f>SUM(Calculations!$S$14:$S$16)/12</f>
        <v>51000</v>
      </c>
      <c r="U76" s="46">
        <f>SUM(Calculations!$S$14:$S$16)/12</f>
        <v>51000</v>
      </c>
      <c r="V76" s="46">
        <f>SUM(Calculations!$S$14:$S$16)/12</f>
        <v>51000</v>
      </c>
      <c r="W76" s="46">
        <f>SUM(Calculations!$S$14:$S$16)/12</f>
        <v>51000</v>
      </c>
      <c r="X76" s="46">
        <f>SUM(Calculations!$S$14:$S$16)/12</f>
        <v>51000</v>
      </c>
      <c r="Y76" s="46">
        <f>SUM(Calculations!$S$14:$S$16)/12</f>
        <v>51000</v>
      </c>
      <c r="Z76" s="46">
        <f>SUMIF($B$13:$Y$13,"Yes",B76:Y76)</f>
        <v>663000</v>
      </c>
      <c r="AA76" s="46">
        <f>SUM(B76:M76)</f>
        <v>612000</v>
      </c>
      <c r="AB76" s="46">
        <f>SUM(B76:Y76)</f>
        <v>1224000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104000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50000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50000</v>
      </c>
      <c r="AA80" s="46">
        <f>SUM(B80:M80)</f>
        <v>50000</v>
      </c>
      <c r="AB80" s="46">
        <f>SUM(B80:Y80)</f>
        <v>50000</v>
      </c>
    </row>
    <row r="81" spans="1:30">
      <c r="A81" s="43" t="s">
        <v>51</v>
      </c>
      <c r="B81" s="46">
        <f>(SUM($AA$18:$AA$29)-SUM($AA$36,$AA$42,$AA$48,$AA$54,$AA$60,$AA$66,$AA$72:$AA$79))*Parameters!$B$37/12</f>
        <v>-13779.45</v>
      </c>
      <c r="C81" s="46">
        <f>(SUM($AA$18:$AA$29)-SUM($AA$36,$AA$42,$AA$48,$AA$54,$AA$60,$AA$66,$AA$72:$AA$79))*Parameters!$B$37/12</f>
        <v>-13779.45</v>
      </c>
      <c r="D81" s="46">
        <f>(SUM($AA$18:$AA$29)-SUM($AA$36,$AA$42,$AA$48,$AA$54,$AA$60,$AA$66,$AA$72:$AA$79))*Parameters!$B$37/12</f>
        <v>-13779.45</v>
      </c>
      <c r="E81" s="46">
        <f>(SUM($AA$18:$AA$29)-SUM($AA$36,$AA$42,$AA$48,$AA$54,$AA$60,$AA$66,$AA$72:$AA$79))*Parameters!$B$37/12</f>
        <v>-13779.45</v>
      </c>
      <c r="F81" s="46">
        <f>(SUM($AA$18:$AA$29)-SUM($AA$36,$AA$42,$AA$48,$AA$54,$AA$60,$AA$66,$AA$72:$AA$79))*Parameters!$B$37/12</f>
        <v>-13779.45</v>
      </c>
      <c r="G81" s="46">
        <f>(SUM($AA$18:$AA$29)-SUM($AA$36,$AA$42,$AA$48,$AA$54,$AA$60,$AA$66,$AA$72:$AA$79))*Parameters!$B$37/12</f>
        <v>-13779.45</v>
      </c>
      <c r="H81" s="46">
        <f>(SUM($AA$18:$AA$29)-SUM($AA$36,$AA$42,$AA$48,$AA$54,$AA$60,$AA$66,$AA$72:$AA$79))*Parameters!$B$37/12</f>
        <v>-13779.45</v>
      </c>
      <c r="I81" s="46">
        <f>(SUM($AA$18:$AA$29)-SUM($AA$36,$AA$42,$AA$48,$AA$54,$AA$60,$AA$66,$AA$72:$AA$79))*Parameters!$B$37/12</f>
        <v>-13779.45</v>
      </c>
      <c r="J81" s="46">
        <f>(SUM($AA$18:$AA$29)-SUM($AA$36,$AA$42,$AA$48,$AA$54,$AA$60,$AA$66,$AA$72:$AA$79))*Parameters!$B$37/12</f>
        <v>-13779.45</v>
      </c>
      <c r="K81" s="46">
        <f>(SUM($AA$18:$AA$29)-SUM($AA$36,$AA$42,$AA$48,$AA$54,$AA$60,$AA$66,$AA$72:$AA$79))*Parameters!$B$37/12</f>
        <v>-13779.45</v>
      </c>
      <c r="L81" s="46">
        <f>(SUM($AA$18:$AA$29)-SUM($AA$36,$AA$42,$AA$48,$AA$54,$AA$60,$AA$66,$AA$72:$AA$79))*Parameters!$B$37/12</f>
        <v>-13779.45</v>
      </c>
      <c r="M81" s="46">
        <f>(SUM($AA$18:$AA$29)-SUM($AA$36,$AA$42,$AA$48,$AA$54,$AA$60,$AA$66,$AA$72:$AA$79))*Parameters!$B$37/12</f>
        <v>-13779.45</v>
      </c>
      <c r="N81" s="46">
        <f>(SUM($AA$18:$AA$29)-SUM($AA$36,$AA$42,$AA$48,$AA$54,$AA$60,$AA$66,$AA$72:$AA$79))*Parameters!$B$37/12</f>
        <v>-13779.45</v>
      </c>
      <c r="O81" s="46">
        <f>(SUM($AA$18:$AA$29)-SUM($AA$36,$AA$42,$AA$48,$AA$54,$AA$60,$AA$66,$AA$72:$AA$79))*Parameters!$B$37/12</f>
        <v>-13779.45</v>
      </c>
      <c r="P81" s="46">
        <f>(SUM($AA$18:$AA$29)-SUM($AA$36,$AA$42,$AA$48,$AA$54,$AA$60,$AA$66,$AA$72:$AA$79))*Parameters!$B$37/12</f>
        <v>-13779.45</v>
      </c>
      <c r="Q81" s="46">
        <f>(SUM($AA$18:$AA$29)-SUM($AA$36,$AA$42,$AA$48,$AA$54,$AA$60,$AA$66,$AA$72:$AA$79))*Parameters!$B$37/12</f>
        <v>-13779.45</v>
      </c>
      <c r="R81" s="46">
        <f>(SUM($AA$18:$AA$29)-SUM($AA$36,$AA$42,$AA$48,$AA$54,$AA$60,$AA$66,$AA$72:$AA$79))*Parameters!$B$37/12</f>
        <v>-13779.45</v>
      </c>
      <c r="S81" s="46">
        <f>(SUM($AA$18:$AA$29)-SUM($AA$36,$AA$42,$AA$48,$AA$54,$AA$60,$AA$66,$AA$72:$AA$79))*Parameters!$B$37/12</f>
        <v>-13779.45</v>
      </c>
      <c r="T81" s="46">
        <f>(SUM($AA$18:$AA$29)-SUM($AA$36,$AA$42,$AA$48,$AA$54,$AA$60,$AA$66,$AA$72:$AA$79))*Parameters!$B$37/12</f>
        <v>-13779.45</v>
      </c>
      <c r="U81" s="46">
        <f>(SUM($AA$18:$AA$29)-SUM($AA$36,$AA$42,$AA$48,$AA$54,$AA$60,$AA$66,$AA$72:$AA$79))*Parameters!$B$37/12</f>
        <v>-13779.45</v>
      </c>
      <c r="V81" s="46">
        <f>(SUM($AA$18:$AA$29)-SUM($AA$36,$AA$42,$AA$48,$AA$54,$AA$60,$AA$66,$AA$72:$AA$79))*Parameters!$B$37/12</f>
        <v>-13779.45</v>
      </c>
      <c r="W81" s="46">
        <f>(SUM($AA$18:$AA$29)-SUM($AA$36,$AA$42,$AA$48,$AA$54,$AA$60,$AA$66,$AA$72:$AA$79))*Parameters!$B$37/12</f>
        <v>-13779.45</v>
      </c>
      <c r="X81" s="46">
        <f>(SUM($AA$18:$AA$29)-SUM($AA$36,$AA$42,$AA$48,$AA$54,$AA$60,$AA$66,$AA$72:$AA$79))*Parameters!$B$37/12</f>
        <v>-13779.45</v>
      </c>
      <c r="Y81" s="46">
        <f>(SUM($AA$18:$AA$29)-SUM($AA$36,$AA$42,$AA$48,$AA$54,$AA$60,$AA$66,$AA$72:$AA$79))*Parameters!$B$37/12</f>
        <v>-13779.45</v>
      </c>
      <c r="Z81" s="46">
        <f>SUMIF($B$13:$Y$13,"Yes",B81:Y81)</f>
        <v>-179132.85</v>
      </c>
      <c r="AA81" s="46">
        <f>SUM(B81:M81)</f>
        <v>-165353.4</v>
      </c>
      <c r="AB81" s="46">
        <f>SUM(B81:Y81)</f>
        <v>-330706.8000000002</v>
      </c>
    </row>
    <row r="82" spans="1:30">
      <c r="A82" s="16" t="s">
        <v>52</v>
      </c>
      <c r="B82" s="46">
        <f>SUM(B83:B87)</f>
        <v>5831.150250797994</v>
      </c>
      <c r="C82" s="46">
        <f>SUM(C83:C87)</f>
        <v>5831.150250797994</v>
      </c>
      <c r="D82" s="46">
        <f>SUM(D83:D87)</f>
        <v>5831.150250797994</v>
      </c>
      <c r="E82" s="46">
        <f>SUM(E83:E87)</f>
        <v>6081.150250797994</v>
      </c>
      <c r="F82" s="46">
        <f>SUM(F83:F87)</f>
        <v>4801.983584131327</v>
      </c>
      <c r="G82" s="46">
        <f>SUM(G83:G87)</f>
        <v>4801.983584131327</v>
      </c>
      <c r="H82" s="46">
        <f>SUM(H83:H87)</f>
        <v>4801.983584131327</v>
      </c>
      <c r="I82" s="46">
        <f>SUM(I83:I87)</f>
        <v>4801.983584131327</v>
      </c>
      <c r="J82" s="46">
        <f>SUM(J83:J87)</f>
        <v>4801.983584131327</v>
      </c>
      <c r="K82" s="46">
        <f>SUM(K83:K87)</f>
        <v>4801.983584131327</v>
      </c>
      <c r="L82" s="46">
        <f>SUM(L83:L87)</f>
        <v>4801.983584131327</v>
      </c>
      <c r="M82" s="46">
        <f>SUM(M83:M87)</f>
        <v>4801.983584131327</v>
      </c>
      <c r="N82" s="46">
        <f>SUM(N83:N87)</f>
        <v>4801.983584131327</v>
      </c>
      <c r="O82" s="46">
        <f>SUM(O83:O87)</f>
        <v>4801.983584131327</v>
      </c>
      <c r="P82" s="46">
        <f>SUM(P83:P87)</f>
        <v>4801.983584131327</v>
      </c>
      <c r="Q82" s="46">
        <f>SUM(Q83:Q87)</f>
        <v>4801.983584131327</v>
      </c>
      <c r="R82" s="46">
        <f>SUM(R83:R87)</f>
        <v>4801.983584131327</v>
      </c>
      <c r="S82" s="46">
        <f>SUM(S83:S87)</f>
        <v>4801.983584131327</v>
      </c>
      <c r="T82" s="46">
        <f>SUM(T83:T87)</f>
        <v>4801.983584131327</v>
      </c>
      <c r="U82" s="46">
        <f>SUM(U83:U87)</f>
        <v>4801.983584131327</v>
      </c>
      <c r="V82" s="46">
        <f>SUM(V83:V87)</f>
        <v>4801.983584131327</v>
      </c>
      <c r="W82" s="46">
        <f>SUM(W83:W87)</f>
        <v>4801.983584131327</v>
      </c>
      <c r="X82" s="46">
        <f>SUM(X83:X87)</f>
        <v>4801.983584131327</v>
      </c>
      <c r="Y82" s="46">
        <f>SUM(Y83:Y87)</f>
        <v>4801.983584131327</v>
      </c>
      <c r="Z82" s="46">
        <f>SUMIF($B$13:$Y$13,"Yes",B82:Y82)</f>
        <v>66792.45326037391</v>
      </c>
      <c r="AA82" s="46">
        <f>SUM(B82:M82)</f>
        <v>61990.46967624258</v>
      </c>
      <c r="AB82" s="46">
        <f>SUM(B82:Y82)</f>
        <v>119614.2726858186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4801.983584131327</v>
      </c>
      <c r="C83" s="46">
        <f>IF(Calculations!$E23&gt;COUNT(Output!$B$35:C$35),Calculations!$B23,IF(Calculations!$E23=COUNT(Output!$B$35:C$35),Inputs!$B56-Calculations!$C23*(Calculations!$E23-1)+Calculations!$D23,0))</f>
        <v>4801.983584131327</v>
      </c>
      <c r="D83" s="46">
        <f>IF(Calculations!$E23&gt;COUNT(Output!$B$35:D$35),Calculations!$B23,IF(Calculations!$E23=COUNT(Output!$B$35:D$35),Inputs!$B56-Calculations!$C23*(Calculations!$E23-1)+Calculations!$D23,0))</f>
        <v>4801.983584131327</v>
      </c>
      <c r="E83" s="46">
        <f>IF(Calculations!$E23&gt;COUNT(Output!$B$35:E$35),Calculations!$B23,IF(Calculations!$E23=COUNT(Output!$B$35:E$35),Inputs!$B56-Calculations!$C23*(Calculations!$E23-1)+Calculations!$D23,0))</f>
        <v>4801.983584131327</v>
      </c>
      <c r="F83" s="46">
        <f>IF(Calculations!$E23&gt;COUNT(Output!$B$35:F$35),Calculations!$B23,IF(Calculations!$E23=COUNT(Output!$B$35:F$35),Inputs!$B56-Calculations!$C23*(Calculations!$E23-1)+Calculations!$D23,0))</f>
        <v>4801.983584131327</v>
      </c>
      <c r="G83" s="46">
        <f>IF(Calculations!$E23&gt;COUNT(Output!$B$35:G$35),Calculations!$B23,IF(Calculations!$E23=COUNT(Output!$B$35:G$35),Inputs!$B56-Calculations!$C23*(Calculations!$E23-1)+Calculations!$D23,0))</f>
        <v>4801.983584131327</v>
      </c>
      <c r="H83" s="46">
        <f>IF(Calculations!$E23&gt;COUNT(Output!$B$35:H$35),Calculations!$B23,IF(Calculations!$E23=COUNT(Output!$B$35:H$35),Inputs!$B56-Calculations!$C23*(Calculations!$E23-1)+Calculations!$D23,0))</f>
        <v>4801.983584131327</v>
      </c>
      <c r="I83" s="46">
        <f>IF(Calculations!$E23&gt;COUNT(Output!$B$35:I$35),Calculations!$B23,IF(Calculations!$E23=COUNT(Output!$B$35:I$35),Inputs!$B56-Calculations!$C23*(Calculations!$E23-1)+Calculations!$D23,0))</f>
        <v>4801.983584131327</v>
      </c>
      <c r="J83" s="46">
        <f>IF(Calculations!$E23&gt;COUNT(Output!$B$35:J$35),Calculations!$B23,IF(Calculations!$E23=COUNT(Output!$B$35:J$35),Inputs!$B56-Calculations!$C23*(Calculations!$E23-1)+Calculations!$D23,0))</f>
        <v>4801.983584131327</v>
      </c>
      <c r="K83" s="46">
        <f>IF(Calculations!$E23&gt;COUNT(Output!$B$35:K$35),Calculations!$B23,IF(Calculations!$E23=COUNT(Output!$B$35:K$35),Inputs!$B56-Calculations!$C23*(Calculations!$E23-1)+Calculations!$D23,0))</f>
        <v>4801.983584131327</v>
      </c>
      <c r="L83" s="46">
        <f>IF(Calculations!$E23&gt;COUNT(Output!$B$35:L$35),Calculations!$B23,IF(Calculations!$E23=COUNT(Output!$B$35:L$35),Inputs!$B56-Calculations!$C23*(Calculations!$E23-1)+Calculations!$D23,0))</f>
        <v>4801.983584131327</v>
      </c>
      <c r="M83" s="46">
        <f>IF(Calculations!$E23&gt;COUNT(Output!$B$35:M$35),Calculations!$B23,IF(Calculations!$E23=COUNT(Output!$B$35:M$35),Inputs!$B56-Calculations!$C23*(Calculations!$E23-1)+Calculations!$D23,0))</f>
        <v>4801.983584131327</v>
      </c>
      <c r="N83" s="46">
        <f>IF(Calculations!$E23&gt;COUNT(Output!$B$35:N$35),Calculations!$B23,IF(Calculations!$E23=COUNT(Output!$B$35:N$35),Inputs!$B56-Calculations!$C23*(Calculations!$E23-1)+Calculations!$D23,0))</f>
        <v>4801.983584131327</v>
      </c>
      <c r="O83" s="46">
        <f>IF(Calculations!$E23&gt;COUNT(Output!$B$35:O$35),Calculations!$B23,IF(Calculations!$E23=COUNT(Output!$B$35:O$35),Inputs!$B56-Calculations!$C23*(Calculations!$E23-1)+Calculations!$D23,0))</f>
        <v>4801.983584131327</v>
      </c>
      <c r="P83" s="46">
        <f>IF(Calculations!$E23&gt;COUNT(Output!$B$35:P$35),Calculations!$B23,IF(Calculations!$E23=COUNT(Output!$B$35:P$35),Inputs!$B56-Calculations!$C23*(Calculations!$E23-1)+Calculations!$D23,0))</f>
        <v>4801.983584131327</v>
      </c>
      <c r="Q83" s="46">
        <f>IF(Calculations!$E23&gt;COUNT(Output!$B$35:Q$35),Calculations!$B23,IF(Calculations!$E23=COUNT(Output!$B$35:Q$35),Inputs!$B56-Calculations!$C23*(Calculations!$E23-1)+Calculations!$D23,0))</f>
        <v>4801.983584131327</v>
      </c>
      <c r="R83" s="46">
        <f>IF(Calculations!$E23&gt;COUNT(Output!$B$35:R$35),Calculations!$B23,IF(Calculations!$E23=COUNT(Output!$B$35:R$35),Inputs!$B56-Calculations!$C23*(Calculations!$E23-1)+Calculations!$D23,0))</f>
        <v>4801.983584131327</v>
      </c>
      <c r="S83" s="46">
        <f>IF(Calculations!$E23&gt;COUNT(Output!$B$35:S$35),Calculations!$B23,IF(Calculations!$E23=COUNT(Output!$B$35:S$35),Inputs!$B56-Calculations!$C23*(Calculations!$E23-1)+Calculations!$D23,0))</f>
        <v>4801.983584131327</v>
      </c>
      <c r="T83" s="46">
        <f>IF(Calculations!$E23&gt;COUNT(Output!$B$35:T$35),Calculations!$B23,IF(Calculations!$E23=COUNT(Output!$B$35:T$35),Inputs!$B56-Calculations!$C23*(Calculations!$E23-1)+Calculations!$D23,0))</f>
        <v>4801.983584131327</v>
      </c>
      <c r="U83" s="46">
        <f>IF(Calculations!$E23&gt;COUNT(Output!$B$35:U$35),Calculations!$B23,IF(Calculations!$E23=COUNT(Output!$B$35:U$35),Inputs!$B56-Calculations!$C23*(Calculations!$E23-1)+Calculations!$D23,0))</f>
        <v>4801.983584131327</v>
      </c>
      <c r="V83" s="46">
        <f>IF(Calculations!$E23&gt;COUNT(Output!$B$35:V$35),Calculations!$B23,IF(Calculations!$E23=COUNT(Output!$B$35:V$35),Inputs!$B56-Calculations!$C23*(Calculations!$E23-1)+Calculations!$D23,0))</f>
        <v>4801.983584131327</v>
      </c>
      <c r="W83" s="46">
        <f>IF(Calculations!$E23&gt;COUNT(Output!$B$35:W$35),Calculations!$B23,IF(Calculations!$E23=COUNT(Output!$B$35:W$35),Inputs!$B56-Calculations!$C23*(Calculations!$E23-1)+Calculations!$D23,0))</f>
        <v>4801.983584131327</v>
      </c>
      <c r="X83" s="46">
        <f>IF(Calculations!$E23&gt;COUNT(Output!$B$35:X$35),Calculations!$B23,IF(Calculations!$E23=COUNT(Output!$B$35:X$35),Inputs!$B56-Calculations!$C23*(Calculations!$E23-1)+Calculations!$D23,0))</f>
        <v>4801.983584131327</v>
      </c>
      <c r="Y83" s="46">
        <f>IF(Calculations!$E23&gt;COUNT(Output!$B$35:Y$35),Calculations!$B23,IF(Calculations!$E23=COUNT(Output!$B$35:Y$35),Inputs!$B56-Calculations!$C23*(Calculations!$E23-1)+Calculations!$D23,0))</f>
        <v>4801.983584131327</v>
      </c>
      <c r="Z83" s="46">
        <f>SUMIF($B$13:$Y$13,"Yes",B83:Y83)</f>
        <v>62425.78659370723</v>
      </c>
      <c r="AA83" s="46">
        <f>SUM(B83:M83)</f>
        <v>57623.80300957591</v>
      </c>
      <c r="AB83" s="46">
        <f>SUM(B83:Y83)</f>
        <v>115247.6060191519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1029.166666666667</v>
      </c>
      <c r="C84" s="46">
        <f>IF(Calculations!$E24&gt;COUNT(Output!$B$35:C$35),Calculations!$B24,IF(Calculations!$E24=COUNT(Output!$B$35:C$35),Inputs!$B57-Calculations!$C24*(Calculations!$E24-1)+Calculations!$D24,0))</f>
        <v>1029.166666666667</v>
      </c>
      <c r="D84" s="46">
        <f>IF(Calculations!$E24&gt;COUNT(Output!$B$35:D$35),Calculations!$B24,IF(Calculations!$E24=COUNT(Output!$B$35:D$35),Inputs!$B57-Calculations!$C24*(Calculations!$E24-1)+Calculations!$D24,0))</f>
        <v>1029.166666666667</v>
      </c>
      <c r="E84" s="46">
        <f>IF(Calculations!$E24&gt;COUNT(Output!$B$35:E$35),Calculations!$B24,IF(Calculations!$E24=COUNT(Output!$B$35:E$35),Inputs!$B57-Calculations!$C24*(Calculations!$E24-1)+Calculations!$D24,0))</f>
        <v>1279.166666666667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4366.666666666667</v>
      </c>
      <c r="AA84" s="46">
        <f>SUM(B84:M84)</f>
        <v>4366.666666666667</v>
      </c>
      <c r="AB84" s="46">
        <f>SUM(B84:Y84)</f>
        <v>4366.666666666667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144890.200250798</v>
      </c>
      <c r="C88" s="19">
        <f>SUM(C72:C82,C66,C60,C54,C48,C42,C36)</f>
        <v>194890.200250798</v>
      </c>
      <c r="D88" s="19">
        <f>SUM(D72:D82,D66,D60,D54,D48,D42,D36)</f>
        <v>144890.200250798</v>
      </c>
      <c r="E88" s="19">
        <f>SUM(E72:E82,E66,E60,E54,E48,E42,E36)</f>
        <v>145140.200250798</v>
      </c>
      <c r="F88" s="19">
        <f>SUM(F72:F82,F66,F60,F54,F48,F42,F36)</f>
        <v>143861.0335841313</v>
      </c>
      <c r="G88" s="19">
        <f>SUM(G72:G82,G66,G60,G54,G48,G42,G36)</f>
        <v>143861.0335841313</v>
      </c>
      <c r="H88" s="19">
        <f>SUM(H72:H82,H66,H60,H54,H48,H42,H36)</f>
        <v>143861.0335841313</v>
      </c>
      <c r="I88" s="19">
        <f>SUM(I72:I82,I66,I60,I54,I48,I42,I36)</f>
        <v>143861.0335841313</v>
      </c>
      <c r="J88" s="19">
        <f>SUM(J72:J82,J66,J60,J54,J48,J42,J36)</f>
        <v>143861.0335841313</v>
      </c>
      <c r="K88" s="19">
        <f>SUM(K72:K82,K66,K60,K54,K48,K42,K36)</f>
        <v>143861.0335841313</v>
      </c>
      <c r="L88" s="19">
        <f>SUM(L72:L82,L66,L60,L54,L48,L42,L36)</f>
        <v>143861.0335841313</v>
      </c>
      <c r="M88" s="19">
        <f>SUM(M72:M82,M66,M60,M54,M48,M42,M36)</f>
        <v>143861.0335841313</v>
      </c>
      <c r="N88" s="19">
        <f>SUM(N72:N82,N66,N60,N54,N48,N42,N36)</f>
        <v>143861.0335841313</v>
      </c>
      <c r="O88" s="19">
        <f>SUM(O72:O82,O66,O60,O54,O48,O42,O36)</f>
        <v>143861.0335841313</v>
      </c>
      <c r="P88" s="19">
        <f>SUM(P72:P82,P66,P60,P54,P48,P42,P36)</f>
        <v>143861.0335841313</v>
      </c>
      <c r="Q88" s="19">
        <f>SUM(Q72:Q82,Q66,Q60,Q54,Q48,Q42,Q36)</f>
        <v>143861.0335841313</v>
      </c>
      <c r="R88" s="19">
        <f>SUM(R72:R82,R66,R60,R54,R48,R42,R36)</f>
        <v>143861.0335841313</v>
      </c>
      <c r="S88" s="19">
        <f>SUM(S72:S82,S66,S60,S54,S48,S42,S36)</f>
        <v>143861.0335841313</v>
      </c>
      <c r="T88" s="19">
        <f>SUM(T72:T82,T66,T60,T54,T48,T42,T36)</f>
        <v>143861.0335841313</v>
      </c>
      <c r="U88" s="19">
        <f>SUM(U72:U82,U66,U60,U54,U48,U42,U36)</f>
        <v>143861.0335841313</v>
      </c>
      <c r="V88" s="19">
        <f>SUM(V72:V82,V66,V60,V54,V48,V42,V36)</f>
        <v>143861.0335841313</v>
      </c>
      <c r="W88" s="19">
        <f>SUM(W72:W82,W66,W60,W54,W48,W42,W36)</f>
        <v>143861.0335841313</v>
      </c>
      <c r="X88" s="19">
        <f>SUM(X72:X82,X66,X60,X54,X48,X42,X36)</f>
        <v>143861.0335841313</v>
      </c>
      <c r="Y88" s="19">
        <f>SUM(Y72:Y82,Y66,Y60,Y54,Y48,Y42,Y36)</f>
        <v>143861.0335841313</v>
      </c>
      <c r="Z88" s="19">
        <f>SUMIF($B$13:$Y$13,"Yes",B88:Y88)</f>
        <v>1924560.103260374</v>
      </c>
      <c r="AA88" s="19">
        <f>SUM(B88:M88)</f>
        <v>1780699.069676243</v>
      </c>
      <c r="AB88" s="19">
        <f>SUM(B88:Y88)</f>
        <v>3507031.472685819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20400000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1800000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400000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24400000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104000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214000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102</v>
      </c>
      <c r="D19" s="145">
        <v>5</v>
      </c>
      <c r="E19" s="20"/>
      <c r="F19" s="145" t="s">
        <v>108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37000</v>
      </c>
    </row>
    <row r="31" spans="1:48">
      <c r="A31" s="5" t="s">
        <v>116</v>
      </c>
      <c r="B31" s="158">
        <v>8000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 t="s">
        <v>122</v>
      </c>
      <c r="B35" s="159">
        <v>50000</v>
      </c>
      <c r="C35" s="145" t="s">
        <v>123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108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108</v>
      </c>
    </row>
    <row r="45" spans="1:48">
      <c r="A45" s="56" t="s">
        <v>131</v>
      </c>
      <c r="B45" s="161">
        <v>500000</v>
      </c>
    </row>
    <row r="46" spans="1:48" customHeight="1" ht="30">
      <c r="A46" s="57" t="s">
        <v>132</v>
      </c>
      <c r="B46" s="161">
        <v>400000</v>
      </c>
    </row>
    <row r="47" spans="1:48" customHeight="1" ht="30">
      <c r="A47" s="57" t="s">
        <v>133</v>
      </c>
      <c r="B47" s="161">
        <v>200000</v>
      </c>
    </row>
    <row r="48" spans="1:48" customHeight="1" ht="30">
      <c r="A48" s="57" t="s">
        <v>134</v>
      </c>
      <c r="B48" s="161">
        <v>1000000</v>
      </c>
    </row>
    <row r="49" spans="1:48" customHeight="1" ht="30">
      <c r="A49" s="57" t="s">
        <v>135</v>
      </c>
      <c r="B49" s="161">
        <v>100000</v>
      </c>
    </row>
    <row r="50" spans="1:48">
      <c r="A50" s="43"/>
      <c r="B50" s="36"/>
    </row>
    <row r="51" spans="1:48">
      <c r="A51" s="58" t="s">
        <v>136</v>
      </c>
      <c r="B51" s="161">
        <v>10000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150000</v>
      </c>
      <c r="B56" s="159">
        <v>100000</v>
      </c>
      <c r="C56" s="162" t="s">
        <v>144</v>
      </c>
      <c r="D56" s="163" t="s">
        <v>145</v>
      </c>
      <c r="E56" s="163" t="s">
        <v>108</v>
      </c>
      <c r="F56" s="163" t="s">
        <v>146</v>
      </c>
    </row>
    <row r="57" spans="1:48">
      <c r="A57" s="157">
        <v>5000</v>
      </c>
      <c r="B57" s="157">
        <v>4000</v>
      </c>
      <c r="C57" s="164" t="s">
        <v>147</v>
      </c>
      <c r="D57" s="165" t="s">
        <v>148</v>
      </c>
      <c r="E57" s="165" t="s">
        <v>108</v>
      </c>
      <c r="F57" s="165" t="s">
        <v>146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150</v>
      </c>
      <c r="C65" s="10" t="s">
        <v>151</v>
      </c>
    </row>
    <row r="66" spans="1:48">
      <c r="A66" s="142" t="s">
        <v>123</v>
      </c>
      <c r="B66" s="159">
        <v>450000</v>
      </c>
      <c r="C66" s="163">
        <v>460880</v>
      </c>
      <c r="D66" s="49">
        <f>INDEX(Parameters!$D$79:$D$90,MATCH(Inputs!A66,Parameters!$C$79:$C$90,0))</f>
        <v>1</v>
      </c>
    </row>
    <row r="67" spans="1:48">
      <c r="A67" s="143" t="s">
        <v>152</v>
      </c>
      <c r="B67" s="157">
        <v>412586</v>
      </c>
      <c r="C67" s="165">
        <v>512541</v>
      </c>
      <c r="D67" s="49">
        <f>INDEX(Parameters!$D$79:$D$90,MATCH(Inputs!A67,Parameters!$C$79:$C$90,0))</f>
        <v>2</v>
      </c>
    </row>
    <row r="68" spans="1:48">
      <c r="A68" s="143" t="s">
        <v>153</v>
      </c>
      <c r="B68" s="157">
        <v>862541</v>
      </c>
      <c r="C68" s="165">
        <v>854123</v>
      </c>
      <c r="D68" s="49">
        <f>INDEX(Parameters!$D$79:$D$90,MATCH(Inputs!A68,Parameters!$C$79:$C$90,0))</f>
        <v>3</v>
      </c>
    </row>
    <row r="69" spans="1:48">
      <c r="A69" s="143" t="s">
        <v>154</v>
      </c>
      <c r="B69" s="157">
        <v>745821</v>
      </c>
      <c r="C69" s="165">
        <v>412584</v>
      </c>
      <c r="D69" s="49">
        <f>INDEX(Parameters!$D$79:$D$90,MATCH(Inputs!A69,Parameters!$C$79:$C$90,0))</f>
        <v>4</v>
      </c>
    </row>
    <row r="70" spans="1:48">
      <c r="A70" s="143" t="s">
        <v>155</v>
      </c>
      <c r="B70" s="157">
        <v>541841</v>
      </c>
      <c r="C70" s="165">
        <v>521452</v>
      </c>
      <c r="D70" s="49">
        <f>INDEX(Parameters!$D$79:$D$90,MATCH(Inputs!A70,Parameters!$C$79:$C$90,0))</f>
        <v>5</v>
      </c>
    </row>
    <row r="71" spans="1:48">
      <c r="A71" s="144" t="s">
        <v>156</v>
      </c>
      <c r="B71" s="158">
        <v>415000</v>
      </c>
      <c r="C71" s="167">
        <v>412842</v>
      </c>
      <c r="D71" s="49">
        <f>INDEX(Parameters!$D$79:$D$90,MATCH(Inputs!A71,Parameters!$C$79:$C$90,0))</f>
        <v>6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11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100000</v>
      </c>
    </row>
    <row r="82" spans="1:48">
      <c r="A82" t="s">
        <v>166</v>
      </c>
      <c r="B82" s="161">
        <v>18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>
        <v>5</v>
      </c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465</v>
      </c>
      <c r="M4" s="25">
        <f>L4*H4</f>
        <v>930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0.2</v>
      </c>
      <c r="Q4" s="33">
        <f>M4*O4*(1-N4)*MAX(S4,1)</f>
        <v>37107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1069.5</v>
      </c>
      <c r="AB4" s="33">
        <f>H4*IFERROR(INDEX(Parameters!$A$3:$AI$17,MATCH(Calculations!A4,Parameters!$A$3:$A$17,0),MATCH(Parameters!$O$3,Parameters!$A$3:$AI$3,0)),AVERAGE(Parameters!$O$4:$O$17))*(1-Inputs!$B$25/100)</f>
        <v>21600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102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958125</v>
      </c>
      <c r="Q14" s="63">
        <f>IFERROR(D14*INDEX(Parameters!$A$22:$P$29,MATCH(Calculations!$A14,Parameters!$A$22:$A$29,0),MATCH(Parameters!$L$22,Parameters!$A$22:$P$22,0))*IF(Inputs!I19="Always",1,IF(Inputs!I19="Sometimes",0.5,0))*365,"")</f>
        <v>930750</v>
      </c>
      <c r="R14" s="63">
        <f>IFERROR(D14*INDEX(Parameters!$A$22:$P$29,MATCH(Calculations!$A14,Parameters!$A$22:$A$29,0),MATCH(Parameters!$M$22,Parameters!$A$22:$P$22,0)),"")</f>
        <v>102000</v>
      </c>
      <c r="S14" s="63">
        <f>IFERROR(D14*INDEX(Parameters!$A$22:$P$29,MATCH(Calculations!$A14,Parameters!$A$22:$A$29,0),MATCH(Parameters!$N$22,Parameters!$A$22:$P$22,0)),"")</f>
        <v>612000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138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46">
      <c r="A23" s="75">
        <f>Inputs!A56</f>
        <v>150000</v>
      </c>
      <c r="B23" s="75">
        <f>SUM(C23:D23)</f>
        <v>4801.983584131327</v>
      </c>
      <c r="C23" s="75">
        <f>IF(Inputs!B56&gt;0,(Inputs!A56-Inputs!B56)/(DATE(YEAR(Inputs!$B$76),MONTH(Inputs!$B$76),DAY(Inputs!$B$76))-DATE(YEAR(Inputs!C56),MONTH(Inputs!C56),DAY(Inputs!C56)))*30,0)</f>
        <v>2051.983584131327</v>
      </c>
      <c r="D23" s="75">
        <f>IF(Inputs!B56&gt;0,Inputs!A56*0.22/12,0)</f>
        <v>2750</v>
      </c>
      <c r="E23" s="75">
        <f>IFERROR(ROUNDUP(Inputs!B56/C23,0),0)</f>
        <v>49</v>
      </c>
    </row>
    <row r="24" spans="1:46">
      <c r="A24" s="46">
        <f>Inputs!A57</f>
        <v>5000</v>
      </c>
      <c r="B24" s="46">
        <f>SUM(C24:D24)</f>
        <v>1029.166666666667</v>
      </c>
      <c r="C24" s="46">
        <f>IF(Inputs!B57&gt;0,(Inputs!A57-Inputs!B57)/(DATE(YEAR(Inputs!$B$76),MONTH(Inputs!$B$76),DAY(Inputs!$B$76))-DATE(YEAR(Inputs!C57),MONTH(Inputs!C57),DAY(Inputs!C57)))*30,0)</f>
        <v>937.5</v>
      </c>
      <c r="D24" s="46">
        <f>IF(Inputs!B57&gt;0,Inputs!A57*0.22/12,0)</f>
        <v>91.66666666666667</v>
      </c>
      <c r="E24" s="46">
        <f>IFERROR(ROUNDUP(Inputs!B57/B24,0),0)</f>
        <v>4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Kiambu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162</v>
      </c>
      <c r="G33" s="128">
        <f>IF(Inputs!B79="","",DATE(YEAR(Inputs!B79),MONTH(Inputs!B79),DAY(Inputs!B79)))</f>
        <v>42723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163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165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166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42887</v>
      </c>
      <c r="F38" t="s">
        <v>228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42935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42917</v>
      </c>
      <c r="F39" t="s">
        <v>171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42966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42948</v>
      </c>
      <c r="F40" t="s">
        <v>172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42997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42979</v>
      </c>
      <c r="F41" t="s">
        <v>229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43027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43009</v>
      </c>
      <c r="F42" t="s">
        <v>230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43058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43088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107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95</v>
      </c>
      <c r="B41" s="191" t="s">
        <v>92</v>
      </c>
      <c r="C41" s="191" t="s">
        <v>108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107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316</v>
      </c>
      <c r="H52" s="12" t="s">
        <v>129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231</v>
      </c>
      <c r="E53" s="10" t="s">
        <v>190</v>
      </c>
      <c r="F53" s="10" t="s">
        <v>250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108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108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108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108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108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108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108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108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108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108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108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168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227</v>
      </c>
      <c r="J76" s="11" t="s">
        <v>350</v>
      </c>
      <c r="K76" s="11" t="s">
        <v>180</v>
      </c>
      <c r="AJ76" s="12"/>
    </row>
    <row r="77" spans="1:36">
      <c r="A77" t="s">
        <v>108</v>
      </c>
      <c r="B77" s="176">
        <v>0</v>
      </c>
      <c r="C77" s="12" t="s">
        <v>351</v>
      </c>
      <c r="E77" s="12" t="s">
        <v>92</v>
      </c>
      <c r="F77" s="12" t="s">
        <v>92</v>
      </c>
      <c r="G77" s="12" t="s">
        <v>352</v>
      </c>
      <c r="H77" s="12" t="s">
        <v>129</v>
      </c>
      <c r="I77" s="12" t="s">
        <v>353</v>
      </c>
      <c r="J77" s="136" t="s">
        <v>354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355</v>
      </c>
      <c r="D78" s="133"/>
      <c r="E78" s="12" t="s">
        <v>91</v>
      </c>
      <c r="F78" s="12" t="s">
        <v>356</v>
      </c>
      <c r="G78" s="12" t="s">
        <v>109</v>
      </c>
      <c r="H78" s="12" t="s">
        <v>317</v>
      </c>
      <c r="I78" s="12" t="s">
        <v>357</v>
      </c>
      <c r="J78" s="70" t="s">
        <v>90</v>
      </c>
      <c r="K78" s="12" t="s">
        <v>92</v>
      </c>
      <c r="AJ78" s="12"/>
    </row>
    <row r="79" spans="1:36">
      <c r="B79" s="176">
        <v>10</v>
      </c>
      <c r="C79" s="12" t="s">
        <v>123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168</v>
      </c>
      <c r="J79" s="70" t="s">
        <v>361</v>
      </c>
      <c r="K79" s="12" t="s">
        <v>92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362</v>
      </c>
      <c r="F80" s="12" t="s">
        <v>93</v>
      </c>
      <c r="J80" s="70" t="s">
        <v>363</v>
      </c>
      <c r="K80" s="12" t="s">
        <v>108</v>
      </c>
      <c r="AJ80" s="12"/>
    </row>
    <row r="81" spans="1:36">
      <c r="B81" s="176">
        <v>30</v>
      </c>
      <c r="C81" s="12" t="s">
        <v>153</v>
      </c>
      <c r="D81" s="12">
        <f>D80+1</f>
        <v>3</v>
      </c>
      <c r="J81" s="70" t="s">
        <v>364</v>
      </c>
      <c r="K81" s="12" t="s">
        <v>108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155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368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