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<sst xmlns="http://schemas.openxmlformats.org/spreadsheetml/2006/main" uniqueCount="366">
  <si>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</si>
  <si>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</si>
  <si>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</si>
  <si>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</si>
  <si>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</si>
  <si>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</si>
  <si>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</si>
  <si>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</si>
  <si>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</si>
  <si>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</si>
  <si>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</si>
  <si>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</si>
  <si>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</si>
  <si>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</si>
  <si>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</si>
  <si>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</si>
  <si>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</si>
  <si>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</si>
  <si>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</si>
  <si>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</si>
  <si>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</si>
  <si>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</si>
  <si>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</si>
  <si>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</si>
  <si>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</si>
  <si>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</si>
  <si>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</si>
  <si>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</si>
  <si>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</si>
  <si>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</si>
  <si>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</si>
  <si>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</si>
  <si>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</si>
  <si>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</si>
  <si>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</si>
  <si>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</si>
  <si>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</si>
  <si>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</si>
  <si>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</si>
  <si>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</si>
  <si>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</si>
  <si>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</si>
  <si>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</si>
  <si>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</si>
  <si>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</si>
  <si>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</si>
  <si>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</si>
  <si>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</si>
  <si>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</si>
  <si>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</si>
  <si>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</si>
  <si>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</si>
  <si>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</si>
  <si>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</si>
  <si>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</si>
  <si>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</si>
  <si>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</si>
  <si>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</si>
  <si>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</si>
  <si>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</si>
  <si>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</si>
  <si>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</si>
  <si>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</si>
  <si>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</si>
  <si>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</si>
  <si>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</si>
  <si>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</si>
  <si>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</si>
  <si>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</si>
  <si>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</si>
  <si>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</si>
  <si>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</si>
  <si>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</si>
  <si>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</si>
  <si>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</si>
  <si>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</si>
  <si>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</si>
  <si>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</si>
  <si>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</si>
  <si>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</si>
  <si>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</si>
  <si>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</si>
  <si>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</si>
  <si>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</si>
  <si>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</si>
  <si>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</si>
  <si>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</si>
  <si>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</si>
  <si>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</si>
  <si>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</si>
  <si>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</si>
  <si>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</si>
  <si>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</si>
  <si>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</si>
  <si>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</si>
  <si>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</si>
  <si>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</si>
  <si>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</si>
  <si>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</si>
  <si>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</si>
  <si>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</si>
  <si>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</si>
  <si>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</si>
  <si>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</si>
  <si>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</si>
  <si>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</si>
  <si>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</si>
  <si>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</si>
  <si>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</si>
  <si>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</si>
  <si>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</si>
  <si>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</si>
  <si>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</si>
  <si>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employec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</si>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</sst>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employec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0.09090981193809113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0.001191895113230036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31571.42857142857</v>
      </c>
    </row>
    <row r="17" spans="1:7">
      <c r="B17" s="1" t="s">
        <v>11</v>
      </c>
      <c r="C17" s="36">
        <f>SUM(Output!B6:M6)</f>
        <v>2078574.063102959</v>
      </c>
    </row>
    <row r="18" spans="1:7">
      <c r="B18" s="1" t="s">
        <v>12</v>
      </c>
      <c r="C18" s="36">
        <f>MIN(Output!B6:M6)</f>
        <v>29023.66316094669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317405.3473562131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317405.3473562131</v>
      </c>
      <c r="C6" s="51">
        <f>C30-C88</f>
        <v>317405.3473562131</v>
      </c>
      <c r="D6" s="51">
        <f>D30-D88</f>
        <v>317405.3473562131</v>
      </c>
      <c r="E6" s="51">
        <f>E30-E88</f>
        <v>317405.3473562131</v>
      </c>
      <c r="F6" s="51">
        <f>F30-F88</f>
        <v>317405.3473562131</v>
      </c>
      <c r="G6" s="51">
        <f>G30-G88</f>
        <v>317405.3473562131</v>
      </c>
      <c r="H6" s="51">
        <f>H30-H88</f>
        <v>29023.66316094669</v>
      </c>
      <c r="I6" s="51">
        <f>I30-I88</f>
        <v>29023.66316094669</v>
      </c>
      <c r="J6" s="51">
        <f>J30-J88</f>
        <v>29023.66316094669</v>
      </c>
      <c r="K6" s="51">
        <f>K30-K88</f>
        <v>29023.66316094669</v>
      </c>
      <c r="L6" s="51">
        <f>L30-L88</f>
        <v>29023.66316094669</v>
      </c>
      <c r="M6" s="51">
        <f>M30-M88</f>
        <v>29023.66316094669</v>
      </c>
      <c r="N6" s="51">
        <f>N30-N88</f>
        <v>317405.3473562131</v>
      </c>
      <c r="O6" s="51">
        <f>O30-O88</f>
        <v>317405.3473562131</v>
      </c>
      <c r="P6" s="51">
        <f>P30-P88</f>
        <v>317405.3473562131</v>
      </c>
      <c r="Q6" s="51">
        <f>Q30-Q88</f>
        <v>317405.3473562131</v>
      </c>
      <c r="R6" s="51">
        <f>R30-R88</f>
        <v>317405.3473562131</v>
      </c>
      <c r="S6" s="51">
        <f>S30-S88</f>
        <v>317405.3473562131</v>
      </c>
      <c r="T6" s="51">
        <f>T30-T88</f>
        <v>29023.66316094669</v>
      </c>
      <c r="U6" s="51">
        <f>U30-U88</f>
        <v>29023.66316094669</v>
      </c>
      <c r="V6" s="51">
        <f>V30-V88</f>
        <v>29023.66316094669</v>
      </c>
      <c r="W6" s="51">
        <f>W30-W88</f>
        <v>29023.66316094669</v>
      </c>
      <c r="X6" s="51">
        <f>X30-X88</f>
        <v>29023.66316094669</v>
      </c>
      <c r="Y6" s="51">
        <f>Y30-Y88</f>
        <v>29023.66316094669</v>
      </c>
      <c r="Z6" s="51">
        <f>SUMIF($B$13:$Y$13,"Yes",B6:Y6)</f>
        <v>2395979.410459172</v>
      </c>
      <c r="AA6" s="51">
        <f>AA30-AA88</f>
        <v>2078574.063102959</v>
      </c>
      <c r="AB6" s="51">
        <f>AB30-AB88</f>
        <v>4157148.126205914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100000</v>
      </c>
      <c r="D7" s="80">
        <f>IF(ISERROR(VLOOKUP(MONTH(D5),Inputs!$D$66:$D$71,1,0)),"",INDEX(Inputs!$B$66:$B$71,MATCH(MONTH(Output!D5),Inputs!$D$66:$D$71,0))-INDEX(Inputs!$C$66:$C$71,MATCH(MONTH(Output!D5),Inputs!$D$66:$D$71,0)))</f>
        <v>110000</v>
      </c>
      <c r="E7" s="80">
        <f>IF(ISERROR(VLOOKUP(MONTH(E5),Inputs!$D$66:$D$71,1,0)),"",INDEX(Inputs!$B$66:$B$71,MATCH(MONTH(Output!E5),Inputs!$D$66:$D$71,0))-INDEX(Inputs!$C$66:$C$71,MATCH(MONTH(Output!E5),Inputs!$D$66:$D$71,0)))</f>
        <v>80000</v>
      </c>
      <c r="F7" s="80">
        <f>IF(ISERROR(VLOOKUP(MONTH(F5),Inputs!$D$66:$D$71,1,0)),"",INDEX(Inputs!$B$66:$B$71,MATCH(MONTH(Output!F5),Inputs!$D$66:$D$71,0))-INDEX(Inputs!$C$66:$C$71,MATCH(MONTH(Output!F5),Inputs!$D$66:$D$71,0)))</f>
        <v>50000</v>
      </c>
      <c r="G7" s="80">
        <f>IF(ISERROR(VLOOKUP(MONTH(G5),Inputs!$D$66:$D$71,1,0)),"",INDEX(Inputs!$B$66:$B$71,MATCH(MONTH(Output!G5),Inputs!$D$66:$D$71,0))-INDEX(Inputs!$C$66:$C$71,MATCH(MONTH(Output!G5),Inputs!$D$66:$D$71,0)))</f>
        <v>80000</v>
      </c>
      <c r="H7" s="80">
        <f>IF(ISERROR(VLOOKUP(MONTH(H5),Inputs!$D$66:$D$71,1,0)),"",INDEX(Inputs!$B$66:$B$71,MATCH(MONTH(Output!H5),Inputs!$D$66:$D$71,0))-INDEX(Inputs!$C$66:$C$71,MATCH(MONTH(Output!H5),Inputs!$D$66:$D$71,0)))</f>
        <v>70000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100000</v>
      </c>
      <c r="P7" s="80">
        <f>IF(ISERROR(VLOOKUP(MONTH(P5),Inputs!$D$66:$D$71,1,0)),"",INDEX(Inputs!$B$66:$B$71,MATCH(MONTH(Output!P5),Inputs!$D$66:$D$71,0))-INDEX(Inputs!$C$66:$C$71,MATCH(MONTH(Output!P5),Inputs!$D$66:$D$71,0)))</f>
        <v>110000</v>
      </c>
      <c r="Q7" s="80">
        <f>IF(ISERROR(VLOOKUP(MONTH(Q5),Inputs!$D$66:$D$71,1,0)),"",INDEX(Inputs!$B$66:$B$71,MATCH(MONTH(Output!Q5),Inputs!$D$66:$D$71,0))-INDEX(Inputs!$C$66:$C$71,MATCH(MONTH(Output!Q5),Inputs!$D$66:$D$71,0)))</f>
        <v>80000</v>
      </c>
      <c r="R7" s="80">
        <f>IF(ISERROR(VLOOKUP(MONTH(R5),Inputs!$D$66:$D$71,1,0)),"",INDEX(Inputs!$B$66:$B$71,MATCH(MONTH(Output!R5),Inputs!$D$66:$D$71,0))-INDEX(Inputs!$C$66:$C$71,MATCH(MONTH(Output!R5),Inputs!$D$66:$D$71,0)))</f>
        <v>50000</v>
      </c>
      <c r="S7" s="80">
        <f>IF(ISERROR(VLOOKUP(MONTH(S5),Inputs!$D$66:$D$71,1,0)),"",INDEX(Inputs!$B$66:$B$71,MATCH(MONTH(Output!S5),Inputs!$D$66:$D$71,0))-INDEX(Inputs!$C$66:$C$71,MATCH(MONTH(Output!S5),Inputs!$D$66:$D$71,0)))</f>
        <v>80000</v>
      </c>
      <c r="T7" s="80">
        <f>IF(ISERROR(VLOOKUP(MONTH(T5),Inputs!$D$66:$D$71,1,0)),"",INDEX(Inputs!$B$66:$B$71,MATCH(MONTH(Output!T5),Inputs!$D$66:$D$71,0))-INDEX(Inputs!$C$66:$C$71,MATCH(MONTH(Output!T5),Inputs!$D$66:$D$71,0)))</f>
        <v>70000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3000</v>
      </c>
      <c r="H10" s="37">
        <f>SUMPRODUCT((Calculations!$D$33:$D$84=Output!H5)+0,Calculations!$C$33:$C$84)</f>
        <v>31571.42857142857</v>
      </c>
      <c r="I10" s="37">
        <f>SUMPRODUCT((Calculations!$D$33:$D$84=Output!I5)+0,Calculations!$C$33:$C$84)</f>
        <v>31571.42857142857</v>
      </c>
      <c r="J10" s="37">
        <f>SUMPRODUCT((Calculations!$D$33:$D$84=Output!J5)+0,Calculations!$C$33:$C$84)</f>
        <v>31571.42857142857</v>
      </c>
      <c r="K10" s="37">
        <f>SUMPRODUCT((Calculations!$D$33:$D$84=Output!K5)+0,Calculations!$C$33:$C$84)</f>
        <v>31571.42857142857</v>
      </c>
      <c r="L10" s="37">
        <f>SUMPRODUCT((Calculations!$D$33:$D$84=Output!L5)+0,Calculations!$C$33:$C$84)</f>
        <v>31571.42857142857</v>
      </c>
      <c r="M10" s="37">
        <f>SUMPRODUCT((Calculations!$D$33:$D$84=Output!M5)+0,Calculations!$C$33:$C$84)</f>
        <v>31571.42857142857</v>
      </c>
      <c r="N10" s="37">
        <f>SUMPRODUCT((Calculations!$D$33:$D$84=Output!N5)+0,Calculations!$C$33:$C$84)</f>
        <v>31571.42857142857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204428.5714285714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517405.3473562131</v>
      </c>
      <c r="C11" s="80">
        <f>C6+C9-C10</f>
        <v>314405.3473562131</v>
      </c>
      <c r="D11" s="80">
        <f>D6+D9-D10</f>
        <v>314405.3473562131</v>
      </c>
      <c r="E11" s="80">
        <f>E6+E9-E10</f>
        <v>314405.3473562131</v>
      </c>
      <c r="F11" s="80">
        <f>F6+F9-F10</f>
        <v>314405.3473562131</v>
      </c>
      <c r="G11" s="80">
        <f>G6+G9-G10</f>
        <v>314405.3473562131</v>
      </c>
      <c r="H11" s="80">
        <f>H6+H9-H10</f>
        <v>-2547.765410481887</v>
      </c>
      <c r="I11" s="80">
        <f>I6+I9-I10</f>
        <v>-2547.765410481887</v>
      </c>
      <c r="J11" s="80">
        <f>J6+J9-J10</f>
        <v>-2547.765410481887</v>
      </c>
      <c r="K11" s="80">
        <f>K6+K9-K10</f>
        <v>-2547.765410481887</v>
      </c>
      <c r="L11" s="80">
        <f>L6+L9-L10</f>
        <v>-2547.765410481887</v>
      </c>
      <c r="M11" s="80">
        <f>M6+M9-M10</f>
        <v>-2547.765410481887</v>
      </c>
      <c r="N11" s="80">
        <f>N6+N9-N10</f>
        <v>285833.9187847846</v>
      </c>
      <c r="O11" s="80">
        <f>O6+O9-O10</f>
        <v>317405.3473562131</v>
      </c>
      <c r="P11" s="80">
        <f>P6+P9-P10</f>
        <v>317405.3473562131</v>
      </c>
      <c r="Q11" s="80">
        <f>Q6+Q9-Q10</f>
        <v>317405.3473562131</v>
      </c>
      <c r="R11" s="80">
        <f>R6+R9-R10</f>
        <v>317405.3473562131</v>
      </c>
      <c r="S11" s="80">
        <f>S6+S9-S10</f>
        <v>317405.3473562131</v>
      </c>
      <c r="T11" s="80">
        <f>T6+T9-T10</f>
        <v>29023.66316094669</v>
      </c>
      <c r="U11" s="80">
        <f>U6+U9-U10</f>
        <v>29023.66316094669</v>
      </c>
      <c r="V11" s="80">
        <f>V6+V9-V10</f>
        <v>29023.66316094669</v>
      </c>
      <c r="W11" s="80">
        <f>W6+W9-W10</f>
        <v>29023.66316094669</v>
      </c>
      <c r="X11" s="80">
        <f>X6+X9-X10</f>
        <v>29023.66316094669</v>
      </c>
      <c r="Y11" s="80">
        <f>Y6+Y9-Y10</f>
        <v>29023.66316094669</v>
      </c>
      <c r="Z11" s="85">
        <f>SUMIF($B$13:$Y$13,"Yes",B11:Y11)</f>
        <v>2359979.410459172</v>
      </c>
      <c r="AA11" s="80">
        <f>SUM(B11:M11)</f>
        <v>2074145.491674387</v>
      </c>
      <c r="AB11" s="46">
        <f>SUM(B11:Y11)</f>
        <v>4121148.126205918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0.003593629093399951</v>
      </c>
      <c r="D12" s="82">
        <f>IF(D13="Yes",IF(SUM($B$10:D10)/(SUM($B$6:D6)+SUM($B$9:D9))&lt;0,999.99,SUM($B$10:D10)/(SUM($B$6:D6)+SUM($B$9:D9))),"")</f>
        <v>0.005207356763778308</v>
      </c>
      <c r="E12" s="82">
        <f>IF(E13="Yes",IF(SUM($B$10:E10)/(SUM($B$6:E6)+SUM($B$9:E9))&lt;0,999.99,SUM($B$10:E10)/(SUM($B$6:E6)+SUM($B$9:E9))),"")</f>
        <v>0.006124026272863528</v>
      </c>
      <c r="F12" s="82">
        <f>IF(F13="Yes",IF(SUM($B$10:F10)/(SUM($B$6:F6)+SUM($B$9:F9))&lt;0,999.99,SUM($B$10:F10)/(SUM($B$6:F6)+SUM($B$9:F9))),"")</f>
        <v>0.006715064611520783</v>
      </c>
      <c r="G12" s="82">
        <f>IF(G13="Yes",IF(SUM($B$10:G10)/(SUM($B$6:G6)+SUM($B$9:G9))&lt;0,999.99,SUM($B$10:G10)/(SUM($B$6:G6)+SUM($B$9:G9))),"")</f>
        <v>0.007127813776014213</v>
      </c>
      <c r="H12" s="82">
        <f>IF(H13="Yes",IF(SUM($B$10:H10)/(SUM($B$6:H6)+SUM($B$9:H9))&lt;0,999.99,SUM($B$10:H10)/(SUM($B$6:H6)+SUM($B$9:H9))),"")</f>
        <v>0.02182910455508903</v>
      </c>
      <c r="I12" s="82">
        <f>IF(I13="Yes",IF(SUM($B$10:I10)/(SUM($B$6:I6)+SUM($B$9:I9))&lt;0,999.99,SUM($B$10:I10)/(SUM($B$6:I6)+SUM($B$9:I9))),"")</f>
        <v>0.0361357693233549</v>
      </c>
      <c r="J12" s="82">
        <f>IF(J13="Yes",IF(SUM($B$10:J10)/(SUM($B$6:J6)+SUM($B$9:J9))&lt;0,999.99,SUM($B$10:J10)/(SUM($B$6:J6)+SUM($B$9:J9))),"")</f>
        <v>0.05006348703542995</v>
      </c>
      <c r="K12" s="82">
        <f>IF(K13="Yes",IF(SUM($B$10:K10)/(SUM($B$6:K6)+SUM($B$9:K9))&lt;0,999.99,SUM($B$10:K10)/(SUM($B$6:K6)+SUM($B$9:K9))),"")</f>
        <v>0.06362711691124502</v>
      </c>
      <c r="L12" s="82">
        <f>IF(L13="Yes",IF(SUM($B$10:L10)/(SUM($B$6:L6)+SUM($B$9:L9))&lt;0,999.99,SUM($B$10:L10)/(SUM($B$6:L6)+SUM($B$9:L9))),"")</f>
        <v>0.07684075131706258</v>
      </c>
      <c r="M12" s="82">
        <f>IF(M13="Yes",IF(SUM($B$10:M10)/(SUM($B$6:M6)+SUM($B$9:M9))&lt;0,999.99,SUM($B$10:M10)/(SUM($B$6:M6)+SUM($B$9:M9))),"")</f>
        <v>0.08971776460501832</v>
      </c>
      <c r="N12" s="82">
        <f>IF(N13="Yes",IF(SUM($B$10:N10)/(SUM($B$6:N6)+SUM($B$9:N9))&lt;0,999.99,SUM($B$10:N10)/(SUM($B$6:N6)+SUM($B$9:N9))),"")</f>
        <v>0.09090981193809113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288381.6841952665</v>
      </c>
      <c r="C18" s="36">
        <f>O18</f>
        <v>288381.6841952665</v>
      </c>
      <c r="D18" s="36">
        <f>P18</f>
        <v>288381.6841952665</v>
      </c>
      <c r="E18" s="36">
        <f>Q18</f>
        <v>288381.6841952665</v>
      </c>
      <c r="F18" s="36">
        <f>R18</f>
        <v>288381.6841952665</v>
      </c>
      <c r="G18" s="36">
        <f>S18</f>
        <v>288381.6841952665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288381.6841952665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288381.6841952665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288381.6841952665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288381.6841952665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288381.6841952665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288381.6841952665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2018671.789366866</v>
      </c>
      <c r="AA18" s="36">
        <f>SUM(B18:M18)</f>
        <v>1730290.105171599</v>
      </c>
      <c r="AB18" s="36">
        <f>SUM(B18:Y18)</f>
        <v>3460580.210343198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209000</v>
      </c>
      <c r="C24" s="36">
        <f>IFERROR(Calculations!$P14/12,"")</f>
        <v>209000</v>
      </c>
      <c r="D24" s="36">
        <f>IFERROR(Calculations!$P14/12,"")</f>
        <v>209000</v>
      </c>
      <c r="E24" s="36">
        <f>IFERROR(Calculations!$P14/12,"")</f>
        <v>209000</v>
      </c>
      <c r="F24" s="36">
        <f>IFERROR(Calculations!$P14/12,"")</f>
        <v>209000</v>
      </c>
      <c r="G24" s="36">
        <f>IFERROR(Calculations!$P14/12,"")</f>
        <v>209000</v>
      </c>
      <c r="H24" s="36">
        <f>IFERROR(Calculations!$P14/12,"")</f>
        <v>209000</v>
      </c>
      <c r="I24" s="36">
        <f>IFERROR(Calculations!$P14/12,"")</f>
        <v>209000</v>
      </c>
      <c r="J24" s="36">
        <f>IFERROR(Calculations!$P14/12,"")</f>
        <v>209000</v>
      </c>
      <c r="K24" s="36">
        <f>IFERROR(Calculations!$P14/12,"")</f>
        <v>209000</v>
      </c>
      <c r="L24" s="36">
        <f>IFERROR(Calculations!$P14/12,"")</f>
        <v>209000</v>
      </c>
      <c r="M24" s="36">
        <f>IFERROR(Calculations!$P14/12,"")</f>
        <v>209000</v>
      </c>
      <c r="N24" s="36">
        <f>IFERROR(Calculations!$P14/12,"")</f>
        <v>209000</v>
      </c>
      <c r="O24" s="36">
        <f>IFERROR(Calculations!$P14/12,"")</f>
        <v>209000</v>
      </c>
      <c r="P24" s="36">
        <f>IFERROR(Calculations!$P14/12,"")</f>
        <v>209000</v>
      </c>
      <c r="Q24" s="36">
        <f>IFERROR(Calculations!$P14/12,"")</f>
        <v>209000</v>
      </c>
      <c r="R24" s="36">
        <f>IFERROR(Calculations!$P14/12,"")</f>
        <v>209000</v>
      </c>
      <c r="S24" s="36">
        <f>IFERROR(Calculations!$P14/12,"")</f>
        <v>209000</v>
      </c>
      <c r="T24" s="36">
        <f>IFERROR(Calculations!$P14/12,"")</f>
        <v>209000</v>
      </c>
      <c r="U24" s="36">
        <f>IFERROR(Calculations!$P14/12,"")</f>
        <v>209000</v>
      </c>
      <c r="V24" s="36">
        <f>IFERROR(Calculations!$P14/12,"")</f>
        <v>209000</v>
      </c>
      <c r="W24" s="36">
        <f>IFERROR(Calculations!$P14/12,"")</f>
        <v>209000</v>
      </c>
      <c r="X24" s="36">
        <f>IFERROR(Calculations!$P14/12,"")</f>
        <v>209000</v>
      </c>
      <c r="Y24" s="36">
        <f>IFERROR(Calculations!$P14/12,"")</f>
        <v>209000</v>
      </c>
      <c r="Z24" s="36">
        <f>SUMIF($B$13:$Y$13,"Yes",B24:Y24)</f>
        <v>2717000</v>
      </c>
      <c r="AA24" s="36">
        <f>SUM(B24:M24)</f>
        <v>2508000</v>
      </c>
      <c r="AB24" s="46">
        <f>SUM(B24:Y24)</f>
        <v>5016000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517381.6841952665</v>
      </c>
      <c r="C30" s="19">
        <f>SUM(C18:C29)</f>
        <v>517381.6841952665</v>
      </c>
      <c r="D30" s="19">
        <f>SUM(D18:D29)</f>
        <v>517381.6841952665</v>
      </c>
      <c r="E30" s="19">
        <f>SUM(E18:E29)</f>
        <v>517381.6841952665</v>
      </c>
      <c r="F30" s="19">
        <f>SUM(F18:F29)</f>
        <v>517381.6841952665</v>
      </c>
      <c r="G30" s="19">
        <f>SUM(G18:G29)</f>
        <v>517381.6841952665</v>
      </c>
      <c r="H30" s="19">
        <f>SUM(H18:H29)</f>
        <v>229000</v>
      </c>
      <c r="I30" s="19">
        <f>SUM(I18:I29)</f>
        <v>229000</v>
      </c>
      <c r="J30" s="19">
        <f>SUM(J18:J29)</f>
        <v>229000</v>
      </c>
      <c r="K30" s="19">
        <f>SUM(K18:K29)</f>
        <v>229000</v>
      </c>
      <c r="L30" s="19">
        <f>SUM(L18:L29)</f>
        <v>229000</v>
      </c>
      <c r="M30" s="19">
        <f>SUM(M18:M29)</f>
        <v>229000</v>
      </c>
      <c r="N30" s="19">
        <f>SUM(N18:N29)</f>
        <v>517381.6841952665</v>
      </c>
      <c r="O30" s="19">
        <f>SUM(O18:O29)</f>
        <v>517381.6841952665</v>
      </c>
      <c r="P30" s="19">
        <f>SUM(P18:P29)</f>
        <v>517381.6841952665</v>
      </c>
      <c r="Q30" s="19">
        <f>SUM(Q18:Q29)</f>
        <v>517381.6841952665</v>
      </c>
      <c r="R30" s="19">
        <f>SUM(R18:R29)</f>
        <v>517381.6841952665</v>
      </c>
      <c r="S30" s="19">
        <f>SUM(S18:S29)</f>
        <v>517381.6841952665</v>
      </c>
      <c r="T30" s="19">
        <f>SUM(T18:T29)</f>
        <v>229000</v>
      </c>
      <c r="U30" s="19">
        <f>SUM(U18:U29)</f>
        <v>229000</v>
      </c>
      <c r="V30" s="19">
        <f>SUM(V18:V29)</f>
        <v>229000</v>
      </c>
      <c r="W30" s="19">
        <f>SUM(W18:W29)</f>
        <v>229000</v>
      </c>
      <c r="X30" s="19">
        <f>SUM(X18:X29)</f>
        <v>229000</v>
      </c>
      <c r="Y30" s="19">
        <f>SUM(Y18:Y29)</f>
        <v>229000</v>
      </c>
      <c r="Z30" s="19">
        <f>SUMIF($B$13:$Y$13,"Yes",B30:Y30)</f>
        <v>4995671.789366865</v>
      </c>
      <c r="AA30" s="19">
        <f>SUM(B30:M30)</f>
        <v>4478290.105171598</v>
      </c>
      <c r="AB30" s="19">
        <f>SUM(B30:Y30)</f>
        <v>8956580.210343195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36750</v>
      </c>
      <c r="C66" s="36">
        <f>O66</f>
        <v>36750</v>
      </c>
      <c r="D66" s="36">
        <f>P66</f>
        <v>36750</v>
      </c>
      <c r="E66" s="36">
        <f>Q66</f>
        <v>36750</v>
      </c>
      <c r="F66" s="36">
        <f>R66</f>
        <v>36750</v>
      </c>
      <c r="G66" s="36">
        <f>S66</f>
        <v>36750</v>
      </c>
      <c r="H66" s="36">
        <f>T66</f>
        <v>36750</v>
      </c>
      <c r="I66" s="36">
        <f>U66</f>
        <v>36750</v>
      </c>
      <c r="J66" s="36">
        <f>V66</f>
        <v>36750</v>
      </c>
      <c r="K66" s="36">
        <f>W66</f>
        <v>36750</v>
      </c>
      <c r="L66" s="36">
        <f>X66</f>
        <v>36750</v>
      </c>
      <c r="M66" s="36">
        <f>Y66</f>
        <v>36750</v>
      </c>
      <c r="N66" s="46">
        <f>SUM(N67:N71)</f>
        <v>36750</v>
      </c>
      <c r="O66" s="46">
        <f>SUM(O67:O71)</f>
        <v>36750</v>
      </c>
      <c r="P66" s="46">
        <f>SUM(P67:P71)</f>
        <v>36750</v>
      </c>
      <c r="Q66" s="46">
        <f>SUM(Q67:Q71)</f>
        <v>36750</v>
      </c>
      <c r="R66" s="46">
        <f>SUM(R67:R71)</f>
        <v>36750</v>
      </c>
      <c r="S66" s="46">
        <f>SUM(S67:S71)</f>
        <v>36750</v>
      </c>
      <c r="T66" s="46">
        <f>SUM(T67:T71)</f>
        <v>36750</v>
      </c>
      <c r="U66" s="46">
        <f>SUM(U67:U71)</f>
        <v>36750</v>
      </c>
      <c r="V66" s="46">
        <f>SUM(V67:V71)</f>
        <v>36750</v>
      </c>
      <c r="W66" s="46">
        <f>SUM(W67:W71)</f>
        <v>36750</v>
      </c>
      <c r="X66" s="46">
        <f>SUM(X67:X71)</f>
        <v>36750</v>
      </c>
      <c r="Y66" s="46">
        <f>SUM(Y67:Y71)</f>
        <v>36750</v>
      </c>
      <c r="Z66" s="46">
        <f>SUMIF($B$13:$Y$13,"Yes",B66:Y66)</f>
        <v>477750</v>
      </c>
      <c r="AA66" s="46">
        <f>SUM(B66:M66)</f>
        <v>441000</v>
      </c>
      <c r="AB66" s="46">
        <f>SUM(B66:Y66)</f>
        <v>882000</v>
      </c>
    </row>
    <row r="67" spans="1:30" hidden="true" outlineLevel="1">
      <c r="A67" s="181" t="str">
        <f>Calculations!$A$4</f>
        <v>Cabbages</v>
      </c>
      <c r="B67" s="36">
        <f>N67</f>
        <v>36750</v>
      </c>
      <c r="C67" s="36">
        <f>O67</f>
        <v>36750</v>
      </c>
      <c r="D67" s="36">
        <f>P67</f>
        <v>36750</v>
      </c>
      <c r="E67" s="36">
        <f>Q67</f>
        <v>36750</v>
      </c>
      <c r="F67" s="36">
        <f>R67</f>
        <v>36750</v>
      </c>
      <c r="G67" s="36">
        <f>S67</f>
        <v>36750</v>
      </c>
      <c r="H67" s="36">
        <f>T67</f>
        <v>36750</v>
      </c>
      <c r="I67" s="36">
        <f>U67</f>
        <v>36750</v>
      </c>
      <c r="J67" s="36">
        <f>V67</f>
        <v>36750</v>
      </c>
      <c r="K67" s="36">
        <f>W67</f>
        <v>36750</v>
      </c>
      <c r="L67" s="36">
        <f>X67</f>
        <v>36750</v>
      </c>
      <c r="M67" s="36">
        <f>Y67</f>
        <v>36750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36750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36750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36750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36750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36750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36750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36750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36750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36750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36750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36750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36750</v>
      </c>
      <c r="Z67" s="46">
        <f>SUMIF($B$13:$Y$13,"Yes",B67:Y67)</f>
        <v>477750</v>
      </c>
      <c r="AA67" s="46">
        <f>SUM(B67:M67)</f>
        <v>441000</v>
      </c>
      <c r="AB67" s="46">
        <f>SUM(B67:Y67)</f>
        <v>882000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30416.66666666667</v>
      </c>
      <c r="C74" s="46">
        <f>SUM(Calculations!$Q$14:$Q$16)/12</f>
        <v>30416.66666666667</v>
      </c>
      <c r="D74" s="46">
        <f>SUM(Calculations!$Q$14:$Q$16)/12</f>
        <v>30416.66666666667</v>
      </c>
      <c r="E74" s="46">
        <f>SUM(Calculations!$Q$14:$Q$16)/12</f>
        <v>30416.66666666667</v>
      </c>
      <c r="F74" s="46">
        <f>SUM(Calculations!$Q$14:$Q$16)/12</f>
        <v>30416.66666666667</v>
      </c>
      <c r="G74" s="46">
        <f>SUM(Calculations!$Q$14:$Q$16)/12</f>
        <v>30416.66666666667</v>
      </c>
      <c r="H74" s="46">
        <f>SUM(Calculations!$Q$14:$Q$16)/12</f>
        <v>30416.66666666667</v>
      </c>
      <c r="I74" s="46">
        <f>SUM(Calculations!$Q$14:$Q$16)/12</f>
        <v>30416.66666666667</v>
      </c>
      <c r="J74" s="46">
        <f>SUM(Calculations!$Q$14:$Q$16)/12</f>
        <v>30416.66666666667</v>
      </c>
      <c r="K74" s="46">
        <f>SUM(Calculations!$Q$14:$Q$16)/12</f>
        <v>30416.66666666667</v>
      </c>
      <c r="L74" s="46">
        <f>SUM(Calculations!$Q$14:$Q$16)/12</f>
        <v>30416.66666666667</v>
      </c>
      <c r="M74" s="46">
        <f>SUM(Calculations!$Q$14:$Q$16)/12</f>
        <v>30416.66666666667</v>
      </c>
      <c r="N74" s="46">
        <f>SUM(Calculations!$Q$14:$Q$16)/12</f>
        <v>30416.66666666667</v>
      </c>
      <c r="O74" s="46">
        <f>SUM(Calculations!$Q$14:$Q$16)/12</f>
        <v>30416.66666666667</v>
      </c>
      <c r="P74" s="46">
        <f>SUM(Calculations!$Q$14:$Q$16)/12</f>
        <v>30416.66666666667</v>
      </c>
      <c r="Q74" s="46">
        <f>SUM(Calculations!$Q$14:$Q$16)/12</f>
        <v>30416.66666666667</v>
      </c>
      <c r="R74" s="46">
        <f>SUM(Calculations!$Q$14:$Q$16)/12</f>
        <v>30416.66666666667</v>
      </c>
      <c r="S74" s="46">
        <f>SUM(Calculations!$Q$14:$Q$16)/12</f>
        <v>30416.66666666667</v>
      </c>
      <c r="T74" s="46">
        <f>SUM(Calculations!$Q$14:$Q$16)/12</f>
        <v>30416.66666666667</v>
      </c>
      <c r="U74" s="46">
        <f>SUM(Calculations!$Q$14:$Q$16)/12</f>
        <v>30416.66666666667</v>
      </c>
      <c r="V74" s="46">
        <f>SUM(Calculations!$Q$14:$Q$16)/12</f>
        <v>30416.66666666667</v>
      </c>
      <c r="W74" s="46">
        <f>SUM(Calculations!$Q$14:$Q$16)/12</f>
        <v>30416.66666666667</v>
      </c>
      <c r="X74" s="46">
        <f>SUM(Calculations!$Q$14:$Q$16)/12</f>
        <v>30416.66666666667</v>
      </c>
      <c r="Y74" s="46">
        <f>SUM(Calculations!$Q$14:$Q$16)/12</f>
        <v>30416.66666666667</v>
      </c>
      <c r="Z74" s="46">
        <f>SUMIF($B$13:$Y$13,"Yes",B74:Y74)</f>
        <v>395416.6666666667</v>
      </c>
      <c r="AA74" s="46">
        <f>SUM(B74:M74)</f>
        <v>365000.0000000001</v>
      </c>
      <c r="AB74" s="46">
        <f>SUM(B74:Y74)</f>
        <v>729999.9999999999</v>
      </c>
    </row>
    <row r="75" spans="1:30">
      <c r="A75" s="16" t="s">
        <v>47</v>
      </c>
      <c r="B75" s="46">
        <f>SUM(Calculations!$R$14:$R$16)/12</f>
        <v>4000</v>
      </c>
      <c r="C75" s="46">
        <f>SUM(Calculations!$R$14:$R$16)/12</f>
        <v>4000</v>
      </c>
      <c r="D75" s="46">
        <f>SUM(Calculations!$R$14:$R$16)/12</f>
        <v>4000</v>
      </c>
      <c r="E75" s="46">
        <f>SUM(Calculations!$R$14:$R$16)/12</f>
        <v>4000</v>
      </c>
      <c r="F75" s="46">
        <f>SUM(Calculations!$R$14:$R$16)/12</f>
        <v>4000</v>
      </c>
      <c r="G75" s="46">
        <f>SUM(Calculations!$R$14:$R$16)/12</f>
        <v>4000</v>
      </c>
      <c r="H75" s="46">
        <f>SUM(Calculations!$R$14:$R$16)/12</f>
        <v>4000</v>
      </c>
      <c r="I75" s="46">
        <f>SUM(Calculations!$R$14:$R$16)/12</f>
        <v>4000</v>
      </c>
      <c r="J75" s="46">
        <f>SUM(Calculations!$R$14:$R$16)/12</f>
        <v>4000</v>
      </c>
      <c r="K75" s="46">
        <f>SUM(Calculations!$R$14:$R$16)/12</f>
        <v>4000</v>
      </c>
      <c r="L75" s="46">
        <f>SUM(Calculations!$R$14:$R$16)/12</f>
        <v>4000</v>
      </c>
      <c r="M75" s="46">
        <f>SUM(Calculations!$R$14:$R$16)/12</f>
        <v>4000</v>
      </c>
      <c r="N75" s="46">
        <f>SUM(Calculations!$R$14:$R$16)/12</f>
        <v>4000</v>
      </c>
      <c r="O75" s="46">
        <f>SUM(Calculations!$R$14:$R$16)/12</f>
        <v>4000</v>
      </c>
      <c r="P75" s="46">
        <f>SUM(Calculations!$R$14:$R$16)/12</f>
        <v>4000</v>
      </c>
      <c r="Q75" s="46">
        <f>SUM(Calculations!$R$14:$R$16)/12</f>
        <v>4000</v>
      </c>
      <c r="R75" s="46">
        <f>SUM(Calculations!$R$14:$R$16)/12</f>
        <v>4000</v>
      </c>
      <c r="S75" s="46">
        <f>SUM(Calculations!$R$14:$R$16)/12</f>
        <v>4000</v>
      </c>
      <c r="T75" s="46">
        <f>SUM(Calculations!$R$14:$R$16)/12</f>
        <v>4000</v>
      </c>
      <c r="U75" s="46">
        <f>SUM(Calculations!$R$14:$R$16)/12</f>
        <v>4000</v>
      </c>
      <c r="V75" s="46">
        <f>SUM(Calculations!$R$14:$R$16)/12</f>
        <v>4000</v>
      </c>
      <c r="W75" s="46">
        <f>SUM(Calculations!$R$14:$R$16)/12</f>
        <v>4000</v>
      </c>
      <c r="X75" s="46">
        <f>SUM(Calculations!$R$14:$R$16)/12</f>
        <v>4000</v>
      </c>
      <c r="Y75" s="46">
        <f>SUM(Calculations!$R$14:$R$16)/12</f>
        <v>4000</v>
      </c>
      <c r="Z75" s="46">
        <f>SUMIF($B$13:$Y$13,"Yes",B75:Y75)</f>
        <v>52000</v>
      </c>
      <c r="AA75" s="46">
        <f>SUM(B75:M75)</f>
        <v>48000</v>
      </c>
      <c r="AB75" s="46">
        <f>SUM(B75:Y75)</f>
        <v>96000</v>
      </c>
    </row>
    <row r="76" spans="1:30">
      <c r="A76" s="16" t="s">
        <v>48</v>
      </c>
      <c r="B76" s="46">
        <f>SUM(Calculations!$S$14:$S$16)/12</f>
        <v>3333.333333333333</v>
      </c>
      <c r="C76" s="46">
        <f>SUM(Calculations!$S$14:$S$16)/12</f>
        <v>3333.333333333333</v>
      </c>
      <c r="D76" s="46">
        <f>SUM(Calculations!$S$14:$S$16)/12</f>
        <v>3333.333333333333</v>
      </c>
      <c r="E76" s="46">
        <f>SUM(Calculations!$S$14:$S$16)/12</f>
        <v>3333.333333333333</v>
      </c>
      <c r="F76" s="46">
        <f>SUM(Calculations!$S$14:$S$16)/12</f>
        <v>3333.333333333333</v>
      </c>
      <c r="G76" s="46">
        <f>SUM(Calculations!$S$14:$S$16)/12</f>
        <v>3333.333333333333</v>
      </c>
      <c r="H76" s="46">
        <f>SUM(Calculations!$S$14:$S$16)/12</f>
        <v>3333.333333333333</v>
      </c>
      <c r="I76" s="46">
        <f>SUM(Calculations!$S$14:$S$16)/12</f>
        <v>3333.333333333333</v>
      </c>
      <c r="J76" s="46">
        <f>SUM(Calculations!$S$14:$S$16)/12</f>
        <v>3333.333333333333</v>
      </c>
      <c r="K76" s="46">
        <f>SUM(Calculations!$S$14:$S$16)/12</f>
        <v>3333.333333333333</v>
      </c>
      <c r="L76" s="46">
        <f>SUM(Calculations!$S$14:$S$16)/12</f>
        <v>3333.333333333333</v>
      </c>
      <c r="M76" s="46">
        <f>SUM(Calculations!$S$14:$S$16)/12</f>
        <v>3333.333333333333</v>
      </c>
      <c r="N76" s="46">
        <f>SUM(Calculations!$S$14:$S$16)/12</f>
        <v>3333.333333333333</v>
      </c>
      <c r="O76" s="46">
        <f>SUM(Calculations!$S$14:$S$16)/12</f>
        <v>3333.333333333333</v>
      </c>
      <c r="P76" s="46">
        <f>SUM(Calculations!$S$14:$S$16)/12</f>
        <v>3333.333333333333</v>
      </c>
      <c r="Q76" s="46">
        <f>SUM(Calculations!$S$14:$S$16)/12</f>
        <v>3333.333333333333</v>
      </c>
      <c r="R76" s="46">
        <f>SUM(Calculations!$S$14:$S$16)/12</f>
        <v>3333.333333333333</v>
      </c>
      <c r="S76" s="46">
        <f>SUM(Calculations!$S$14:$S$16)/12</f>
        <v>3333.333333333333</v>
      </c>
      <c r="T76" s="46">
        <f>SUM(Calculations!$S$14:$S$16)/12</f>
        <v>3333.333333333333</v>
      </c>
      <c r="U76" s="46">
        <f>SUM(Calculations!$S$14:$S$16)/12</f>
        <v>3333.333333333333</v>
      </c>
      <c r="V76" s="46">
        <f>SUM(Calculations!$S$14:$S$16)/12</f>
        <v>3333.333333333333</v>
      </c>
      <c r="W76" s="46">
        <f>SUM(Calculations!$S$14:$S$16)/12</f>
        <v>3333.333333333333</v>
      </c>
      <c r="X76" s="46">
        <f>SUM(Calculations!$S$14:$S$16)/12</f>
        <v>3333.333333333333</v>
      </c>
      <c r="Y76" s="46">
        <f>SUM(Calculations!$S$14:$S$16)/12</f>
        <v>3333.333333333333</v>
      </c>
      <c r="Z76" s="46">
        <f>SUMIF($B$13:$Y$13,"Yes",B76:Y76)</f>
        <v>43333.33333333334</v>
      </c>
      <c r="AA76" s="46">
        <f>SUM(B76:M76)</f>
        <v>40000</v>
      </c>
      <c r="AB76" s="46">
        <f>SUM(B76:Y76)</f>
        <v>80000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115476.3368390533</v>
      </c>
      <c r="C81" s="46">
        <f>(SUM($AA$18:$AA$29)-SUM($AA$36,$AA$42,$AA$48,$AA$54,$AA$60,$AA$66,$AA$72:$AA$79))*Parameters!$B$37/12</f>
        <v>115476.3368390533</v>
      </c>
      <c r="D81" s="46">
        <f>(SUM($AA$18:$AA$29)-SUM($AA$36,$AA$42,$AA$48,$AA$54,$AA$60,$AA$66,$AA$72:$AA$79))*Parameters!$B$37/12</f>
        <v>115476.3368390533</v>
      </c>
      <c r="E81" s="46">
        <f>(SUM($AA$18:$AA$29)-SUM($AA$36,$AA$42,$AA$48,$AA$54,$AA$60,$AA$66,$AA$72:$AA$79))*Parameters!$B$37/12</f>
        <v>115476.3368390533</v>
      </c>
      <c r="F81" s="46">
        <f>(SUM($AA$18:$AA$29)-SUM($AA$36,$AA$42,$AA$48,$AA$54,$AA$60,$AA$66,$AA$72:$AA$79))*Parameters!$B$37/12</f>
        <v>115476.3368390533</v>
      </c>
      <c r="G81" s="46">
        <f>(SUM($AA$18:$AA$29)-SUM($AA$36,$AA$42,$AA$48,$AA$54,$AA$60,$AA$66,$AA$72:$AA$79))*Parameters!$B$37/12</f>
        <v>115476.3368390533</v>
      </c>
      <c r="H81" s="46">
        <f>(SUM($AA$18:$AA$29)-SUM($AA$36,$AA$42,$AA$48,$AA$54,$AA$60,$AA$66,$AA$72:$AA$79))*Parameters!$B$37/12</f>
        <v>115476.3368390533</v>
      </c>
      <c r="I81" s="46">
        <f>(SUM($AA$18:$AA$29)-SUM($AA$36,$AA$42,$AA$48,$AA$54,$AA$60,$AA$66,$AA$72:$AA$79))*Parameters!$B$37/12</f>
        <v>115476.3368390533</v>
      </c>
      <c r="J81" s="46">
        <f>(SUM($AA$18:$AA$29)-SUM($AA$36,$AA$42,$AA$48,$AA$54,$AA$60,$AA$66,$AA$72:$AA$79))*Parameters!$B$37/12</f>
        <v>115476.3368390533</v>
      </c>
      <c r="K81" s="46">
        <f>(SUM($AA$18:$AA$29)-SUM($AA$36,$AA$42,$AA$48,$AA$54,$AA$60,$AA$66,$AA$72:$AA$79))*Parameters!$B$37/12</f>
        <v>115476.3368390533</v>
      </c>
      <c r="L81" s="46">
        <f>(SUM($AA$18:$AA$29)-SUM($AA$36,$AA$42,$AA$48,$AA$54,$AA$60,$AA$66,$AA$72:$AA$79))*Parameters!$B$37/12</f>
        <v>115476.3368390533</v>
      </c>
      <c r="M81" s="46">
        <f>(SUM($AA$18:$AA$29)-SUM($AA$36,$AA$42,$AA$48,$AA$54,$AA$60,$AA$66,$AA$72:$AA$79))*Parameters!$B$37/12</f>
        <v>115476.3368390533</v>
      </c>
      <c r="N81" s="46">
        <f>(SUM($AA$18:$AA$29)-SUM($AA$36,$AA$42,$AA$48,$AA$54,$AA$60,$AA$66,$AA$72:$AA$79))*Parameters!$B$37/12</f>
        <v>115476.3368390533</v>
      </c>
      <c r="O81" s="46">
        <f>(SUM($AA$18:$AA$29)-SUM($AA$36,$AA$42,$AA$48,$AA$54,$AA$60,$AA$66,$AA$72:$AA$79))*Parameters!$B$37/12</f>
        <v>115476.3368390533</v>
      </c>
      <c r="P81" s="46">
        <f>(SUM($AA$18:$AA$29)-SUM($AA$36,$AA$42,$AA$48,$AA$54,$AA$60,$AA$66,$AA$72:$AA$79))*Parameters!$B$37/12</f>
        <v>115476.3368390533</v>
      </c>
      <c r="Q81" s="46">
        <f>(SUM($AA$18:$AA$29)-SUM($AA$36,$AA$42,$AA$48,$AA$54,$AA$60,$AA$66,$AA$72:$AA$79))*Parameters!$B$37/12</f>
        <v>115476.3368390533</v>
      </c>
      <c r="R81" s="46">
        <f>(SUM($AA$18:$AA$29)-SUM($AA$36,$AA$42,$AA$48,$AA$54,$AA$60,$AA$66,$AA$72:$AA$79))*Parameters!$B$37/12</f>
        <v>115476.3368390533</v>
      </c>
      <c r="S81" s="46">
        <f>(SUM($AA$18:$AA$29)-SUM($AA$36,$AA$42,$AA$48,$AA$54,$AA$60,$AA$66,$AA$72:$AA$79))*Parameters!$B$37/12</f>
        <v>115476.3368390533</v>
      </c>
      <c r="T81" s="46">
        <f>(SUM($AA$18:$AA$29)-SUM($AA$36,$AA$42,$AA$48,$AA$54,$AA$60,$AA$66,$AA$72:$AA$79))*Parameters!$B$37/12</f>
        <v>115476.3368390533</v>
      </c>
      <c r="U81" s="46">
        <f>(SUM($AA$18:$AA$29)-SUM($AA$36,$AA$42,$AA$48,$AA$54,$AA$60,$AA$66,$AA$72:$AA$79))*Parameters!$B$37/12</f>
        <v>115476.3368390533</v>
      </c>
      <c r="V81" s="46">
        <f>(SUM($AA$18:$AA$29)-SUM($AA$36,$AA$42,$AA$48,$AA$54,$AA$60,$AA$66,$AA$72:$AA$79))*Parameters!$B$37/12</f>
        <v>115476.3368390533</v>
      </c>
      <c r="W81" s="46">
        <f>(SUM($AA$18:$AA$29)-SUM($AA$36,$AA$42,$AA$48,$AA$54,$AA$60,$AA$66,$AA$72:$AA$79))*Parameters!$B$37/12</f>
        <v>115476.3368390533</v>
      </c>
      <c r="X81" s="46">
        <f>(SUM($AA$18:$AA$29)-SUM($AA$36,$AA$42,$AA$48,$AA$54,$AA$60,$AA$66,$AA$72:$AA$79))*Parameters!$B$37/12</f>
        <v>115476.3368390533</v>
      </c>
      <c r="Y81" s="46">
        <f>(SUM($AA$18:$AA$29)-SUM($AA$36,$AA$42,$AA$48,$AA$54,$AA$60,$AA$66,$AA$72:$AA$79))*Parameters!$B$37/12</f>
        <v>115476.3368390533</v>
      </c>
      <c r="Z81" s="46">
        <f>SUMIF($B$13:$Y$13,"Yes",B81:Y81)</f>
        <v>1501192.378907693</v>
      </c>
      <c r="AA81" s="46">
        <f>SUM(B81:M81)</f>
        <v>1385716.04206864</v>
      </c>
      <c r="AB81" s="46">
        <f>SUM(B81:Y81)</f>
        <v>2771432.084137279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199976.3368390533</v>
      </c>
      <c r="C88" s="19">
        <f>SUM(C72:C82,C66,C60,C54,C48,C42,C36)</f>
        <v>199976.3368390533</v>
      </c>
      <c r="D88" s="19">
        <f>SUM(D72:D82,D66,D60,D54,D48,D42,D36)</f>
        <v>199976.3368390533</v>
      </c>
      <c r="E88" s="19">
        <f>SUM(E72:E82,E66,E60,E54,E48,E42,E36)</f>
        <v>199976.3368390533</v>
      </c>
      <c r="F88" s="19">
        <f>SUM(F72:F82,F66,F60,F54,F48,F42,F36)</f>
        <v>199976.3368390533</v>
      </c>
      <c r="G88" s="19">
        <f>SUM(G72:G82,G66,G60,G54,G48,G42,G36)</f>
        <v>199976.3368390533</v>
      </c>
      <c r="H88" s="19">
        <f>SUM(H72:H82,H66,H60,H54,H48,H42,H36)</f>
        <v>199976.3368390533</v>
      </c>
      <c r="I88" s="19">
        <f>SUM(I72:I82,I66,I60,I54,I48,I42,I36)</f>
        <v>199976.3368390533</v>
      </c>
      <c r="J88" s="19">
        <f>SUM(J72:J82,J66,J60,J54,J48,J42,J36)</f>
        <v>199976.3368390533</v>
      </c>
      <c r="K88" s="19">
        <f>SUM(K72:K82,K66,K60,K54,K48,K42,K36)</f>
        <v>199976.3368390533</v>
      </c>
      <c r="L88" s="19">
        <f>SUM(L72:L82,L66,L60,L54,L48,L42,L36)</f>
        <v>199976.3368390533</v>
      </c>
      <c r="M88" s="19">
        <f>SUM(M72:M82,M66,M60,M54,M48,M42,M36)</f>
        <v>199976.3368390533</v>
      </c>
      <c r="N88" s="19">
        <f>SUM(N72:N82,N66,N60,N54,N48,N42,N36)</f>
        <v>199976.3368390533</v>
      </c>
      <c r="O88" s="19">
        <f>SUM(O72:O82,O66,O60,O54,O48,O42,O36)</f>
        <v>199976.3368390533</v>
      </c>
      <c r="P88" s="19">
        <f>SUM(P72:P82,P66,P60,P54,P48,P42,P36)</f>
        <v>199976.3368390533</v>
      </c>
      <c r="Q88" s="19">
        <f>SUM(Q72:Q82,Q66,Q60,Q54,Q48,Q42,Q36)</f>
        <v>199976.3368390533</v>
      </c>
      <c r="R88" s="19">
        <f>SUM(R72:R82,R66,R60,R54,R48,R42,R36)</f>
        <v>199976.3368390533</v>
      </c>
      <c r="S88" s="19">
        <f>SUM(S72:S82,S66,S60,S54,S48,S42,S36)</f>
        <v>199976.3368390533</v>
      </c>
      <c r="T88" s="19">
        <f>SUM(T72:T82,T66,T60,T54,T48,T42,T36)</f>
        <v>199976.3368390533</v>
      </c>
      <c r="U88" s="19">
        <f>SUM(U72:U82,U66,U60,U54,U48,U42,U36)</f>
        <v>199976.3368390533</v>
      </c>
      <c r="V88" s="19">
        <f>SUM(V72:V82,V66,V60,V54,V48,V42,V36)</f>
        <v>199976.3368390533</v>
      </c>
      <c r="W88" s="19">
        <f>SUM(W72:W82,W66,W60,W54,W48,W42,W36)</f>
        <v>199976.3368390533</v>
      </c>
      <c r="X88" s="19">
        <f>SUM(X72:X82,X66,X60,X54,X48,X42,X36)</f>
        <v>199976.3368390533</v>
      </c>
      <c r="Y88" s="19">
        <f>SUM(Y72:Y82,Y66,Y60,Y54,Y48,Y42,Y36)</f>
        <v>199976.3368390533</v>
      </c>
      <c r="Z88" s="19">
        <f>SUMIF($B$13:$Y$13,"Yes",B88:Y88)</f>
        <v>2599692.378907693</v>
      </c>
      <c r="AA88" s="19">
        <f>SUM(B88:M88)</f>
        <v>2399716.04206864</v>
      </c>
      <c r="AB88" s="19">
        <f>SUM(B88:Y88)</f>
        <v>4799432.084137281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167800000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>
        <v>50</v>
      </c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1000</v>
      </c>
      <c r="D19" s="145"/>
      <c r="E19" s="20"/>
      <c r="F19" s="145" t="s">
        <v>92</v>
      </c>
      <c r="G19" s="20"/>
      <c r="H19" s="20"/>
      <c r="I19" s="145" t="s">
        <v>108</v>
      </c>
      <c r="J19" s="145"/>
      <c r="K19" s="145">
        <v>5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30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20000</v>
      </c>
    </row>
    <row r="31" spans="1:48">
      <c r="A31" s="5" t="s">
        <v>115</v>
      </c>
      <c r="B31" s="158">
        <v>10000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300000</v>
      </c>
    </row>
    <row r="46" spans="1:48" customHeight="1" ht="30">
      <c r="A46" s="57" t="s">
        <v>129</v>
      </c>
      <c r="B46" s="161">
        <v>500000</v>
      </c>
    </row>
    <row r="47" spans="1:48" customHeight="1" ht="30">
      <c r="A47" s="57" t="s">
        <v>130</v>
      </c>
      <c r="B47" s="161">
        <v>200000</v>
      </c>
    </row>
    <row r="48" spans="1:48" customHeight="1" ht="30">
      <c r="A48" s="57" t="s">
        <v>131</v>
      </c>
      <c r="B48" s="161">
        <v>1500000</v>
      </c>
    </row>
    <row r="49" spans="1:48" customHeight="1" ht="30">
      <c r="A49" s="57" t="s">
        <v>132</v>
      </c>
      <c r="B49" s="161">
        <v>50000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300000</v>
      </c>
      <c r="C66" s="163">
        <v>200000</v>
      </c>
      <c r="D66" s="49">
        <f>INDEX(Parameters!$D$79:$D$90,MATCH(Inputs!A66,Parameters!$C$79:$C$90,0))</f>
        <v>1</v>
      </c>
    </row>
    <row r="67" spans="1:48">
      <c r="A67" s="143" t="s">
        <v>145</v>
      </c>
      <c r="B67" s="157">
        <v>450000</v>
      </c>
      <c r="C67" s="165">
        <v>340000</v>
      </c>
      <c r="D67" s="49">
        <f>INDEX(Parameters!$D$79:$D$90,MATCH(Inputs!A67,Parameters!$C$79:$C$90,0))</f>
        <v>2</v>
      </c>
    </row>
    <row r="68" spans="1:48">
      <c r="A68" s="143" t="s">
        <v>146</v>
      </c>
      <c r="B68" s="157">
        <v>580000</v>
      </c>
      <c r="C68" s="165">
        <v>500000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450000</v>
      </c>
      <c r="C69" s="165">
        <v>400000</v>
      </c>
      <c r="D69" s="49">
        <f>INDEX(Parameters!$D$79:$D$90,MATCH(Inputs!A69,Parameters!$C$79:$C$90,0))</f>
        <v>4</v>
      </c>
    </row>
    <row r="70" spans="1:48">
      <c r="A70" s="143" t="s">
        <v>148</v>
      </c>
      <c r="B70" s="157">
        <v>350000</v>
      </c>
      <c r="C70" s="165">
        <v>270000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250000</v>
      </c>
      <c r="C71" s="167">
        <v>180000</v>
      </c>
      <c r="D71" s="49">
        <f>INDEX(Parameters!$D$79:$D$90,MATCH(Inputs!A71,Parameters!$C$79:$C$90,0))</f>
        <v>6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3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Cabbages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5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13009.7000388842</v>
      </c>
      <c r="M4" s="25">
        <f>L4*H4</f>
        <v>130097.000388842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3460580.210343197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6060</v>
      </c>
      <c r="W4" s="33">
        <f>IFERROR(J4*H4*Parameters!$B$35+IF(OR(Inputs!F7=Parameters!$E$78,Inputs!F7=Parameters!$E$80),Calculations!H4*Parameters!$B$36,0),0)</f>
        <v>3000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105000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95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2508000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40000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Gikomba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42767</v>
      </c>
      <c r="F34" t="s">
        <v>156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42795</v>
      </c>
      <c r="F35" t="s">
        <v>158</v>
      </c>
      <c r="G35" s="27">
        <f>Inputs!B81</f>
        <v>200000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42826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42856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31571.42857142857</v>
      </c>
      <c r="D38" s="170">
        <f>IFERROR(DATE(YEAR(B38),MONTH(B38),1)," ")</f>
        <v>42887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31571.42857142857</v>
      </c>
      <c r="D39" s="170">
        <f>IFERROR(DATE(YEAR(B39),MONTH(B39),1)," ")</f>
        <v>42917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31571.42857142857</v>
      </c>
      <c r="D40" s="170">
        <f>IFERROR(DATE(YEAR(B40),MONTH(B40),1)," ")</f>
        <v>42948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31571.42857142857</v>
      </c>
      <c r="D41" s="170">
        <f>IFERROR(DATE(YEAR(B41),MONTH(B41),1)," ")</f>
        <v>42979</v>
      </c>
      <c r="F41" t="s">
        <v>222</v>
      </c>
      <c r="G41" s="73">
        <f>IFERROR(G35/(G38-G39),"")</f>
        <v>28571.42857142857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31571.42857142857</v>
      </c>
      <c r="D42" s="170">
        <f>IFERROR(DATE(YEAR(B42),MONTH(B42),1)," ")</f>
        <v>43009</v>
      </c>
      <c r="F42" t="s">
        <v>223</v>
      </c>
      <c r="G42" s="73">
        <f>IFERROR(G35*G36*IF(G37="Monthly",G38/12,IF(G37="Fortnightly",G38/(365/14),G38/(365/28)))/(G38-G40),"")</f>
        <v>3000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31571.42857142857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31571.42857142857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107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95</v>
      </c>
      <c r="B41" s="191" t="s">
        <v>308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107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126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126</v>
      </c>
      <c r="I78" s="12" t="s">
        <v>353</v>
      </c>
      <c r="J78" s="70" t="s">
        <v>354</v>
      </c>
      <c r="K78" s="12" t="s">
        <v>308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355</v>
      </c>
      <c r="F79" s="12" t="s">
        <v>356</v>
      </c>
      <c r="G79" s="12" t="s">
        <v>108</v>
      </c>
      <c r="I79" s="12" t="s">
        <v>161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358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