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<sst xmlns="http://schemas.openxmlformats.org/spreadsheetml/2006/main" uniqueCount="371">
  <si>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</si>
  <si>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</si>
  <si>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</si>
  <si>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</si>
  <si>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</si>
  <si>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</si>
  <si>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</si>
  <si>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</si>
  <si>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</si>
  <si>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</si>
  <si>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</si>
  <si>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</si>
  <si>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</si>
  <si>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</si>
  <si>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</si>
  <si>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</si>
  <si>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</si>
  <si>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</si>
  <si>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</si>
  <si>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</si>
  <si>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</si>
  <si>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</si>
  <si>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</si>
  <si>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</si>
  <si>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</si>
  <si>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</si>
  <si>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</si>
  <si>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</si>
  <si>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</si>
  <si>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</si>
  <si>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</si>
  <si>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</si>
  <si>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</si>
  <si>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</si>
  <si>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</si>
  <si>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</si>
  <si>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</si>
  <si>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</si>
  <si>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</si>
  <si>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</si>
  <si>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</si>
  <si>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</si>
  <si>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</si>
  <si>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</si>
  <si>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</si>
  <si>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</si>
  <si>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</si>
  <si>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</si>
  <si>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</si>
  <si>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</si>
  <si>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</si>
  <si>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</si>
  <si>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</si>
  <si>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</si>
  <si>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</si>
  <si>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</si>
  <si>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</si>
  <si>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</si>
  <si>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</si>
  <si>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</si>
  <si>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</si>
  <si>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</si>
  <si>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</si>
  <si>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</si>
  <si>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</si>
  <si>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</si>
  <si>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</si>
  <si>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</si>
  <si>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</si>
  <si>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</si>
  <si>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</si>
  <si>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</si>
  <si>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</si>
  <si>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</si>
  <si>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</si>
  <si>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</si>
  <si>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</si>
  <si>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</si>
  <si>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</si>
  <si>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</si>
  <si>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</si>
  <si>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</si>
  <si>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</si>
  <si>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</si>
  <si>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</si>
  <si>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</si>
  <si>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</si>
  <si>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</si>
  <si>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</si>
  <si>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</si>
  <si>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</si>
  <si>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</si>
  <si>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</si>
  <si>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</si>
  <si>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Maize</t>
  </si>
  <si>
    <t>Home recycled</t>
  </si>
  <si>
    <t>Yes both manure and inorganic</t>
  </si>
  <si>
    <t>January</t>
  </si>
  <si>
    <t>Tomatoes</t>
  </si>
  <si>
    <t>Yes using a diesel pump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</si>
  <si>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</si>
  <si>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</si>
  <si>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</si>
  <si>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</si>
  <si>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</si>
  <si>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</si>
  <si>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</si>
  <si>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</si>
  <si>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</si>
  <si>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</si>
  <si>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</si>
  <si>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</si>
  <si>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</si>
  <si>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</si>
  <si>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</si>
  <si>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</si>
  <si>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</si>
  <si>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</si>
  <si>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</si>
  <si>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</si>
  <si>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</si>
  <si>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</si>
  <si>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</si>
  <si>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</si>
  <si>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</si>
  <si>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</si>
  <si>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</si>
  <si>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</si>
  <si>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</si>
  <si>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</si>
  <si>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</si>
  <si>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</si>
  <si>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</si>
  <si>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</si>
  <si>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</si>
  <si>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</si>
  <si>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</si>
  <si>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</si>
  <si>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</si>
  <si>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</si>
  <si>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</si>
  <si>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</si>
  <si>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</si>
  <si>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</si>
  <si>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</si>
  <si>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</si>
  <si>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</si>
  <si>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</si>
  <si>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</si>
  <si>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1/7/2016</t>
  </si>
  <si>
    <t>KCB</t>
  </si>
  <si>
    <t>good loan repayment history</t>
  </si>
  <si>
    <t>12/1/2016</t>
  </si>
  <si>
    <t>Mshwari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</si>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</sst>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Tomatoes,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0.06590949878683457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0.0111265164644714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1627177.954564688</v>
      </c>
    </row>
    <row r="18" spans="1:7">
      <c r="B18" s="1" t="s">
        <v>12</v>
      </c>
      <c r="C18" s="36">
        <f>MIN(Output!B6:M6)</f>
        <v>-133372.9401043451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962990.3134082677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104000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32877.54794515943</v>
      </c>
      <c r="C6" s="51">
        <f>C30-C88</f>
        <v>-27477.21395960246</v>
      </c>
      <c r="D6" s="51">
        <f>D30-D88</f>
        <v>962990.3134082677</v>
      </c>
      <c r="E6" s="51">
        <f>E30-E88</f>
        <v>94668.73998776596</v>
      </c>
      <c r="F6" s="51">
        <f>F30-F88</f>
        <v>91668.73998776596</v>
      </c>
      <c r="G6" s="51">
        <f>G30-G88</f>
        <v>43634.3649877659</v>
      </c>
      <c r="H6" s="51">
        <f>H30-H88</f>
        <v>-124182.171417615</v>
      </c>
      <c r="I6" s="51">
        <f>I30-I88</f>
        <v>-133372.9401043451</v>
      </c>
      <c r="J6" s="51">
        <f>J30-J88</f>
        <v>862140.665181966</v>
      </c>
      <c r="K6" s="51">
        <f>K30-K88</f>
        <v>-1282.980760067992</v>
      </c>
      <c r="L6" s="51">
        <f>L30-L88</f>
        <v>-61726.36784618633</v>
      </c>
      <c r="M6" s="51">
        <f>M30-M88</f>
        <v>-112760.7428461863</v>
      </c>
      <c r="N6" s="51">
        <f>N30-N88</f>
        <v>63155.79355919454</v>
      </c>
      <c r="O6" s="51">
        <f>O30-O88</f>
        <v>2154.364987765905</v>
      </c>
      <c r="P6" s="51">
        <f>P30-P88</f>
        <v>966727.1555135308</v>
      </c>
      <c r="Q6" s="51">
        <f>Q30-Q88</f>
        <v>94668.73998776596</v>
      </c>
      <c r="R6" s="51">
        <f>R30-R88</f>
        <v>91668.73998776596</v>
      </c>
      <c r="S6" s="51">
        <f>S30-S88</f>
        <v>43634.3649877659</v>
      </c>
      <c r="T6" s="51">
        <f>T30-T88</f>
        <v>-124182.171417615</v>
      </c>
      <c r="U6" s="51">
        <f>U30-U88</f>
        <v>-133372.9401043451</v>
      </c>
      <c r="V6" s="51">
        <f>V30-V88</f>
        <v>862140.665181966</v>
      </c>
      <c r="W6" s="51">
        <f>W30-W88</f>
        <v>-1282.980760067992</v>
      </c>
      <c r="X6" s="51">
        <f>X30-X88</f>
        <v>-61726.36784618633</v>
      </c>
      <c r="Y6" s="51">
        <f>Y30-Y88</f>
        <v>-112760.7428461863</v>
      </c>
      <c r="Z6" s="51">
        <f>SUMIF($B$13:$Y$13,"Yes",B6:Y6)</f>
        <v>1690333.748123883</v>
      </c>
      <c r="AA6" s="51">
        <f>AA30-AA88</f>
        <v>1627177.954564687</v>
      </c>
      <c r="AB6" s="51">
        <f>AB30-AB88</f>
        <v>3318002.575796038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195000</v>
      </c>
      <c r="I7" s="80">
        <f>IF(ISERROR(VLOOKUP(MONTH(I5),Inputs!$D$66:$D$71,1,0)),"",INDEX(Inputs!$B$66:$B$71,MATCH(MONTH(Output!I5),Inputs!$D$66:$D$71,0))-INDEX(Inputs!$C$66:$C$71,MATCH(MONTH(Output!I5),Inputs!$D$66:$D$71,0)))</f>
        <v>94037</v>
      </c>
      <c r="J7" s="80">
        <f>IF(ISERROR(VLOOKUP(MONTH(J5),Inputs!$D$66:$D$71,1,0)),"",INDEX(Inputs!$B$66:$B$71,MATCH(MONTH(Output!J5),Inputs!$D$66:$D$71,0))-INDEX(Inputs!$C$66:$C$71,MATCH(MONTH(Output!J5),Inputs!$D$66:$D$71,0)))</f>
        <v>180378</v>
      </c>
      <c r="K7" s="80">
        <f>IF(ISERROR(VLOOKUP(MONTH(K5),Inputs!$D$66:$D$71,1,0)),"",INDEX(Inputs!$B$66:$B$71,MATCH(MONTH(Output!K5),Inputs!$D$66:$D$71,0))-INDEX(Inputs!$C$66:$C$71,MATCH(MONTH(Output!K5),Inputs!$D$66:$D$71,0)))</f>
        <v>80896</v>
      </c>
      <c r="L7" s="80">
        <f>IF(ISERROR(VLOOKUP(MONTH(L5),Inputs!$D$66:$D$71,1,0)),"",INDEX(Inputs!$B$66:$B$71,MATCH(MONTH(Output!L5),Inputs!$D$66:$D$71,0))-INDEX(Inputs!$C$66:$C$71,MATCH(MONTH(Output!L5),Inputs!$D$66:$D$71,0)))</f>
        <v>296960</v>
      </c>
      <c r="M7" s="80">
        <f>IF(ISERROR(VLOOKUP(MONTH(M5),Inputs!$D$66:$D$71,1,0)),"",INDEX(Inputs!$B$66:$B$71,MATCH(MONTH(Output!M5),Inputs!$D$66:$D$71,0))-INDEX(Inputs!$C$66:$C$71,MATCH(MONTH(Output!M5),Inputs!$D$66:$D$71,0)))</f>
        <v>170267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195000</v>
      </c>
      <c r="U7" s="80">
        <f>IF(ISERROR(VLOOKUP(MONTH(U5),Inputs!$D$66:$D$71,1,0)),"",INDEX(Inputs!$B$66:$B$71,MATCH(MONTH(Output!U5),Inputs!$D$66:$D$71,0))-INDEX(Inputs!$C$66:$C$71,MATCH(MONTH(Output!U5),Inputs!$D$66:$D$71,0)))</f>
        <v>94037</v>
      </c>
      <c r="V7" s="80">
        <f>IF(ISERROR(VLOOKUP(MONTH(V5),Inputs!$D$66:$D$71,1,0)),"",INDEX(Inputs!$B$66:$B$71,MATCH(MONTH(Output!V5),Inputs!$D$66:$D$71,0))-INDEX(Inputs!$C$66:$C$71,MATCH(MONTH(Output!V5),Inputs!$D$66:$D$71,0)))</f>
        <v>180378</v>
      </c>
      <c r="W7" s="80">
        <f>IF(ISERROR(VLOOKUP(MONTH(W5),Inputs!$D$66:$D$71,1,0)),"",INDEX(Inputs!$B$66:$B$71,MATCH(MONTH(Output!W5),Inputs!$D$66:$D$71,0))-INDEX(Inputs!$C$66:$C$71,MATCH(MONTH(Output!W5),Inputs!$D$66:$D$71,0)))</f>
        <v>80896</v>
      </c>
      <c r="X7" s="80">
        <f>IF(ISERROR(VLOOKUP(MONTH(X5),Inputs!$D$66:$D$71,1,0)),"",INDEX(Inputs!$B$66:$B$71,MATCH(MONTH(Output!X5),Inputs!$D$66:$D$71,0))-INDEX(Inputs!$C$66:$C$71,MATCH(MONTH(Output!X5),Inputs!$D$66:$D$71,0)))</f>
        <v>296960</v>
      </c>
      <c r="Y7" s="80">
        <f>IF(ISERROR(VLOOKUP(MONTH(Y5),Inputs!$D$66:$D$71,1,0)),"",INDEX(Inputs!$B$66:$B$71,MATCH(MONTH(Output!Y5),Inputs!$D$66:$D$71,0))-INDEX(Inputs!$C$66:$C$71,MATCH(MONTH(Output!Y5),Inputs!$D$66:$D$71,0)))</f>
        <v>170267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132877.5479451594</v>
      </c>
      <c r="C11" s="80">
        <f>C6+C9-C10</f>
        <v>-28977.21395960246</v>
      </c>
      <c r="D11" s="80">
        <f>D6+D9-D10</f>
        <v>961490.3134082677</v>
      </c>
      <c r="E11" s="80">
        <f>E6+E9-E10</f>
        <v>93168.73998776596</v>
      </c>
      <c r="F11" s="80">
        <f>F6+F9-F10</f>
        <v>90168.73998776596</v>
      </c>
      <c r="G11" s="80">
        <f>G6+G9-G10</f>
        <v>42134.3649877659</v>
      </c>
      <c r="H11" s="80">
        <f>H6+H9-H10</f>
        <v>-139967.8857033293</v>
      </c>
      <c r="I11" s="80">
        <f>I6+I9-I10</f>
        <v>-149158.6543900594</v>
      </c>
      <c r="J11" s="80">
        <f>J6+J9-J10</f>
        <v>846354.9508962517</v>
      </c>
      <c r="K11" s="80">
        <f>K6+K9-K10</f>
        <v>-17068.69504578228</v>
      </c>
      <c r="L11" s="80">
        <f>L6+L9-L10</f>
        <v>-77512.08213190062</v>
      </c>
      <c r="M11" s="80">
        <f>M6+M9-M10</f>
        <v>-128546.4571319006</v>
      </c>
      <c r="N11" s="80">
        <f>N6+N9-N10</f>
        <v>47370.07927348025</v>
      </c>
      <c r="O11" s="80">
        <f>O6+O9-O10</f>
        <v>2154.364987765905</v>
      </c>
      <c r="P11" s="80">
        <f>P6+P9-P10</f>
        <v>966727.1555135308</v>
      </c>
      <c r="Q11" s="80">
        <f>Q6+Q9-Q10</f>
        <v>94668.73998776596</v>
      </c>
      <c r="R11" s="80">
        <f>R6+R9-R10</f>
        <v>91668.73998776596</v>
      </c>
      <c r="S11" s="80">
        <f>S6+S9-S10</f>
        <v>43634.3649877659</v>
      </c>
      <c r="T11" s="80">
        <f>T6+T9-T10</f>
        <v>-124182.171417615</v>
      </c>
      <c r="U11" s="80">
        <f>U6+U9-U10</f>
        <v>-133372.9401043451</v>
      </c>
      <c r="V11" s="80">
        <f>V6+V9-V10</f>
        <v>862140.665181966</v>
      </c>
      <c r="W11" s="80">
        <f>W6+W9-W10</f>
        <v>-1282.980760067992</v>
      </c>
      <c r="X11" s="80">
        <f>X6+X9-X10</f>
        <v>-61726.36784618633</v>
      </c>
      <c r="Y11" s="80">
        <f>Y6+Y9-Y10</f>
        <v>-112760.7428461863</v>
      </c>
      <c r="Z11" s="85">
        <f>SUMIF($B$13:$Y$13,"Yes",B11:Y11)</f>
        <v>1672333.748123882</v>
      </c>
      <c r="AA11" s="80">
        <f>SUM(B11:M11)</f>
        <v>1624963.668850402</v>
      </c>
      <c r="AB11" s="46">
        <f>SUM(B11:Y11)</f>
        <v>3300002.575796042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0.01423145395540725</v>
      </c>
      <c r="D12" s="82">
        <f>IF(D13="Yes",IF(SUM($B$10:D10)/(SUM($B$6:D6)+SUM($B$9:D9))&lt;0,999.99,SUM($B$10:D10)/(SUM($B$6:D6)+SUM($B$9:D9))),"")</f>
        <v>0.002807961682665457</v>
      </c>
      <c r="E12" s="82">
        <f>IF(E13="Yes",IF(SUM($B$10:E10)/(SUM($B$6:E6)+SUM($B$9:E9))&lt;0,999.99,SUM($B$10:E10)/(SUM($B$6:E6)+SUM($B$9:E9))),"")</f>
        <v>0.003869105953506728</v>
      </c>
      <c r="F12" s="82">
        <f>IF(F13="Yes",IF(SUM($B$10:F10)/(SUM($B$6:F6)+SUM($B$9:F9))&lt;0,999.99,SUM($B$10:F10)/(SUM($B$6:F6)+SUM($B$9:F9))),"")</f>
        <v>0.004781912407255512</v>
      </c>
      <c r="G12" s="82">
        <f>IF(G13="Yes",IF(SUM($B$10:G10)/(SUM($B$6:G6)+SUM($B$9:G9))&lt;0,999.99,SUM($B$10:G10)/(SUM($B$6:G6)+SUM($B$9:G9))),"")</f>
        <v>0.005776506980253308</v>
      </c>
      <c r="H12" s="82">
        <f>IF(H13="Yes",IF(SUM($B$10:H10)/(SUM($B$6:H6)+SUM($B$9:H9))&lt;0,999.99,SUM($B$10:H10)/(SUM($B$6:H6)+SUM($B$9:H9))),"")</f>
        <v>0.01983146359247656</v>
      </c>
      <c r="I12" s="82">
        <f>IF(I13="Yes",IF(SUM($B$10:I10)/(SUM($B$6:I6)+SUM($B$9:I9))&lt;0,999.99,SUM($B$10:I10)/(SUM($B$6:I6)+SUM($B$9:I9))),"")</f>
        <v>0.03753953833424678</v>
      </c>
      <c r="J12" s="82">
        <f>IF(J13="Yes",IF(SUM($B$10:J10)/(SUM($B$6:J6)+SUM($B$9:J9))&lt;0,999.99,SUM($B$10:J10)/(SUM($B$6:J6)+SUM($B$9:J9))),"")</f>
        <v>0.0288274516857982</v>
      </c>
      <c r="K12" s="82">
        <f>IF(K13="Yes",IF(SUM($B$10:K10)/(SUM($B$6:K6)+SUM($B$9:K9))&lt;0,999.99,SUM($B$10:K10)/(SUM($B$6:K6)+SUM($B$9:K9))),"")</f>
        <v>0.03714789656364008</v>
      </c>
      <c r="L12" s="82">
        <f>IF(L13="Yes",IF(SUM($B$10:L10)/(SUM($B$6:L6)+SUM($B$9:L9))&lt;0,999.99,SUM($B$10:L10)/(SUM($B$6:L6)+SUM($B$9:L9))),"")</f>
        <v>0.04697361469172426</v>
      </c>
      <c r="M12" s="82">
        <f>IF(M13="Yes",IF(SUM($B$10:M10)/(SUM($B$6:M6)+SUM($B$9:M9))&lt;0,999.99,SUM($B$10:M10)/(SUM($B$6:M6)+SUM($B$9:M9))),"")</f>
        <v>0.05917993883846639</v>
      </c>
      <c r="N12" s="82">
        <f>IF(N13="Yes",IF(SUM($B$10:N10)/(SUM($B$6:N6)+SUM($B$9:N9))&lt;0,999.99,SUM($B$10:N10)/(SUM($B$6:N6)+SUM($B$9:N9))),"")</f>
        <v>0.06590949878683457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171866.5364053809</v>
      </c>
      <c r="C18" s="36">
        <f>O18</f>
        <v>171866.5364053809</v>
      </c>
      <c r="D18" s="36">
        <f>P18</f>
        <v>171866.5364053809</v>
      </c>
      <c r="E18" s="36">
        <f>Q18</f>
        <v>171866.5364053809</v>
      </c>
      <c r="F18" s="36">
        <f>R18</f>
        <v>171866.5364053809</v>
      </c>
      <c r="G18" s="36">
        <f>S18</f>
        <v>171866.5364053809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171866.5364053809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171866.5364053809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171866.5364053809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171866.5364053809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171866.5364053809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171866.5364053809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1203065.754837666</v>
      </c>
      <c r="AA18" s="36">
        <f>SUM(B18:M18)</f>
        <v>1031199.218432285</v>
      </c>
      <c r="AB18" s="36">
        <f>SUM(B18:Y18)</f>
        <v>2062398.43686457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43173.84791865599</v>
      </c>
      <c r="J19" s="36">
        <f>V19</f>
        <v>51808.61750238719</v>
      </c>
      <c r="K19" s="36">
        <f>W19</f>
        <v>60443.38708611838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43173.84791865599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51808.61750238719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60443.38708611838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155425.8525071616</v>
      </c>
      <c r="AA19" s="36">
        <f>SUM(B19:M19)</f>
        <v>155425.8525071616</v>
      </c>
      <c r="AB19" s="36">
        <f>SUM(B19:Y19)</f>
        <v>310851.7050143231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0</v>
      </c>
      <c r="C20" s="36">
        <f>O20</f>
        <v>0</v>
      </c>
      <c r="D20" s="36">
        <f>P20</f>
        <v>919042.7905257652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919042.7905257652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919042.7905257652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919042.7905257652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1838085.58105153</v>
      </c>
      <c r="AA20" s="36">
        <f>SUM(B20:M20)</f>
        <v>1838085.58105153</v>
      </c>
      <c r="AB20" s="36">
        <f>SUM(B20:Y20)</f>
        <v>3676171.162103061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162000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18208.33333333333</v>
      </c>
      <c r="C24" s="36">
        <f>IFERROR(Calculations!$P14/12,"")</f>
        <v>18208.33333333333</v>
      </c>
      <c r="D24" s="36">
        <f>IFERROR(Calculations!$P14/12,"")</f>
        <v>18208.33333333333</v>
      </c>
      <c r="E24" s="36">
        <f>IFERROR(Calculations!$P14/12,"")</f>
        <v>18208.33333333333</v>
      </c>
      <c r="F24" s="36">
        <f>IFERROR(Calculations!$P14/12,"")</f>
        <v>18208.33333333333</v>
      </c>
      <c r="G24" s="36">
        <f>IFERROR(Calculations!$P14/12,"")</f>
        <v>18208.33333333333</v>
      </c>
      <c r="H24" s="36">
        <f>IFERROR(Calculations!$P14/12,"")</f>
        <v>18208.33333333333</v>
      </c>
      <c r="I24" s="36">
        <f>IFERROR(Calculations!$P14/12,"")</f>
        <v>18208.33333333333</v>
      </c>
      <c r="J24" s="36">
        <f>IFERROR(Calculations!$P14/12,"")</f>
        <v>18208.33333333333</v>
      </c>
      <c r="K24" s="36">
        <f>IFERROR(Calculations!$P14/12,"")</f>
        <v>18208.33333333333</v>
      </c>
      <c r="L24" s="36">
        <f>IFERROR(Calculations!$P14/12,"")</f>
        <v>18208.33333333333</v>
      </c>
      <c r="M24" s="36">
        <f>IFERROR(Calculations!$P14/12,"")</f>
        <v>18208.33333333333</v>
      </c>
      <c r="N24" s="36">
        <f>IFERROR(Calculations!$P14/12,"")</f>
        <v>18208.33333333333</v>
      </c>
      <c r="O24" s="36">
        <f>IFERROR(Calculations!$P14/12,"")</f>
        <v>18208.33333333333</v>
      </c>
      <c r="P24" s="36">
        <f>IFERROR(Calculations!$P14/12,"")</f>
        <v>18208.33333333333</v>
      </c>
      <c r="Q24" s="36">
        <f>IFERROR(Calculations!$P14/12,"")</f>
        <v>18208.33333333333</v>
      </c>
      <c r="R24" s="36">
        <f>IFERROR(Calculations!$P14/12,"")</f>
        <v>18208.33333333333</v>
      </c>
      <c r="S24" s="36">
        <f>IFERROR(Calculations!$P14/12,"")</f>
        <v>18208.33333333333</v>
      </c>
      <c r="T24" s="36">
        <f>IFERROR(Calculations!$P14/12,"")</f>
        <v>18208.33333333333</v>
      </c>
      <c r="U24" s="36">
        <f>IFERROR(Calculations!$P14/12,"")</f>
        <v>18208.33333333333</v>
      </c>
      <c r="V24" s="36">
        <f>IFERROR(Calculations!$P14/12,"")</f>
        <v>18208.33333333333</v>
      </c>
      <c r="W24" s="36">
        <f>IFERROR(Calculations!$P14/12,"")</f>
        <v>18208.33333333333</v>
      </c>
      <c r="X24" s="36">
        <f>IFERROR(Calculations!$P14/12,"")</f>
        <v>18208.33333333333</v>
      </c>
      <c r="Y24" s="36">
        <f>IFERROR(Calculations!$P14/12,"")</f>
        <v>18208.33333333333</v>
      </c>
      <c r="Z24" s="36">
        <f>SUMIF($B$13:$Y$13,"Yes",B24:Y24)</f>
        <v>236708.3333333334</v>
      </c>
      <c r="AA24" s="36">
        <f>SUM(B24:M24)</f>
        <v>218500</v>
      </c>
      <c r="AB24" s="46">
        <f>SUM(B24:Y24)</f>
        <v>436999.9999999999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15833.33333333333</v>
      </c>
      <c r="C25" s="36">
        <f>IFERROR(Calculations!$P15/12,"")</f>
        <v>15833.33333333333</v>
      </c>
      <c r="D25" s="36">
        <f>IFERROR(Calculations!$P15/12,"")</f>
        <v>15833.33333333333</v>
      </c>
      <c r="E25" s="36">
        <f>IFERROR(Calculations!$P15/12,"")</f>
        <v>15833.33333333333</v>
      </c>
      <c r="F25" s="36">
        <f>IFERROR(Calculations!$P15/12,"")</f>
        <v>15833.33333333333</v>
      </c>
      <c r="G25" s="36">
        <f>IFERROR(Calculations!$P15/12,"")</f>
        <v>15833.33333333333</v>
      </c>
      <c r="H25" s="36">
        <f>IFERROR(Calculations!$P15/12,"")</f>
        <v>15833.33333333333</v>
      </c>
      <c r="I25" s="36">
        <f>IFERROR(Calculations!$P15/12,"")</f>
        <v>15833.33333333333</v>
      </c>
      <c r="J25" s="36">
        <f>IFERROR(Calculations!$P15/12,"")</f>
        <v>15833.33333333333</v>
      </c>
      <c r="K25" s="36">
        <f>IFERROR(Calculations!$P15/12,"")</f>
        <v>15833.33333333333</v>
      </c>
      <c r="L25" s="36">
        <f>IFERROR(Calculations!$P15/12,"")</f>
        <v>15833.33333333333</v>
      </c>
      <c r="M25" s="36">
        <f>IFERROR(Calculations!$P15/12,"")</f>
        <v>15833.33333333333</v>
      </c>
      <c r="N25" s="36">
        <f>IFERROR(Calculations!$P15/12,"")</f>
        <v>15833.33333333333</v>
      </c>
      <c r="O25" s="36">
        <f>IFERROR(Calculations!$P15/12,"")</f>
        <v>15833.33333333333</v>
      </c>
      <c r="P25" s="36">
        <f>IFERROR(Calculations!$P15/12,"")</f>
        <v>15833.33333333333</v>
      </c>
      <c r="Q25" s="36">
        <f>IFERROR(Calculations!$P15/12,"")</f>
        <v>15833.33333333333</v>
      </c>
      <c r="R25" s="36">
        <f>IFERROR(Calculations!$P15/12,"")</f>
        <v>15833.33333333333</v>
      </c>
      <c r="S25" s="36">
        <f>IFERROR(Calculations!$P15/12,"")</f>
        <v>15833.33333333333</v>
      </c>
      <c r="T25" s="36">
        <f>IFERROR(Calculations!$P15/12,"")</f>
        <v>15833.33333333333</v>
      </c>
      <c r="U25" s="36">
        <f>IFERROR(Calculations!$P15/12,"")</f>
        <v>15833.33333333333</v>
      </c>
      <c r="V25" s="36">
        <f>IFERROR(Calculations!$P15/12,"")</f>
        <v>15833.33333333333</v>
      </c>
      <c r="W25" s="36">
        <f>IFERROR(Calculations!$P15/12,"")</f>
        <v>15833.33333333333</v>
      </c>
      <c r="X25" s="36">
        <f>IFERROR(Calculations!$P15/12,"")</f>
        <v>15833.33333333333</v>
      </c>
      <c r="Y25" s="36">
        <f>IFERROR(Calculations!$P15/12,"")</f>
        <v>15833.33333333333</v>
      </c>
      <c r="Z25" s="36">
        <f>SUMIF($B$13:$Y$13,"Yes",B25:Y25)</f>
        <v>205833.3333333334</v>
      </c>
      <c r="AA25" s="36">
        <f>SUM(B25:M25)</f>
        <v>190000</v>
      </c>
      <c r="AB25" s="46">
        <f>SUM(B25:Y25)</f>
        <v>379999.9999999999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250000</v>
      </c>
      <c r="C29" s="37">
        <f>Inputs!$B$30</f>
        <v>250000</v>
      </c>
      <c r="D29" s="37">
        <f>Inputs!$B$30</f>
        <v>250000</v>
      </c>
      <c r="E29" s="37">
        <f>Inputs!$B$30</f>
        <v>250000</v>
      </c>
      <c r="F29" s="37">
        <f>Inputs!$B$30</f>
        <v>250000</v>
      </c>
      <c r="G29" s="37">
        <f>Inputs!$B$30</f>
        <v>250000</v>
      </c>
      <c r="H29" s="37">
        <f>Inputs!$B$30</f>
        <v>250000</v>
      </c>
      <c r="I29" s="37">
        <f>Inputs!$B$30</f>
        <v>250000</v>
      </c>
      <c r="J29" s="37">
        <f>Inputs!$B$30</f>
        <v>250000</v>
      </c>
      <c r="K29" s="37">
        <f>Inputs!$B$30</f>
        <v>250000</v>
      </c>
      <c r="L29" s="37">
        <f>Inputs!$B$30</f>
        <v>250000</v>
      </c>
      <c r="M29" s="37">
        <f>Inputs!$B$30</f>
        <v>250000</v>
      </c>
      <c r="N29" s="37">
        <f>Inputs!$B$30</f>
        <v>250000</v>
      </c>
      <c r="O29" s="37">
        <f>Inputs!$B$30</f>
        <v>250000</v>
      </c>
      <c r="P29" s="37">
        <f>Inputs!$B$30</f>
        <v>250000</v>
      </c>
      <c r="Q29" s="37">
        <f>Inputs!$B$30</f>
        <v>250000</v>
      </c>
      <c r="R29" s="37">
        <f>Inputs!$B$30</f>
        <v>250000</v>
      </c>
      <c r="S29" s="37">
        <f>Inputs!$B$30</f>
        <v>250000</v>
      </c>
      <c r="T29" s="37">
        <f>Inputs!$B$30</f>
        <v>250000</v>
      </c>
      <c r="U29" s="37">
        <f>Inputs!$B$30</f>
        <v>250000</v>
      </c>
      <c r="V29" s="37">
        <f>Inputs!$B$30</f>
        <v>250000</v>
      </c>
      <c r="W29" s="37">
        <f>Inputs!$B$30</f>
        <v>250000</v>
      </c>
      <c r="X29" s="37">
        <f>Inputs!$B$30</f>
        <v>250000</v>
      </c>
      <c r="Y29" s="37">
        <f>Inputs!$B$30</f>
        <v>250000</v>
      </c>
      <c r="Z29" s="37">
        <f>SUMIF($B$13:$Y$13,"Yes",B29:Y29)</f>
        <v>3250000</v>
      </c>
      <c r="AA29" s="37">
        <f>SUM(B29:M29)</f>
        <v>3000000</v>
      </c>
      <c r="AB29" s="37">
        <f>SUM(B29:Y29)</f>
        <v>6000000</v>
      </c>
    </row>
    <row r="30" spans="1:30" customHeight="1" ht="15.75">
      <c r="A30" s="1" t="s">
        <v>37</v>
      </c>
      <c r="B30" s="19">
        <f>SUM(B18:B29)</f>
        <v>455908.2030720476</v>
      </c>
      <c r="C30" s="19">
        <f>SUM(C18:C29)</f>
        <v>455908.2030720476</v>
      </c>
      <c r="D30" s="19">
        <f>SUM(D18:D29)</f>
        <v>1374950.993597812</v>
      </c>
      <c r="E30" s="19">
        <f>SUM(E18:E29)</f>
        <v>455908.2030720476</v>
      </c>
      <c r="F30" s="19">
        <f>SUM(F18:F29)</f>
        <v>455908.2030720476</v>
      </c>
      <c r="G30" s="19">
        <f>SUM(G18:G29)</f>
        <v>455908.2030720476</v>
      </c>
      <c r="H30" s="19">
        <f>SUM(H18:H29)</f>
        <v>284041.6666666667</v>
      </c>
      <c r="I30" s="19">
        <f>SUM(I18:I29)</f>
        <v>327215.5145853226</v>
      </c>
      <c r="J30" s="19">
        <f>SUM(J18:J29)</f>
        <v>1254893.074694819</v>
      </c>
      <c r="K30" s="19">
        <f>SUM(K18:K29)</f>
        <v>344485.053752785</v>
      </c>
      <c r="L30" s="19">
        <f>SUM(L18:L29)</f>
        <v>284041.6666666667</v>
      </c>
      <c r="M30" s="19">
        <f>SUM(M18:M29)</f>
        <v>284041.6666666667</v>
      </c>
      <c r="N30" s="19">
        <f>SUM(N18:N29)</f>
        <v>455908.2030720476</v>
      </c>
      <c r="O30" s="19">
        <f>SUM(O18:O29)</f>
        <v>455908.2030720476</v>
      </c>
      <c r="P30" s="19">
        <f>SUM(P18:P29)</f>
        <v>1374950.993597812</v>
      </c>
      <c r="Q30" s="19">
        <f>SUM(Q18:Q29)</f>
        <v>455908.2030720476</v>
      </c>
      <c r="R30" s="19">
        <f>SUM(R18:R29)</f>
        <v>455908.2030720476</v>
      </c>
      <c r="S30" s="19">
        <f>SUM(S18:S29)</f>
        <v>455908.2030720476</v>
      </c>
      <c r="T30" s="19">
        <f>SUM(T18:T29)</f>
        <v>284041.6666666667</v>
      </c>
      <c r="U30" s="19">
        <f>SUM(U18:U29)</f>
        <v>327215.5145853226</v>
      </c>
      <c r="V30" s="19">
        <f>SUM(V18:V29)</f>
        <v>1254893.074694819</v>
      </c>
      <c r="W30" s="19">
        <f>SUM(W18:W29)</f>
        <v>344485.053752785</v>
      </c>
      <c r="X30" s="19">
        <f>SUM(X18:X29)</f>
        <v>284041.6666666667</v>
      </c>
      <c r="Y30" s="19">
        <f>SUM(Y18:Y29)</f>
        <v>284041.6666666667</v>
      </c>
      <c r="Z30" s="19">
        <f>SUMIF($B$13:$Y$13,"Yes",B30:Y30)</f>
        <v>6889118.855063025</v>
      </c>
      <c r="AA30" s="19">
        <f>SUM(B30:M30)</f>
        <v>6433210.651990977</v>
      </c>
      <c r="AB30" s="19">
        <f>SUM(B30:Y30)</f>
        <v>12866421.30398195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300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300</v>
      </c>
      <c r="N36" s="36">
        <f>SUM(N37:N41)</f>
        <v>0</v>
      </c>
      <c r="O36" s="36">
        <f>SUM(O37:O41)</f>
        <v>20000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300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300</v>
      </c>
      <c r="Z36" s="36">
        <f>SUMIF($B$13:$Y$13,"Yes",B36:Y36)</f>
        <v>20600</v>
      </c>
      <c r="AA36" s="36">
        <f>SUM(B36:M36)</f>
        <v>20600</v>
      </c>
      <c r="AB36" s="36">
        <f>SUM(B36:Y36)</f>
        <v>41200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20000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20000</v>
      </c>
      <c r="AA38" s="36">
        <f>SUM(B38:M38)</f>
        <v>20000</v>
      </c>
      <c r="AB38" s="36">
        <f>SUM(B38:Y38)</f>
        <v>40000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300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300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300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300</v>
      </c>
      <c r="Z39" s="36">
        <f>SUMIF($B$13:$Y$13,"Yes",B39:Y39)</f>
        <v>600</v>
      </c>
      <c r="AA39" s="36">
        <f>SUM(B39:M39)</f>
        <v>600</v>
      </c>
      <c r="AB39" s="36">
        <f>SUM(B39:Y39)</f>
        <v>1200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3030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3750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3750</v>
      </c>
      <c r="N42" s="36">
        <f>SUM(N43:N47)</f>
        <v>0</v>
      </c>
      <c r="O42" s="36">
        <f>SUM(O43:O47)</f>
        <v>3030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3750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3750</v>
      </c>
      <c r="Z42" s="36">
        <f>SUMIF($B$13:$Y$13,"Yes",B42:Y42)</f>
        <v>10530</v>
      </c>
      <c r="AA42" s="36">
        <f>SUM(B42:M42)</f>
        <v>10530</v>
      </c>
      <c r="AB42" s="36">
        <f>SUM(B42:Y42)</f>
        <v>21060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3030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3030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3030</v>
      </c>
      <c r="AA44" s="36">
        <f>SUM(B44:M44)</f>
        <v>3030</v>
      </c>
      <c r="AB44" s="36">
        <f>SUM(B44:Y44)</f>
        <v>6060.000000000001</v>
      </c>
    </row>
    <row r="45" spans="1:30" hidden="true" outlineLevel="1">
      <c r="A45" s="181" t="str">
        <f>Calculations!$A$6</f>
        <v>Tomatoes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3750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3750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3750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3750</v>
      </c>
      <c r="Z45" s="36">
        <f>SUMIF($B$13:$Y$13,"Yes",B45:Y45)</f>
        <v>7500</v>
      </c>
      <c r="AA45" s="36">
        <f>SUM(B45:M45)</f>
        <v>7500</v>
      </c>
      <c r="AB45" s="36">
        <f>SUM(B45:Y45)</f>
        <v>15000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22500</v>
      </c>
      <c r="D48" s="36">
        <f>P48</f>
        <v>0</v>
      </c>
      <c r="E48" s="36">
        <f>Q48</f>
        <v>0</v>
      </c>
      <c r="F48" s="36">
        <f>R48</f>
        <v>3000</v>
      </c>
      <c r="G48" s="36">
        <f>S48</f>
        <v>0</v>
      </c>
      <c r="H48" s="36">
        <f>T48</f>
        <v>0</v>
      </c>
      <c r="I48" s="36">
        <f>U48</f>
        <v>22500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22500</v>
      </c>
      <c r="P48" s="46">
        <f>SUM(P49:P53)</f>
        <v>0</v>
      </c>
      <c r="Q48" s="46">
        <f>SUM(Q49:Q53)</f>
        <v>0</v>
      </c>
      <c r="R48" s="46">
        <f>SUM(R49:R53)</f>
        <v>3000</v>
      </c>
      <c r="S48" s="46">
        <f>SUM(S49:S53)</f>
        <v>0</v>
      </c>
      <c r="T48" s="46">
        <f>SUM(T49:T53)</f>
        <v>0</v>
      </c>
      <c r="U48" s="46">
        <f>SUM(U49:U53)</f>
        <v>22500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48000</v>
      </c>
      <c r="AA48" s="46">
        <f>SUM(B48:M48)</f>
        <v>48000</v>
      </c>
      <c r="AB48" s="46">
        <f>SUM(B48:Y48)</f>
        <v>96000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3000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3000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3000</v>
      </c>
      <c r="AA50" s="46">
        <f>SUM(B50:M50)</f>
        <v>3000</v>
      </c>
      <c r="AB50" s="46">
        <f>SUM(B50:Y50)</f>
        <v>6000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22500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22500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22500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22500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45000</v>
      </c>
      <c r="AA51" s="46">
        <f>SUM(B51:M51)</f>
        <v>45000</v>
      </c>
      <c r="AB51" s="46">
        <f>SUM(B51:Y51)</f>
        <v>90000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29864.6166053861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29864.6166053861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29864.6166053861</v>
      </c>
      <c r="AA54" s="46">
        <f>SUM(B54:M54)</f>
        <v>29864.6166053861</v>
      </c>
      <c r="AB54" s="46">
        <f>SUM(B54:Y54)</f>
        <v>59729.2332107722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29864.6166053861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29864.6166053861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29864.6166053861</v>
      </c>
      <c r="AA56" s="46">
        <f>SUM(B56:M56)</f>
        <v>29864.6166053861</v>
      </c>
      <c r="AB56" s="46">
        <f>SUM(B56:Y56)</f>
        <v>59729.2332107722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7500</v>
      </c>
      <c r="C60" s="36">
        <f>O60</f>
        <v>7500</v>
      </c>
      <c r="D60" s="36">
        <f>P60</f>
        <v>7500</v>
      </c>
      <c r="E60" s="36">
        <f>Q60</f>
        <v>0</v>
      </c>
      <c r="F60" s="36">
        <f>R60</f>
        <v>0</v>
      </c>
      <c r="G60" s="36">
        <f>S60</f>
        <v>7500</v>
      </c>
      <c r="H60" s="36">
        <f>T60</f>
        <v>7500</v>
      </c>
      <c r="I60" s="36">
        <f>U60</f>
        <v>7500</v>
      </c>
      <c r="J60" s="36">
        <f>V60</f>
        <v>7500</v>
      </c>
      <c r="K60" s="36">
        <f>W60</f>
        <v>0</v>
      </c>
      <c r="L60" s="36">
        <f>X60</f>
        <v>0</v>
      </c>
      <c r="M60" s="36">
        <f>Y60</f>
        <v>7500</v>
      </c>
      <c r="N60" s="46">
        <f>SUM(N61:N65)</f>
        <v>7500</v>
      </c>
      <c r="O60" s="46">
        <f>SUM(O61:O65)</f>
        <v>7500</v>
      </c>
      <c r="P60" s="46">
        <f>SUM(P61:P65)</f>
        <v>7500</v>
      </c>
      <c r="Q60" s="46">
        <f>SUM(Q61:Q65)</f>
        <v>0</v>
      </c>
      <c r="R60" s="46">
        <f>SUM(R61:R65)</f>
        <v>0</v>
      </c>
      <c r="S60" s="46">
        <f>SUM(S61:S65)</f>
        <v>7500</v>
      </c>
      <c r="T60" s="46">
        <f>SUM(T61:T65)</f>
        <v>7500</v>
      </c>
      <c r="U60" s="46">
        <f>SUM(U61:U65)</f>
        <v>7500</v>
      </c>
      <c r="V60" s="46">
        <f>SUM(V61:V65)</f>
        <v>7500</v>
      </c>
      <c r="W60" s="46">
        <f>SUM(W61:W65)</f>
        <v>0</v>
      </c>
      <c r="X60" s="46">
        <f>SUM(X61:X65)</f>
        <v>0</v>
      </c>
      <c r="Y60" s="46">
        <f>SUM(Y61:Y65)</f>
        <v>7500</v>
      </c>
      <c r="Z60" s="46">
        <f>SUMIF($B$13:$Y$13,"Yes",B60:Y60)</f>
        <v>67500</v>
      </c>
      <c r="AA60" s="46">
        <f>SUM(B60:M60)</f>
        <v>60000</v>
      </c>
      <c r="AB60" s="46">
        <f>SUM(B60:Y60)</f>
        <v>120000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Tomatoes</v>
      </c>
      <c r="B63" s="36">
        <f>N63</f>
        <v>7500</v>
      </c>
      <c r="C63" s="36">
        <f>O63</f>
        <v>7500</v>
      </c>
      <c r="D63" s="36">
        <f>P63</f>
        <v>7500</v>
      </c>
      <c r="E63" s="36">
        <f>Q63</f>
        <v>0</v>
      </c>
      <c r="F63" s="36">
        <f>R63</f>
        <v>0</v>
      </c>
      <c r="G63" s="36">
        <f>S63</f>
        <v>7500</v>
      </c>
      <c r="H63" s="36">
        <f>T63</f>
        <v>7500</v>
      </c>
      <c r="I63" s="36">
        <f>U63</f>
        <v>7500</v>
      </c>
      <c r="J63" s="36">
        <f>V63</f>
        <v>7500</v>
      </c>
      <c r="K63" s="36">
        <f>W63</f>
        <v>0</v>
      </c>
      <c r="L63" s="36">
        <f>X63</f>
        <v>0</v>
      </c>
      <c r="M63" s="36">
        <f>Y63</f>
        <v>7500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7500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7500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7500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7500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7500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7500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7500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7500</v>
      </c>
      <c r="Z63" s="46">
        <f>SUMIF($B$13:$Y$13,"Yes",B63:Y63)</f>
        <v>67500</v>
      </c>
      <c r="AA63" s="46">
        <f>SUM(B63:M63)</f>
        <v>60000</v>
      </c>
      <c r="AB63" s="46">
        <f>SUM(B63:Y63)</f>
        <v>120000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129734.375</v>
      </c>
      <c r="C66" s="36">
        <f>O66</f>
        <v>145205.8035714286</v>
      </c>
      <c r="D66" s="36">
        <f>P66</f>
        <v>145205.8035714286</v>
      </c>
      <c r="E66" s="36">
        <f>Q66</f>
        <v>105721.4285714286</v>
      </c>
      <c r="F66" s="36">
        <f>R66</f>
        <v>105721.4285714286</v>
      </c>
      <c r="G66" s="36">
        <f>S66</f>
        <v>145205.8035714286</v>
      </c>
      <c r="H66" s="36">
        <f>T66</f>
        <v>145205.8035714286</v>
      </c>
      <c r="I66" s="36">
        <f>U66</f>
        <v>145205.8035714286</v>
      </c>
      <c r="J66" s="36">
        <f>V66</f>
        <v>129734.375</v>
      </c>
      <c r="K66" s="36">
        <f>W66</f>
        <v>90250</v>
      </c>
      <c r="L66" s="36">
        <f>X66</f>
        <v>90250</v>
      </c>
      <c r="M66" s="36">
        <f>Y66</f>
        <v>129734.375</v>
      </c>
      <c r="N66" s="46">
        <f>SUM(N67:N71)</f>
        <v>129734.375</v>
      </c>
      <c r="O66" s="46">
        <f>SUM(O67:O71)</f>
        <v>145205.8035714286</v>
      </c>
      <c r="P66" s="46">
        <f>SUM(P67:P71)</f>
        <v>145205.8035714286</v>
      </c>
      <c r="Q66" s="46">
        <f>SUM(Q67:Q71)</f>
        <v>105721.4285714286</v>
      </c>
      <c r="R66" s="46">
        <f>SUM(R67:R71)</f>
        <v>105721.4285714286</v>
      </c>
      <c r="S66" s="46">
        <f>SUM(S67:S71)</f>
        <v>145205.8035714286</v>
      </c>
      <c r="T66" s="46">
        <f>SUM(T67:T71)</f>
        <v>145205.8035714286</v>
      </c>
      <c r="U66" s="46">
        <f>SUM(U67:U71)</f>
        <v>145205.8035714286</v>
      </c>
      <c r="V66" s="46">
        <f>SUM(V67:V71)</f>
        <v>129734.375</v>
      </c>
      <c r="W66" s="46">
        <f>SUM(W67:W71)</f>
        <v>90250</v>
      </c>
      <c r="X66" s="46">
        <f>SUM(X67:X71)</f>
        <v>90250</v>
      </c>
      <c r="Y66" s="46">
        <f>SUM(Y67:Y71)</f>
        <v>129734.375</v>
      </c>
      <c r="Z66" s="46">
        <f>SUMIF($B$13:$Y$13,"Yes",B66:Y66)</f>
        <v>1636909.375</v>
      </c>
      <c r="AA66" s="46">
        <f>SUM(B66:M66)</f>
        <v>1507175</v>
      </c>
      <c r="AB66" s="46">
        <f>SUM(B66:Y66)</f>
        <v>3014350</v>
      </c>
    </row>
    <row r="67" spans="1:30" hidden="true" outlineLevel="1">
      <c r="A67" s="181" t="str">
        <f>Calculations!$A$4</f>
        <v>Wheat</v>
      </c>
      <c r="B67" s="36">
        <f>N67</f>
        <v>90250</v>
      </c>
      <c r="C67" s="36">
        <f>O67</f>
        <v>90250</v>
      </c>
      <c r="D67" s="36">
        <f>P67</f>
        <v>90250</v>
      </c>
      <c r="E67" s="36">
        <f>Q67</f>
        <v>90250</v>
      </c>
      <c r="F67" s="36">
        <f>R67</f>
        <v>90250</v>
      </c>
      <c r="G67" s="36">
        <f>S67</f>
        <v>90250</v>
      </c>
      <c r="H67" s="36">
        <f>T67</f>
        <v>90250</v>
      </c>
      <c r="I67" s="36">
        <f>U67</f>
        <v>90250</v>
      </c>
      <c r="J67" s="36">
        <f>V67</f>
        <v>90250</v>
      </c>
      <c r="K67" s="36">
        <f>W67</f>
        <v>90250</v>
      </c>
      <c r="L67" s="36">
        <f>X67</f>
        <v>90250</v>
      </c>
      <c r="M67" s="36">
        <f>Y67</f>
        <v>90250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90250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90250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90250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90250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90250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90250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90250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90250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90250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90250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90250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90250</v>
      </c>
      <c r="Z67" s="46">
        <f>SUMIF($B$13:$Y$13,"Yes",B67:Y67)</f>
        <v>1173250</v>
      </c>
      <c r="AA67" s="46">
        <f>SUM(B67:M67)</f>
        <v>1083000</v>
      </c>
      <c r="AB67" s="46">
        <f>SUM(B67:Y67)</f>
        <v>2166000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15471.42857142857</v>
      </c>
      <c r="D68" s="36">
        <f>P68</f>
        <v>15471.42857142857</v>
      </c>
      <c r="E68" s="36">
        <f>Q68</f>
        <v>15471.42857142857</v>
      </c>
      <c r="F68" s="36">
        <f>R68</f>
        <v>15471.42857142857</v>
      </c>
      <c r="G68" s="36">
        <f>S68</f>
        <v>15471.42857142857</v>
      </c>
      <c r="H68" s="36">
        <f>T68</f>
        <v>15471.42857142857</v>
      </c>
      <c r="I68" s="36">
        <f>U68</f>
        <v>15471.42857142857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15471.42857142857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15471.42857142857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15471.42857142857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15471.42857142857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15471.42857142857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15471.42857142857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15471.42857142857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108300</v>
      </c>
      <c r="AA68" s="46">
        <f>SUM(B68:M68)</f>
        <v>108300</v>
      </c>
      <c r="AB68" s="46">
        <f>SUM(B68:Y68)</f>
        <v>216600</v>
      </c>
    </row>
    <row r="69" spans="1:30" hidden="true" outlineLevel="1">
      <c r="A69" s="181" t="str">
        <f>Calculations!$A$6</f>
        <v>Tomatoes</v>
      </c>
      <c r="B69" s="36">
        <f>N69</f>
        <v>39484.375</v>
      </c>
      <c r="C69" s="36">
        <f>O69</f>
        <v>39484.375</v>
      </c>
      <c r="D69" s="36">
        <f>P69</f>
        <v>39484.375</v>
      </c>
      <c r="E69" s="36">
        <f>Q69</f>
        <v>0</v>
      </c>
      <c r="F69" s="36">
        <f>R69</f>
        <v>0</v>
      </c>
      <c r="G69" s="36">
        <f>S69</f>
        <v>39484.375</v>
      </c>
      <c r="H69" s="36">
        <f>T69</f>
        <v>39484.375</v>
      </c>
      <c r="I69" s="36">
        <f>U69</f>
        <v>39484.375</v>
      </c>
      <c r="J69" s="36">
        <f>V69</f>
        <v>39484.375</v>
      </c>
      <c r="K69" s="36">
        <f>W69</f>
        <v>0</v>
      </c>
      <c r="L69" s="36">
        <f>X69</f>
        <v>0</v>
      </c>
      <c r="M69" s="36">
        <f>Y69</f>
        <v>39484.375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39484.375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39484.375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39484.375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39484.375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39484.375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39484.375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39484.375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39484.375</v>
      </c>
      <c r="Z69" s="46">
        <f>SUMIF($B$13:$Y$13,"Yes",B69:Y69)</f>
        <v>355359.375</v>
      </c>
      <c r="AA69" s="46">
        <f>SUM(B69:M69)</f>
        <v>315875</v>
      </c>
      <c r="AB69" s="46">
        <f>SUM(B69:Y69)</f>
        <v>631750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4833.333333333333</v>
      </c>
      <c r="C75" s="46">
        <f>SUM(Calculations!$R$14:$R$16)/12</f>
        <v>4833.333333333333</v>
      </c>
      <c r="D75" s="46">
        <f>SUM(Calculations!$R$14:$R$16)/12</f>
        <v>4833.333333333333</v>
      </c>
      <c r="E75" s="46">
        <f>SUM(Calculations!$R$14:$R$16)/12</f>
        <v>4833.333333333333</v>
      </c>
      <c r="F75" s="46">
        <f>SUM(Calculations!$R$14:$R$16)/12</f>
        <v>4833.333333333333</v>
      </c>
      <c r="G75" s="46">
        <f>SUM(Calculations!$R$14:$R$16)/12</f>
        <v>4833.333333333333</v>
      </c>
      <c r="H75" s="46">
        <f>SUM(Calculations!$R$14:$R$16)/12</f>
        <v>4833.333333333333</v>
      </c>
      <c r="I75" s="46">
        <f>SUM(Calculations!$R$14:$R$16)/12</f>
        <v>4833.333333333333</v>
      </c>
      <c r="J75" s="46">
        <f>SUM(Calculations!$R$14:$R$16)/12</f>
        <v>4833.333333333333</v>
      </c>
      <c r="K75" s="46">
        <f>SUM(Calculations!$R$14:$R$16)/12</f>
        <v>4833.333333333333</v>
      </c>
      <c r="L75" s="46">
        <f>SUM(Calculations!$R$14:$R$16)/12</f>
        <v>4833.333333333333</v>
      </c>
      <c r="M75" s="46">
        <f>SUM(Calculations!$R$14:$R$16)/12</f>
        <v>4833.333333333333</v>
      </c>
      <c r="N75" s="46">
        <f>SUM(Calculations!$R$14:$R$16)/12</f>
        <v>4833.333333333333</v>
      </c>
      <c r="O75" s="46">
        <f>SUM(Calculations!$R$14:$R$16)/12</f>
        <v>4833.333333333333</v>
      </c>
      <c r="P75" s="46">
        <f>SUM(Calculations!$R$14:$R$16)/12</f>
        <v>4833.333333333333</v>
      </c>
      <c r="Q75" s="46">
        <f>SUM(Calculations!$R$14:$R$16)/12</f>
        <v>4833.333333333333</v>
      </c>
      <c r="R75" s="46">
        <f>SUM(Calculations!$R$14:$R$16)/12</f>
        <v>4833.333333333333</v>
      </c>
      <c r="S75" s="46">
        <f>SUM(Calculations!$R$14:$R$16)/12</f>
        <v>4833.333333333333</v>
      </c>
      <c r="T75" s="46">
        <f>SUM(Calculations!$R$14:$R$16)/12</f>
        <v>4833.333333333333</v>
      </c>
      <c r="U75" s="46">
        <f>SUM(Calculations!$R$14:$R$16)/12</f>
        <v>4833.333333333333</v>
      </c>
      <c r="V75" s="46">
        <f>SUM(Calculations!$R$14:$R$16)/12</f>
        <v>4833.333333333333</v>
      </c>
      <c r="W75" s="46">
        <f>SUM(Calculations!$R$14:$R$16)/12</f>
        <v>4833.333333333333</v>
      </c>
      <c r="X75" s="46">
        <f>SUM(Calculations!$R$14:$R$16)/12</f>
        <v>4833.333333333333</v>
      </c>
      <c r="Y75" s="46">
        <f>SUM(Calculations!$R$14:$R$16)/12</f>
        <v>4833.333333333333</v>
      </c>
      <c r="Z75" s="46">
        <f>SUMIF($B$13:$Y$13,"Yes",B75:Y75)</f>
        <v>62833.33333333334</v>
      </c>
      <c r="AA75" s="46">
        <f>SUM(B75:M75)</f>
        <v>58000.00000000001</v>
      </c>
      <c r="AB75" s="46">
        <f>SUM(B75:Y75)</f>
        <v>116000</v>
      </c>
    </row>
    <row r="76" spans="1:30">
      <c r="A76" s="16" t="s">
        <v>48</v>
      </c>
      <c r="B76" s="46">
        <f>SUM(Calculations!$S$14:$S$16)/12</f>
        <v>6750</v>
      </c>
      <c r="C76" s="46">
        <f>SUM(Calculations!$S$14:$S$16)/12</f>
        <v>6750</v>
      </c>
      <c r="D76" s="46">
        <f>SUM(Calculations!$S$14:$S$16)/12</f>
        <v>6750</v>
      </c>
      <c r="E76" s="46">
        <f>SUM(Calculations!$S$14:$S$16)/12</f>
        <v>6750</v>
      </c>
      <c r="F76" s="46">
        <f>SUM(Calculations!$S$14:$S$16)/12</f>
        <v>6750</v>
      </c>
      <c r="G76" s="46">
        <f>SUM(Calculations!$S$14:$S$16)/12</f>
        <v>6750</v>
      </c>
      <c r="H76" s="46">
        <f>SUM(Calculations!$S$14:$S$16)/12</f>
        <v>6750</v>
      </c>
      <c r="I76" s="46">
        <f>SUM(Calculations!$S$14:$S$16)/12</f>
        <v>6750</v>
      </c>
      <c r="J76" s="46">
        <f>SUM(Calculations!$S$14:$S$16)/12</f>
        <v>6750</v>
      </c>
      <c r="K76" s="46">
        <f>SUM(Calculations!$S$14:$S$16)/12</f>
        <v>6750</v>
      </c>
      <c r="L76" s="46">
        <f>SUM(Calculations!$S$14:$S$16)/12</f>
        <v>6750</v>
      </c>
      <c r="M76" s="46">
        <f>SUM(Calculations!$S$14:$S$16)/12</f>
        <v>6750</v>
      </c>
      <c r="N76" s="46">
        <f>SUM(Calculations!$S$14:$S$16)/12</f>
        <v>6750</v>
      </c>
      <c r="O76" s="46">
        <f>SUM(Calculations!$S$14:$S$16)/12</f>
        <v>6750</v>
      </c>
      <c r="P76" s="46">
        <f>SUM(Calculations!$S$14:$S$16)/12</f>
        <v>6750</v>
      </c>
      <c r="Q76" s="46">
        <f>SUM(Calculations!$S$14:$S$16)/12</f>
        <v>6750</v>
      </c>
      <c r="R76" s="46">
        <f>SUM(Calculations!$S$14:$S$16)/12</f>
        <v>6750</v>
      </c>
      <c r="S76" s="46">
        <f>SUM(Calculations!$S$14:$S$16)/12</f>
        <v>6750</v>
      </c>
      <c r="T76" s="46">
        <f>SUM(Calculations!$S$14:$S$16)/12</f>
        <v>6750</v>
      </c>
      <c r="U76" s="46">
        <f>SUM(Calculations!$S$14:$S$16)/12</f>
        <v>6750</v>
      </c>
      <c r="V76" s="46">
        <f>SUM(Calculations!$S$14:$S$16)/12</f>
        <v>6750</v>
      </c>
      <c r="W76" s="46">
        <f>SUM(Calculations!$S$14:$S$16)/12</f>
        <v>6750</v>
      </c>
      <c r="X76" s="46">
        <f>SUM(Calculations!$S$14:$S$16)/12</f>
        <v>6750</v>
      </c>
      <c r="Y76" s="46">
        <f>SUM(Calculations!$S$14:$S$16)/12</f>
        <v>6750</v>
      </c>
      <c r="Z76" s="46">
        <f>SUMIF($B$13:$Y$13,"Yes",B76:Y76)</f>
        <v>87750</v>
      </c>
      <c r="AA76" s="46">
        <f>SUM(B76:M76)</f>
        <v>81000</v>
      </c>
      <c r="AB76" s="46">
        <f>SUM(B76:Y76)</f>
        <v>162000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150000</v>
      </c>
      <c r="C79" s="46">
        <f>Inputs!$B$31</f>
        <v>150000</v>
      </c>
      <c r="D79" s="46">
        <f>Inputs!$B$31</f>
        <v>150000</v>
      </c>
      <c r="E79" s="46">
        <f>Inputs!$B$31</f>
        <v>150000</v>
      </c>
      <c r="F79" s="46">
        <f>Inputs!$B$31</f>
        <v>150000</v>
      </c>
      <c r="G79" s="46">
        <f>Inputs!$B$31</f>
        <v>150000</v>
      </c>
      <c r="H79" s="46">
        <f>Inputs!$B$31</f>
        <v>150000</v>
      </c>
      <c r="I79" s="46">
        <f>Inputs!$B$31</f>
        <v>150000</v>
      </c>
      <c r="J79" s="46">
        <f>Inputs!$B$31</f>
        <v>150000</v>
      </c>
      <c r="K79" s="46">
        <f>Inputs!$B$31</f>
        <v>150000</v>
      </c>
      <c r="L79" s="46">
        <f>Inputs!$B$31</f>
        <v>150000</v>
      </c>
      <c r="M79" s="46">
        <f>Inputs!$B$31</f>
        <v>150000</v>
      </c>
      <c r="N79" s="46">
        <f>Inputs!$B$31</f>
        <v>150000</v>
      </c>
      <c r="O79" s="46">
        <f>Inputs!$B$31</f>
        <v>150000</v>
      </c>
      <c r="P79" s="46">
        <f>Inputs!$B$31</f>
        <v>150000</v>
      </c>
      <c r="Q79" s="46">
        <f>Inputs!$B$31</f>
        <v>150000</v>
      </c>
      <c r="R79" s="46">
        <f>Inputs!$B$31</f>
        <v>150000</v>
      </c>
      <c r="S79" s="46">
        <f>Inputs!$B$31</f>
        <v>150000</v>
      </c>
      <c r="T79" s="46">
        <f>Inputs!$B$31</f>
        <v>150000</v>
      </c>
      <c r="U79" s="46">
        <f>Inputs!$B$31</f>
        <v>150000</v>
      </c>
      <c r="V79" s="46">
        <f>Inputs!$B$31</f>
        <v>150000</v>
      </c>
      <c r="W79" s="46">
        <f>Inputs!$B$31</f>
        <v>150000</v>
      </c>
      <c r="X79" s="46">
        <f>Inputs!$B$31</f>
        <v>150000</v>
      </c>
      <c r="Y79" s="46">
        <f>Inputs!$B$31</f>
        <v>150000</v>
      </c>
      <c r="Z79" s="46">
        <f>SUMIF($B$13:$Y$13,"Yes",B79:Y79)</f>
        <v>1950000</v>
      </c>
      <c r="AA79" s="46">
        <f>SUM(B79:M79)</f>
        <v>1800000</v>
      </c>
      <c r="AB79" s="46">
        <f>SUM(B79:Y79)</f>
        <v>3600000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93934.7011795197</v>
      </c>
      <c r="C81" s="46">
        <f>(SUM($AA$18:$AA$29)-SUM($AA$36,$AA$42,$AA$48,$AA$54,$AA$60,$AA$66,$AA$72:$AA$79))*Parameters!$B$37/12</f>
        <v>93934.7011795197</v>
      </c>
      <c r="D81" s="46">
        <f>(SUM($AA$18:$AA$29)-SUM($AA$36,$AA$42,$AA$48,$AA$54,$AA$60,$AA$66,$AA$72:$AA$79))*Parameters!$B$37/12</f>
        <v>93934.7011795197</v>
      </c>
      <c r="E81" s="46">
        <f>(SUM($AA$18:$AA$29)-SUM($AA$36,$AA$42,$AA$48,$AA$54,$AA$60,$AA$66,$AA$72:$AA$79))*Parameters!$B$37/12</f>
        <v>93934.7011795197</v>
      </c>
      <c r="F81" s="46">
        <f>(SUM($AA$18:$AA$29)-SUM($AA$36,$AA$42,$AA$48,$AA$54,$AA$60,$AA$66,$AA$72:$AA$79))*Parameters!$B$37/12</f>
        <v>93934.7011795197</v>
      </c>
      <c r="G81" s="46">
        <f>(SUM($AA$18:$AA$29)-SUM($AA$36,$AA$42,$AA$48,$AA$54,$AA$60,$AA$66,$AA$72:$AA$79))*Parameters!$B$37/12</f>
        <v>93934.7011795197</v>
      </c>
      <c r="H81" s="46">
        <f>(SUM($AA$18:$AA$29)-SUM($AA$36,$AA$42,$AA$48,$AA$54,$AA$60,$AA$66,$AA$72:$AA$79))*Parameters!$B$37/12</f>
        <v>93934.7011795197</v>
      </c>
      <c r="I81" s="46">
        <f>(SUM($AA$18:$AA$29)-SUM($AA$36,$AA$42,$AA$48,$AA$54,$AA$60,$AA$66,$AA$72:$AA$79))*Parameters!$B$37/12</f>
        <v>93934.7011795197</v>
      </c>
      <c r="J81" s="46">
        <f>(SUM($AA$18:$AA$29)-SUM($AA$36,$AA$42,$AA$48,$AA$54,$AA$60,$AA$66,$AA$72:$AA$79))*Parameters!$B$37/12</f>
        <v>93934.7011795197</v>
      </c>
      <c r="K81" s="46">
        <f>(SUM($AA$18:$AA$29)-SUM($AA$36,$AA$42,$AA$48,$AA$54,$AA$60,$AA$66,$AA$72:$AA$79))*Parameters!$B$37/12</f>
        <v>93934.7011795197</v>
      </c>
      <c r="L81" s="46">
        <f>(SUM($AA$18:$AA$29)-SUM($AA$36,$AA$42,$AA$48,$AA$54,$AA$60,$AA$66,$AA$72:$AA$79))*Parameters!$B$37/12</f>
        <v>93934.7011795197</v>
      </c>
      <c r="M81" s="46">
        <f>(SUM($AA$18:$AA$29)-SUM($AA$36,$AA$42,$AA$48,$AA$54,$AA$60,$AA$66,$AA$72:$AA$79))*Parameters!$B$37/12</f>
        <v>93934.7011795197</v>
      </c>
      <c r="N81" s="46">
        <f>(SUM($AA$18:$AA$29)-SUM($AA$36,$AA$42,$AA$48,$AA$54,$AA$60,$AA$66,$AA$72:$AA$79))*Parameters!$B$37/12</f>
        <v>93934.7011795197</v>
      </c>
      <c r="O81" s="46">
        <f>(SUM($AA$18:$AA$29)-SUM($AA$36,$AA$42,$AA$48,$AA$54,$AA$60,$AA$66,$AA$72:$AA$79))*Parameters!$B$37/12</f>
        <v>93934.7011795197</v>
      </c>
      <c r="P81" s="46">
        <f>(SUM($AA$18:$AA$29)-SUM($AA$36,$AA$42,$AA$48,$AA$54,$AA$60,$AA$66,$AA$72:$AA$79))*Parameters!$B$37/12</f>
        <v>93934.7011795197</v>
      </c>
      <c r="Q81" s="46">
        <f>(SUM($AA$18:$AA$29)-SUM($AA$36,$AA$42,$AA$48,$AA$54,$AA$60,$AA$66,$AA$72:$AA$79))*Parameters!$B$37/12</f>
        <v>93934.7011795197</v>
      </c>
      <c r="R81" s="46">
        <f>(SUM($AA$18:$AA$29)-SUM($AA$36,$AA$42,$AA$48,$AA$54,$AA$60,$AA$66,$AA$72:$AA$79))*Parameters!$B$37/12</f>
        <v>93934.7011795197</v>
      </c>
      <c r="S81" s="46">
        <f>(SUM($AA$18:$AA$29)-SUM($AA$36,$AA$42,$AA$48,$AA$54,$AA$60,$AA$66,$AA$72:$AA$79))*Parameters!$B$37/12</f>
        <v>93934.7011795197</v>
      </c>
      <c r="T81" s="46">
        <f>(SUM($AA$18:$AA$29)-SUM($AA$36,$AA$42,$AA$48,$AA$54,$AA$60,$AA$66,$AA$72:$AA$79))*Parameters!$B$37/12</f>
        <v>93934.7011795197</v>
      </c>
      <c r="U81" s="46">
        <f>(SUM($AA$18:$AA$29)-SUM($AA$36,$AA$42,$AA$48,$AA$54,$AA$60,$AA$66,$AA$72:$AA$79))*Parameters!$B$37/12</f>
        <v>93934.7011795197</v>
      </c>
      <c r="V81" s="46">
        <f>(SUM($AA$18:$AA$29)-SUM($AA$36,$AA$42,$AA$48,$AA$54,$AA$60,$AA$66,$AA$72:$AA$79))*Parameters!$B$37/12</f>
        <v>93934.7011795197</v>
      </c>
      <c r="W81" s="46">
        <f>(SUM($AA$18:$AA$29)-SUM($AA$36,$AA$42,$AA$48,$AA$54,$AA$60,$AA$66,$AA$72:$AA$79))*Parameters!$B$37/12</f>
        <v>93934.7011795197</v>
      </c>
      <c r="X81" s="46">
        <f>(SUM($AA$18:$AA$29)-SUM($AA$36,$AA$42,$AA$48,$AA$54,$AA$60,$AA$66,$AA$72:$AA$79))*Parameters!$B$37/12</f>
        <v>93934.7011795197</v>
      </c>
      <c r="Y81" s="46">
        <f>(SUM($AA$18:$AA$29)-SUM($AA$36,$AA$42,$AA$48,$AA$54,$AA$60,$AA$66,$AA$72:$AA$79))*Parameters!$B$37/12</f>
        <v>93934.7011795197</v>
      </c>
      <c r="Z81" s="46">
        <f>SUMIF($B$13:$Y$13,"Yes",B81:Y81)</f>
        <v>1221151.115333756</v>
      </c>
      <c r="AA81" s="46">
        <f>SUM(B81:M81)</f>
        <v>1127216.414154237</v>
      </c>
      <c r="AB81" s="46">
        <f>SUM(B81:Y81)</f>
        <v>2254432.828308474</v>
      </c>
    </row>
    <row r="82" spans="1:30">
      <c r="A82" s="16" t="s">
        <v>52</v>
      </c>
      <c r="B82" s="46">
        <f>SUM(B83:B87)</f>
        <v>30278.24561403509</v>
      </c>
      <c r="C82" s="46">
        <f>SUM(C83:C87)</f>
        <v>29631.57894736842</v>
      </c>
      <c r="D82" s="46">
        <f>SUM(D83:D87)</f>
        <v>3736.842105263155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63646.66666666666</v>
      </c>
      <c r="AA82" s="46">
        <f>SUM(B82:M82)</f>
        <v>63646.66666666666</v>
      </c>
      <c r="AB82" s="46">
        <f>SUM(B82:Y82)</f>
        <v>63646.66666666666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29631.57894736842</v>
      </c>
      <c r="C83" s="46">
        <f>IF(Calculations!$E23&gt;COUNT(Output!$B$35:C$35),Calculations!$B23,IF(Calculations!$E23=COUNT(Output!$B$35:C$35),Inputs!$B56-Calculations!$C23*(Calculations!$E23-1)+Calculations!$D23,0))</f>
        <v>29631.57894736842</v>
      </c>
      <c r="D83" s="46">
        <f>IF(Calculations!$E23&gt;COUNT(Output!$B$35:D$35),Calculations!$B23,IF(Calculations!$E23=COUNT(Output!$B$35:D$35),Inputs!$B56-Calculations!$C23*(Calculations!$E23-1)+Calculations!$D23,0))</f>
        <v>3736.842105263155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63000</v>
      </c>
      <c r="AA83" s="46">
        <f>SUM(B83:M83)</f>
        <v>63000</v>
      </c>
      <c r="AB83" s="46">
        <f>SUM(B83:Y83)</f>
        <v>63000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646.6666666666666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646.6666666666666</v>
      </c>
      <c r="AA84" s="46">
        <f>SUM(B84:M84)</f>
        <v>646.6666666666666</v>
      </c>
      <c r="AB84" s="46">
        <f>SUM(B84:Y84)</f>
        <v>646.6666666666666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423030.6551268881</v>
      </c>
      <c r="C88" s="19">
        <f>SUM(C72:C82,C66,C60,C54,C48,C42,C36)</f>
        <v>483385.41703165</v>
      </c>
      <c r="D88" s="19">
        <f>SUM(D72:D82,D66,D60,D54,D48,D42,D36)</f>
        <v>411960.6801895448</v>
      </c>
      <c r="E88" s="19">
        <f>SUM(E72:E82,E66,E60,E54,E48,E42,E36)</f>
        <v>361239.4630842816</v>
      </c>
      <c r="F88" s="19">
        <f>SUM(F72:F82,F66,F60,F54,F48,F42,F36)</f>
        <v>364239.4630842816</v>
      </c>
      <c r="G88" s="19">
        <f>SUM(G72:G82,G66,G60,G54,G48,G42,G36)</f>
        <v>412273.8380842817</v>
      </c>
      <c r="H88" s="19">
        <f>SUM(H72:H82,H66,H60,H54,H48,H42,H36)</f>
        <v>408223.8380842817</v>
      </c>
      <c r="I88" s="19">
        <f>SUM(I72:I82,I66,I60,I54,I48,I42,I36)</f>
        <v>460588.4546896677</v>
      </c>
      <c r="J88" s="19">
        <f>SUM(J72:J82,J66,J60,J54,J48,J42,J36)</f>
        <v>392752.409512853</v>
      </c>
      <c r="K88" s="19">
        <f>SUM(K72:K82,K66,K60,K54,K48,K42,K36)</f>
        <v>345768.034512853</v>
      </c>
      <c r="L88" s="19">
        <f>SUM(L72:L82,L66,L60,L54,L48,L42,L36)</f>
        <v>345768.034512853</v>
      </c>
      <c r="M88" s="19">
        <f>SUM(M72:M82,M66,M60,M54,M48,M42,M36)</f>
        <v>396802.409512853</v>
      </c>
      <c r="N88" s="19">
        <f>SUM(N72:N82,N66,N60,N54,N48,N42,N36)</f>
        <v>392752.409512853</v>
      </c>
      <c r="O88" s="19">
        <f>SUM(O72:O82,O66,O60,O54,O48,O42,O36)</f>
        <v>453753.8380842817</v>
      </c>
      <c r="P88" s="19">
        <f>SUM(P72:P82,P66,P60,P54,P48,P42,P36)</f>
        <v>408223.8380842817</v>
      </c>
      <c r="Q88" s="19">
        <f>SUM(Q72:Q82,Q66,Q60,Q54,Q48,Q42,Q36)</f>
        <v>361239.4630842816</v>
      </c>
      <c r="R88" s="19">
        <f>SUM(R72:R82,R66,R60,R54,R48,R42,R36)</f>
        <v>364239.4630842816</v>
      </c>
      <c r="S88" s="19">
        <f>SUM(S72:S82,S66,S60,S54,S48,S42,S36)</f>
        <v>412273.8380842817</v>
      </c>
      <c r="T88" s="19">
        <f>SUM(T72:T82,T66,T60,T54,T48,T42,T36)</f>
        <v>408223.8380842817</v>
      </c>
      <c r="U88" s="19">
        <f>SUM(U72:U82,U66,U60,U54,U48,U42,U36)</f>
        <v>460588.4546896677</v>
      </c>
      <c r="V88" s="19">
        <f>SUM(V72:V82,V66,V60,V54,V48,V42,V36)</f>
        <v>392752.409512853</v>
      </c>
      <c r="W88" s="19">
        <f>SUM(W72:W82,W66,W60,W54,W48,W42,W36)</f>
        <v>345768.034512853</v>
      </c>
      <c r="X88" s="19">
        <f>SUM(X72:X82,X66,X60,X54,X48,X42,X36)</f>
        <v>345768.034512853</v>
      </c>
      <c r="Y88" s="19">
        <f>SUM(Y72:Y82,Y66,Y60,Y54,Y48,Y42,Y36)</f>
        <v>396802.409512853</v>
      </c>
      <c r="Z88" s="19">
        <f>SUMIF($B$13:$Y$13,"Yes",B88:Y88)</f>
        <v>5198785.106939144</v>
      </c>
      <c r="AA88" s="19">
        <f>SUM(B88:M88)</f>
        <v>4806032.69742629</v>
      </c>
      <c r="AB88" s="19">
        <f>SUM(B88:Y88)</f>
        <v>9548418.728185913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1950000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8250000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14425000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8000</v>
      </c>
    </row>
    <row r="105" spans="1:30">
      <c r="A105" t="s">
        <v>70</v>
      </c>
      <c r="B105" s="36">
        <f>SUM(Inputs!B56:B60)</f>
        <v>52500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160500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>
        <v>20</v>
      </c>
      <c r="H7" s="145" t="s">
        <v>92</v>
      </c>
      <c r="I7" s="147" t="s">
        <v>93</v>
      </c>
      <c r="J7" s="148"/>
      <c r="K7" s="137"/>
      <c r="L7" s="20"/>
      <c r="M7" s="163">
        <v>0</v>
      </c>
      <c r="N7" s="153">
        <v>0</v>
      </c>
      <c r="P7" s="41"/>
    </row>
    <row r="8" spans="1:48">
      <c r="A8" s="143" t="s">
        <v>94</v>
      </c>
      <c r="B8" s="16"/>
      <c r="C8" s="143">
        <v>5</v>
      </c>
      <c r="D8" s="16"/>
      <c r="E8" s="147" t="s">
        <v>95</v>
      </c>
      <c r="F8" s="149" t="s">
        <v>96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2</v>
      </c>
    </row>
    <row r="9" spans="1:48">
      <c r="A9" s="143" t="s">
        <v>98</v>
      </c>
      <c r="B9" s="16"/>
      <c r="C9" s="143">
        <v>5</v>
      </c>
      <c r="D9" s="16"/>
      <c r="E9" s="147" t="s">
        <v>90</v>
      </c>
      <c r="F9" s="149" t="s">
        <v>91</v>
      </c>
      <c r="G9" s="147">
        <v>5</v>
      </c>
      <c r="H9" s="147" t="s">
        <v>92</v>
      </c>
      <c r="I9" s="147" t="s">
        <v>99</v>
      </c>
      <c r="J9" s="148" t="s">
        <v>100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30</v>
      </c>
      <c r="D19" s="145"/>
      <c r="E19" s="20"/>
      <c r="F19" s="145" t="s">
        <v>93</v>
      </c>
      <c r="G19" s="20"/>
      <c r="H19" s="20"/>
      <c r="I19" s="145" t="s">
        <v>115</v>
      </c>
      <c r="J19" s="145"/>
      <c r="K19" s="145">
        <v>5</v>
      </c>
      <c r="L19" s="25"/>
    </row>
    <row r="20" spans="1:48">
      <c r="A20" s="143" t="s">
        <v>116</v>
      </c>
      <c r="B20" s="16"/>
      <c r="C20" s="143">
        <v>200</v>
      </c>
      <c r="D20" s="147"/>
      <c r="E20" s="16"/>
      <c r="F20" s="147" t="s">
        <v>93</v>
      </c>
      <c r="G20" s="16"/>
      <c r="H20" s="16"/>
      <c r="I20" s="147" t="s">
        <v>115</v>
      </c>
      <c r="J20" s="147"/>
      <c r="K20" s="147">
        <v>5</v>
      </c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5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250000</v>
      </c>
    </row>
    <row r="31" spans="1:48">
      <c r="A31" s="5" t="s">
        <v>123</v>
      </c>
      <c r="B31" s="158">
        <v>150000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2500000</v>
      </c>
    </row>
    <row r="46" spans="1:48" customHeight="1" ht="30">
      <c r="A46" s="57" t="s">
        <v>137</v>
      </c>
      <c r="B46" s="161">
        <v>150000</v>
      </c>
    </row>
    <row r="47" spans="1:48" customHeight="1" ht="30">
      <c r="A47" s="57" t="s">
        <v>138</v>
      </c>
      <c r="B47" s="161">
        <v>350000</v>
      </c>
    </row>
    <row r="48" spans="1:48" customHeight="1" ht="30">
      <c r="A48" s="57" t="s">
        <v>139</v>
      </c>
      <c r="B48" s="161">
        <v>1200000</v>
      </c>
    </row>
    <row r="49" spans="1:48" customHeight="1" ht="30">
      <c r="A49" s="57" t="s">
        <v>140</v>
      </c>
      <c r="B49" s="161">
        <v>25000</v>
      </c>
    </row>
    <row r="50" spans="1:48">
      <c r="A50" s="43"/>
      <c r="B50" s="36"/>
    </row>
    <row r="51" spans="1:48">
      <c r="A51" s="58" t="s">
        <v>141</v>
      </c>
      <c r="B51" s="161">
        <v>8000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200000</v>
      </c>
      <c r="B56" s="159">
        <v>52000</v>
      </c>
      <c r="C56" s="162" t="s">
        <v>149</v>
      </c>
      <c r="D56" s="163" t="s">
        <v>150</v>
      </c>
      <c r="E56" s="163" t="s">
        <v>92</v>
      </c>
      <c r="F56" s="163" t="s">
        <v>151</v>
      </c>
    </row>
    <row r="57" spans="1:48">
      <c r="A57" s="157">
        <v>8000</v>
      </c>
      <c r="B57" s="157">
        <v>500</v>
      </c>
      <c r="C57" s="164" t="s">
        <v>152</v>
      </c>
      <c r="D57" s="165" t="s">
        <v>153</v>
      </c>
      <c r="E57" s="165" t="s">
        <v>92</v>
      </c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155</v>
      </c>
      <c r="C65" s="10" t="s">
        <v>156</v>
      </c>
    </row>
    <row r="66" spans="1:48">
      <c r="A66" s="142" t="s">
        <v>100</v>
      </c>
      <c r="B66" s="159">
        <v>528965</v>
      </c>
      <c r="C66" s="163">
        <v>358698</v>
      </c>
      <c r="D66" s="49">
        <f>INDEX(Parameters!$D$79:$D$90,MATCH(Inputs!A66,Parameters!$C$79:$C$90,0))</f>
        <v>11</v>
      </c>
    </row>
    <row r="67" spans="1:48">
      <c r="A67" s="143" t="s">
        <v>157</v>
      </c>
      <c r="B67" s="157">
        <v>653214</v>
      </c>
      <c r="C67" s="165">
        <v>356254</v>
      </c>
      <c r="D67" s="49">
        <f>INDEX(Parameters!$D$79:$D$90,MATCH(Inputs!A67,Parameters!$C$79:$C$90,0))</f>
        <v>10</v>
      </c>
    </row>
    <row r="68" spans="1:48">
      <c r="A68" s="143" t="s">
        <v>158</v>
      </c>
      <c r="B68" s="157">
        <v>235685</v>
      </c>
      <c r="C68" s="165">
        <v>154789</v>
      </c>
      <c r="D68" s="49">
        <f>INDEX(Parameters!$D$79:$D$90,MATCH(Inputs!A68,Parameters!$C$79:$C$90,0))</f>
        <v>9</v>
      </c>
    </row>
    <row r="69" spans="1:48">
      <c r="A69" s="143" t="s">
        <v>159</v>
      </c>
      <c r="B69" s="157">
        <v>632514</v>
      </c>
      <c r="C69" s="165">
        <v>452136</v>
      </c>
      <c r="D69" s="49">
        <f>INDEX(Parameters!$D$79:$D$90,MATCH(Inputs!A69,Parameters!$C$79:$C$90,0))</f>
        <v>8</v>
      </c>
    </row>
    <row r="70" spans="1:48">
      <c r="A70" s="143" t="s">
        <v>160</v>
      </c>
      <c r="B70" s="157">
        <v>236584</v>
      </c>
      <c r="C70" s="165">
        <v>142547</v>
      </c>
      <c r="D70" s="49">
        <f>INDEX(Parameters!$D$79:$D$90,MATCH(Inputs!A70,Parameters!$C$79:$C$90,0))</f>
        <v>7</v>
      </c>
    </row>
    <row r="71" spans="1:48">
      <c r="A71" s="144" t="s">
        <v>161</v>
      </c>
      <c r="B71" s="158">
        <v>853214</v>
      </c>
      <c r="C71" s="167">
        <v>658214</v>
      </c>
      <c r="D71" s="49">
        <f>INDEX(Parameters!$D$79:$D$90,MATCH(Inputs!A71,Parameters!$C$79:$C$90,0))</f>
        <v>6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15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100000</v>
      </c>
    </row>
    <row r="82" spans="1:48">
      <c r="A82" t="s">
        <v>171</v>
      </c>
      <c r="B82" s="161">
        <v>18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>
        <v>5</v>
      </c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Wheat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20</v>
      </c>
      <c r="I4" s="137" t="str">
        <f>IFERROR(VLOOKUP(Inputs!E7,Parameters!$J$77:$K$81,2,0),"")</f>
        <v>Yes</v>
      </c>
      <c r="J4" s="26">
        <f>IFERROR(Inputs!G7/Calculations!H4,"")</f>
        <v>1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1888.643257201988</v>
      </c>
      <c r="M4" s="25">
        <f>L4*H4</f>
        <v>37772.86514403976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27.3</v>
      </c>
      <c r="P4" s="22">
        <f>IFERROR(INDEX(Parameters!$A$3:$V$17,MATCH(Calculations!$A4,Parameters!$A$3:$A$17,0),MATCH($P$3,Parameters!$A$3:$V$3,0)),0)</f>
        <v>0</v>
      </c>
      <c r="Q4" s="33">
        <f>M4*O4*(1-N4)*MAX(S4,1)</f>
        <v>2062398.436864571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77000</v>
      </c>
      <c r="W4" s="33">
        <f>IFERROR(J4*H4*Parameters!$B$35+IF(OR(Inputs!F7=Parameters!$E$78,Inputs!F7=Parameters!$E$80),Calculations!H4*Parameters!$B$36,0),0)</f>
        <v>1200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285000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42826</v>
      </c>
      <c r="D5" s="39">
        <f>IFERROR(DATE(YEAR(B5),MONTH(B5)+T5,DAY(B5)),"")</f>
        <v>42917</v>
      </c>
      <c r="E5" s="39">
        <f>IFERROR(IF($S5=0,"",IF($S5=2,DATE(YEAR(B5),MONTH(B5)+6,DAY(B5)),IF($S5=1,B5,""))),"")</f>
        <v>42736</v>
      </c>
      <c r="F5" s="39">
        <f>IFERROR(IF($S5=0,"",IF($S5=2,DATE(YEAR(C5),MONTH(C5)+6,DAY(C5)),IF($S5=1,C5,""))),"")</f>
        <v>42826</v>
      </c>
      <c r="G5" s="39">
        <f>IFERROR(IF($S5=0,"",IF($S5=2,DATE(YEAR(D5),MONTH(D5)+6,DAY(D5)),IF($S5=1,D5,""))),"")</f>
        <v>42917</v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1298.461591538526</v>
      </c>
      <c r="M5" s="30">
        <f>L5*H5</f>
        <v>6492.30795769263</v>
      </c>
      <c r="N5" s="22">
        <f>Calculations!U5</f>
        <v>0.05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0.2</v>
      </c>
      <c r="Q5" s="34">
        <f>M5*O5*(1-N5)*MAX(S5,1)</f>
        <v>129521.543755968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IFERROR(J5*H5*Parameters!$B$35+IF(OR(Inputs!F8=Parameters!$E$78,Inputs!F8=Parameters!$E$80),Calculations!H5*Parameters!$B$36,0),0)</f>
        <v>10000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14932.30830269305</v>
      </c>
      <c r="AB5" s="34">
        <f>H5*IFERROR(INDEX(Parameters!$A$3:$AI$17,MATCH(Calculations!A5,Parameters!$A$3:$A$17,0),MATCH(Parameters!$O$3,Parameters!$A$3:$AI$3,0)),AVERAGE(Parameters!$O$4:$O$17))*(1-Inputs!$B$25/100)</f>
        <v>57000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43040</v>
      </c>
      <c r="C6" s="39">
        <f>IFERROR(DATE(YEAR(B6),MONTH(B6)+ROUND(T6/2,0),DAY(B6)),B6)</f>
        <v>43101</v>
      </c>
      <c r="D6" s="39">
        <f>IFERROR(DATE(YEAR(B6),MONTH(B6)+T6,DAY(B6)),"")</f>
        <v>43132</v>
      </c>
      <c r="E6" s="39">
        <f>IFERROR(IF($S6=0,"",IF($S6=2,DATE(YEAR(B6),MONTH(B6)+6,DAY(B6)),IF($S6=1,B6,""))),"")</f>
        <v>43221</v>
      </c>
      <c r="F6" s="39">
        <f>IFERROR(IF($S6=0,"",IF($S6=2,DATE(YEAR(C6),MONTH(C6)+6,DAY(C6)),IF($S6=1,C6,""))),"")</f>
        <v>43282</v>
      </c>
      <c r="G6" s="39">
        <f>IFERROR(IF($S6=0,"",IF($S6=2,DATE(YEAR(D6),MONTH(D6)+6,DAY(D6)),IF($S6=1,D6,""))),"")</f>
        <v>43313</v>
      </c>
      <c r="H6" s="16">
        <f>Inputs!C9</f>
        <v>5</v>
      </c>
      <c r="I6" s="138" t="str">
        <f>IFERROR(VLOOKUP(Inputs!E9,Parameters!$J$77:$K$81,2,0),"")</f>
        <v>Yes</v>
      </c>
      <c r="J6" s="27">
        <f>IFERROR(Inputs!G9/Calculations!H6,"")</f>
        <v>1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5528.076935493325</v>
      </c>
      <c r="M6" s="30">
        <f>L6*H6</f>
        <v>27640.38467746662</v>
      </c>
      <c r="N6" s="22">
        <f>Calculations!U6</f>
        <v>0.05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35</v>
      </c>
      <c r="P6" s="22">
        <f>IFERROR(INDEX(Parameters!$A$3:$V$17,MATCH(Calculations!$A6,Parameters!$A$3:$A$17,0),MATCH($P$3,Parameters!$A$3:$V$3,0)),0)</f>
        <v>0</v>
      </c>
      <c r="Q6" s="34">
        <f>M6*O6*(1-N6)*MAX(S6,1)</f>
        <v>1838085.58105153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3750</v>
      </c>
      <c r="W6" s="34">
        <f>IFERROR(J6*H6*Parameters!$B$35+IF(OR(Inputs!F9=Parameters!$E$78,Inputs!F9=Parameters!$E$80),Calculations!H6*Parameters!$B$36,0),0)</f>
        <v>300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22500</v>
      </c>
      <c r="Z6" s="34">
        <f>IF(Inputs!I9=Parameters!$F$78,H6*INDEX(Parameters!$A$3:$AI$18,MATCH(Calculations!A6,Parameters!$A$3:$A$18,0),MATCH(Parameters!$Q$3,Parameters!$A$3:$AI$3,0)),0)</f>
        <v>30000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166250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102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218500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18000</v>
      </c>
      <c r="S14" s="63">
        <f>IFERROR(D14*INDEX(Parameters!$A$22:$P$29,MATCH(Calculations!$A14,Parameters!$A$22:$A$29,0),MATCH(Parameters!$N$22,Parameters!$A$22:$P$22,0)),"")</f>
        <v>21000</v>
      </c>
    </row>
    <row r="15" spans="1:46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190000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40000</v>
      </c>
      <c r="S15" s="64">
        <f>IFERROR(D15*INDEX(Parameters!$A$22:$P$29,MATCH(Calculations!$A15,Parameters!$A$22:$A$29,0),MATCH(Parameters!$N$22,Parameters!$A$22:$P$22,0)),"")</f>
        <v>60000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143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46">
      <c r="A23" s="75">
        <f>Inputs!A56</f>
        <v>200000</v>
      </c>
      <c r="B23" s="75">
        <f>SUM(C23:D23)</f>
        <v>29631.57894736842</v>
      </c>
      <c r="C23" s="75">
        <f>IF(Inputs!B56&gt;0,(Inputs!A56-Inputs!B56)/(DATE(YEAR(Inputs!$B$76),MONTH(Inputs!$B$76),DAY(Inputs!$B$76))-DATE(YEAR(Inputs!C56),MONTH(Inputs!C56),DAY(Inputs!C56)))*30,0)</f>
        <v>25964.91228070176</v>
      </c>
      <c r="D23" s="75">
        <f>IF(Inputs!B56&gt;0,Inputs!A56*0.22/12,0)</f>
        <v>3666.666666666667</v>
      </c>
      <c r="E23" s="75">
        <f>IFERROR(ROUNDUP(Inputs!B56/C23,0),0)</f>
        <v>3</v>
      </c>
    </row>
    <row r="24" spans="1:46">
      <c r="A24" s="46">
        <f>Inputs!A57</f>
        <v>8000</v>
      </c>
      <c r="B24" s="46">
        <f>SUM(C24:D24)</f>
        <v>804.5614035087719</v>
      </c>
      <c r="C24" s="46">
        <f>IF(Inputs!B57&gt;0,(Inputs!A57-Inputs!B57)/(DATE(YEAR(Inputs!$B$76),MONTH(Inputs!$B$76),DAY(Inputs!$B$76))-DATE(YEAR(Inputs!C57),MONTH(Inputs!C57),DAY(Inputs!C57)))*30,0)</f>
        <v>657.8947368421053</v>
      </c>
      <c r="D24" s="46">
        <f>IF(Inputs!B57&gt;0,Inputs!A57*0.22/12,0)</f>
        <v>146.6666666666667</v>
      </c>
      <c r="E24" s="46">
        <f>IFERROR(ROUNDUP(Inputs!B57/B24,0),0)</f>
        <v>1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167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168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170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171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233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176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177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234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235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114</v>
      </c>
      <c r="B26" s="16" t="s">
        <v>302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116</v>
      </c>
      <c r="B27" s="71" t="s">
        <v>302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102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114</v>
      </c>
      <c r="B45" s="72">
        <v>25000</v>
      </c>
      <c r="C45" s="72">
        <v>50000</v>
      </c>
    </row>
    <row r="46" spans="1:36">
      <c r="A46" t="s">
        <v>116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318</v>
      </c>
      <c r="H52" s="12" t="s">
        <v>134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236</v>
      </c>
      <c r="E53" s="10" t="s">
        <v>195</v>
      </c>
      <c r="F53" s="10" t="s">
        <v>255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173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232</v>
      </c>
      <c r="J76" s="11" t="s">
        <v>352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115</v>
      </c>
      <c r="H77" s="12" t="s">
        <v>134</v>
      </c>
      <c r="I77" s="12" t="s">
        <v>354</v>
      </c>
      <c r="J77" s="136" t="s">
        <v>95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99</v>
      </c>
      <c r="G78" s="12" t="s">
        <v>357</v>
      </c>
      <c r="H78" s="12" t="s">
        <v>319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173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96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161</v>
      </c>
      <c r="D84" s="12">
        <f>D83+1</f>
        <v>6</v>
      </c>
    </row>
    <row r="85" spans="1:36">
      <c r="B85" s="176">
        <v>70</v>
      </c>
      <c r="C85" s="12" t="s">
        <v>160</v>
      </c>
      <c r="D85" s="12">
        <f>D84+1</f>
        <v>7</v>
      </c>
    </row>
    <row r="86" spans="1:36">
      <c r="B86" s="176">
        <v>80</v>
      </c>
      <c r="C86" s="12" t="s">
        <v>159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100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