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<sst xmlns="http://schemas.openxmlformats.org/spreadsheetml/2006/main" uniqueCount="366">
  <si>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</si>
  <si>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</si>
  <si>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</si>
  <si>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</si>
  <si>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</si>
  <si>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</si>
  <si>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</si>
  <si>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</si>
  <si>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</si>
  <si>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</si>
  <si>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</si>
  <si>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</si>
  <si>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</si>
  <si>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</si>
  <si>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</si>
  <si>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</si>
  <si>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</si>
  <si>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</si>
  <si>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</si>
  <si>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</si>
  <si>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</si>
  <si>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</si>
  <si>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</si>
  <si>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</si>
  <si>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</si>
  <si>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</si>
  <si>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</si>
  <si>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</si>
  <si>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</si>
  <si>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</si>
  <si>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</si>
  <si>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</si>
  <si>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</si>
  <si>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</si>
  <si>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</si>
  <si>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</si>
  <si>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</si>
  <si>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</si>
  <si>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</si>
  <si>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</si>
  <si>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</si>
  <si>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</si>
  <si>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</si>
  <si>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</si>
  <si>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</si>
  <si>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</si>
  <si>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</si>
  <si>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</si>
  <si>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</si>
  <si>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</si>
  <si>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</si>
  <si>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</si>
  <si>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</si>
  <si>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</si>
  <si>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</si>
  <si>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</si>
  <si>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</si>
  <si>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</si>
  <si>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</si>
  <si>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</si>
  <si>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</si>
  <si>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</si>
  <si>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</si>
  <si>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</si>
  <si>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</si>
  <si>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</si>
  <si>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</si>
  <si>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</si>
  <si>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</si>
  <si>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</si>
  <si>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</si>
  <si>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</si>
  <si>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</si>
  <si>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</si>
  <si>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</si>
  <si>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</si>
  <si>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</si>
  <si>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</si>
  <si>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</si>
  <si>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</si>
  <si>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</si>
  <si>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</si>
  <si>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</si>
  <si>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</si>
  <si>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</si>
  <si>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</si>
  <si>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</si>
  <si>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</si>
  <si>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</si>
  <si>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</si>
  <si>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</si>
  <si>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</si>
  <si>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</si>
  <si>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</si>
  <si>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</si>
  <si>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</si>
  <si>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</si>
  <si>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</si>
  <si>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</si>
  <si>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</si>
  <si>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</si>
  <si>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</si>
  <si>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</si>
  <si>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</si>
  <si>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</si>
  <si>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</si>
  <si>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</si>
  <si>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</si>
  <si>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</si>
  <si>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</si>
  <si>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</si>
  <si>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</si>
  <si>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</si>
  <si>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</si>
  <si>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</si>
  <si>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</si>
  <si>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</si>
  <si>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</si>
  <si>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</si>
  <si>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</si>
  <si>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</si>
  <si>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 xml:space="preserve">Rentals </t>
  </si>
  <si>
    <t>February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</si>
  <si>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</si>
  <si>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</si>
  <si>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</si>
  <si>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</si>
  <si>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</si>
  <si>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</si>
  <si>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</si>
  <si>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</si>
  <si>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</si>
  <si>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</si>
  <si>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</si>
  <si>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</si>
  <si>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</si>
  <si>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</si>
  <si>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</si>
  <si>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</si>
  <si>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</si>
  <si>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</si>
  <si>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</si>
  <si>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</si>
  <si>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</si>
  <si>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</si>
  <si>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</si>
  <si>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</si>
  <si>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</si>
  <si>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</si>
  <si>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January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</si>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</sst>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0.1725584791795253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0.05203816131830009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47357.14285714286</v>
      </c>
    </row>
    <row r="17" spans="1:7">
      <c r="B17" s="1" t="s">
        <v>11</v>
      </c>
      <c r="C17" s="36">
        <f>SUM(Output!B6:M6)</f>
        <v>1600609.397592358</v>
      </c>
    </row>
    <row r="18" spans="1:7">
      <c r="B18" s="1" t="s">
        <v>12</v>
      </c>
      <c r="C18" s="36">
        <f>MIN(Output!B6:M6)</f>
        <v>119232.5219800403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150869.0442853528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150869.0442853528</v>
      </c>
      <c r="C6" s="51">
        <f>C30-C88</f>
        <v>150869.0442853528</v>
      </c>
      <c r="D6" s="51">
        <f>D30-D88</f>
        <v>130869.0442853528</v>
      </c>
      <c r="E6" s="51">
        <f>E30-E88</f>
        <v>150869.0442853528</v>
      </c>
      <c r="F6" s="51">
        <f>F30-F88</f>
        <v>150869.0442853528</v>
      </c>
      <c r="G6" s="51">
        <f>G30-G88</f>
        <v>150869.0442853528</v>
      </c>
      <c r="H6" s="51">
        <f>H30-H88</f>
        <v>119232.5219800403</v>
      </c>
      <c r="I6" s="51">
        <f>I30-I88</f>
        <v>119232.5219800403</v>
      </c>
      <c r="J6" s="51">
        <f>J30-J88</f>
        <v>119232.5219800403</v>
      </c>
      <c r="K6" s="51">
        <f>K30-K88</f>
        <v>119232.5219800403</v>
      </c>
      <c r="L6" s="51">
        <f>L30-L88</f>
        <v>119232.5219800403</v>
      </c>
      <c r="M6" s="51">
        <f>M30-M88</f>
        <v>119232.5219800403</v>
      </c>
      <c r="N6" s="51">
        <f>N30-N88</f>
        <v>150869.0442853528</v>
      </c>
      <c r="O6" s="51">
        <f>O30-O88</f>
        <v>150869.0442853528</v>
      </c>
      <c r="P6" s="51">
        <f>P30-P88</f>
        <v>150869.0442853528</v>
      </c>
      <c r="Q6" s="51">
        <f>Q30-Q88</f>
        <v>185869.0442853528</v>
      </c>
      <c r="R6" s="51">
        <f>R30-R88</f>
        <v>150869.0442853528</v>
      </c>
      <c r="S6" s="51">
        <f>S30-S88</f>
        <v>150869.0442853528</v>
      </c>
      <c r="T6" s="51">
        <f>T30-T88</f>
        <v>119232.5219800403</v>
      </c>
      <c r="U6" s="51">
        <f>U30-U88</f>
        <v>119232.5219800403</v>
      </c>
      <c r="V6" s="51">
        <f>V30-V88</f>
        <v>119232.5219800403</v>
      </c>
      <c r="W6" s="51">
        <f>W30-W88</f>
        <v>119232.5219800403</v>
      </c>
      <c r="X6" s="51">
        <f>X30-X88</f>
        <v>119232.5219800403</v>
      </c>
      <c r="Y6" s="51">
        <f>Y30-Y88</f>
        <v>119232.5219800403</v>
      </c>
      <c r="Z6" s="51">
        <f>SUMIF($B$13:$Y$13,"Yes",B6:Y6)</f>
        <v>1751478.441877711</v>
      </c>
      <c r="AA6" s="51">
        <f>AA30-AA88</f>
        <v>1600609.397592359</v>
      </c>
      <c r="AB6" s="51">
        <f>AB30-AB88</f>
        <v>3256218.795184717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45000</v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>
        <f>IF(ISERROR(VLOOKUP(MONTH(N5),Inputs!$D$66:$D$71,1,0)),"",INDEX(Inputs!$B$66:$B$71,MATCH(MONTH(Output!N5),Inputs!$D$66:$D$71,0))-INDEX(Inputs!$C$66:$C$71,MATCH(MONTH(Output!N5),Inputs!$D$66:$D$71,0)))</f>
        <v>45000</v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4500</v>
      </c>
      <c r="D10" s="37">
        <f>SUMPRODUCT((Calculations!$D$33:$D$84=Output!D5)+0,Calculations!$C$33:$C$84)</f>
        <v>4500</v>
      </c>
      <c r="E10" s="37">
        <f>SUMPRODUCT((Calculations!$D$33:$D$84=Output!E5)+0,Calculations!$C$33:$C$84)</f>
        <v>4500</v>
      </c>
      <c r="F10" s="37">
        <f>SUMPRODUCT((Calculations!$D$33:$D$84=Output!F5)+0,Calculations!$C$33:$C$84)</f>
        <v>4500</v>
      </c>
      <c r="G10" s="37">
        <f>SUMPRODUCT((Calculations!$D$33:$D$84=Output!G5)+0,Calculations!$C$33:$C$84)</f>
        <v>4500</v>
      </c>
      <c r="H10" s="37">
        <f>SUMPRODUCT((Calculations!$D$33:$D$84=Output!H5)+0,Calculations!$C$33:$C$84)</f>
        <v>47357.14285714286</v>
      </c>
      <c r="I10" s="37">
        <f>SUMPRODUCT((Calculations!$D$33:$D$84=Output!I5)+0,Calculations!$C$33:$C$84)</f>
        <v>47357.14285714286</v>
      </c>
      <c r="J10" s="37">
        <f>SUMPRODUCT((Calculations!$D$33:$D$84=Output!J5)+0,Calculations!$C$33:$C$84)</f>
        <v>47357.14285714286</v>
      </c>
      <c r="K10" s="37">
        <f>SUMPRODUCT((Calculations!$D$33:$D$84=Output!K5)+0,Calculations!$C$33:$C$84)</f>
        <v>47357.14285714286</v>
      </c>
      <c r="L10" s="37">
        <f>SUMPRODUCT((Calculations!$D$33:$D$84=Output!L5)+0,Calculations!$C$33:$C$84)</f>
        <v>47357.14285714286</v>
      </c>
      <c r="M10" s="37">
        <f>SUMPRODUCT((Calculations!$D$33:$D$84=Output!M5)+0,Calculations!$C$33:$C$84)</f>
        <v>47357.14285714286</v>
      </c>
      <c r="N10" s="37">
        <f>SUMPRODUCT((Calculations!$D$33:$D$84=Output!N5)+0,Calculations!$C$33:$C$84)</f>
        <v>47357.14285714286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353999.9999999999</v>
      </c>
      <c r="AA10" s="37">
        <f>SUM(B10:M10)</f>
        <v>306642.8571428571</v>
      </c>
      <c r="AB10" s="37">
        <f>SUM(B10:Y10)</f>
        <v>353999.9999999999</v>
      </c>
    </row>
    <row r="11" spans="1:30" customHeight="1" ht="15.75">
      <c r="A11" s="43" t="s">
        <v>31</v>
      </c>
      <c r="B11" s="80">
        <f>B6+B9-B10</f>
        <v>450869.0442853528</v>
      </c>
      <c r="C11" s="80">
        <f>C6+C9-C10</f>
        <v>146369.0442853528</v>
      </c>
      <c r="D11" s="80">
        <f>D6+D9-D10</f>
        <v>126369.0442853528</v>
      </c>
      <c r="E11" s="80">
        <f>E6+E9-E10</f>
        <v>146369.0442853528</v>
      </c>
      <c r="F11" s="80">
        <f>F6+F9-F10</f>
        <v>146369.0442853528</v>
      </c>
      <c r="G11" s="80">
        <f>G6+G9-G10</f>
        <v>146369.0442853528</v>
      </c>
      <c r="H11" s="80">
        <f>H6+H9-H10</f>
        <v>71875.37912289742</v>
      </c>
      <c r="I11" s="80">
        <f>I6+I9-I10</f>
        <v>71875.37912289742</v>
      </c>
      <c r="J11" s="80">
        <f>J6+J9-J10</f>
        <v>71875.37912289742</v>
      </c>
      <c r="K11" s="80">
        <f>K6+K9-K10</f>
        <v>71875.37912289742</v>
      </c>
      <c r="L11" s="80">
        <f>L6+L9-L10</f>
        <v>71875.37912289742</v>
      </c>
      <c r="M11" s="80">
        <f>M6+M9-M10</f>
        <v>71875.37912289742</v>
      </c>
      <c r="N11" s="80">
        <f>N6+N9-N10</f>
        <v>103511.9014282099</v>
      </c>
      <c r="O11" s="80">
        <f>O6+O9-O10</f>
        <v>150869.0442853528</v>
      </c>
      <c r="P11" s="80">
        <f>P6+P9-P10</f>
        <v>150869.0442853528</v>
      </c>
      <c r="Q11" s="80">
        <f>Q6+Q9-Q10</f>
        <v>185869.0442853528</v>
      </c>
      <c r="R11" s="80">
        <f>R6+R9-R10</f>
        <v>150869.0442853528</v>
      </c>
      <c r="S11" s="80">
        <f>S6+S9-S10</f>
        <v>150869.0442853528</v>
      </c>
      <c r="T11" s="80">
        <f>T6+T9-T10</f>
        <v>119232.5219800403</v>
      </c>
      <c r="U11" s="80">
        <f>U6+U9-U10</f>
        <v>119232.5219800403</v>
      </c>
      <c r="V11" s="80">
        <f>V6+V9-V10</f>
        <v>119232.5219800403</v>
      </c>
      <c r="W11" s="80">
        <f>W6+W9-W10</f>
        <v>119232.5219800403</v>
      </c>
      <c r="X11" s="80">
        <f>X6+X9-X10</f>
        <v>119232.5219800403</v>
      </c>
      <c r="Y11" s="80">
        <f>Y6+Y9-Y10</f>
        <v>119232.5219800403</v>
      </c>
      <c r="Z11" s="85">
        <f>SUMIF($B$13:$Y$13,"Yes",B11:Y11)</f>
        <v>1697478.441877712</v>
      </c>
      <c r="AA11" s="80">
        <f>SUM(B11:M11)</f>
        <v>1593966.540449502</v>
      </c>
      <c r="AB11" s="46">
        <f>SUM(B11:Y11)</f>
        <v>3202218.795184717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0.007478336647574935</v>
      </c>
      <c r="D12" s="82">
        <f>IF(D13="Yes",IF(SUM($B$10:D10)/(SUM($B$6:D6)+SUM($B$9:D9))&lt;0,999.99,SUM($B$10:D10)/(SUM($B$6:D6)+SUM($B$9:D9))),"")</f>
        <v>0.01228489267489607</v>
      </c>
      <c r="E12" s="82">
        <f>IF(E13="Yes",IF(SUM($B$10:E10)/(SUM($B$6:E6)+SUM($B$9:E9))&lt;0,999.99,SUM($B$10:E10)/(SUM($B$6:E6)+SUM($B$9:E9))),"")</f>
        <v>0.01528054785096844</v>
      </c>
      <c r="F12" s="82">
        <f>IF(F13="Yes",IF(SUM($B$10:F10)/(SUM($B$6:F6)+SUM($B$9:F9))&lt;0,999.99,SUM($B$10:F10)/(SUM($B$6:F6)+SUM($B$9:F9))),"")</f>
        <v>0.01740231368321208</v>
      </c>
      <c r="G12" s="82">
        <f>IF(G13="Yes",IF(SUM($B$10:G10)/(SUM($B$6:G6)+SUM($B$9:G9))&lt;0,999.99,SUM($B$10:G10)/(SUM($B$6:G6)+SUM($B$9:G9))),"")</f>
        <v>0.01898390919761773</v>
      </c>
      <c r="H12" s="82">
        <f>IF(H13="Yes",IF(SUM($B$10:H10)/(SUM($B$6:H6)+SUM($B$9:H9))&lt;0,999.99,SUM($B$10:H10)/(SUM($B$6:H6)+SUM($B$9:H9))),"")</f>
        <v>0.05355307975477861</v>
      </c>
      <c r="I12" s="82">
        <f>IF(I13="Yes",IF(SUM($B$10:I10)/(SUM($B$6:I6)+SUM($B$9:I9))&lt;0,999.99,SUM($B$10:I10)/(SUM($B$6:I6)+SUM($B$9:I9))),"")</f>
        <v>0.08233194436271912</v>
      </c>
      <c r="J12" s="82">
        <f>IF(J13="Yes",IF(SUM($B$10:J10)/(SUM($B$6:J6)+SUM($B$9:J9))&lt;0,999.99,SUM($B$10:J10)/(SUM($B$6:J6)+SUM($B$9:J9))),"")</f>
        <v>0.1066628858469483</v>
      </c>
      <c r="K12" s="82">
        <f>IF(K13="Yes",IF(SUM($B$10:K10)/(SUM($B$6:K6)+SUM($B$9:K9))&lt;0,999.99,SUM($B$10:K10)/(SUM($B$6:K6)+SUM($B$9:K9))),"")</f>
        <v>0.1275031082381291</v>
      </c>
      <c r="L12" s="82">
        <f>IF(L13="Yes",IF(SUM($B$10:L10)/(SUM($B$6:L6)+SUM($B$9:L9))&lt;0,999.99,SUM($B$10:L10)/(SUM($B$6:L6)+SUM($B$9:L9))),"")</f>
        <v>0.145553542226481</v>
      </c>
      <c r="M12" s="82">
        <f>IF(M13="Yes",IF(SUM($B$10:M10)/(SUM($B$6:M6)+SUM($B$9:M9))&lt;0,999.99,SUM($B$10:M10)/(SUM($B$6:M6)+SUM($B$9:M9))),"")</f>
        <v>0.1613392302128487</v>
      </c>
      <c r="N12" s="82">
        <f>IF(N13="Yes",IF(SUM($B$10:N10)/(SUM($B$6:N6)+SUM($B$9:N9))&lt;0,999.99,SUM($B$10:N10)/(SUM($B$6:N6)+SUM($B$9:N9))),"")</f>
        <v>0.1725584791795253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31636.52230531251</v>
      </c>
      <c r="C18" s="36">
        <f>O18</f>
        <v>31636.52230531251</v>
      </c>
      <c r="D18" s="36">
        <f>P18</f>
        <v>31636.52230531251</v>
      </c>
      <c r="E18" s="36">
        <f>Q18</f>
        <v>31636.52230531251</v>
      </c>
      <c r="F18" s="36">
        <f>R18</f>
        <v>31636.52230531251</v>
      </c>
      <c r="G18" s="36">
        <f>S18</f>
        <v>31636.52230531251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31636.52230531251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31636.52230531251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31636.52230531251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31636.52230531251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31636.52230531251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31636.52230531251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221455.6561371876</v>
      </c>
      <c r="AA18" s="36">
        <f>SUM(B18:M18)</f>
        <v>189819.1338318751</v>
      </c>
      <c r="AB18" s="36">
        <f>SUM(B18:Y18)</f>
        <v>379638.2676637502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267443.6090225565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216718.75</v>
      </c>
      <c r="C24" s="36">
        <f>IFERROR(Calculations!$P14/12,"")</f>
        <v>216718.75</v>
      </c>
      <c r="D24" s="36">
        <f>IFERROR(Calculations!$P14/12,"")</f>
        <v>216718.75</v>
      </c>
      <c r="E24" s="36">
        <f>IFERROR(Calculations!$P14/12,"")</f>
        <v>216718.75</v>
      </c>
      <c r="F24" s="36">
        <f>IFERROR(Calculations!$P14/12,"")</f>
        <v>216718.75</v>
      </c>
      <c r="G24" s="36">
        <f>IFERROR(Calculations!$P14/12,"")</f>
        <v>216718.75</v>
      </c>
      <c r="H24" s="36">
        <f>IFERROR(Calculations!$P14/12,"")</f>
        <v>216718.75</v>
      </c>
      <c r="I24" s="36">
        <f>IFERROR(Calculations!$P14/12,"")</f>
        <v>216718.75</v>
      </c>
      <c r="J24" s="36">
        <f>IFERROR(Calculations!$P14/12,"")</f>
        <v>216718.75</v>
      </c>
      <c r="K24" s="36">
        <f>IFERROR(Calculations!$P14/12,"")</f>
        <v>216718.75</v>
      </c>
      <c r="L24" s="36">
        <f>IFERROR(Calculations!$P14/12,"")</f>
        <v>216718.75</v>
      </c>
      <c r="M24" s="36">
        <f>IFERROR(Calculations!$P14/12,"")</f>
        <v>216718.75</v>
      </c>
      <c r="N24" s="36">
        <f>IFERROR(Calculations!$P14/12,"")</f>
        <v>216718.75</v>
      </c>
      <c r="O24" s="36">
        <f>IFERROR(Calculations!$P14/12,"")</f>
        <v>216718.75</v>
      </c>
      <c r="P24" s="36">
        <f>IFERROR(Calculations!$P14/12,"")</f>
        <v>216718.75</v>
      </c>
      <c r="Q24" s="36">
        <f>IFERROR(Calculations!$P14/12,"")</f>
        <v>216718.75</v>
      </c>
      <c r="R24" s="36">
        <f>IFERROR(Calculations!$P14/12,"")</f>
        <v>216718.75</v>
      </c>
      <c r="S24" s="36">
        <f>IFERROR(Calculations!$P14/12,"")</f>
        <v>216718.75</v>
      </c>
      <c r="T24" s="36">
        <f>IFERROR(Calculations!$P14/12,"")</f>
        <v>216718.75</v>
      </c>
      <c r="U24" s="36">
        <f>IFERROR(Calculations!$P14/12,"")</f>
        <v>216718.75</v>
      </c>
      <c r="V24" s="36">
        <f>IFERROR(Calculations!$P14/12,"")</f>
        <v>216718.75</v>
      </c>
      <c r="W24" s="36">
        <f>IFERROR(Calculations!$P14/12,"")</f>
        <v>216718.75</v>
      </c>
      <c r="X24" s="36">
        <f>IFERROR(Calculations!$P14/12,"")</f>
        <v>216718.75</v>
      </c>
      <c r="Y24" s="36">
        <f>IFERROR(Calculations!$P14/12,"")</f>
        <v>216718.75</v>
      </c>
      <c r="Z24" s="36">
        <f>SUMIF($B$13:$Y$13,"Yes",B24:Y24)</f>
        <v>2817343.75</v>
      </c>
      <c r="AA24" s="36">
        <f>SUM(B24:M24)</f>
        <v>2600625</v>
      </c>
      <c r="AB24" s="46">
        <f>SUM(B24:Y24)</f>
        <v>5201250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18250</v>
      </c>
      <c r="C25" s="36">
        <f>IFERROR(Calculations!$P15/12,"")</f>
        <v>18250</v>
      </c>
      <c r="D25" s="36">
        <f>IFERROR(Calculations!$P15/12,"")</f>
        <v>18250</v>
      </c>
      <c r="E25" s="36">
        <f>IFERROR(Calculations!$P15/12,"")</f>
        <v>18250</v>
      </c>
      <c r="F25" s="36">
        <f>IFERROR(Calculations!$P15/12,"")</f>
        <v>18250</v>
      </c>
      <c r="G25" s="36">
        <f>IFERROR(Calculations!$P15/12,"")</f>
        <v>18250</v>
      </c>
      <c r="H25" s="36">
        <f>IFERROR(Calculations!$P15/12,"")</f>
        <v>18250</v>
      </c>
      <c r="I25" s="36">
        <f>IFERROR(Calculations!$P15/12,"")</f>
        <v>18250</v>
      </c>
      <c r="J25" s="36">
        <f>IFERROR(Calculations!$P15/12,"")</f>
        <v>18250</v>
      </c>
      <c r="K25" s="36">
        <f>IFERROR(Calculations!$P15/12,"")</f>
        <v>18250</v>
      </c>
      <c r="L25" s="36">
        <f>IFERROR(Calculations!$P15/12,"")</f>
        <v>18250</v>
      </c>
      <c r="M25" s="36">
        <f>IFERROR(Calculations!$P15/12,"")</f>
        <v>18250</v>
      </c>
      <c r="N25" s="36">
        <f>IFERROR(Calculations!$P15/12,"")</f>
        <v>18250</v>
      </c>
      <c r="O25" s="36">
        <f>IFERROR(Calculations!$P15/12,"")</f>
        <v>18250</v>
      </c>
      <c r="P25" s="36">
        <f>IFERROR(Calculations!$P15/12,"")</f>
        <v>18250</v>
      </c>
      <c r="Q25" s="36">
        <f>IFERROR(Calculations!$P15/12,"")</f>
        <v>18250</v>
      </c>
      <c r="R25" s="36">
        <f>IFERROR(Calculations!$P15/12,"")</f>
        <v>18250</v>
      </c>
      <c r="S25" s="36">
        <f>IFERROR(Calculations!$P15/12,"")</f>
        <v>18250</v>
      </c>
      <c r="T25" s="36">
        <f>IFERROR(Calculations!$P15/12,"")</f>
        <v>18250</v>
      </c>
      <c r="U25" s="36">
        <f>IFERROR(Calculations!$P15/12,"")</f>
        <v>18250</v>
      </c>
      <c r="V25" s="36">
        <f>IFERROR(Calculations!$P15/12,"")</f>
        <v>18250</v>
      </c>
      <c r="W25" s="36">
        <f>IFERROR(Calculations!$P15/12,"")</f>
        <v>18250</v>
      </c>
      <c r="X25" s="36">
        <f>IFERROR(Calculations!$P15/12,"")</f>
        <v>18250</v>
      </c>
      <c r="Y25" s="36">
        <f>IFERROR(Calculations!$P15/12,"")</f>
        <v>18250</v>
      </c>
      <c r="Z25" s="36">
        <f>SUMIF($B$13:$Y$13,"Yes",B25:Y25)</f>
        <v>237250</v>
      </c>
      <c r="AA25" s="36">
        <f>SUM(B25:M25)</f>
        <v>219000</v>
      </c>
      <c r="AB25" s="46">
        <f>SUM(B25:Y25)</f>
        <v>437999.9999999999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35000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316605.2723053125</v>
      </c>
      <c r="C30" s="19">
        <f>SUM(C18:C29)</f>
        <v>316605.2723053125</v>
      </c>
      <c r="D30" s="19">
        <f>SUM(D18:D29)</f>
        <v>316605.2723053125</v>
      </c>
      <c r="E30" s="19">
        <f>SUM(E18:E29)</f>
        <v>316605.2723053125</v>
      </c>
      <c r="F30" s="19">
        <f>SUM(F18:F29)</f>
        <v>316605.2723053125</v>
      </c>
      <c r="G30" s="19">
        <f>SUM(G18:G29)</f>
        <v>316605.2723053125</v>
      </c>
      <c r="H30" s="19">
        <f>SUM(H18:H29)</f>
        <v>284968.75</v>
      </c>
      <c r="I30" s="19">
        <f>SUM(I18:I29)</f>
        <v>284968.75</v>
      </c>
      <c r="J30" s="19">
        <f>SUM(J18:J29)</f>
        <v>284968.75</v>
      </c>
      <c r="K30" s="19">
        <f>SUM(K18:K29)</f>
        <v>284968.75</v>
      </c>
      <c r="L30" s="19">
        <f>SUM(L18:L29)</f>
        <v>284968.75</v>
      </c>
      <c r="M30" s="19">
        <f>SUM(M18:M29)</f>
        <v>284968.75</v>
      </c>
      <c r="N30" s="19">
        <f>SUM(N18:N29)</f>
        <v>316605.2723053125</v>
      </c>
      <c r="O30" s="19">
        <f>SUM(O18:O29)</f>
        <v>316605.2723053125</v>
      </c>
      <c r="P30" s="19">
        <f>SUM(P18:P29)</f>
        <v>316605.2723053125</v>
      </c>
      <c r="Q30" s="19">
        <f>SUM(Q18:Q29)</f>
        <v>351605.2723053125</v>
      </c>
      <c r="R30" s="19">
        <f>SUM(R18:R29)</f>
        <v>316605.2723053125</v>
      </c>
      <c r="S30" s="19">
        <f>SUM(S18:S29)</f>
        <v>316605.2723053125</v>
      </c>
      <c r="T30" s="19">
        <f>SUM(T18:T29)</f>
        <v>284968.75</v>
      </c>
      <c r="U30" s="19">
        <f>SUM(U18:U29)</f>
        <v>284968.75</v>
      </c>
      <c r="V30" s="19">
        <f>SUM(V18:V29)</f>
        <v>284968.75</v>
      </c>
      <c r="W30" s="19">
        <f>SUM(W18:W29)</f>
        <v>284968.75</v>
      </c>
      <c r="X30" s="19">
        <f>SUM(X18:X29)</f>
        <v>284968.75</v>
      </c>
      <c r="Y30" s="19">
        <f>SUM(Y18:Y29)</f>
        <v>284968.75</v>
      </c>
      <c r="Z30" s="19">
        <f>SUMIF($B$13:$Y$13,"Yes",B30:Y30)</f>
        <v>3926049.406137188</v>
      </c>
      <c r="AA30" s="19">
        <f>SUM(B30:M30)</f>
        <v>3609444.133831875</v>
      </c>
      <c r="AB30" s="19">
        <f>SUM(B30:Y30)</f>
        <v>7253888.267663751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6250</v>
      </c>
      <c r="C66" s="36">
        <f>O66</f>
        <v>6250</v>
      </c>
      <c r="D66" s="36">
        <f>P66</f>
        <v>6250</v>
      </c>
      <c r="E66" s="36">
        <f>Q66</f>
        <v>6250</v>
      </c>
      <c r="F66" s="36">
        <f>R66</f>
        <v>6250</v>
      </c>
      <c r="G66" s="36">
        <f>S66</f>
        <v>6250</v>
      </c>
      <c r="H66" s="36">
        <f>T66</f>
        <v>6250</v>
      </c>
      <c r="I66" s="36">
        <f>U66</f>
        <v>6250</v>
      </c>
      <c r="J66" s="36">
        <f>V66</f>
        <v>6250</v>
      </c>
      <c r="K66" s="36">
        <f>W66</f>
        <v>6250</v>
      </c>
      <c r="L66" s="36">
        <f>X66</f>
        <v>6250</v>
      </c>
      <c r="M66" s="36">
        <f>Y66</f>
        <v>6250</v>
      </c>
      <c r="N66" s="46">
        <f>SUM(N67:N71)</f>
        <v>6250</v>
      </c>
      <c r="O66" s="46">
        <f>SUM(O67:O71)</f>
        <v>6250</v>
      </c>
      <c r="P66" s="46">
        <f>SUM(P67:P71)</f>
        <v>6250</v>
      </c>
      <c r="Q66" s="46">
        <f>SUM(Q67:Q71)</f>
        <v>6250</v>
      </c>
      <c r="R66" s="46">
        <f>SUM(R67:R71)</f>
        <v>6250</v>
      </c>
      <c r="S66" s="46">
        <f>SUM(S67:S71)</f>
        <v>6250</v>
      </c>
      <c r="T66" s="46">
        <f>SUM(T67:T71)</f>
        <v>6250</v>
      </c>
      <c r="U66" s="46">
        <f>SUM(U67:U71)</f>
        <v>6250</v>
      </c>
      <c r="V66" s="46">
        <f>SUM(V67:V71)</f>
        <v>6250</v>
      </c>
      <c r="W66" s="46">
        <f>SUM(W67:W71)</f>
        <v>6250</v>
      </c>
      <c r="X66" s="46">
        <f>SUM(X67:X71)</f>
        <v>6250</v>
      </c>
      <c r="Y66" s="46">
        <f>SUM(Y67:Y71)</f>
        <v>6250</v>
      </c>
      <c r="Z66" s="46">
        <f>SUMIF($B$13:$Y$13,"Yes",B66:Y66)</f>
        <v>81250</v>
      </c>
      <c r="AA66" s="46">
        <f>SUM(B66:M66)</f>
        <v>75000</v>
      </c>
      <c r="AB66" s="46">
        <f>SUM(B66:Y66)</f>
        <v>150000</v>
      </c>
    </row>
    <row r="67" spans="1:30" hidden="true" outlineLevel="1">
      <c r="A67" s="181" t="str">
        <f>Calculations!$A$4</f>
        <v>Wheat</v>
      </c>
      <c r="B67" s="36">
        <f>N67</f>
        <v>6250</v>
      </c>
      <c r="C67" s="36">
        <f>O67</f>
        <v>6250</v>
      </c>
      <c r="D67" s="36">
        <f>P67</f>
        <v>6250</v>
      </c>
      <c r="E67" s="36">
        <f>Q67</f>
        <v>6250</v>
      </c>
      <c r="F67" s="36">
        <f>R67</f>
        <v>6250</v>
      </c>
      <c r="G67" s="36">
        <f>S67</f>
        <v>6250</v>
      </c>
      <c r="H67" s="36">
        <f>T67</f>
        <v>6250</v>
      </c>
      <c r="I67" s="36">
        <f>U67</f>
        <v>6250</v>
      </c>
      <c r="J67" s="36">
        <f>V67</f>
        <v>6250</v>
      </c>
      <c r="K67" s="36">
        <f>W67</f>
        <v>6250</v>
      </c>
      <c r="L67" s="36">
        <f>X67</f>
        <v>6250</v>
      </c>
      <c r="M67" s="36">
        <f>Y67</f>
        <v>6250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6250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6250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6250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6250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6250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6250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6250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6250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6250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6250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6250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6250</v>
      </c>
      <c r="Z67" s="46">
        <f>SUMIF($B$13:$Y$13,"Yes",B67:Y67)</f>
        <v>81250</v>
      </c>
      <c r="AA67" s="46">
        <f>SUM(B67:M67)</f>
        <v>75000</v>
      </c>
      <c r="AB67" s="46">
        <f>SUM(B67:Y67)</f>
        <v>150000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36500</v>
      </c>
      <c r="C74" s="46">
        <f>SUM(Calculations!$Q$14:$Q$16)/12</f>
        <v>36500</v>
      </c>
      <c r="D74" s="46">
        <f>SUM(Calculations!$Q$14:$Q$16)/12</f>
        <v>36500</v>
      </c>
      <c r="E74" s="46">
        <f>SUM(Calculations!$Q$14:$Q$16)/12</f>
        <v>36500</v>
      </c>
      <c r="F74" s="46">
        <f>SUM(Calculations!$Q$14:$Q$16)/12</f>
        <v>36500</v>
      </c>
      <c r="G74" s="46">
        <f>SUM(Calculations!$Q$14:$Q$16)/12</f>
        <v>36500</v>
      </c>
      <c r="H74" s="46">
        <f>SUM(Calculations!$Q$14:$Q$16)/12</f>
        <v>36500</v>
      </c>
      <c r="I74" s="46">
        <f>SUM(Calculations!$Q$14:$Q$16)/12</f>
        <v>36500</v>
      </c>
      <c r="J74" s="46">
        <f>SUM(Calculations!$Q$14:$Q$16)/12</f>
        <v>36500</v>
      </c>
      <c r="K74" s="46">
        <f>SUM(Calculations!$Q$14:$Q$16)/12</f>
        <v>36500</v>
      </c>
      <c r="L74" s="46">
        <f>SUM(Calculations!$Q$14:$Q$16)/12</f>
        <v>36500</v>
      </c>
      <c r="M74" s="46">
        <f>SUM(Calculations!$Q$14:$Q$16)/12</f>
        <v>36500</v>
      </c>
      <c r="N74" s="46">
        <f>SUM(Calculations!$Q$14:$Q$16)/12</f>
        <v>36500</v>
      </c>
      <c r="O74" s="46">
        <f>SUM(Calculations!$Q$14:$Q$16)/12</f>
        <v>36500</v>
      </c>
      <c r="P74" s="46">
        <f>SUM(Calculations!$Q$14:$Q$16)/12</f>
        <v>36500</v>
      </c>
      <c r="Q74" s="46">
        <f>SUM(Calculations!$Q$14:$Q$16)/12</f>
        <v>36500</v>
      </c>
      <c r="R74" s="46">
        <f>SUM(Calculations!$Q$14:$Q$16)/12</f>
        <v>36500</v>
      </c>
      <c r="S74" s="46">
        <f>SUM(Calculations!$Q$14:$Q$16)/12</f>
        <v>36500</v>
      </c>
      <c r="T74" s="46">
        <f>SUM(Calculations!$Q$14:$Q$16)/12</f>
        <v>36500</v>
      </c>
      <c r="U74" s="46">
        <f>SUM(Calculations!$Q$14:$Q$16)/12</f>
        <v>36500</v>
      </c>
      <c r="V74" s="46">
        <f>SUM(Calculations!$Q$14:$Q$16)/12</f>
        <v>36500</v>
      </c>
      <c r="W74" s="46">
        <f>SUM(Calculations!$Q$14:$Q$16)/12</f>
        <v>36500</v>
      </c>
      <c r="X74" s="46">
        <f>SUM(Calculations!$Q$14:$Q$16)/12</f>
        <v>36500</v>
      </c>
      <c r="Y74" s="46">
        <f>SUM(Calculations!$Q$14:$Q$16)/12</f>
        <v>36500</v>
      </c>
      <c r="Z74" s="46">
        <f>SUMIF($B$13:$Y$13,"Yes",B74:Y74)</f>
        <v>474500</v>
      </c>
      <c r="AA74" s="46">
        <f>SUM(B74:M74)</f>
        <v>438000</v>
      </c>
      <c r="AB74" s="46">
        <f>SUM(B74:Y74)</f>
        <v>876000</v>
      </c>
    </row>
    <row r="75" spans="1:30">
      <c r="A75" s="16" t="s">
        <v>47</v>
      </c>
      <c r="B75" s="46">
        <f>SUM(Calculations!$R$14:$R$16)/12</f>
        <v>1808.888888888889</v>
      </c>
      <c r="C75" s="46">
        <f>SUM(Calculations!$R$14:$R$16)/12</f>
        <v>1808.888888888889</v>
      </c>
      <c r="D75" s="46">
        <f>SUM(Calculations!$R$14:$R$16)/12</f>
        <v>1808.888888888889</v>
      </c>
      <c r="E75" s="46">
        <f>SUM(Calculations!$R$14:$R$16)/12</f>
        <v>1808.888888888889</v>
      </c>
      <c r="F75" s="46">
        <f>SUM(Calculations!$R$14:$R$16)/12</f>
        <v>1808.888888888889</v>
      </c>
      <c r="G75" s="46">
        <f>SUM(Calculations!$R$14:$R$16)/12</f>
        <v>1808.888888888889</v>
      </c>
      <c r="H75" s="46">
        <f>SUM(Calculations!$R$14:$R$16)/12</f>
        <v>1808.888888888889</v>
      </c>
      <c r="I75" s="46">
        <f>SUM(Calculations!$R$14:$R$16)/12</f>
        <v>1808.888888888889</v>
      </c>
      <c r="J75" s="46">
        <f>SUM(Calculations!$R$14:$R$16)/12</f>
        <v>1808.888888888889</v>
      </c>
      <c r="K75" s="46">
        <f>SUM(Calculations!$R$14:$R$16)/12</f>
        <v>1808.888888888889</v>
      </c>
      <c r="L75" s="46">
        <f>SUM(Calculations!$R$14:$R$16)/12</f>
        <v>1808.888888888889</v>
      </c>
      <c r="M75" s="46">
        <f>SUM(Calculations!$R$14:$R$16)/12</f>
        <v>1808.888888888889</v>
      </c>
      <c r="N75" s="46">
        <f>SUM(Calculations!$R$14:$R$16)/12</f>
        <v>1808.888888888889</v>
      </c>
      <c r="O75" s="46">
        <f>SUM(Calculations!$R$14:$R$16)/12</f>
        <v>1808.888888888889</v>
      </c>
      <c r="P75" s="46">
        <f>SUM(Calculations!$R$14:$R$16)/12</f>
        <v>1808.888888888889</v>
      </c>
      <c r="Q75" s="46">
        <f>SUM(Calculations!$R$14:$R$16)/12</f>
        <v>1808.888888888889</v>
      </c>
      <c r="R75" s="46">
        <f>SUM(Calculations!$R$14:$R$16)/12</f>
        <v>1808.888888888889</v>
      </c>
      <c r="S75" s="46">
        <f>SUM(Calculations!$R$14:$R$16)/12</f>
        <v>1808.888888888889</v>
      </c>
      <c r="T75" s="46">
        <f>SUM(Calculations!$R$14:$R$16)/12</f>
        <v>1808.888888888889</v>
      </c>
      <c r="U75" s="46">
        <f>SUM(Calculations!$R$14:$R$16)/12</f>
        <v>1808.888888888889</v>
      </c>
      <c r="V75" s="46">
        <f>SUM(Calculations!$R$14:$R$16)/12</f>
        <v>1808.888888888889</v>
      </c>
      <c r="W75" s="46">
        <f>SUM(Calculations!$R$14:$R$16)/12</f>
        <v>1808.888888888889</v>
      </c>
      <c r="X75" s="46">
        <f>SUM(Calculations!$R$14:$R$16)/12</f>
        <v>1808.888888888889</v>
      </c>
      <c r="Y75" s="46">
        <f>SUM(Calculations!$R$14:$R$16)/12</f>
        <v>1808.888888888889</v>
      </c>
      <c r="Z75" s="46">
        <f>SUMIF($B$13:$Y$13,"Yes",B75:Y75)</f>
        <v>23515.55555555556</v>
      </c>
      <c r="AA75" s="46">
        <f>SUM(B75:M75)</f>
        <v>21706.66666666667</v>
      </c>
      <c r="AB75" s="46">
        <f>SUM(B75:Y75)</f>
        <v>43413.33333333336</v>
      </c>
    </row>
    <row r="76" spans="1:30">
      <c r="A76" s="16" t="s">
        <v>48</v>
      </c>
      <c r="B76" s="46">
        <f>SUM(Calculations!$S$14:$S$16)/12</f>
        <v>11143.48370927318</v>
      </c>
      <c r="C76" s="46">
        <f>SUM(Calculations!$S$14:$S$16)/12</f>
        <v>11143.48370927318</v>
      </c>
      <c r="D76" s="46">
        <f>SUM(Calculations!$S$14:$S$16)/12</f>
        <v>11143.48370927318</v>
      </c>
      <c r="E76" s="46">
        <f>SUM(Calculations!$S$14:$S$16)/12</f>
        <v>11143.48370927318</v>
      </c>
      <c r="F76" s="46">
        <f>SUM(Calculations!$S$14:$S$16)/12</f>
        <v>11143.48370927318</v>
      </c>
      <c r="G76" s="46">
        <f>SUM(Calculations!$S$14:$S$16)/12</f>
        <v>11143.48370927318</v>
      </c>
      <c r="H76" s="46">
        <f>SUM(Calculations!$S$14:$S$16)/12</f>
        <v>11143.48370927318</v>
      </c>
      <c r="I76" s="46">
        <f>SUM(Calculations!$S$14:$S$16)/12</f>
        <v>11143.48370927318</v>
      </c>
      <c r="J76" s="46">
        <f>SUM(Calculations!$S$14:$S$16)/12</f>
        <v>11143.48370927318</v>
      </c>
      <c r="K76" s="46">
        <f>SUM(Calculations!$S$14:$S$16)/12</f>
        <v>11143.48370927318</v>
      </c>
      <c r="L76" s="46">
        <f>SUM(Calculations!$S$14:$S$16)/12</f>
        <v>11143.48370927318</v>
      </c>
      <c r="M76" s="46">
        <f>SUM(Calculations!$S$14:$S$16)/12</f>
        <v>11143.48370927318</v>
      </c>
      <c r="N76" s="46">
        <f>SUM(Calculations!$S$14:$S$16)/12</f>
        <v>11143.48370927318</v>
      </c>
      <c r="O76" s="46">
        <f>SUM(Calculations!$S$14:$S$16)/12</f>
        <v>11143.48370927318</v>
      </c>
      <c r="P76" s="46">
        <f>SUM(Calculations!$S$14:$S$16)/12</f>
        <v>11143.48370927318</v>
      </c>
      <c r="Q76" s="46">
        <f>SUM(Calculations!$S$14:$S$16)/12</f>
        <v>11143.48370927318</v>
      </c>
      <c r="R76" s="46">
        <f>SUM(Calculations!$S$14:$S$16)/12</f>
        <v>11143.48370927318</v>
      </c>
      <c r="S76" s="46">
        <f>SUM(Calculations!$S$14:$S$16)/12</f>
        <v>11143.48370927318</v>
      </c>
      <c r="T76" s="46">
        <f>SUM(Calculations!$S$14:$S$16)/12</f>
        <v>11143.48370927318</v>
      </c>
      <c r="U76" s="46">
        <f>SUM(Calculations!$S$14:$S$16)/12</f>
        <v>11143.48370927318</v>
      </c>
      <c r="V76" s="46">
        <f>SUM(Calculations!$S$14:$S$16)/12</f>
        <v>11143.48370927318</v>
      </c>
      <c r="W76" s="46">
        <f>SUM(Calculations!$S$14:$S$16)/12</f>
        <v>11143.48370927318</v>
      </c>
      <c r="X76" s="46">
        <f>SUM(Calculations!$S$14:$S$16)/12</f>
        <v>11143.48370927318</v>
      </c>
      <c r="Y76" s="46">
        <f>SUM(Calculations!$S$14:$S$16)/12</f>
        <v>11143.48370927318</v>
      </c>
      <c r="Z76" s="46">
        <f>SUMIF($B$13:$Y$13,"Yes",B76:Y76)</f>
        <v>144865.2882205514</v>
      </c>
      <c r="AA76" s="46">
        <f>SUM(B76:M76)</f>
        <v>133721.8045112782</v>
      </c>
      <c r="AB76" s="46">
        <f>SUM(B76:Y76)</f>
        <v>267443.6090225565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20000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</v>
      </c>
      <c r="AA80" s="46">
        <f>SUM(B80:M80)</f>
        <v>20000</v>
      </c>
      <c r="AB80" s="46">
        <f>SUM(B80:Y80)</f>
        <v>20000</v>
      </c>
    </row>
    <row r="81" spans="1:30">
      <c r="A81" s="43" t="s">
        <v>51</v>
      </c>
      <c r="B81" s="46">
        <f>(SUM($AA$18:$AA$29)-SUM($AA$36,$AA$42,$AA$48,$AA$54,$AA$60,$AA$66,$AA$72:$AA$79))*Parameters!$B$37/12</f>
        <v>90033.85542179766</v>
      </c>
      <c r="C81" s="46">
        <f>(SUM($AA$18:$AA$29)-SUM($AA$36,$AA$42,$AA$48,$AA$54,$AA$60,$AA$66,$AA$72:$AA$79))*Parameters!$B$37/12</f>
        <v>90033.85542179766</v>
      </c>
      <c r="D81" s="46">
        <f>(SUM($AA$18:$AA$29)-SUM($AA$36,$AA$42,$AA$48,$AA$54,$AA$60,$AA$66,$AA$72:$AA$79))*Parameters!$B$37/12</f>
        <v>90033.85542179766</v>
      </c>
      <c r="E81" s="46">
        <f>(SUM($AA$18:$AA$29)-SUM($AA$36,$AA$42,$AA$48,$AA$54,$AA$60,$AA$66,$AA$72:$AA$79))*Parameters!$B$37/12</f>
        <v>90033.85542179766</v>
      </c>
      <c r="F81" s="46">
        <f>(SUM($AA$18:$AA$29)-SUM($AA$36,$AA$42,$AA$48,$AA$54,$AA$60,$AA$66,$AA$72:$AA$79))*Parameters!$B$37/12</f>
        <v>90033.85542179766</v>
      </c>
      <c r="G81" s="46">
        <f>(SUM($AA$18:$AA$29)-SUM($AA$36,$AA$42,$AA$48,$AA$54,$AA$60,$AA$66,$AA$72:$AA$79))*Parameters!$B$37/12</f>
        <v>90033.85542179766</v>
      </c>
      <c r="H81" s="46">
        <f>(SUM($AA$18:$AA$29)-SUM($AA$36,$AA$42,$AA$48,$AA$54,$AA$60,$AA$66,$AA$72:$AA$79))*Parameters!$B$37/12</f>
        <v>90033.85542179766</v>
      </c>
      <c r="I81" s="46">
        <f>(SUM($AA$18:$AA$29)-SUM($AA$36,$AA$42,$AA$48,$AA$54,$AA$60,$AA$66,$AA$72:$AA$79))*Parameters!$B$37/12</f>
        <v>90033.85542179766</v>
      </c>
      <c r="J81" s="46">
        <f>(SUM($AA$18:$AA$29)-SUM($AA$36,$AA$42,$AA$48,$AA$54,$AA$60,$AA$66,$AA$72:$AA$79))*Parameters!$B$37/12</f>
        <v>90033.85542179766</v>
      </c>
      <c r="K81" s="46">
        <f>(SUM($AA$18:$AA$29)-SUM($AA$36,$AA$42,$AA$48,$AA$54,$AA$60,$AA$66,$AA$72:$AA$79))*Parameters!$B$37/12</f>
        <v>90033.85542179766</v>
      </c>
      <c r="L81" s="46">
        <f>(SUM($AA$18:$AA$29)-SUM($AA$36,$AA$42,$AA$48,$AA$54,$AA$60,$AA$66,$AA$72:$AA$79))*Parameters!$B$37/12</f>
        <v>90033.85542179766</v>
      </c>
      <c r="M81" s="46">
        <f>(SUM($AA$18:$AA$29)-SUM($AA$36,$AA$42,$AA$48,$AA$54,$AA$60,$AA$66,$AA$72:$AA$79))*Parameters!$B$37/12</f>
        <v>90033.85542179766</v>
      </c>
      <c r="N81" s="46">
        <f>(SUM($AA$18:$AA$29)-SUM($AA$36,$AA$42,$AA$48,$AA$54,$AA$60,$AA$66,$AA$72:$AA$79))*Parameters!$B$37/12</f>
        <v>90033.85542179766</v>
      </c>
      <c r="O81" s="46">
        <f>(SUM($AA$18:$AA$29)-SUM($AA$36,$AA$42,$AA$48,$AA$54,$AA$60,$AA$66,$AA$72:$AA$79))*Parameters!$B$37/12</f>
        <v>90033.85542179766</v>
      </c>
      <c r="P81" s="46">
        <f>(SUM($AA$18:$AA$29)-SUM($AA$36,$AA$42,$AA$48,$AA$54,$AA$60,$AA$66,$AA$72:$AA$79))*Parameters!$B$37/12</f>
        <v>90033.85542179766</v>
      </c>
      <c r="Q81" s="46">
        <f>(SUM($AA$18:$AA$29)-SUM($AA$36,$AA$42,$AA$48,$AA$54,$AA$60,$AA$66,$AA$72:$AA$79))*Parameters!$B$37/12</f>
        <v>90033.85542179766</v>
      </c>
      <c r="R81" s="46">
        <f>(SUM($AA$18:$AA$29)-SUM($AA$36,$AA$42,$AA$48,$AA$54,$AA$60,$AA$66,$AA$72:$AA$79))*Parameters!$B$37/12</f>
        <v>90033.85542179766</v>
      </c>
      <c r="S81" s="46">
        <f>(SUM($AA$18:$AA$29)-SUM($AA$36,$AA$42,$AA$48,$AA$54,$AA$60,$AA$66,$AA$72:$AA$79))*Parameters!$B$37/12</f>
        <v>90033.85542179766</v>
      </c>
      <c r="T81" s="46">
        <f>(SUM($AA$18:$AA$29)-SUM($AA$36,$AA$42,$AA$48,$AA$54,$AA$60,$AA$66,$AA$72:$AA$79))*Parameters!$B$37/12</f>
        <v>90033.85542179766</v>
      </c>
      <c r="U81" s="46">
        <f>(SUM($AA$18:$AA$29)-SUM($AA$36,$AA$42,$AA$48,$AA$54,$AA$60,$AA$66,$AA$72:$AA$79))*Parameters!$B$37/12</f>
        <v>90033.85542179766</v>
      </c>
      <c r="V81" s="46">
        <f>(SUM($AA$18:$AA$29)-SUM($AA$36,$AA$42,$AA$48,$AA$54,$AA$60,$AA$66,$AA$72:$AA$79))*Parameters!$B$37/12</f>
        <v>90033.85542179766</v>
      </c>
      <c r="W81" s="46">
        <f>(SUM($AA$18:$AA$29)-SUM($AA$36,$AA$42,$AA$48,$AA$54,$AA$60,$AA$66,$AA$72:$AA$79))*Parameters!$B$37/12</f>
        <v>90033.85542179766</v>
      </c>
      <c r="X81" s="46">
        <f>(SUM($AA$18:$AA$29)-SUM($AA$36,$AA$42,$AA$48,$AA$54,$AA$60,$AA$66,$AA$72:$AA$79))*Parameters!$B$37/12</f>
        <v>90033.85542179766</v>
      </c>
      <c r="Y81" s="46">
        <f>(SUM($AA$18:$AA$29)-SUM($AA$36,$AA$42,$AA$48,$AA$54,$AA$60,$AA$66,$AA$72:$AA$79))*Parameters!$B$37/12</f>
        <v>90033.85542179766</v>
      </c>
      <c r="Z81" s="46">
        <f>SUMIF($B$13:$Y$13,"Yes",B81:Y81)</f>
        <v>1170440.120483369</v>
      </c>
      <c r="AA81" s="46">
        <f>SUM(B81:M81)</f>
        <v>1080406.265061572</v>
      </c>
      <c r="AB81" s="46">
        <f>SUM(B81:Y81)</f>
        <v>2160812.530123143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165736.2280199597</v>
      </c>
      <c r="C88" s="19">
        <f>SUM(C72:C82,C66,C60,C54,C48,C42,C36)</f>
        <v>165736.2280199597</v>
      </c>
      <c r="D88" s="19">
        <f>SUM(D72:D82,D66,D60,D54,D48,D42,D36)</f>
        <v>185736.2280199597</v>
      </c>
      <c r="E88" s="19">
        <f>SUM(E72:E82,E66,E60,E54,E48,E42,E36)</f>
        <v>165736.2280199597</v>
      </c>
      <c r="F88" s="19">
        <f>SUM(F72:F82,F66,F60,F54,F48,F42,F36)</f>
        <v>165736.2280199597</v>
      </c>
      <c r="G88" s="19">
        <f>SUM(G72:G82,G66,G60,G54,G48,G42,G36)</f>
        <v>165736.2280199597</v>
      </c>
      <c r="H88" s="19">
        <f>SUM(H72:H82,H66,H60,H54,H48,H42,H36)</f>
        <v>165736.2280199597</v>
      </c>
      <c r="I88" s="19">
        <f>SUM(I72:I82,I66,I60,I54,I48,I42,I36)</f>
        <v>165736.2280199597</v>
      </c>
      <c r="J88" s="19">
        <f>SUM(J72:J82,J66,J60,J54,J48,J42,J36)</f>
        <v>165736.2280199597</v>
      </c>
      <c r="K88" s="19">
        <f>SUM(K72:K82,K66,K60,K54,K48,K42,K36)</f>
        <v>165736.2280199597</v>
      </c>
      <c r="L88" s="19">
        <f>SUM(L72:L82,L66,L60,L54,L48,L42,L36)</f>
        <v>165736.2280199597</v>
      </c>
      <c r="M88" s="19">
        <f>SUM(M72:M82,M66,M60,M54,M48,M42,M36)</f>
        <v>165736.2280199597</v>
      </c>
      <c r="N88" s="19">
        <f>SUM(N72:N82,N66,N60,N54,N48,N42,N36)</f>
        <v>165736.2280199597</v>
      </c>
      <c r="O88" s="19">
        <f>SUM(O72:O82,O66,O60,O54,O48,O42,O36)</f>
        <v>165736.2280199597</v>
      </c>
      <c r="P88" s="19">
        <f>SUM(P72:P82,P66,P60,P54,P48,P42,P36)</f>
        <v>165736.2280199597</v>
      </c>
      <c r="Q88" s="19">
        <f>SUM(Q72:Q82,Q66,Q60,Q54,Q48,Q42,Q36)</f>
        <v>165736.2280199597</v>
      </c>
      <c r="R88" s="19">
        <f>SUM(R72:R82,R66,R60,R54,R48,R42,R36)</f>
        <v>165736.2280199597</v>
      </c>
      <c r="S88" s="19">
        <f>SUM(S72:S82,S66,S60,S54,S48,S42,S36)</f>
        <v>165736.2280199597</v>
      </c>
      <c r="T88" s="19">
        <f>SUM(T72:T82,T66,T60,T54,T48,T42,T36)</f>
        <v>165736.2280199597</v>
      </c>
      <c r="U88" s="19">
        <f>SUM(U72:U82,U66,U60,U54,U48,U42,U36)</f>
        <v>165736.2280199597</v>
      </c>
      <c r="V88" s="19">
        <f>SUM(V72:V82,V66,V60,V54,V48,V42,V36)</f>
        <v>165736.2280199597</v>
      </c>
      <c r="W88" s="19">
        <f>SUM(W72:W82,W66,W60,W54,W48,W42,W36)</f>
        <v>165736.2280199597</v>
      </c>
      <c r="X88" s="19">
        <f>SUM(X72:X82,X66,X60,X54,X48,X42,X36)</f>
        <v>165736.2280199597</v>
      </c>
      <c r="Y88" s="19">
        <f>SUM(Y72:Y82,Y66,Y60,Y54,Y48,Y42,Y36)</f>
        <v>165736.2280199597</v>
      </c>
      <c r="Z88" s="19">
        <f>SUMIF($B$13:$Y$13,"Yes",B88:Y88)</f>
        <v>2174570.964259476</v>
      </c>
      <c r="AA88" s="19">
        <f>SUM(B88:M88)</f>
        <v>2008834.736239517</v>
      </c>
      <c r="AB88" s="19">
        <f>SUM(B88:Y88)</f>
        <v>3997669.472479034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4090000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1375000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5765000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>
        <v>200</v>
      </c>
      <c r="H7" s="145" t="s">
        <v>92</v>
      </c>
      <c r="I7" s="147" t="s">
        <v>92</v>
      </c>
      <c r="J7" s="148"/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20</v>
      </c>
      <c r="D19" s="145">
        <v>10</v>
      </c>
      <c r="E19" s="20"/>
      <c r="F19" s="145" t="s">
        <v>107</v>
      </c>
      <c r="G19" s="20"/>
      <c r="H19" s="20"/>
      <c r="I19" s="145" t="s">
        <v>108</v>
      </c>
      <c r="J19" s="145">
        <v>5</v>
      </c>
      <c r="K19" s="145"/>
      <c r="L19" s="25"/>
    </row>
    <row r="20" spans="1:48">
      <c r="A20" s="143" t="s">
        <v>109</v>
      </c>
      <c r="B20" s="16"/>
      <c r="C20" s="143">
        <v>200</v>
      </c>
      <c r="D20" s="147">
        <v>150</v>
      </c>
      <c r="E20" s="16"/>
      <c r="F20" s="147" t="s">
        <v>107</v>
      </c>
      <c r="G20" s="16"/>
      <c r="H20" s="16"/>
      <c r="I20" s="147" t="s">
        <v>108</v>
      </c>
      <c r="J20" s="147">
        <v>5</v>
      </c>
      <c r="K20" s="147">
        <v>0</v>
      </c>
      <c r="L20" s="30">
        <v>3</v>
      </c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50</v>
      </c>
    </row>
    <row r="27" spans="1:48">
      <c r="A27" s="14" t="s">
        <v>112</v>
      </c>
    </row>
    <row r="29" spans="1:48">
      <c r="A29" s="45" t="s">
        <v>113</v>
      </c>
      <c r="B29" s="156"/>
    </row>
    <row r="30" spans="1:48">
      <c r="A30" s="44" t="s">
        <v>114</v>
      </c>
      <c r="B30" s="157">
        <v>50000</v>
      </c>
    </row>
    <row r="31" spans="1:48">
      <c r="A31" s="5" t="s">
        <v>115</v>
      </c>
      <c r="B31" s="158">
        <v>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20000</v>
      </c>
      <c r="C35" s="145" t="s">
        <v>122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107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/>
    </row>
    <row r="46" spans="1:48" customHeight="1" ht="30">
      <c r="A46" s="57" t="s">
        <v>131</v>
      </c>
      <c r="B46" s="161">
        <v>50000</v>
      </c>
    </row>
    <row r="47" spans="1:48" customHeight="1" ht="30">
      <c r="A47" s="57" t="s">
        <v>132</v>
      </c>
      <c r="B47" s="161">
        <v>250000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146</v>
      </c>
      <c r="B66" s="159">
        <v>125000</v>
      </c>
      <c r="C66" s="163">
        <v>80000</v>
      </c>
      <c r="D66" s="49">
        <f>INDEX(Parameters!$D$79:$D$90,MATCH(Inputs!A66,Parameters!$C$79:$C$90,0))</f>
        <v>12</v>
      </c>
    </row>
    <row r="67" spans="1:48">
      <c r="A67" s="143" t="s">
        <v>147</v>
      </c>
      <c r="B67" s="157">
        <v>0</v>
      </c>
      <c r="C67" s="165">
        <v>0</v>
      </c>
      <c r="D67" s="49">
        <f>INDEX(Parameters!$D$79:$D$90,MATCH(Inputs!A67,Parameters!$C$79:$C$90,0))</f>
        <v>11</v>
      </c>
    </row>
    <row r="68" spans="1:48">
      <c r="A68" s="143" t="s">
        <v>148</v>
      </c>
      <c r="B68" s="157">
        <v>0</v>
      </c>
      <c r="C68" s="165">
        <v>0</v>
      </c>
      <c r="D68" s="49">
        <f>INDEX(Parameters!$D$79:$D$90,MATCH(Inputs!A68,Parameters!$C$79:$C$90,0))</f>
        <v>10</v>
      </c>
    </row>
    <row r="69" spans="1:48">
      <c r="A69" s="143" t="s">
        <v>149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149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149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300000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Wheat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40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1390.616365068682</v>
      </c>
      <c r="M4" s="25">
        <f>L4*H4</f>
        <v>6953.08182534341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27.3</v>
      </c>
      <c r="P4" s="22">
        <f>IFERROR(INDEX(Parameters!$A$3:$V$17,MATCH(Calculations!$A4,Parameters!$A$3:$A$17,0),MATCH($P$3,Parameters!$A$3:$V$3,0)),0)</f>
        <v>0</v>
      </c>
      <c r="Q4" s="33">
        <f>M4*O4*(1-N4)*MAX(S4,1)</f>
        <v>379638.2676637502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19250</v>
      </c>
      <c r="W4" s="33">
        <f>IFERROR(J4*H4*Parameters!$B$35+IF(OR(Inputs!F7=Parameters!$E$78,Inputs!F7=Parameters!$E$80),Calculations!H4*Parameters!$B$36,0),0)</f>
        <v>12000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37500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46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20</v>
      </c>
      <c r="E14" s="16">
        <f>Inputs!D19</f>
        <v>10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2600625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365000</v>
      </c>
      <c r="R14" s="63">
        <f>IFERROR(D14*INDEX(Parameters!$A$22:$P$29,MATCH(Calculations!$A14,Parameters!$A$22:$A$29,0),MATCH(Parameters!$M$22,Parameters!$A$22:$P$22,0)),"")</f>
        <v>20000</v>
      </c>
      <c r="S14" s="63">
        <f>IFERROR(D14*INDEX(Parameters!$A$22:$P$29,MATCH(Calculations!$A14,Parameters!$A$22:$A$29,0),MATCH(Parameters!$N$22,Parameters!$A$22:$P$22,0)),"")</f>
        <v>120000</v>
      </c>
    </row>
    <row r="15" spans="1:46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200</v>
      </c>
      <c r="E15" s="16">
        <f>Inputs!D20</f>
        <v>150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1.166666666666667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0.5263157894736842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219000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1706.666666666667</v>
      </c>
      <c r="S15" s="64">
        <f>IFERROR(D15*INDEX(Parameters!$A$22:$P$29,MATCH(Calculations!$A15,Parameters!$A$22:$A$29,0),MATCH(Parameters!$N$22,Parameters!$A$22:$P$22,0)),"")</f>
        <v>13721.80451127819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43160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35000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137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4500</v>
      </c>
      <c r="D33" s="170">
        <f>IFERROR(DATE(YEAR(B33),MONTH(B33),1)," ")</f>
        <v>42736</v>
      </c>
      <c r="F33" t="s">
        <v>155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4500</v>
      </c>
      <c r="D34" s="170">
        <f>IFERROR(DATE(YEAR(B34),MONTH(B34),1)," ")</f>
        <v>42767</v>
      </c>
      <c r="F34" t="s">
        <v>156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4500</v>
      </c>
      <c r="D35" s="170">
        <f>IFERROR(DATE(YEAR(B35),MONTH(B35),1)," ")</f>
        <v>42795</v>
      </c>
      <c r="F35" t="s">
        <v>158</v>
      </c>
      <c r="G35" s="27">
        <f>Inputs!B81</f>
        <v>300000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4500</v>
      </c>
      <c r="D36" s="170">
        <f>IFERROR(DATE(YEAR(B36),MONTH(B36),1)," ")</f>
        <v>42826</v>
      </c>
      <c r="F36" t="s">
        <v>159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4500</v>
      </c>
      <c r="D37" s="170">
        <f>IFERROR(DATE(YEAR(B37),MONTH(B37),1)," ")</f>
        <v>42856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47357.14285714286</v>
      </c>
      <c r="D38" s="170">
        <f>IFERROR(DATE(YEAR(B38),MONTH(B38),1)," ")</f>
        <v>42887</v>
      </c>
      <c r="F38" t="s">
        <v>221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47357.14285714286</v>
      </c>
      <c r="D39" s="170">
        <f>IFERROR(DATE(YEAR(B39),MONTH(B39),1)," ")</f>
        <v>42917</v>
      </c>
      <c r="F39" t="s">
        <v>164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47357.14285714286</v>
      </c>
      <c r="D40" s="170">
        <f>IFERROR(DATE(YEAR(B40),MONTH(B40),1)," ")</f>
        <v>42948</v>
      </c>
      <c r="F40" t="s">
        <v>165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47357.14285714286</v>
      </c>
      <c r="D41" s="170">
        <f>IFERROR(DATE(YEAR(B41),MONTH(B41),1)," ")</f>
        <v>42979</v>
      </c>
      <c r="F41" t="s">
        <v>222</v>
      </c>
      <c r="G41" s="73">
        <f>IFERROR(G35/(G38-G39),"")</f>
        <v>42857.14285714286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47357.14285714286</v>
      </c>
      <c r="D42" s="170">
        <f>IFERROR(DATE(YEAR(B42),MONTH(B42),1)," ")</f>
        <v>43009</v>
      </c>
      <c r="F42" t="s">
        <v>223</v>
      </c>
      <c r="G42" s="73">
        <f>IFERROR(G35*G36*IF(G37="Monthly",G38/12,IF(G37="Fortnightly",G38/(365/14),G38/(365/28)))/(G38-G40),"")</f>
        <v>4500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47357.14285714286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47357.14285714286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109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106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94</v>
      </c>
      <c r="B41" s="191" t="s">
        <v>92</v>
      </c>
      <c r="C41" s="191" t="s">
        <v>107</v>
      </c>
    </row>
    <row r="42" spans="1:36">
      <c r="A42" t="s">
        <v>109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106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308</v>
      </c>
      <c r="H52" s="12" t="s">
        <v>128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224</v>
      </c>
      <c r="E53" s="10" t="s">
        <v>183</v>
      </c>
      <c r="F53" s="10" t="s">
        <v>243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161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220</v>
      </c>
      <c r="J76" s="11" t="s">
        <v>342</v>
      </c>
      <c r="K76" s="11" t="s">
        <v>173</v>
      </c>
      <c r="AJ76" s="12"/>
    </row>
    <row r="77" spans="1:36">
      <c r="A77" t="s">
        <v>107</v>
      </c>
      <c r="B77" s="176">
        <v>0</v>
      </c>
      <c r="C77" s="12" t="s">
        <v>343</v>
      </c>
      <c r="E77" s="12" t="s">
        <v>92</v>
      </c>
      <c r="F77" s="12" t="s">
        <v>92</v>
      </c>
      <c r="G77" s="12" t="s">
        <v>344</v>
      </c>
      <c r="H77" s="12" t="s">
        <v>128</v>
      </c>
      <c r="I77" s="12" t="s">
        <v>345</v>
      </c>
      <c r="J77" s="136" t="s">
        <v>346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309</v>
      </c>
      <c r="I78" s="12" t="s">
        <v>351</v>
      </c>
      <c r="J78" s="70" t="s">
        <v>352</v>
      </c>
      <c r="K78" s="12" t="s">
        <v>92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353</v>
      </c>
      <c r="F79" s="12" t="s">
        <v>354</v>
      </c>
      <c r="G79" s="12" t="s">
        <v>108</v>
      </c>
      <c r="I79" s="12" t="s">
        <v>161</v>
      </c>
      <c r="J79" s="70" t="s">
        <v>355</v>
      </c>
      <c r="K79" s="12" t="s">
        <v>92</v>
      </c>
      <c r="AJ79" s="12"/>
    </row>
    <row r="80" spans="1:36">
      <c r="B80" s="176">
        <v>20</v>
      </c>
      <c r="C80" s="12" t="s">
        <v>122</v>
      </c>
      <c r="D80" s="12">
        <f>D79+1</f>
        <v>2</v>
      </c>
      <c r="E80" s="12" t="s">
        <v>356</v>
      </c>
      <c r="F80" s="12" t="s">
        <v>357</v>
      </c>
      <c r="J80" s="70" t="s">
        <v>90</v>
      </c>
      <c r="K80" s="12" t="s">
        <v>107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107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