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<sst xmlns="http://schemas.openxmlformats.org/spreadsheetml/2006/main" uniqueCount="374">
  <si>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</si>
  <si>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</si>
  <si>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</si>
  <si>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</si>
  <si>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</si>
  <si>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</si>
  <si>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</si>
  <si>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</si>
  <si>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</si>
  <si>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</si>
  <si>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</si>
  <si>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</si>
  <si>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</si>
  <si>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</si>
  <si>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</si>
  <si>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</si>
  <si>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</si>
  <si>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</si>
  <si>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</si>
  <si>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</si>
  <si>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</si>
  <si>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</si>
  <si>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</si>
  <si>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</si>
  <si>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</si>
  <si>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</si>
  <si>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</si>
  <si>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</si>
  <si>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</si>
  <si>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</si>
  <si>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</si>
  <si>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</si>
  <si>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</si>
  <si>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</si>
  <si>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</si>
  <si>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</si>
  <si>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</si>
  <si>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</si>
  <si>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</si>
  <si>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</si>
  <si>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</si>
  <si>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</si>
  <si>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</si>
  <si>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</si>
  <si>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</si>
  <si>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</si>
  <si>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</si>
  <si>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</si>
  <si>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</si>
  <si>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</si>
  <si>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</si>
  <si>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</si>
  <si>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</si>
  <si>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</si>
  <si>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</si>
  <si>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</si>
  <si>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</si>
  <si>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</si>
  <si>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</si>
  <si>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</si>
  <si>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</si>
  <si>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</si>
  <si>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</si>
  <si>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</si>
  <si>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</si>
  <si>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</si>
  <si>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</si>
  <si>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</si>
  <si>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</si>
  <si>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</si>
  <si>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</si>
  <si>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</si>
  <si>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</si>
  <si>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</si>
  <si>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</si>
  <si>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</si>
  <si>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</si>
  <si>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</si>
  <si>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</si>
  <si>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</si>
  <si>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</si>
  <si>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</si>
  <si>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</si>
  <si>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</si>
  <si>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</si>
  <si>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</si>
  <si>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</si>
  <si>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</si>
  <si>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</si>
  <si>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</si>
  <si>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</si>
  <si>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</si>
  <si>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</si>
  <si>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No</t>
  </si>
  <si>
    <t>Onions</t>
  </si>
  <si>
    <t>Other farmers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</si>
  <si>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</si>
  <si>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</si>
  <si>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</si>
  <si>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</si>
  <si>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</si>
  <si>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</si>
  <si>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</si>
  <si>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</si>
  <si>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</si>
  <si>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</si>
  <si>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</si>
  <si>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</si>
  <si>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</si>
  <si>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</si>
  <si>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</si>
  <si>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</si>
  <si>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</si>
  <si>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Goat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</si>
  <si>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</si>
  <si>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</si>
  <si>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</si>
  <si>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</si>
  <si>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</si>
  <si>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grocery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</si>
  <si>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</si>
  <si>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</si>
  <si>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</si>
  <si>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</si>
  <si>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</si>
  <si>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</si>
  <si>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</si>
  <si>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</si>
  <si>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</si>
  <si>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</si>
  <si>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</si>
  <si>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</si>
  <si>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</si>
  <si>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</si>
  <si>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</si>
  <si>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</si>
  <si>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</si>
  <si>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</si>
  <si>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</si>
  <si>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</si>
  <si>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</si>
  <si>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</si>
  <si>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</si>
  <si>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</si>
  <si>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</si>
  <si>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</si>
  <si>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</si>
  <si>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12/2/2016</t>
  </si>
  <si>
    <t xml:space="preserve">mshwari </t>
  </si>
  <si>
    <t>well paid</t>
  </si>
  <si>
    <t>2/20/2015</t>
  </si>
  <si>
    <t>coop</t>
  </si>
  <si>
    <t>5days arrears</t>
  </si>
  <si>
    <t>4/10/2009</t>
  </si>
  <si>
    <t>Unaitas</t>
  </si>
  <si>
    <t>good payment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</si>
  <si>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</si>
  <si>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</si>
  <si>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</si>
  <si>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</si>
  <si>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</si>
  <si>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</si>
  <si>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</si>
  <si>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</si>
  <si>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</si>
  <si>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</si>
  <si>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</si>
  <si>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</si>
  <si>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</si>
  <si>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</si>
  <si>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</si>
  <si>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</si>
  <si>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</si>
  <si>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</si>
  <si>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</si>
  <si>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</si>
  <si>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</si>
  <si>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</si>
  <si>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</si>
  <si>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</si>
  <si>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</si>
  <si>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</si>
  <si>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</si>
  <si>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</si>
  <si>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</si>
  <si>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</si>
  <si>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</si>
  <si>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</si>
  <si>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</si>
  <si>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</si>
  <si>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</si>
  <si>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</si>
  <si>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</si>
  <si>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</si>
  <si>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</si>
  <si>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</si>
  <si>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</si>
  <si>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</si>
  <si>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</si>
  <si>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</si>
  <si>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</si>
  <si>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</si>
  <si>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</si>
  <si>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</si>
  <si>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</si>
  <si>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</si>
  <si>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</si>
  <si>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</si>
  <si>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</si>
  <si>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</si>
  <si>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</si>
  <si>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</si>
  <si>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</si>
  <si>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</si>
  <si>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</si>
  <si>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</si>
  <si>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</si>
  <si>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</si>
  <si>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</si>
  <si>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</si>
  <si>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</si>
  <si>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</si>
  <si>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</si>
  <si>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</si>
  <si>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</si>
  <si>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</si>
  <si>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</si>
  <si>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</si>
  <si>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</si>
  <si>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</si>
  <si>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</si>
  <si>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</si>
  <si>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</si>
  <si>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</si>
  <si>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</si>
  <si>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</si>
  <si>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</si>
  <si>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</si>
  <si>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</si>
  <si>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</si>
  <si>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</si>
  <si>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</si>
  <si>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</si>
  <si>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</si>
  <si>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</si>
  <si>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</si>
  <si>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</si>
  <si>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</si>
  <si>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</si>
  <si>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</si>
  <si>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</si>
  <si>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</si>
  <si>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</si>
  <si>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</si>
  <si>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</si>
  <si>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</si>
  <si>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</si>
  <si>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</si>
  <si>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</si>
  <si>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</si>
  <si>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</si>
  <si>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</si>
  <si>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</si>
  <si>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</si>
  <si>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</si>
  <si>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</si>
  <si>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</si>
  <si>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</si>
  <si>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</si>
  <si>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</si>
  <si>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</si>
  <si>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</si>
  <si>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</si>
  <si>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</si>
  <si>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</si>
  <si>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</si>
  <si>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</si>
  <si>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</si>
  <si>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</si>
  <si>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</si>
  <si>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</si>
  <si>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</si>
  <si>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</si>
  <si>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</si>
  <si>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</si>
  <si>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</si>
  <si>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</si>
  <si>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</si>
  <si>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</si>
  <si>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</si>
  <si>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</si>
  <si>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</si>
  <si>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</si>
  <si>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</si>
  <si>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</si>
  <si>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</si>
  <si>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</si>
  <si>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</si>
  <si>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</si>
  <si>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</si>
  <si>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</si>
  <si>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</si>
  <si>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</si>
  <si>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</si>
  <si>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</si>
  <si>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</si>
  <si>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</si>
  <si>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</si>
  <si>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</si>
  <si>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</si>
  <si>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</si>
  <si>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</si>
  <si>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</si>
  <si>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</si>
  <si>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</si>
  <si>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</si>
  <si>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</si>
  <si>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</si>
  <si>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</si>
  <si>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</si>
  <si>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</si>
  <si>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</si>
  <si>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</si>
  <si>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</si>
  <si>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</si>
  <si>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</si>
  <si>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</si>
  <si>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</si>
  <si>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</si>
  <si>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</si>
  <si>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</si>
  <si>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</si>
  <si>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</si>
  <si>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</si>
  <si>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</si>
  <si>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</si>
  <si>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</si>
  <si>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</si>
  <si>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</si>
  <si>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</si>
  <si>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</si>
  <si>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</si>
  <si>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</si>
  <si>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</si>
  <si>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</si>
  <si>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</si>
  <si>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</si>
  <si>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</si>
  <si>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</si>
  <si>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</si>
  <si>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</si>
  <si>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</si>
  <si>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</si>
  <si>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</si>
  <si>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</si>
  <si>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</si>
  <si>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</si>
  <si>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</si>
  <si>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</si>
  <si>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</si>
  <si>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</si>
  <si>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</si>
  <si>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</si>
  <si>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Yes inorganic fertilizers</t>
  </si>
  <si>
    <t>Yes using a solar pump</t>
  </si>
  <si>
    <t>Shop_common variety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</si>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</sst>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</v>
      </c>
    </row>
    <row r="8" spans="1:7">
      <c r="B8" s="1" t="s">
        <v>4</v>
      </c>
      <c r="C8" t="str">
        <f>IF(Inputs!B29="","None",Inputs!B29)</f>
        <v>grocery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0.746812807167638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74973.1367131054</v>
      </c>
    </row>
    <row r="18" spans="1:7">
      <c r="B18" s="1" t="s">
        <v>12</v>
      </c>
      <c r="C18" s="36">
        <f>MIN(Output!B6:M6)</f>
        <v>-5334.199405995329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38152.62439400468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278333.3333333333</v>
      </c>
    </row>
    <row r="25" spans="1:7">
      <c r="B25" s="1" t="s">
        <v>18</v>
      </c>
      <c r="C25" s="36">
        <f>MAX(Inputs!A56:A60)</f>
        <v>580000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24022.55340205431</v>
      </c>
      <c r="C6" s="51">
        <f>C30-C88</f>
        <v>7283.662403193681</v>
      </c>
      <c r="D6" s="51">
        <f>D30-D88</f>
        <v>-2450.382564042658</v>
      </c>
      <c r="E6" s="51">
        <f>E30-E88</f>
        <v>-2450.382564042658</v>
      </c>
      <c r="F6" s="51">
        <f>F30-F88</f>
        <v>-2450.382564042658</v>
      </c>
      <c r="G6" s="51">
        <f>G30-G88</f>
        <v>-2450.382564042658</v>
      </c>
      <c r="H6" s="51">
        <f>H30-H88</f>
        <v>38152.62439400468</v>
      </c>
      <c r="I6" s="51">
        <f>I30-I88</f>
        <v>36652.62439400468</v>
      </c>
      <c r="J6" s="51">
        <f>J30-J88</f>
        <v>-5334.199405995329</v>
      </c>
      <c r="K6" s="51">
        <f>K30-K88</f>
        <v>-5334.199405995329</v>
      </c>
      <c r="L6" s="51">
        <f>L30-L88</f>
        <v>-5334.199405995329</v>
      </c>
      <c r="M6" s="51">
        <f>M30-M88</f>
        <v>-5334.199405995329</v>
      </c>
      <c r="N6" s="51">
        <f>N30-N88</f>
        <v>41036.44123595733</v>
      </c>
      <c r="O6" s="51">
        <f>O30-O88</f>
        <v>-26271.94199757562</v>
      </c>
      <c r="P6" s="51">
        <f>P30-P88</f>
        <v>7432.351966895469</v>
      </c>
      <c r="Q6" s="51">
        <f>Q30-Q88</f>
        <v>7432.351966895469</v>
      </c>
      <c r="R6" s="51">
        <f>R30-R88</f>
        <v>7432.351966895469</v>
      </c>
      <c r="S6" s="51">
        <f>S30-S88</f>
        <v>7432.351966895469</v>
      </c>
      <c r="T6" s="51">
        <f>T30-T88</f>
        <v>48035.3589249428</v>
      </c>
      <c r="U6" s="51">
        <f>U30-U88</f>
        <v>46535.3589249428</v>
      </c>
      <c r="V6" s="51">
        <f>V30-V88</f>
        <v>4548.535124942799</v>
      </c>
      <c r="W6" s="51">
        <f>W30-W88</f>
        <v>4548.535124942799</v>
      </c>
      <c r="X6" s="51">
        <f>X30-X88</f>
        <v>4548.535124942799</v>
      </c>
      <c r="Y6" s="51">
        <f>Y30-Y88</f>
        <v>4548.535124942799</v>
      </c>
      <c r="Z6" s="51">
        <f>SUMIF($B$13:$Y$13,"Yes",B6:Y6)</f>
        <v>116009.5779490627</v>
      </c>
      <c r="AA6" s="51">
        <f>AA30-AA88</f>
        <v>74973.13671310525</v>
      </c>
      <c r="AB6" s="51">
        <f>AB30-AB88</f>
        <v>232231.9021687263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22000</v>
      </c>
      <c r="D7" s="80">
        <f>IF(ISERROR(VLOOKUP(MONTH(D5),Inputs!$D$66:$D$71,1,0)),"",INDEX(Inputs!$B$66:$B$71,MATCH(MONTH(Output!D5),Inputs!$D$66:$D$71,0))-INDEX(Inputs!$C$66:$C$71,MATCH(MONTH(Output!D5),Inputs!$D$66:$D$71,0)))</f>
        <v>8000</v>
      </c>
      <c r="E7" s="80">
        <f>IF(ISERROR(VLOOKUP(MONTH(E5),Inputs!$D$66:$D$71,1,0)),"",INDEX(Inputs!$B$66:$B$71,MATCH(MONTH(Output!E5),Inputs!$D$66:$D$71,0))-INDEX(Inputs!$C$66:$C$71,MATCH(MONTH(Output!E5),Inputs!$D$66:$D$71,0)))</f>
        <v>-6000</v>
      </c>
      <c r="F7" s="80">
        <f>IF(ISERROR(VLOOKUP(MONTH(F5),Inputs!$D$66:$D$71,1,0)),"",INDEX(Inputs!$B$66:$B$71,MATCH(MONTH(Output!F5),Inputs!$D$66:$D$71,0))-INDEX(Inputs!$C$66:$C$71,MATCH(MONTH(Output!F5),Inputs!$D$66:$D$71,0)))</f>
        <v>101000</v>
      </c>
      <c r="G7" s="80">
        <f>IF(ISERROR(VLOOKUP(MONTH(G5),Inputs!$D$66:$D$71,1,0)),"",INDEX(Inputs!$B$66:$B$71,MATCH(MONTH(Output!G5),Inputs!$D$66:$D$71,0))-INDEX(Inputs!$C$66:$C$71,MATCH(MONTH(Output!G5),Inputs!$D$66:$D$71,0)))</f>
        <v>13000</v>
      </c>
      <c r="H7" s="80">
        <f>IF(ISERROR(VLOOKUP(MONTH(H5),Inputs!$D$66:$D$71,1,0)),"",INDEX(Inputs!$B$66:$B$71,MATCH(MONTH(Output!H5),Inputs!$D$66:$D$71,0))-INDEX(Inputs!$C$66:$C$71,MATCH(MONTH(Output!H5),Inputs!$D$66:$D$71,0)))</f>
        <v>12000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22000</v>
      </c>
      <c r="P7" s="80">
        <f>IF(ISERROR(VLOOKUP(MONTH(P5),Inputs!$D$66:$D$71,1,0)),"",INDEX(Inputs!$B$66:$B$71,MATCH(MONTH(Output!P5),Inputs!$D$66:$D$71,0))-INDEX(Inputs!$C$66:$C$71,MATCH(MONTH(Output!P5),Inputs!$D$66:$D$71,0)))</f>
        <v>8000</v>
      </c>
      <c r="Q7" s="80">
        <f>IF(ISERROR(VLOOKUP(MONTH(Q5),Inputs!$D$66:$D$71,1,0)),"",INDEX(Inputs!$B$66:$B$71,MATCH(MONTH(Output!Q5),Inputs!$D$66:$D$71,0))-INDEX(Inputs!$C$66:$C$71,MATCH(MONTH(Output!Q5),Inputs!$D$66:$D$71,0)))</f>
        <v>-6000</v>
      </c>
      <c r="R7" s="80">
        <f>IF(ISERROR(VLOOKUP(MONTH(R5),Inputs!$D$66:$D$71,1,0)),"",INDEX(Inputs!$B$66:$B$71,MATCH(MONTH(Output!R5),Inputs!$D$66:$D$71,0))-INDEX(Inputs!$C$66:$C$71,MATCH(MONTH(Output!R5),Inputs!$D$66:$D$71,0)))</f>
        <v>101000</v>
      </c>
      <c r="S7" s="80">
        <f>IF(ISERROR(VLOOKUP(MONTH(S5),Inputs!$D$66:$D$71,1,0)),"",INDEX(Inputs!$B$66:$B$71,MATCH(MONTH(Output!S5),Inputs!$D$66:$D$71,0))-INDEX(Inputs!$C$66:$C$71,MATCH(MONTH(Output!S5),Inputs!$D$66:$D$71,0)))</f>
        <v>13000</v>
      </c>
      <c r="T7" s="80">
        <f>IF(ISERROR(VLOOKUP(MONTH(T5),Inputs!$D$66:$D$71,1,0)),"",INDEX(Inputs!$B$66:$B$71,MATCH(MONTH(Output!T5),Inputs!$D$66:$D$71,0))-INDEX(Inputs!$C$66:$C$71,MATCH(MONTH(Output!T5),Inputs!$D$66:$D$71,0)))</f>
        <v>12000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31571.42857142857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204428.5714285714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224022.5534020543</v>
      </c>
      <c r="C11" s="80">
        <f>C6+C9-C10</f>
        <v>4283.662403193681</v>
      </c>
      <c r="D11" s="80">
        <f>D6+D9-D10</f>
        <v>-5450.382564042658</v>
      </c>
      <c r="E11" s="80">
        <f>E6+E9-E10</f>
        <v>-5450.382564042658</v>
      </c>
      <c r="F11" s="80">
        <f>F6+F9-F10</f>
        <v>-5450.382564042658</v>
      </c>
      <c r="G11" s="80">
        <f>G6+G9-G10</f>
        <v>-5450.382564042658</v>
      </c>
      <c r="H11" s="80">
        <f>H6+H9-H10</f>
        <v>6581.195822576105</v>
      </c>
      <c r="I11" s="80">
        <f>I6+I9-I10</f>
        <v>5081.195822576105</v>
      </c>
      <c r="J11" s="80">
        <f>J6+J9-J10</f>
        <v>-36905.6279774239</v>
      </c>
      <c r="K11" s="80">
        <f>K6+K9-K10</f>
        <v>-36905.6279774239</v>
      </c>
      <c r="L11" s="80">
        <f>L6+L9-L10</f>
        <v>-36905.6279774239</v>
      </c>
      <c r="M11" s="80">
        <f>M6+M9-M10</f>
        <v>-36905.6279774239</v>
      </c>
      <c r="N11" s="80">
        <f>N6+N9-N10</f>
        <v>9465.012664528753</v>
      </c>
      <c r="O11" s="80">
        <f>O6+O9-O10</f>
        <v>-26271.94199757562</v>
      </c>
      <c r="P11" s="80">
        <f>P6+P9-P10</f>
        <v>7432.351966895469</v>
      </c>
      <c r="Q11" s="80">
        <f>Q6+Q9-Q10</f>
        <v>7432.351966895469</v>
      </c>
      <c r="R11" s="80">
        <f>R6+R9-R10</f>
        <v>7432.351966895469</v>
      </c>
      <c r="S11" s="80">
        <f>S6+S9-S10</f>
        <v>7432.351966895469</v>
      </c>
      <c r="T11" s="80">
        <f>T6+T9-T10</f>
        <v>48035.3589249428</v>
      </c>
      <c r="U11" s="80">
        <f>U6+U9-U10</f>
        <v>46535.3589249428</v>
      </c>
      <c r="V11" s="80">
        <f>V6+V9-V10</f>
        <v>4548.535124942799</v>
      </c>
      <c r="W11" s="80">
        <f>W6+W9-W10</f>
        <v>4548.535124942799</v>
      </c>
      <c r="X11" s="80">
        <f>X6+X9-X10</f>
        <v>4548.535124942799</v>
      </c>
      <c r="Y11" s="80">
        <f>Y6+Y9-Y10</f>
        <v>4548.535124942799</v>
      </c>
      <c r="Z11" s="85">
        <f>SUMIF($B$13:$Y$13,"Yes",B11:Y11)</f>
        <v>80009.5779490627</v>
      </c>
      <c r="AA11" s="80">
        <f>SUM(B11:M11)</f>
        <v>70544.56528453395</v>
      </c>
      <c r="AB11" s="46">
        <f>SUM(B11:Y11)</f>
        <v>196231.9021687258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0.01296982006971183</v>
      </c>
      <c r="D12" s="82">
        <f>IF(D13="Yes",IF(SUM($B$10:D10)/(SUM($B$6:D6)+SUM($B$9:D9))&lt;0,999.99,SUM($B$10:D10)/(SUM($B$6:D6)+SUM($B$9:D9))),"")</f>
        <v>0.02621737849118414</v>
      </c>
      <c r="E12" s="82">
        <f>IF(E13="Yes",IF(SUM($B$10:E10)/(SUM($B$6:E6)+SUM($B$9:E9))&lt;0,999.99,SUM($B$10:E10)/(SUM($B$6:E6)+SUM($B$9:E9))),"")</f>
        <v>0.03975169313760617</v>
      </c>
      <c r="F12" s="82">
        <f>IF(F13="Yes",IF(SUM($B$10:F10)/(SUM($B$6:F6)+SUM($B$9:F9))&lt;0,999.99,SUM($B$10:F10)/(SUM($B$6:F6)+SUM($B$9:F9))),"")</f>
        <v>0.05358217655489173</v>
      </c>
      <c r="G12" s="82">
        <f>IF(G13="Yes",IF(SUM($B$10:G10)/(SUM($B$6:G6)+SUM($B$9:G9))&lt;0,999.99,SUM($B$10:G10)/(SUM($B$6:G6)+SUM($B$9:G9))),"")</f>
        <v>0.06771865779189826</v>
      </c>
      <c r="H12" s="82">
        <f>IF(H13="Yes",IF(SUM($B$10:H10)/(SUM($B$6:H6)+SUM($B$9:H9))&lt;0,999.99,SUM($B$10:H10)/(SUM($B$6:H6)+SUM($B$9:H9))),"")</f>
        <v>0.179357278952159</v>
      </c>
      <c r="I12" s="82">
        <f>IF(I13="Yes",IF(SUM($B$10:I10)/(SUM($B$6:I6)+SUM($B$9:I9))&lt;0,999.99,SUM($B$10:I10)/(SUM($B$6:I6)+SUM($B$9:I9))),"")</f>
        <v>0.2637200042505515</v>
      </c>
      <c r="J12" s="82">
        <f>IF(J13="Yes",IF(SUM($B$10:J10)/(SUM($B$6:J6)+SUM($B$9:J9))&lt;0,999.99,SUM($B$10:J10)/(SUM($B$6:J6)+SUM($B$9:J9))),"")</f>
        <v>0.377056477717182</v>
      </c>
      <c r="K12" s="82">
        <f>IF(K13="Yes",IF(SUM($B$10:K10)/(SUM($B$6:K6)+SUM($B$9:K9))&lt;0,999.99,SUM($B$10:K10)/(SUM($B$6:K6)+SUM($B$9:K9))),"")</f>
        <v>0.4946259444586312</v>
      </c>
      <c r="L12" s="82">
        <f>IF(L13="Yes",IF(SUM($B$10:L10)/(SUM($B$6:L6)+SUM($B$9:L9))&lt;0,999.99,SUM($B$10:L10)/(SUM($B$6:L6)+SUM($B$9:L9))),"")</f>
        <v>0.616670063831997</v>
      </c>
      <c r="M12" s="82">
        <f>IF(M13="Yes",IF(SUM($B$10:M10)/(SUM($B$6:M6)+SUM($B$9:M9))&lt;0,999.99,SUM($B$10:M10)/(SUM($B$6:M6)+SUM($B$9:M9))),"")</f>
        <v>0.7434492469781259</v>
      </c>
      <c r="N12" s="82">
        <f>IF(N13="Yes",IF(SUM($B$10:N10)/(SUM($B$6:N6)+SUM($B$9:N9))&lt;0,999.99,SUM($B$10:N10)/(SUM($B$6:N6)+SUM($B$9:N9))),"")</f>
        <v>0.746812807167638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2883.816841952665</v>
      </c>
      <c r="C18" s="36">
        <f>O18</f>
        <v>2883.816841952665</v>
      </c>
      <c r="D18" s="36">
        <f>P18</f>
        <v>2883.816841952665</v>
      </c>
      <c r="E18" s="36">
        <f>Q18</f>
        <v>2883.816841952665</v>
      </c>
      <c r="F18" s="36">
        <f>R18</f>
        <v>2883.816841952665</v>
      </c>
      <c r="G18" s="36">
        <f>S18</f>
        <v>2883.816841952665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2883.816841952665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2883.816841952665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2883.816841952665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2883.816841952665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2883.816841952665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2883.816841952665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20186.71789366865</v>
      </c>
      <c r="AA18" s="36">
        <f>SUM(B18:M18)</f>
        <v>17302.90105171599</v>
      </c>
      <c r="AB18" s="36">
        <f>SUM(B18:Y18)</f>
        <v>34605.80210343197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43486.8238</v>
      </c>
      <c r="C19" s="36">
        <f>O19</f>
        <v>43486.8238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43486.8238</v>
      </c>
      <c r="I19" s="36">
        <f>U19</f>
        <v>43486.8238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43486.8238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43486.8238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43486.8238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43486.8238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217434.119</v>
      </c>
      <c r="AA19" s="36">
        <f>SUM(B19:M19)</f>
        <v>173947.2952</v>
      </c>
      <c r="AB19" s="36">
        <f>SUM(B19:Y19)</f>
        <v>347894.5904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479.1666666666667</v>
      </c>
      <c r="C25" s="36">
        <f>IFERROR(Calculations!$P15/12,"")</f>
        <v>479.1666666666667</v>
      </c>
      <c r="D25" s="36">
        <f>IFERROR(Calculations!$P15/12,"")</f>
        <v>479.1666666666667</v>
      </c>
      <c r="E25" s="36">
        <f>IFERROR(Calculations!$P15/12,"")</f>
        <v>479.1666666666667</v>
      </c>
      <c r="F25" s="36">
        <f>IFERROR(Calculations!$P15/12,"")</f>
        <v>479.1666666666667</v>
      </c>
      <c r="G25" s="36">
        <f>IFERROR(Calculations!$P15/12,"")</f>
        <v>479.1666666666667</v>
      </c>
      <c r="H25" s="36">
        <f>IFERROR(Calculations!$P15/12,"")</f>
        <v>479.1666666666667</v>
      </c>
      <c r="I25" s="36">
        <f>IFERROR(Calculations!$P15/12,"")</f>
        <v>479.1666666666667</v>
      </c>
      <c r="J25" s="36">
        <f>IFERROR(Calculations!$P15/12,"")</f>
        <v>479.1666666666667</v>
      </c>
      <c r="K25" s="36">
        <f>IFERROR(Calculations!$P15/12,"")</f>
        <v>479.1666666666667</v>
      </c>
      <c r="L25" s="36">
        <f>IFERROR(Calculations!$P15/12,"")</f>
        <v>479.1666666666667</v>
      </c>
      <c r="M25" s="36">
        <f>IFERROR(Calculations!$P15/12,"")</f>
        <v>479.1666666666667</v>
      </c>
      <c r="N25" s="36">
        <f>IFERROR(Calculations!$P15/12,"")</f>
        <v>479.1666666666667</v>
      </c>
      <c r="O25" s="36">
        <f>IFERROR(Calculations!$P15/12,"")</f>
        <v>479.1666666666667</v>
      </c>
      <c r="P25" s="36">
        <f>IFERROR(Calculations!$P15/12,"")</f>
        <v>479.1666666666667</v>
      </c>
      <c r="Q25" s="36">
        <f>IFERROR(Calculations!$P15/12,"")</f>
        <v>479.1666666666667</v>
      </c>
      <c r="R25" s="36">
        <f>IFERROR(Calculations!$P15/12,"")</f>
        <v>479.1666666666667</v>
      </c>
      <c r="S25" s="36">
        <f>IFERROR(Calculations!$P15/12,"")</f>
        <v>479.1666666666667</v>
      </c>
      <c r="T25" s="36">
        <f>IFERROR(Calculations!$P15/12,"")</f>
        <v>479.1666666666667</v>
      </c>
      <c r="U25" s="36">
        <f>IFERROR(Calculations!$P15/12,"")</f>
        <v>479.1666666666667</v>
      </c>
      <c r="V25" s="36">
        <f>IFERROR(Calculations!$P15/12,"")</f>
        <v>479.1666666666667</v>
      </c>
      <c r="W25" s="36">
        <f>IFERROR(Calculations!$P15/12,"")</f>
        <v>479.1666666666667</v>
      </c>
      <c r="X25" s="36">
        <f>IFERROR(Calculations!$P15/12,"")</f>
        <v>479.1666666666667</v>
      </c>
      <c r="Y25" s="36">
        <f>IFERROR(Calculations!$P15/12,"")</f>
        <v>479.1666666666667</v>
      </c>
      <c r="Z25" s="36">
        <f>SUMIF($B$13:$Y$13,"Yes",B25:Y25)</f>
        <v>6229.166666666668</v>
      </c>
      <c r="AA25" s="36">
        <f>SUM(B25:M25)</f>
        <v>5750.000000000001</v>
      </c>
      <c r="AB25" s="46">
        <f>SUM(B25:Y25)</f>
        <v>11500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86849.80730861932</v>
      </c>
      <c r="C30" s="19">
        <f>SUM(C18:C29)</f>
        <v>86849.80730861932</v>
      </c>
      <c r="D30" s="19">
        <f>SUM(D18:D29)</f>
        <v>43362.98350861933</v>
      </c>
      <c r="E30" s="19">
        <f>SUM(E18:E29)</f>
        <v>43362.98350861933</v>
      </c>
      <c r="F30" s="19">
        <f>SUM(F18:F29)</f>
        <v>43362.98350861933</v>
      </c>
      <c r="G30" s="19">
        <f>SUM(G18:G29)</f>
        <v>43362.98350861933</v>
      </c>
      <c r="H30" s="19">
        <f>SUM(H18:H29)</f>
        <v>83965.99046666667</v>
      </c>
      <c r="I30" s="19">
        <f>SUM(I18:I29)</f>
        <v>83965.99046666667</v>
      </c>
      <c r="J30" s="19">
        <f>SUM(J18:J29)</f>
        <v>40479.16666666666</v>
      </c>
      <c r="K30" s="19">
        <f>SUM(K18:K29)</f>
        <v>40479.16666666666</v>
      </c>
      <c r="L30" s="19">
        <f>SUM(L18:L29)</f>
        <v>40479.16666666666</v>
      </c>
      <c r="M30" s="19">
        <f>SUM(M18:M29)</f>
        <v>40479.16666666666</v>
      </c>
      <c r="N30" s="19">
        <f>SUM(N18:N29)</f>
        <v>86849.80730861932</v>
      </c>
      <c r="O30" s="19">
        <f>SUM(O18:O29)</f>
        <v>86849.80730861932</v>
      </c>
      <c r="P30" s="19">
        <f>SUM(P18:P29)</f>
        <v>43362.98350861933</v>
      </c>
      <c r="Q30" s="19">
        <f>SUM(Q18:Q29)</f>
        <v>43362.98350861933</v>
      </c>
      <c r="R30" s="19">
        <f>SUM(R18:R29)</f>
        <v>43362.98350861933</v>
      </c>
      <c r="S30" s="19">
        <f>SUM(S18:S29)</f>
        <v>43362.98350861933</v>
      </c>
      <c r="T30" s="19">
        <f>SUM(T18:T29)</f>
        <v>83965.99046666667</v>
      </c>
      <c r="U30" s="19">
        <f>SUM(U18:U29)</f>
        <v>83965.99046666667</v>
      </c>
      <c r="V30" s="19">
        <f>SUM(V18:V29)</f>
        <v>40479.16666666666</v>
      </c>
      <c r="W30" s="19">
        <f>SUM(W18:W29)</f>
        <v>40479.16666666666</v>
      </c>
      <c r="X30" s="19">
        <f>SUM(X18:X29)</f>
        <v>40479.16666666666</v>
      </c>
      <c r="Y30" s="19">
        <f>SUM(Y18:Y29)</f>
        <v>40479.16666666666</v>
      </c>
      <c r="Z30" s="19">
        <f>SUMIF($B$13:$Y$13,"Yes",B30:Y30)</f>
        <v>763850.0035603351</v>
      </c>
      <c r="AA30" s="19">
        <f>SUM(B30:M30)</f>
        <v>677000.1962517158</v>
      </c>
      <c r="AB30" s="19">
        <f>SUM(B30:Y30)</f>
        <v>1354000.392503432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3000</v>
      </c>
      <c r="AA42" s="36">
        <f>SUM(B42:M42)</f>
        <v>3000</v>
      </c>
      <c r="AB42" s="36">
        <f>SUM(B42:Y42)</f>
        <v>6000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1500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1166.666666666667</v>
      </c>
      <c r="C60" s="36">
        <f>O60</f>
        <v>1166.666666666667</v>
      </c>
      <c r="D60" s="36">
        <f>P60</f>
        <v>1166.666666666667</v>
      </c>
      <c r="E60" s="36">
        <f>Q60</f>
        <v>1166.666666666667</v>
      </c>
      <c r="F60" s="36">
        <f>R60</f>
        <v>1166.666666666667</v>
      </c>
      <c r="G60" s="36">
        <f>S60</f>
        <v>1166.666666666667</v>
      </c>
      <c r="H60" s="36">
        <f>T60</f>
        <v>1166.666666666667</v>
      </c>
      <c r="I60" s="36">
        <f>U60</f>
        <v>1166.666666666667</v>
      </c>
      <c r="J60" s="36">
        <f>V60</f>
        <v>1166.666666666667</v>
      </c>
      <c r="K60" s="36">
        <f>W60</f>
        <v>1166.666666666667</v>
      </c>
      <c r="L60" s="36">
        <f>X60</f>
        <v>1166.666666666667</v>
      </c>
      <c r="M60" s="36">
        <f>Y60</f>
        <v>1166.666666666667</v>
      </c>
      <c r="N60" s="46">
        <f>SUM(N61:N65)</f>
        <v>1166.666666666667</v>
      </c>
      <c r="O60" s="46">
        <f>SUM(O61:O65)</f>
        <v>1166.666666666667</v>
      </c>
      <c r="P60" s="46">
        <f>SUM(P61:P65)</f>
        <v>1166.666666666667</v>
      </c>
      <c r="Q60" s="46">
        <f>SUM(Q61:Q65)</f>
        <v>1166.666666666667</v>
      </c>
      <c r="R60" s="46">
        <f>SUM(R61:R65)</f>
        <v>1166.666666666667</v>
      </c>
      <c r="S60" s="46">
        <f>SUM(S61:S65)</f>
        <v>1166.666666666667</v>
      </c>
      <c r="T60" s="46">
        <f>SUM(T61:T65)</f>
        <v>1166.666666666667</v>
      </c>
      <c r="U60" s="46">
        <f>SUM(U61:U65)</f>
        <v>1166.666666666667</v>
      </c>
      <c r="V60" s="46">
        <f>SUM(V61:V65)</f>
        <v>1166.666666666667</v>
      </c>
      <c r="W60" s="46">
        <f>SUM(W61:W65)</f>
        <v>1166.666666666667</v>
      </c>
      <c r="X60" s="46">
        <f>SUM(X61:X65)</f>
        <v>1166.666666666667</v>
      </c>
      <c r="Y60" s="46">
        <f>SUM(Y61:Y65)</f>
        <v>1166.666666666667</v>
      </c>
      <c r="Z60" s="46">
        <f>SUMIF($B$13:$Y$13,"Yes",B60:Y60)</f>
        <v>15166.66666666666</v>
      </c>
      <c r="AA60" s="46">
        <f>SUM(B60:M60)</f>
        <v>14000</v>
      </c>
      <c r="AB60" s="46">
        <f>SUM(B60:Y60)</f>
        <v>28000.00000000001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1166.666666666667</v>
      </c>
      <c r="C62" s="36">
        <f>O62</f>
        <v>1166.666666666667</v>
      </c>
      <c r="D62" s="36">
        <f>P62</f>
        <v>1166.666666666667</v>
      </c>
      <c r="E62" s="36">
        <f>Q62</f>
        <v>1166.666666666667</v>
      </c>
      <c r="F62" s="36">
        <f>R62</f>
        <v>1166.666666666667</v>
      </c>
      <c r="G62" s="36">
        <f>S62</f>
        <v>1166.666666666667</v>
      </c>
      <c r="H62" s="36">
        <f>T62</f>
        <v>1166.666666666667</v>
      </c>
      <c r="I62" s="36">
        <f>U62</f>
        <v>1166.666666666667</v>
      </c>
      <c r="J62" s="36">
        <f>V62</f>
        <v>1166.666666666667</v>
      </c>
      <c r="K62" s="36">
        <f>W62</f>
        <v>1166.666666666667</v>
      </c>
      <c r="L62" s="36">
        <f>X62</f>
        <v>1166.666666666667</v>
      </c>
      <c r="M62" s="36">
        <f>Y62</f>
        <v>1166.666666666667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1166.666666666667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1166.666666666667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1166.666666666667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1166.666666666667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1166.666666666667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1166.666666666667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1166.666666666667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1166.666666666667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1166.666666666667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1166.666666666667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1166.666666666667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1166.666666666667</v>
      </c>
      <c r="Z62" s="46">
        <f>SUMIF($B$13:$Y$13,"Yes",B62:Y62)</f>
        <v>15166.66666666666</v>
      </c>
      <c r="AA62" s="46">
        <f>SUM(B62:M62)</f>
        <v>14000</v>
      </c>
      <c r="AB62" s="46">
        <f>SUM(B62:Y62)</f>
        <v>28000.00000000001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9025</v>
      </c>
      <c r="C66" s="36">
        <f>O66</f>
        <v>9025</v>
      </c>
      <c r="D66" s="36">
        <f>P66</f>
        <v>9025</v>
      </c>
      <c r="E66" s="36">
        <f>Q66</f>
        <v>9025</v>
      </c>
      <c r="F66" s="36">
        <f>R66</f>
        <v>9025</v>
      </c>
      <c r="G66" s="36">
        <f>S66</f>
        <v>9025</v>
      </c>
      <c r="H66" s="36">
        <f>T66</f>
        <v>9025</v>
      </c>
      <c r="I66" s="36">
        <f>U66</f>
        <v>9025</v>
      </c>
      <c r="J66" s="36">
        <f>V66</f>
        <v>9025</v>
      </c>
      <c r="K66" s="36">
        <f>W66</f>
        <v>9025</v>
      </c>
      <c r="L66" s="36">
        <f>X66</f>
        <v>9025</v>
      </c>
      <c r="M66" s="36">
        <f>Y66</f>
        <v>9025</v>
      </c>
      <c r="N66" s="46">
        <f>SUM(N67:N71)</f>
        <v>9025</v>
      </c>
      <c r="O66" s="46">
        <f>SUM(O67:O71)</f>
        <v>9025</v>
      </c>
      <c r="P66" s="46">
        <f>SUM(P67:P71)</f>
        <v>9025</v>
      </c>
      <c r="Q66" s="46">
        <f>SUM(Q67:Q71)</f>
        <v>9025</v>
      </c>
      <c r="R66" s="46">
        <f>SUM(R67:R71)</f>
        <v>9025</v>
      </c>
      <c r="S66" s="46">
        <f>SUM(S67:S71)</f>
        <v>9025</v>
      </c>
      <c r="T66" s="46">
        <f>SUM(T67:T71)</f>
        <v>9025</v>
      </c>
      <c r="U66" s="46">
        <f>SUM(U67:U71)</f>
        <v>9025</v>
      </c>
      <c r="V66" s="46">
        <f>SUM(V67:V71)</f>
        <v>9025</v>
      </c>
      <c r="W66" s="46">
        <f>SUM(W67:W71)</f>
        <v>9025</v>
      </c>
      <c r="X66" s="46">
        <f>SUM(X67:X71)</f>
        <v>9025</v>
      </c>
      <c r="Y66" s="46">
        <f>SUM(Y67:Y71)</f>
        <v>9025</v>
      </c>
      <c r="Z66" s="46">
        <f>SUMIF($B$13:$Y$13,"Yes",B66:Y66)</f>
        <v>117325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Cabbages</v>
      </c>
      <c r="B67" s="36">
        <f>N67</f>
        <v>6768.75</v>
      </c>
      <c r="C67" s="36">
        <f>O67</f>
        <v>6768.75</v>
      </c>
      <c r="D67" s="36">
        <f>P67</f>
        <v>6768.75</v>
      </c>
      <c r="E67" s="36">
        <f>Q67</f>
        <v>6768.75</v>
      </c>
      <c r="F67" s="36">
        <f>R67</f>
        <v>6768.75</v>
      </c>
      <c r="G67" s="36">
        <f>S67</f>
        <v>6768.75</v>
      </c>
      <c r="H67" s="36">
        <f>T67</f>
        <v>6768.75</v>
      </c>
      <c r="I67" s="36">
        <f>U67</f>
        <v>6768.75</v>
      </c>
      <c r="J67" s="36">
        <f>V67</f>
        <v>6768.75</v>
      </c>
      <c r="K67" s="36">
        <f>W67</f>
        <v>6768.75</v>
      </c>
      <c r="L67" s="36">
        <f>X67</f>
        <v>6768.75</v>
      </c>
      <c r="M67" s="36">
        <f>Y67</f>
        <v>6768.75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6768.75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6768.75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6768.75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6768.75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6768.75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6768.75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6768.75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6768.75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6768.75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6768.75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6768.75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6768.75</v>
      </c>
      <c r="Z67" s="46">
        <f>SUMIF($B$13:$Y$13,"Yes",B67:Y67)</f>
        <v>87993.75</v>
      </c>
      <c r="AA67" s="46">
        <f>SUM(B67:M67)</f>
        <v>81225</v>
      </c>
      <c r="AB67" s="46">
        <f>SUM(B67:Y67)</f>
        <v>162450</v>
      </c>
    </row>
    <row r="68" spans="1:30" hidden="true" outlineLevel="1">
      <c r="A68" s="181" t="str">
        <f>Calculations!$A$5</f>
        <v>Onions</v>
      </c>
      <c r="B68" s="36">
        <f>N68</f>
        <v>2256.25</v>
      </c>
      <c r="C68" s="36">
        <f>O68</f>
        <v>2256.25</v>
      </c>
      <c r="D68" s="36">
        <f>P68</f>
        <v>2256.25</v>
      </c>
      <c r="E68" s="36">
        <f>Q68</f>
        <v>2256.25</v>
      </c>
      <c r="F68" s="36">
        <f>R68</f>
        <v>2256.25</v>
      </c>
      <c r="G68" s="36">
        <f>S68</f>
        <v>2256.25</v>
      </c>
      <c r="H68" s="36">
        <f>T68</f>
        <v>2256.25</v>
      </c>
      <c r="I68" s="36">
        <f>U68</f>
        <v>2256.25</v>
      </c>
      <c r="J68" s="36">
        <f>V68</f>
        <v>2256.25</v>
      </c>
      <c r="K68" s="36">
        <f>W68</f>
        <v>2256.25</v>
      </c>
      <c r="L68" s="36">
        <f>X68</f>
        <v>2256.25</v>
      </c>
      <c r="M68" s="36">
        <f>Y68</f>
        <v>2256.25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2256.25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2256.25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2256.25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2256.25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2256.25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2256.25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2256.25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2256.25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2256.25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2256.25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2256.25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2256.25</v>
      </c>
      <c r="Z68" s="46">
        <f>SUMIF($B$13:$Y$13,"Yes",B68:Y68)</f>
        <v>29331.25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8000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8000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8000</v>
      </c>
      <c r="AA72" s="46">
        <f>SUM(B72:M72)</f>
        <v>8000</v>
      </c>
      <c r="AB72" s="46">
        <f>SUM(B72:Y72)</f>
        <v>16000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1901.041666666667</v>
      </c>
      <c r="C74" s="46">
        <f>SUM(Calculations!$Q$14:$Q$16)/12</f>
        <v>1901.041666666667</v>
      </c>
      <c r="D74" s="46">
        <f>SUM(Calculations!$Q$14:$Q$16)/12</f>
        <v>1901.041666666667</v>
      </c>
      <c r="E74" s="46">
        <f>SUM(Calculations!$Q$14:$Q$16)/12</f>
        <v>1901.041666666667</v>
      </c>
      <c r="F74" s="46">
        <f>SUM(Calculations!$Q$14:$Q$16)/12</f>
        <v>1901.041666666667</v>
      </c>
      <c r="G74" s="46">
        <f>SUM(Calculations!$Q$14:$Q$16)/12</f>
        <v>1901.041666666667</v>
      </c>
      <c r="H74" s="46">
        <f>SUM(Calculations!$Q$14:$Q$16)/12</f>
        <v>1901.041666666667</v>
      </c>
      <c r="I74" s="46">
        <f>SUM(Calculations!$Q$14:$Q$16)/12</f>
        <v>1901.041666666667</v>
      </c>
      <c r="J74" s="46">
        <f>SUM(Calculations!$Q$14:$Q$16)/12</f>
        <v>1901.041666666667</v>
      </c>
      <c r="K74" s="46">
        <f>SUM(Calculations!$Q$14:$Q$16)/12</f>
        <v>1901.041666666667</v>
      </c>
      <c r="L74" s="46">
        <f>SUM(Calculations!$Q$14:$Q$16)/12</f>
        <v>1901.041666666667</v>
      </c>
      <c r="M74" s="46">
        <f>SUM(Calculations!$Q$14:$Q$16)/12</f>
        <v>1901.041666666667</v>
      </c>
      <c r="N74" s="46">
        <f>SUM(Calculations!$Q$14:$Q$16)/12</f>
        <v>1901.041666666667</v>
      </c>
      <c r="O74" s="46">
        <f>SUM(Calculations!$Q$14:$Q$16)/12</f>
        <v>1901.041666666667</v>
      </c>
      <c r="P74" s="46">
        <f>SUM(Calculations!$Q$14:$Q$16)/12</f>
        <v>1901.041666666667</v>
      </c>
      <c r="Q74" s="46">
        <f>SUM(Calculations!$Q$14:$Q$16)/12</f>
        <v>1901.041666666667</v>
      </c>
      <c r="R74" s="46">
        <f>SUM(Calculations!$Q$14:$Q$16)/12</f>
        <v>1901.041666666667</v>
      </c>
      <c r="S74" s="46">
        <f>SUM(Calculations!$Q$14:$Q$16)/12</f>
        <v>1901.041666666667</v>
      </c>
      <c r="T74" s="46">
        <f>SUM(Calculations!$Q$14:$Q$16)/12</f>
        <v>1901.041666666667</v>
      </c>
      <c r="U74" s="46">
        <f>SUM(Calculations!$Q$14:$Q$16)/12</f>
        <v>1901.041666666667</v>
      </c>
      <c r="V74" s="46">
        <f>SUM(Calculations!$Q$14:$Q$16)/12</f>
        <v>1901.041666666667</v>
      </c>
      <c r="W74" s="46">
        <f>SUM(Calculations!$Q$14:$Q$16)/12</f>
        <v>1901.041666666667</v>
      </c>
      <c r="X74" s="46">
        <f>SUM(Calculations!$Q$14:$Q$16)/12</f>
        <v>1901.041666666667</v>
      </c>
      <c r="Y74" s="46">
        <f>SUM(Calculations!$Q$14:$Q$16)/12</f>
        <v>1901.041666666667</v>
      </c>
      <c r="Z74" s="46">
        <f>SUMIF($B$13:$Y$13,"Yes",B74:Y74)</f>
        <v>24713.54166666667</v>
      </c>
      <c r="AA74" s="46">
        <f>SUM(B74:M74)</f>
        <v>22812.5</v>
      </c>
      <c r="AB74" s="46">
        <f>SUM(B74:Y74)</f>
        <v>45624.99999999999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625</v>
      </c>
      <c r="C76" s="46">
        <f>SUM(Calculations!$S$14:$S$16)/12</f>
        <v>625</v>
      </c>
      <c r="D76" s="46">
        <f>SUM(Calculations!$S$14:$S$16)/12</f>
        <v>625</v>
      </c>
      <c r="E76" s="46">
        <f>SUM(Calculations!$S$14:$S$16)/12</f>
        <v>625</v>
      </c>
      <c r="F76" s="46">
        <f>SUM(Calculations!$S$14:$S$16)/12</f>
        <v>625</v>
      </c>
      <c r="G76" s="46">
        <f>SUM(Calculations!$S$14:$S$16)/12</f>
        <v>625</v>
      </c>
      <c r="H76" s="46">
        <f>SUM(Calculations!$S$14:$S$16)/12</f>
        <v>625</v>
      </c>
      <c r="I76" s="46">
        <f>SUM(Calculations!$S$14:$S$16)/12</f>
        <v>625</v>
      </c>
      <c r="J76" s="46">
        <f>SUM(Calculations!$S$14:$S$16)/12</f>
        <v>625</v>
      </c>
      <c r="K76" s="46">
        <f>SUM(Calculations!$S$14:$S$16)/12</f>
        <v>625</v>
      </c>
      <c r="L76" s="46">
        <f>SUM(Calculations!$S$14:$S$16)/12</f>
        <v>625</v>
      </c>
      <c r="M76" s="46">
        <f>SUM(Calculations!$S$14:$S$16)/12</f>
        <v>625</v>
      </c>
      <c r="N76" s="46">
        <f>SUM(Calculations!$S$14:$S$16)/12</f>
        <v>625</v>
      </c>
      <c r="O76" s="46">
        <f>SUM(Calculations!$S$14:$S$16)/12</f>
        <v>625</v>
      </c>
      <c r="P76" s="46">
        <f>SUM(Calculations!$S$14:$S$16)/12</f>
        <v>625</v>
      </c>
      <c r="Q76" s="46">
        <f>SUM(Calculations!$S$14:$S$16)/12</f>
        <v>625</v>
      </c>
      <c r="R76" s="46">
        <f>SUM(Calculations!$S$14:$S$16)/12</f>
        <v>625</v>
      </c>
      <c r="S76" s="46">
        <f>SUM(Calculations!$S$14:$S$16)/12</f>
        <v>625</v>
      </c>
      <c r="T76" s="46">
        <f>SUM(Calculations!$S$14:$S$16)/12</f>
        <v>625</v>
      </c>
      <c r="U76" s="46">
        <f>SUM(Calculations!$S$14:$S$16)/12</f>
        <v>625</v>
      </c>
      <c r="V76" s="46">
        <f>SUM(Calculations!$S$14:$S$16)/12</f>
        <v>625</v>
      </c>
      <c r="W76" s="46">
        <f>SUM(Calculations!$S$14:$S$16)/12</f>
        <v>625</v>
      </c>
      <c r="X76" s="46">
        <f>SUM(Calculations!$S$14:$S$16)/12</f>
        <v>625</v>
      </c>
      <c r="Y76" s="46">
        <f>SUM(Calculations!$S$14:$S$16)/12</f>
        <v>625</v>
      </c>
      <c r="Z76" s="46">
        <f>SUMIF($B$13:$Y$13,"Yes",B76:Y76)</f>
        <v>8125</v>
      </c>
      <c r="AA76" s="46">
        <f>SUM(B76:M76)</f>
        <v>7500</v>
      </c>
      <c r="AB76" s="46">
        <f>SUM(B76:Y76)</f>
        <v>15000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13046.25654172387</v>
      </c>
      <c r="C81" s="46">
        <f>(SUM($AA$18:$AA$29)-SUM($AA$36,$AA$42,$AA$48,$AA$54,$AA$60,$AA$66,$AA$72:$AA$79))*Parameters!$B$37/12</f>
        <v>13046.25654172387</v>
      </c>
      <c r="D81" s="46">
        <f>(SUM($AA$18:$AA$29)-SUM($AA$36,$AA$42,$AA$48,$AA$54,$AA$60,$AA$66,$AA$72:$AA$79))*Parameters!$B$37/12</f>
        <v>13046.25654172387</v>
      </c>
      <c r="E81" s="46">
        <f>(SUM($AA$18:$AA$29)-SUM($AA$36,$AA$42,$AA$48,$AA$54,$AA$60,$AA$66,$AA$72:$AA$79))*Parameters!$B$37/12</f>
        <v>13046.25654172387</v>
      </c>
      <c r="F81" s="46">
        <f>(SUM($AA$18:$AA$29)-SUM($AA$36,$AA$42,$AA$48,$AA$54,$AA$60,$AA$66,$AA$72:$AA$79))*Parameters!$B$37/12</f>
        <v>13046.25654172387</v>
      </c>
      <c r="G81" s="46">
        <f>(SUM($AA$18:$AA$29)-SUM($AA$36,$AA$42,$AA$48,$AA$54,$AA$60,$AA$66,$AA$72:$AA$79))*Parameters!$B$37/12</f>
        <v>13046.25654172387</v>
      </c>
      <c r="H81" s="46">
        <f>(SUM($AA$18:$AA$29)-SUM($AA$36,$AA$42,$AA$48,$AA$54,$AA$60,$AA$66,$AA$72:$AA$79))*Parameters!$B$37/12</f>
        <v>13046.25654172387</v>
      </c>
      <c r="I81" s="46">
        <f>(SUM($AA$18:$AA$29)-SUM($AA$36,$AA$42,$AA$48,$AA$54,$AA$60,$AA$66,$AA$72:$AA$79))*Parameters!$B$37/12</f>
        <v>13046.25654172387</v>
      </c>
      <c r="J81" s="46">
        <f>(SUM($AA$18:$AA$29)-SUM($AA$36,$AA$42,$AA$48,$AA$54,$AA$60,$AA$66,$AA$72:$AA$79))*Parameters!$B$37/12</f>
        <v>13046.25654172387</v>
      </c>
      <c r="K81" s="46">
        <f>(SUM($AA$18:$AA$29)-SUM($AA$36,$AA$42,$AA$48,$AA$54,$AA$60,$AA$66,$AA$72:$AA$79))*Parameters!$B$37/12</f>
        <v>13046.25654172387</v>
      </c>
      <c r="L81" s="46">
        <f>(SUM($AA$18:$AA$29)-SUM($AA$36,$AA$42,$AA$48,$AA$54,$AA$60,$AA$66,$AA$72:$AA$79))*Parameters!$B$37/12</f>
        <v>13046.25654172387</v>
      </c>
      <c r="M81" s="46">
        <f>(SUM($AA$18:$AA$29)-SUM($AA$36,$AA$42,$AA$48,$AA$54,$AA$60,$AA$66,$AA$72:$AA$79))*Parameters!$B$37/12</f>
        <v>13046.25654172387</v>
      </c>
      <c r="N81" s="46">
        <f>(SUM($AA$18:$AA$29)-SUM($AA$36,$AA$42,$AA$48,$AA$54,$AA$60,$AA$66,$AA$72:$AA$79))*Parameters!$B$37/12</f>
        <v>13046.25654172387</v>
      </c>
      <c r="O81" s="46">
        <f>(SUM($AA$18:$AA$29)-SUM($AA$36,$AA$42,$AA$48,$AA$54,$AA$60,$AA$66,$AA$72:$AA$79))*Parameters!$B$37/12</f>
        <v>13046.25654172387</v>
      </c>
      <c r="P81" s="46">
        <f>(SUM($AA$18:$AA$29)-SUM($AA$36,$AA$42,$AA$48,$AA$54,$AA$60,$AA$66,$AA$72:$AA$79))*Parameters!$B$37/12</f>
        <v>13046.25654172387</v>
      </c>
      <c r="Q81" s="46">
        <f>(SUM($AA$18:$AA$29)-SUM($AA$36,$AA$42,$AA$48,$AA$54,$AA$60,$AA$66,$AA$72:$AA$79))*Parameters!$B$37/12</f>
        <v>13046.25654172387</v>
      </c>
      <c r="R81" s="46">
        <f>(SUM($AA$18:$AA$29)-SUM($AA$36,$AA$42,$AA$48,$AA$54,$AA$60,$AA$66,$AA$72:$AA$79))*Parameters!$B$37/12</f>
        <v>13046.25654172387</v>
      </c>
      <c r="S81" s="46">
        <f>(SUM($AA$18:$AA$29)-SUM($AA$36,$AA$42,$AA$48,$AA$54,$AA$60,$AA$66,$AA$72:$AA$79))*Parameters!$B$37/12</f>
        <v>13046.25654172387</v>
      </c>
      <c r="T81" s="46">
        <f>(SUM($AA$18:$AA$29)-SUM($AA$36,$AA$42,$AA$48,$AA$54,$AA$60,$AA$66,$AA$72:$AA$79))*Parameters!$B$37/12</f>
        <v>13046.25654172387</v>
      </c>
      <c r="U81" s="46">
        <f>(SUM($AA$18:$AA$29)-SUM($AA$36,$AA$42,$AA$48,$AA$54,$AA$60,$AA$66,$AA$72:$AA$79))*Parameters!$B$37/12</f>
        <v>13046.25654172387</v>
      </c>
      <c r="V81" s="46">
        <f>(SUM($AA$18:$AA$29)-SUM($AA$36,$AA$42,$AA$48,$AA$54,$AA$60,$AA$66,$AA$72:$AA$79))*Parameters!$B$37/12</f>
        <v>13046.25654172387</v>
      </c>
      <c r="W81" s="46">
        <f>(SUM($AA$18:$AA$29)-SUM($AA$36,$AA$42,$AA$48,$AA$54,$AA$60,$AA$66,$AA$72:$AA$79))*Parameters!$B$37/12</f>
        <v>13046.25654172387</v>
      </c>
      <c r="X81" s="46">
        <f>(SUM($AA$18:$AA$29)-SUM($AA$36,$AA$42,$AA$48,$AA$54,$AA$60,$AA$66,$AA$72:$AA$79))*Parameters!$B$37/12</f>
        <v>13046.25654172387</v>
      </c>
      <c r="Y81" s="46">
        <f>(SUM($AA$18:$AA$29)-SUM($AA$36,$AA$42,$AA$48,$AA$54,$AA$60,$AA$66,$AA$72:$AA$79))*Parameters!$B$37/12</f>
        <v>13046.25654172387</v>
      </c>
      <c r="Z81" s="46">
        <f>SUMIF($B$13:$Y$13,"Yes",B81:Y81)</f>
        <v>169601.3350424103</v>
      </c>
      <c r="AA81" s="46">
        <f>SUM(B81:M81)</f>
        <v>156555.0785006864</v>
      </c>
      <c r="AB81" s="46">
        <f>SUM(B81:Y81)</f>
        <v>313110.1570013729</v>
      </c>
    </row>
    <row r="82" spans="1:30">
      <c r="A82" s="16" t="s">
        <v>52</v>
      </c>
      <c r="B82" s="46">
        <f>SUM(B83:B87)</f>
        <v>26896.62236484115</v>
      </c>
      <c r="C82" s="46">
        <f>SUM(C83:C87)</f>
        <v>34135.51336370176</v>
      </c>
      <c r="D82" s="46">
        <f>SUM(D83:D87)</f>
        <v>9882.734530938123</v>
      </c>
      <c r="E82" s="46">
        <f>SUM(E83:E87)</f>
        <v>9882.734530938123</v>
      </c>
      <c r="F82" s="46">
        <f>SUM(F83:F87)</f>
        <v>9882.734530938123</v>
      </c>
      <c r="G82" s="46">
        <f>SUM(G83:G87)</f>
        <v>9882.734530938123</v>
      </c>
      <c r="H82" s="46">
        <f>SUM(H83:H87)</f>
        <v>9882.734530938123</v>
      </c>
      <c r="I82" s="46">
        <f>SUM(I83:I87)</f>
        <v>9882.734530938123</v>
      </c>
      <c r="J82" s="46">
        <f>SUM(J83:J87)</f>
        <v>9882.734530938123</v>
      </c>
      <c r="K82" s="46">
        <f>SUM(K83:K87)</f>
        <v>9882.734530938123</v>
      </c>
      <c r="L82" s="46">
        <f>SUM(L83:L87)</f>
        <v>9882.734530938123</v>
      </c>
      <c r="M82" s="46">
        <f>SUM(M83:M87)</f>
        <v>9882.734530938123</v>
      </c>
      <c r="N82" s="46">
        <f>SUM(N83:N87)</f>
        <v>9882.734530938123</v>
      </c>
      <c r="O82" s="46">
        <f>SUM(O83:O87)</f>
        <v>67691.11776447106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169742.2155688622</v>
      </c>
      <c r="AA82" s="46">
        <f>SUM(B82:M82)</f>
        <v>159859.4810379241</v>
      </c>
      <c r="AB82" s="46">
        <f>SUM(B82:Y82)</f>
        <v>237433.3333333333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9882.734530938123</v>
      </c>
      <c r="C84" s="46">
        <f>IF(Calculations!$E24&gt;COUNT(Output!$B$35:C$35),Calculations!$B24,IF(Calculations!$E24=COUNT(Output!$B$35:C$35),Inputs!$B57-Calculations!$C24*(Calculations!$E24-1)+Calculations!$D24,0))</f>
        <v>9882.734530938123</v>
      </c>
      <c r="D84" s="46">
        <f>IF(Calculations!$E24&gt;COUNT(Output!$B$35:D$35),Calculations!$B24,IF(Calculations!$E24=COUNT(Output!$B$35:D$35),Inputs!$B57-Calculations!$C24*(Calculations!$E24-1)+Calculations!$D24,0))</f>
        <v>9882.734530938123</v>
      </c>
      <c r="E84" s="46">
        <f>IF(Calculations!$E24&gt;COUNT(Output!$B$35:E$35),Calculations!$B24,IF(Calculations!$E24=COUNT(Output!$B$35:E$35),Inputs!$B57-Calculations!$C24*(Calculations!$E24-1)+Calculations!$D24,0))</f>
        <v>9882.734530938123</v>
      </c>
      <c r="F84" s="46">
        <f>IF(Calculations!$E24&gt;COUNT(Output!$B$35:F$35),Calculations!$B24,IF(Calculations!$E24=COUNT(Output!$B$35:F$35),Inputs!$B57-Calculations!$C24*(Calculations!$E24-1)+Calculations!$D24,0))</f>
        <v>9882.734530938123</v>
      </c>
      <c r="G84" s="46">
        <f>IF(Calculations!$E24&gt;COUNT(Output!$B$35:G$35),Calculations!$B24,IF(Calculations!$E24=COUNT(Output!$B$35:G$35),Inputs!$B57-Calculations!$C24*(Calculations!$E24-1)+Calculations!$D24,0))</f>
        <v>9882.734530938123</v>
      </c>
      <c r="H84" s="46">
        <f>IF(Calculations!$E24&gt;COUNT(Output!$B$35:H$35),Calculations!$B24,IF(Calculations!$E24=COUNT(Output!$B$35:H$35),Inputs!$B57-Calculations!$C24*(Calculations!$E24-1)+Calculations!$D24,0))</f>
        <v>9882.734530938123</v>
      </c>
      <c r="I84" s="46">
        <f>IF(Calculations!$E24&gt;COUNT(Output!$B$35:I$35),Calculations!$B24,IF(Calculations!$E24=COUNT(Output!$B$35:I$35),Inputs!$B57-Calculations!$C24*(Calculations!$E24-1)+Calculations!$D24,0))</f>
        <v>9882.734530938123</v>
      </c>
      <c r="J84" s="46">
        <f>IF(Calculations!$E24&gt;COUNT(Output!$B$35:J$35),Calculations!$B24,IF(Calculations!$E24=COUNT(Output!$B$35:J$35),Inputs!$B57-Calculations!$C24*(Calculations!$E24-1)+Calculations!$D24,0))</f>
        <v>9882.734530938123</v>
      </c>
      <c r="K84" s="46">
        <f>IF(Calculations!$E24&gt;COUNT(Output!$B$35:K$35),Calculations!$B24,IF(Calculations!$E24=COUNT(Output!$B$35:K$35),Inputs!$B57-Calculations!$C24*(Calculations!$E24-1)+Calculations!$D24,0))</f>
        <v>9882.734530938123</v>
      </c>
      <c r="L84" s="46">
        <f>IF(Calculations!$E24&gt;COUNT(Output!$B$35:L$35),Calculations!$B24,IF(Calculations!$E24=COUNT(Output!$B$35:L$35),Inputs!$B57-Calculations!$C24*(Calculations!$E24-1)+Calculations!$D24,0))</f>
        <v>9882.734530938123</v>
      </c>
      <c r="M84" s="46">
        <f>IF(Calculations!$E24&gt;COUNT(Output!$B$35:M$35),Calculations!$B24,IF(Calculations!$E24=COUNT(Output!$B$35:M$35),Inputs!$B57-Calculations!$C24*(Calculations!$E24-1)+Calculations!$D24,0))</f>
        <v>9882.734530938123</v>
      </c>
      <c r="N84" s="46">
        <f>IF(Calculations!$E24&gt;COUNT(Output!$B$35:N$35),Calculations!$B24,IF(Calculations!$E24=COUNT(Output!$B$35:N$35),Inputs!$B57-Calculations!$C24*(Calculations!$E24-1)+Calculations!$D24,0))</f>
        <v>9882.734530938123</v>
      </c>
      <c r="O84" s="46">
        <f>IF(Calculations!$E24&gt;COUNT(Output!$B$35:O$35),Calculations!$B24,IF(Calculations!$E24=COUNT(Output!$B$35:O$35),Inputs!$B57-Calculations!$C24*(Calculations!$E24-1)+Calculations!$D24,0))</f>
        <v>67691.11776447106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128475.5489021956</v>
      </c>
      <c r="AA84" s="46">
        <f>SUM(B84:M84)</f>
        <v>118592.8143712575</v>
      </c>
      <c r="AB84" s="46">
        <f>SUM(B84:Y84)</f>
        <v>196166.6666666666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17013.88783390303</v>
      </c>
      <c r="C85" s="46">
        <f>IF(Calculations!$E25&gt;COUNT(Output!$B$35:C$35),Calculations!$B25,IF(Calculations!$E25=COUNT(Output!$B$35:C$35),Inputs!$B58-Calculations!$C25*(Calculations!$E25-1)+Calculations!$D25,0))</f>
        <v>24252.77883276364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41266.66666666667</v>
      </c>
      <c r="AA85" s="46">
        <f>SUM(B85:M85)</f>
        <v>41266.66666666667</v>
      </c>
      <c r="AB85" s="46">
        <f>SUM(B85:Y85)</f>
        <v>41266.66666666667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62827.25390656501</v>
      </c>
      <c r="C88" s="19">
        <f>SUM(C72:C82,C66,C60,C54,C48,C42,C36)</f>
        <v>79566.14490542564</v>
      </c>
      <c r="D88" s="19">
        <f>SUM(D72:D82,D66,D60,D54,D48,D42,D36)</f>
        <v>45813.36607266199</v>
      </c>
      <c r="E88" s="19">
        <f>SUM(E72:E82,E66,E60,E54,E48,E42,E36)</f>
        <v>45813.36607266199</v>
      </c>
      <c r="F88" s="19">
        <f>SUM(F72:F82,F66,F60,F54,F48,F42,F36)</f>
        <v>45813.36607266199</v>
      </c>
      <c r="G88" s="19">
        <f>SUM(G72:G82,G66,G60,G54,G48,G42,G36)</f>
        <v>45813.36607266199</v>
      </c>
      <c r="H88" s="19">
        <f>SUM(H72:H82,H66,H60,H54,H48,H42,H36)</f>
        <v>45813.36607266199</v>
      </c>
      <c r="I88" s="19">
        <f>SUM(I72:I82,I66,I60,I54,I48,I42,I36)</f>
        <v>47313.36607266199</v>
      </c>
      <c r="J88" s="19">
        <f>SUM(J72:J82,J66,J60,J54,J48,J42,J36)</f>
        <v>45813.36607266199</v>
      </c>
      <c r="K88" s="19">
        <f>SUM(K72:K82,K66,K60,K54,K48,K42,K36)</f>
        <v>45813.36607266199</v>
      </c>
      <c r="L88" s="19">
        <f>SUM(L72:L82,L66,L60,L54,L48,L42,L36)</f>
        <v>45813.36607266199</v>
      </c>
      <c r="M88" s="19">
        <f>SUM(M72:M82,M66,M60,M54,M48,M42,M36)</f>
        <v>45813.36607266199</v>
      </c>
      <c r="N88" s="19">
        <f>SUM(N72:N82,N66,N60,N54,N48,N42,N36)</f>
        <v>45813.36607266199</v>
      </c>
      <c r="O88" s="19">
        <f>SUM(O72:O82,O66,O60,O54,O48,O42,O36)</f>
        <v>113121.7493061949</v>
      </c>
      <c r="P88" s="19">
        <f>SUM(P72:P82,P66,P60,P54,P48,P42,P36)</f>
        <v>35930.63154172387</v>
      </c>
      <c r="Q88" s="19">
        <f>SUM(Q72:Q82,Q66,Q60,Q54,Q48,Q42,Q36)</f>
        <v>35930.63154172387</v>
      </c>
      <c r="R88" s="19">
        <f>SUM(R72:R82,R66,R60,R54,R48,R42,R36)</f>
        <v>35930.63154172387</v>
      </c>
      <c r="S88" s="19">
        <f>SUM(S72:S82,S66,S60,S54,S48,S42,S36)</f>
        <v>35930.63154172387</v>
      </c>
      <c r="T88" s="19">
        <f>SUM(T72:T82,T66,T60,T54,T48,T42,T36)</f>
        <v>35930.63154172387</v>
      </c>
      <c r="U88" s="19">
        <f>SUM(U72:U82,U66,U60,U54,U48,U42,U36)</f>
        <v>37430.63154172387</v>
      </c>
      <c r="V88" s="19">
        <f>SUM(V72:V82,V66,V60,V54,V48,V42,V36)</f>
        <v>35930.63154172387</v>
      </c>
      <c r="W88" s="19">
        <f>SUM(W72:W82,W66,W60,W54,W48,W42,W36)</f>
        <v>35930.63154172387</v>
      </c>
      <c r="X88" s="19">
        <f>SUM(X72:X82,X66,X60,X54,X48,X42,X36)</f>
        <v>35930.63154172387</v>
      </c>
      <c r="Y88" s="19">
        <f>SUM(Y72:Y82,Y66,Y60,Y54,Y48,Y42,Y36)</f>
        <v>35930.63154172387</v>
      </c>
      <c r="Z88" s="19">
        <f>SUMIF($B$13:$Y$13,"Yes",B88:Y88)</f>
        <v>647840.4256112725</v>
      </c>
      <c r="AA88" s="19">
        <f>SUM(B88:M88)</f>
        <v>602027.0595386105</v>
      </c>
      <c r="AB88" s="19">
        <f>SUM(B88:Y88)</f>
        <v>1121768.490334706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230000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1005000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197000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402000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>
        <v>20</v>
      </c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95</v>
      </c>
      <c r="F8" s="149" t="s">
        <v>93</v>
      </c>
      <c r="G8" s="147"/>
      <c r="H8" s="147" t="s">
        <v>93</v>
      </c>
      <c r="I8" s="147" t="s">
        <v>96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</v>
      </c>
      <c r="D19" s="145">
        <v>0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5</v>
      </c>
      <c r="D20" s="147"/>
      <c r="E20" s="16"/>
      <c r="F20" s="147" t="s">
        <v>93</v>
      </c>
      <c r="G20" s="16"/>
      <c r="H20" s="16"/>
      <c r="I20" s="147" t="s">
        <v>114</v>
      </c>
      <c r="J20" s="147"/>
      <c r="K20" s="147">
        <v>0</v>
      </c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40000</v>
      </c>
    </row>
    <row r="31" spans="1:48">
      <c r="A31" s="5" t="s">
        <v>121</v>
      </c>
      <c r="B31" s="158">
        <v>10000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93</v>
      </c>
    </row>
    <row r="41" spans="1:48">
      <c r="A41" s="55" t="s">
        <v>129</v>
      </c>
      <c r="B41" s="140">
        <v>8000</v>
      </c>
    </row>
    <row r="42" spans="1:48">
      <c r="A42" s="55" t="s">
        <v>130</v>
      </c>
      <c r="B42" s="139" t="s">
        <v>97</v>
      </c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350000</v>
      </c>
    </row>
    <row r="46" spans="1:48" customHeight="1" ht="30">
      <c r="A46" s="57" t="s">
        <v>135</v>
      </c>
      <c r="B46" s="161">
        <v>200000</v>
      </c>
    </row>
    <row r="47" spans="1:48" customHeight="1" ht="30">
      <c r="A47" s="57" t="s">
        <v>136</v>
      </c>
      <c r="B47" s="161">
        <v>150000</v>
      </c>
    </row>
    <row r="48" spans="1:48" customHeight="1" ht="30">
      <c r="A48" s="57" t="s">
        <v>137</v>
      </c>
      <c r="B48" s="161">
        <v>50000</v>
      </c>
    </row>
    <row r="49" spans="1:48" customHeight="1" ht="30">
      <c r="A49" s="57" t="s">
        <v>138</v>
      </c>
      <c r="B49" s="161">
        <v>25000</v>
      </c>
    </row>
    <row r="50" spans="1:48">
      <c r="A50" s="43"/>
      <c r="B50" s="36"/>
    </row>
    <row r="51" spans="1:48">
      <c r="A51" s="58" t="s">
        <v>139</v>
      </c>
      <c r="B51" s="161">
        <v>5000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5000</v>
      </c>
      <c r="B56" s="159">
        <v>45000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250000</v>
      </c>
      <c r="B57" s="157">
        <v>132000</v>
      </c>
      <c r="C57" s="164" t="s">
        <v>150</v>
      </c>
      <c r="D57" s="165" t="s">
        <v>151</v>
      </c>
      <c r="E57" s="165" t="s">
        <v>92</v>
      </c>
      <c r="F57" s="165" t="s">
        <v>152</v>
      </c>
    </row>
    <row r="58" spans="1:48">
      <c r="A58" s="157">
        <v>580000</v>
      </c>
      <c r="B58" s="157">
        <v>20000</v>
      </c>
      <c r="C58" s="164" t="s">
        <v>153</v>
      </c>
      <c r="D58" s="165" t="s">
        <v>154</v>
      </c>
      <c r="E58" s="165" t="s">
        <v>92</v>
      </c>
      <c r="F58" s="165" t="s">
        <v>155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157</v>
      </c>
      <c r="C65" s="10" t="s">
        <v>158</v>
      </c>
    </row>
    <row r="66" spans="1:48">
      <c r="A66" s="142" t="s">
        <v>97</v>
      </c>
      <c r="B66" s="159">
        <v>98000</v>
      </c>
      <c r="C66" s="163">
        <v>76000</v>
      </c>
      <c r="D66" s="49">
        <f>INDEX(Parameters!$D$79:$D$90,MATCH(Inputs!A66,Parameters!$C$79:$C$90,0))</f>
        <v>1</v>
      </c>
    </row>
    <row r="67" spans="1:48">
      <c r="A67" s="143" t="s">
        <v>159</v>
      </c>
      <c r="B67" s="157">
        <v>103000</v>
      </c>
      <c r="C67" s="165">
        <v>95000</v>
      </c>
      <c r="D67" s="49">
        <f>INDEX(Parameters!$D$79:$D$90,MATCH(Inputs!A67,Parameters!$C$79:$C$90,0))</f>
        <v>2</v>
      </c>
    </row>
    <row r="68" spans="1:48">
      <c r="A68" s="143" t="s">
        <v>160</v>
      </c>
      <c r="B68" s="157">
        <v>76000</v>
      </c>
      <c r="C68" s="165">
        <v>82000</v>
      </c>
      <c r="D68" s="49">
        <f>INDEX(Parameters!$D$79:$D$90,MATCH(Inputs!A68,Parameters!$C$79:$C$90,0))</f>
        <v>3</v>
      </c>
    </row>
    <row r="69" spans="1:48">
      <c r="A69" s="143" t="s">
        <v>161</v>
      </c>
      <c r="B69" s="157">
        <v>180000</v>
      </c>
      <c r="C69" s="165">
        <v>79000</v>
      </c>
      <c r="D69" s="49">
        <f>INDEX(Parameters!$D$79:$D$90,MATCH(Inputs!A69,Parameters!$C$79:$C$90,0))</f>
        <v>4</v>
      </c>
    </row>
    <row r="70" spans="1:48">
      <c r="A70" s="143" t="s">
        <v>162</v>
      </c>
      <c r="B70" s="157">
        <v>123000</v>
      </c>
      <c r="C70" s="165">
        <v>110000</v>
      </c>
      <c r="D70" s="49">
        <f>INDEX(Parameters!$D$79:$D$90,MATCH(Inputs!A70,Parameters!$C$79:$C$90,0))</f>
        <v>5</v>
      </c>
    </row>
    <row r="71" spans="1:48">
      <c r="A71" s="144" t="s">
        <v>163</v>
      </c>
      <c r="B71" s="158">
        <v>136000</v>
      </c>
      <c r="C71" s="167">
        <v>124000</v>
      </c>
      <c r="D71" s="49">
        <f>INDEX(Parameters!$D$79:$D$90,MATCH(Inputs!A71,Parameters!$C$79:$C$90,0))</f>
        <v>6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10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200000</v>
      </c>
    </row>
    <row r="82" spans="1:48">
      <c r="A82" t="s">
        <v>173</v>
      </c>
      <c r="B82" s="161">
        <v>18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>
        <v>5</v>
      </c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20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1300.97000388842</v>
      </c>
      <c r="M4" s="25">
        <f>L4*H4</f>
        <v>1300.97000388842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34605.80210343198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3200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14250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42826</v>
      </c>
      <c r="D5" s="39">
        <f>IFERROR(DATE(YEAR(B5),MONTH(B5)+T5,DAY(B5)),"")</f>
        <v>42887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43070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1634.843</v>
      </c>
      <c r="M5" s="30">
        <f>L5*H5</f>
        <v>1634.843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56</v>
      </c>
      <c r="P5" s="22">
        <f>IFERROR(INDEX(Parameters!$A$3:$V$17,MATCH(Calculations!$A5,Parameters!$A$3:$A$17,0),MATCH($P$3,Parameters!$A$3:$V$3,0)),0)</f>
        <v>0</v>
      </c>
      <c r="Q5" s="34">
        <f>M5*O5*(1-N5)*MAX(S5,1)</f>
        <v>173947.2952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7000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14250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99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6000</v>
      </c>
    </row>
    <row r="15" spans="1:46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5750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4562.5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1500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141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46">
      <c r="A23" s="75">
        <f>Inputs!A56</f>
        <v>5000</v>
      </c>
      <c r="B23" s="75">
        <f>SUM(C23:D23)</f>
        <v>-3766.854233654877</v>
      </c>
      <c r="C23" s="75">
        <f>IF(Inputs!B56&gt;0,(Inputs!A56-Inputs!B56)/(DATE(YEAR(Inputs!$B$76),MONTH(Inputs!$B$76),DAY(Inputs!$B$76))-DATE(YEAR(Inputs!C56),MONTH(Inputs!C56),DAY(Inputs!C56)))*30,0)</f>
        <v>-3858.520900321544</v>
      </c>
      <c r="D23" s="75">
        <f>IF(Inputs!B56&gt;0,Inputs!A56*0.22/12,0)</f>
        <v>91.66666666666667</v>
      </c>
      <c r="E23" s="75">
        <f>IFERROR(ROUNDUP(Inputs!B56/C23,0),0)</f>
        <v>-12</v>
      </c>
    </row>
    <row r="24" spans="1:46">
      <c r="A24" s="46">
        <f>Inputs!A57</f>
        <v>250000</v>
      </c>
      <c r="B24" s="46">
        <f>SUM(C24:D24)</f>
        <v>9882.734530938123</v>
      </c>
      <c r="C24" s="46">
        <f>IF(Inputs!B57&gt;0,(Inputs!A57-Inputs!B57)/(DATE(YEAR(Inputs!$B$76),MONTH(Inputs!$B$76),DAY(Inputs!$B$76))-DATE(YEAR(Inputs!C57),MONTH(Inputs!C57),DAY(Inputs!C57)))*30,0)</f>
        <v>5299.40119760479</v>
      </c>
      <c r="D24" s="46">
        <f>IF(Inputs!B57&gt;0,Inputs!A57*0.22/12,0)</f>
        <v>4583.333333333333</v>
      </c>
      <c r="E24" s="46">
        <f>IFERROR(ROUNDUP(Inputs!B57/B24,0),0)</f>
        <v>14</v>
      </c>
      <c r="H24" s="1"/>
    </row>
    <row r="25" spans="1:46">
      <c r="A25" s="46">
        <f>Inputs!A58</f>
        <v>580000</v>
      </c>
      <c r="B25" s="46">
        <f>SUM(C25:D25)</f>
        <v>17013.88783390303</v>
      </c>
      <c r="C25" s="46">
        <f>IF(Inputs!B58&gt;0,(Inputs!A58-Inputs!B58)/(DATE(YEAR(Inputs!$B$76),MONTH(Inputs!$B$76),DAY(Inputs!$B$76))-DATE(YEAR(Inputs!C58),MONTH(Inputs!C58),DAY(Inputs!C58)))*30,0)</f>
        <v>6380.554500569693</v>
      </c>
      <c r="D25" s="46">
        <f>IF(Inputs!B58&gt;0,Inputs!A58*0.22/12,0)</f>
        <v>10633.33333333333</v>
      </c>
      <c r="E25" s="46">
        <f>IFERROR(ROUNDUP(Inputs!B58/B25,0),0)</f>
        <v>2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42736</v>
      </c>
      <c r="F33" t="s">
        <v>169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42767</v>
      </c>
      <c r="F34" t="s">
        <v>170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42795</v>
      </c>
      <c r="F35" t="s">
        <v>172</v>
      </c>
      <c r="G35" s="27">
        <f>Inputs!B81</f>
        <v>200000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42826</v>
      </c>
      <c r="F36" t="s">
        <v>173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42856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42887</v>
      </c>
      <c r="F38" t="s">
        <v>235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42917</v>
      </c>
      <c r="F39" t="s">
        <v>178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42948</v>
      </c>
      <c r="F40" t="s">
        <v>179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42979</v>
      </c>
      <c r="F41" t="s">
        <v>236</v>
      </c>
      <c r="G41" s="73">
        <f>IFERROR(G35/(G38-G39),"")</f>
        <v>28571.42857142857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43009</v>
      </c>
      <c r="F42" t="s">
        <v>237</v>
      </c>
      <c r="G42" s="73">
        <f>IFERROR(G35*G36*IF(G37="Monthly",G38/12,IF(G37="Fortnightly",G38/(365/14),G38/(365/28)))/(G38-G40),"")</f>
        <v>3000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210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113</v>
      </c>
      <c r="B27" s="71" t="s">
        <v>305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305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305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113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321</v>
      </c>
      <c r="H52" s="12" t="s">
        <v>132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238</v>
      </c>
      <c r="E53" s="10" t="s">
        <v>197</v>
      </c>
      <c r="F53" s="10" t="s">
        <v>257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175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234</v>
      </c>
      <c r="J76" s="11" t="s">
        <v>355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93</v>
      </c>
      <c r="F77" s="12" t="s">
        <v>93</v>
      </c>
      <c r="G77" s="12" t="s">
        <v>357</v>
      </c>
      <c r="H77" s="12" t="s">
        <v>132</v>
      </c>
      <c r="I77" s="12" t="s">
        <v>358</v>
      </c>
      <c r="J77" s="136" t="s">
        <v>359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360</v>
      </c>
      <c r="D78" s="133"/>
      <c r="E78" s="12" t="s">
        <v>361</v>
      </c>
      <c r="F78" s="12" t="s">
        <v>96</v>
      </c>
      <c r="G78" s="12" t="s">
        <v>114</v>
      </c>
      <c r="H78" s="12" t="s">
        <v>322</v>
      </c>
      <c r="I78" s="12" t="s">
        <v>362</v>
      </c>
      <c r="J78" s="70" t="s">
        <v>95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363</v>
      </c>
      <c r="F79" s="12" t="s">
        <v>364</v>
      </c>
      <c r="G79" s="12" t="s">
        <v>112</v>
      </c>
      <c r="I79" s="12" t="s">
        <v>175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160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161</v>
      </c>
      <c r="D82" s="12">
        <f>D81+1</f>
        <v>4</v>
      </c>
      <c r="J82" s="70"/>
    </row>
    <row r="83" spans="1:36">
      <c r="B83" s="176">
        <v>50</v>
      </c>
      <c r="C83" s="12" t="s">
        <v>162</v>
      </c>
      <c r="D83" s="12">
        <f>D82+1</f>
        <v>5</v>
      </c>
    </row>
    <row r="84" spans="1:36">
      <c r="B84" s="176">
        <v>60</v>
      </c>
      <c r="C84" s="12" t="s">
        <v>163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