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<sst xmlns="http://schemas.openxmlformats.org/spreadsheetml/2006/main" uniqueCount="371">
  <si>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</si>
  <si>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</si>
  <si>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</si>
  <si>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</si>
  <si>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</si>
  <si>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</si>
  <si>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</si>
  <si>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</si>
  <si>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</si>
  <si>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</si>
  <si>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</si>
  <si>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</si>
  <si>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</si>
  <si>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</si>
  <si>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</si>
  <si>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</si>
  <si>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</si>
  <si>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</si>
  <si>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</si>
  <si>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</si>
  <si>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</si>
  <si>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</si>
  <si>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</si>
  <si>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</si>
  <si>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</si>
  <si>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</si>
  <si>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</si>
  <si>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</si>
  <si>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</si>
  <si>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</si>
  <si>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</si>
  <si>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</si>
  <si>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</si>
  <si>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</si>
  <si>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</si>
  <si>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</si>
  <si>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</si>
  <si>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</si>
  <si>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</si>
  <si>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</si>
  <si>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</si>
  <si>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</si>
  <si>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</si>
  <si>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</si>
  <si>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</si>
  <si>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</si>
  <si>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</si>
  <si>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</si>
  <si>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</si>
  <si>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</si>
  <si>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</si>
  <si>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</si>
  <si>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</si>
  <si>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</si>
  <si>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</si>
  <si>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</si>
  <si>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</si>
  <si>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</si>
  <si>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</si>
  <si>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</si>
  <si>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</si>
  <si>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</si>
  <si>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</si>
  <si>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</si>
  <si>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</si>
  <si>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</si>
  <si>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</si>
  <si>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</si>
  <si>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</si>
  <si>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</si>
  <si>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</si>
  <si>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</si>
  <si>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</si>
  <si>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</si>
  <si>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</si>
  <si>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</si>
  <si>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</si>
  <si>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</si>
  <si>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</si>
  <si>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</si>
  <si>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</si>
  <si>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</si>
  <si>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</si>
  <si>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</si>
  <si>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</si>
  <si>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</si>
  <si>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</si>
  <si>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</si>
  <si>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</si>
  <si>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</si>
  <si>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</si>
  <si>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</si>
  <si>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No</t>
  </si>
  <si>
    <t>Other crops</t>
  </si>
  <si>
    <t xml:space="preserve">vegetables 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</si>
  <si>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</si>
  <si>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</si>
  <si>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</si>
  <si>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</si>
  <si>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</si>
  <si>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</si>
  <si>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</si>
  <si>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</si>
  <si>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</si>
  <si>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</si>
  <si>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</si>
  <si>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</si>
  <si>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</si>
  <si>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</si>
  <si>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</si>
  <si>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</si>
  <si>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</si>
  <si>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</si>
  <si>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</si>
  <si>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</si>
  <si>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</si>
  <si>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</si>
  <si>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</si>
  <si>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</si>
  <si>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</si>
  <si>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</si>
  <si>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</si>
  <si>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</si>
  <si>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</si>
  <si>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</si>
  <si>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</si>
  <si>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</si>
  <si>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</si>
  <si>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</si>
  <si>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</si>
  <si>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</si>
  <si>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</si>
  <si>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</si>
  <si>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</si>
  <si>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</si>
  <si>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</si>
  <si>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</si>
  <si>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</si>
  <si>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</si>
  <si>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</si>
  <si>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</si>
  <si>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6/9/2016</t>
  </si>
  <si>
    <t>mshwari</t>
  </si>
  <si>
    <t xml:space="preserve">paid well </t>
  </si>
  <si>
    <t>6/23/2016</t>
  </si>
  <si>
    <t xml:space="preserve">mshwari </t>
  </si>
  <si>
    <t>paid well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</si>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</sst>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vegetables 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2.372055643675779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0.001188254689658245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23678.57142857143</v>
      </c>
    </row>
    <row r="17" spans="1:7">
      <c r="B17" s="1" t="s">
        <v>11</v>
      </c>
      <c r="C17" s="36">
        <f>SUM(Output!B6:M6)</f>
        <v>-76965.32671279702</v>
      </c>
    </row>
    <row r="18" spans="1:7">
      <c r="B18" s="1" t="s">
        <v>12</v>
      </c>
      <c r="C18" s="36">
        <f>MIN(Output!B6:M6)</f>
        <v>-13058.70407151127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1584.149619378437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3125</v>
      </c>
    </row>
    <row r="25" spans="1:7">
      <c r="B25" s="1" t="s">
        <v>18</v>
      </c>
      <c r="C25" s="36">
        <f>MAX(Inputs!A56:A60)</f>
        <v>6000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1466.149619378437</v>
      </c>
      <c r="C6" s="51">
        <f>C30-C88</f>
        <v>1584.149619378437</v>
      </c>
      <c r="D6" s="51">
        <f>D30-D88</f>
        <v>-6415.850380621563</v>
      </c>
      <c r="E6" s="51">
        <f>E30-E88</f>
        <v>1584.149619378437</v>
      </c>
      <c r="F6" s="51">
        <f>F30-F88</f>
        <v>1584.149619378437</v>
      </c>
      <c r="G6" s="51">
        <f>G30-G88</f>
        <v>1584.149619378437</v>
      </c>
      <c r="H6" s="51">
        <f>H30-H88</f>
        <v>-13058.70407151127</v>
      </c>
      <c r="I6" s="51">
        <f>I30-I88</f>
        <v>-13058.70407151127</v>
      </c>
      <c r="J6" s="51">
        <f>J30-J88</f>
        <v>-13058.70407151127</v>
      </c>
      <c r="K6" s="51">
        <f>K30-K88</f>
        <v>-13058.70407151127</v>
      </c>
      <c r="L6" s="51">
        <f>L30-L88</f>
        <v>-13058.70407151127</v>
      </c>
      <c r="M6" s="51">
        <f>M30-M88</f>
        <v>-13058.70407151127</v>
      </c>
      <c r="N6" s="51">
        <f>N30-N88</f>
        <v>1584.149619378437</v>
      </c>
      <c r="O6" s="51">
        <f>O30-O88</f>
        <v>1584.149619378437</v>
      </c>
      <c r="P6" s="51">
        <f>P30-P88</f>
        <v>-6415.850380621563</v>
      </c>
      <c r="Q6" s="51">
        <f>Q30-Q88</f>
        <v>1584.149619378437</v>
      </c>
      <c r="R6" s="51">
        <f>R30-R88</f>
        <v>1584.149619378437</v>
      </c>
      <c r="S6" s="51">
        <f>S30-S88</f>
        <v>1584.149619378437</v>
      </c>
      <c r="T6" s="51">
        <f>T30-T88</f>
        <v>-13058.70407151127</v>
      </c>
      <c r="U6" s="51">
        <f>U30-U88</f>
        <v>-13058.70407151127</v>
      </c>
      <c r="V6" s="51">
        <f>V30-V88</f>
        <v>-13058.70407151127</v>
      </c>
      <c r="W6" s="51">
        <f>W30-W88</f>
        <v>-13058.70407151127</v>
      </c>
      <c r="X6" s="51">
        <f>X30-X88</f>
        <v>-13058.70407151127</v>
      </c>
      <c r="Y6" s="51">
        <f>Y30-Y88</f>
        <v>-13058.70407151127</v>
      </c>
      <c r="Z6" s="51">
        <f>SUMIF($B$13:$Y$13,"Yes",B6:Y6)</f>
        <v>-75381.17709341858</v>
      </c>
      <c r="AA6" s="51">
        <f>AA30-AA88</f>
        <v>-76965.32671279709</v>
      </c>
      <c r="AB6" s="51">
        <f>AB30-AB88</f>
        <v>-153812.6534255942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18370</v>
      </c>
      <c r="I7" s="80">
        <f>IF(ISERROR(VLOOKUP(MONTH(I5),Inputs!$D$66:$D$71,1,0)),"",INDEX(Inputs!$B$66:$B$71,MATCH(MONTH(Output!I5),Inputs!$D$66:$D$71,0))-INDEX(Inputs!$C$66:$C$71,MATCH(MONTH(Output!I5),Inputs!$D$66:$D$71,0)))</f>
        <v>2403</v>
      </c>
      <c r="J7" s="80">
        <f>IF(ISERROR(VLOOKUP(MONTH(J5),Inputs!$D$66:$D$71,1,0)),"",INDEX(Inputs!$B$66:$B$71,MATCH(MONTH(Output!J5),Inputs!$D$66:$D$71,0))-INDEX(Inputs!$C$66:$C$71,MATCH(MONTH(Output!J5),Inputs!$D$66:$D$71,0)))</f>
        <v>76783</v>
      </c>
      <c r="K7" s="80">
        <f>IF(ISERROR(VLOOKUP(MONTH(K5),Inputs!$D$66:$D$71,1,0)),"",INDEX(Inputs!$B$66:$B$71,MATCH(MONTH(Output!K5),Inputs!$D$66:$D$71,0))-INDEX(Inputs!$C$66:$C$71,MATCH(MONTH(Output!K5),Inputs!$D$66:$D$71,0)))</f>
        <v>69778</v>
      </c>
      <c r="L7" s="80">
        <f>IF(ISERROR(VLOOKUP(MONTH(L5),Inputs!$D$66:$D$71,1,0)),"",INDEX(Inputs!$B$66:$B$71,MATCH(MONTH(Output!L5),Inputs!$D$66:$D$71,0))-INDEX(Inputs!$C$66:$C$71,MATCH(MONTH(Output!L5),Inputs!$D$66:$D$71,0)))</f>
        <v>-60025</v>
      </c>
      <c r="M7" s="80">
        <f>IF(ISERROR(VLOOKUP(MONTH(M5),Inputs!$D$66:$D$71,1,0)),"",INDEX(Inputs!$B$66:$B$71,MATCH(MONTH(Output!M5),Inputs!$D$66:$D$71,0))-INDEX(Inputs!$C$66:$C$71,MATCH(MONTH(Output!M5),Inputs!$D$66:$D$71,0)))</f>
        <v>110579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18370</v>
      </c>
      <c r="U7" s="80">
        <f>IF(ISERROR(VLOOKUP(MONTH(U5),Inputs!$D$66:$D$71,1,0)),"",INDEX(Inputs!$B$66:$B$71,MATCH(MONTH(Output!U5),Inputs!$D$66:$D$71,0))-INDEX(Inputs!$C$66:$C$71,MATCH(MONTH(Output!U5),Inputs!$D$66:$D$71,0)))</f>
        <v>2403</v>
      </c>
      <c r="V7" s="80">
        <f>IF(ISERROR(VLOOKUP(MONTH(V5),Inputs!$D$66:$D$71,1,0)),"",INDEX(Inputs!$B$66:$B$71,MATCH(MONTH(Output!V5),Inputs!$D$66:$D$71,0))-INDEX(Inputs!$C$66:$C$71,MATCH(MONTH(Output!V5),Inputs!$D$66:$D$71,0)))</f>
        <v>76783</v>
      </c>
      <c r="W7" s="80">
        <f>IF(ISERROR(VLOOKUP(MONTH(W5),Inputs!$D$66:$D$71,1,0)),"",INDEX(Inputs!$B$66:$B$71,MATCH(MONTH(Output!W5),Inputs!$D$66:$D$71,0))-INDEX(Inputs!$C$66:$C$71,MATCH(MONTH(Output!W5),Inputs!$D$66:$D$71,0)))</f>
        <v>69778</v>
      </c>
      <c r="X7" s="80">
        <f>IF(ISERROR(VLOOKUP(MONTH(X5),Inputs!$D$66:$D$71,1,0)),"",INDEX(Inputs!$B$66:$B$71,MATCH(MONTH(Output!X5),Inputs!$D$66:$D$71,0))-INDEX(Inputs!$C$66:$C$71,MATCH(MONTH(Output!X5),Inputs!$D$66:$D$71,0)))</f>
        <v>-60025</v>
      </c>
      <c r="Y7" s="80">
        <f>IF(ISERROR(VLOOKUP(MONTH(Y5),Inputs!$D$66:$D$71,1,0)),"",INDEX(Inputs!$B$66:$B$71,MATCH(MONTH(Output!Y5),Inputs!$D$66:$D$71,0))-INDEX(Inputs!$C$66:$C$71,MATCH(MONTH(Output!Y5),Inputs!$D$66:$D$71,0)))</f>
        <v>110579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23678.57142857143</v>
      </c>
      <c r="I10" s="37">
        <f>SUMPRODUCT((Calculations!$D$33:$D$84=Output!I5)+0,Calculations!$C$33:$C$84)</f>
        <v>23678.57142857143</v>
      </c>
      <c r="J10" s="37">
        <f>SUMPRODUCT((Calculations!$D$33:$D$84=Output!J5)+0,Calculations!$C$33:$C$84)</f>
        <v>23678.57142857143</v>
      </c>
      <c r="K10" s="37">
        <f>SUMPRODUCT((Calculations!$D$33:$D$84=Output!K5)+0,Calculations!$C$33:$C$84)</f>
        <v>23678.57142857143</v>
      </c>
      <c r="L10" s="37">
        <f>SUMPRODUCT((Calculations!$D$33:$D$84=Output!L5)+0,Calculations!$C$33:$C$84)</f>
        <v>23678.57142857143</v>
      </c>
      <c r="M10" s="37">
        <f>SUMPRODUCT((Calculations!$D$33:$D$84=Output!M5)+0,Calculations!$C$33:$C$84)</f>
        <v>23678.57142857143</v>
      </c>
      <c r="N10" s="37">
        <f>SUMPRODUCT((Calculations!$D$33:$D$84=Output!N5)+0,Calculations!$C$33:$C$84)</f>
        <v>23678.57142857143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153321.4285714286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151466.1496193784</v>
      </c>
      <c r="C11" s="80">
        <f>C6+C9-C10</f>
        <v>-665.8503806215631</v>
      </c>
      <c r="D11" s="80">
        <f>D6+D9-D10</f>
        <v>-8665.850380621563</v>
      </c>
      <c r="E11" s="80">
        <f>E6+E9-E10</f>
        <v>-665.8503806215631</v>
      </c>
      <c r="F11" s="80">
        <f>F6+F9-F10</f>
        <v>-665.8503806215631</v>
      </c>
      <c r="G11" s="80">
        <f>G6+G9-G10</f>
        <v>-665.8503806215631</v>
      </c>
      <c r="H11" s="80">
        <f>H6+H9-H10</f>
        <v>-36737.2755000827</v>
      </c>
      <c r="I11" s="80">
        <f>I6+I9-I10</f>
        <v>-36737.2755000827</v>
      </c>
      <c r="J11" s="80">
        <f>J6+J9-J10</f>
        <v>-36737.2755000827</v>
      </c>
      <c r="K11" s="80">
        <f>K6+K9-K10</f>
        <v>-36737.2755000827</v>
      </c>
      <c r="L11" s="80">
        <f>L6+L9-L10</f>
        <v>-36737.2755000827</v>
      </c>
      <c r="M11" s="80">
        <f>M6+M9-M10</f>
        <v>-36737.2755000827</v>
      </c>
      <c r="N11" s="80">
        <f>N6+N9-N10</f>
        <v>-22094.42180919299</v>
      </c>
      <c r="O11" s="80">
        <f>O6+O9-O10</f>
        <v>1584.149619378437</v>
      </c>
      <c r="P11" s="80">
        <f>P6+P9-P10</f>
        <v>-6415.850380621563</v>
      </c>
      <c r="Q11" s="80">
        <f>Q6+Q9-Q10</f>
        <v>1584.149619378437</v>
      </c>
      <c r="R11" s="80">
        <f>R6+R9-R10</f>
        <v>1584.149619378437</v>
      </c>
      <c r="S11" s="80">
        <f>S6+S9-S10</f>
        <v>1584.149619378437</v>
      </c>
      <c r="T11" s="80">
        <f>T6+T9-T10</f>
        <v>-13058.70407151127</v>
      </c>
      <c r="U11" s="80">
        <f>U6+U9-U10</f>
        <v>-13058.70407151127</v>
      </c>
      <c r="V11" s="80">
        <f>V6+V9-V10</f>
        <v>-13058.70407151127</v>
      </c>
      <c r="W11" s="80">
        <f>W6+W9-W10</f>
        <v>-13058.70407151127</v>
      </c>
      <c r="X11" s="80">
        <f>X6+X9-X10</f>
        <v>-13058.70407151127</v>
      </c>
      <c r="Y11" s="80">
        <f>Y6+Y9-Y10</f>
        <v>-13058.70407151127</v>
      </c>
      <c r="Z11" s="85">
        <f>SUMIF($B$13:$Y$13,"Yes",B11:Y11)</f>
        <v>-102381.1770934186</v>
      </c>
      <c r="AA11" s="80">
        <f>SUM(B11:M11)</f>
        <v>-80286.75528422557</v>
      </c>
      <c r="AB11" s="46">
        <f>SUM(B11:Y11)</f>
        <v>-180812.653425594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0.01470104933600962</v>
      </c>
      <c r="D12" s="82">
        <f>IF(D13="Yes",IF(SUM($B$10:D10)/(SUM($B$6:D6)+SUM($B$9:D9))&lt;0,999.99,SUM($B$10:D10)/(SUM($B$6:D6)+SUM($B$9:D9))),"")</f>
        <v>0.03068855944181045</v>
      </c>
      <c r="E12" s="82">
        <f>IF(E13="Yes",IF(SUM($B$10:E10)/(SUM($B$6:E6)+SUM($B$9:E9))&lt;0,999.99,SUM($B$10:E10)/(SUM($B$6:E6)+SUM($B$9:E9))),"")</f>
        <v>0.04554084351987745</v>
      </c>
      <c r="F12" s="82">
        <f>IF(F13="Yes",IF(SUM($B$10:F10)/(SUM($B$6:F6)+SUM($B$9:F9))&lt;0,999.99,SUM($B$10:F10)/(SUM($B$6:F6)+SUM($B$9:F9))),"")</f>
        <v>0.06007900465336467</v>
      </c>
      <c r="G12" s="82">
        <f>IF(G13="Yes",IF(SUM($B$10:G10)/(SUM($B$6:G6)+SUM($B$9:G9))&lt;0,999.99,SUM($B$10:G10)/(SUM($B$6:G6)+SUM($B$9:G9))),"")</f>
        <v>0.07431290402082719</v>
      </c>
      <c r="H12" s="82">
        <f>IF(H13="Yes",IF(SUM($B$10:H10)/(SUM($B$6:H6)+SUM($B$9:H9))&lt;0,999.99,SUM($B$10:H10)/(SUM($B$6:H6)+SUM($B$9:H9))),"")</f>
        <v>0.2525050787424543</v>
      </c>
      <c r="I12" s="82">
        <f>IF(I13="Yes",IF(SUM($B$10:I10)/(SUM($B$6:I6)+SUM($B$9:I9))&lt;0,999.99,SUM($B$10:I10)/(SUM($B$6:I6)+SUM($B$9:I9))),"")</f>
        <v>0.4678485005151542</v>
      </c>
      <c r="J12" s="82">
        <f>IF(J13="Yes",IF(SUM($B$10:J10)/(SUM($B$6:J6)+SUM($B$9:J9))&lt;0,999.99,SUM($B$10:J10)/(SUM($B$6:J6)+SUM($B$9:J9))),"")</f>
        <v>0.7333137712010819</v>
      </c>
      <c r="K12" s="82">
        <f>IF(K13="Yes",IF(SUM($B$10:K10)/(SUM($B$6:K6)+SUM($B$9:K9))&lt;0,999.99,SUM($B$10:K10)/(SUM($B$6:K6)+SUM($B$9:K9))),"")</f>
        <v>1.068704601918559</v>
      </c>
      <c r="L12" s="82">
        <f>IF(L13="Yes",IF(SUM($B$10:L10)/(SUM($B$6:L6)+SUM($B$9:L9))&lt;0,999.99,SUM($B$10:L10)/(SUM($B$6:L6)+SUM($B$9:L9))),"")</f>
        <v>1.505840067148148</v>
      </c>
      <c r="M12" s="82">
        <f>IF(M13="Yes",IF(SUM($B$10:M10)/(SUM($B$6:M6)+SUM($B$9:M9))&lt;0,999.99,SUM($B$10:M10)/(SUM($B$6:M6)+SUM($B$9:M9))),"")</f>
        <v>2.099296425527973</v>
      </c>
      <c r="N12" s="82">
        <f>IF(N13="Yes",IF(SUM($B$10:N10)/(SUM($B$6:N6)+SUM($B$9:N9))&lt;0,999.99,SUM($B$10:N10)/(SUM($B$6:N6)+SUM($B$9:N9))),"")</f>
        <v>2.372055643675779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14642.85369088971</v>
      </c>
      <c r="C18" s="36">
        <f>O18</f>
        <v>14642.85369088971</v>
      </c>
      <c r="D18" s="36">
        <f>P18</f>
        <v>14642.85369088971</v>
      </c>
      <c r="E18" s="36">
        <f>Q18</f>
        <v>14642.85369088971</v>
      </c>
      <c r="F18" s="36">
        <f>R18</f>
        <v>14642.85369088971</v>
      </c>
      <c r="G18" s="36">
        <f>S18</f>
        <v>14642.85369088971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14642.85369088971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14642.85369088971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14642.85369088971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14642.85369088971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14642.85369088971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14642.85369088971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102499.975836228</v>
      </c>
      <c r="AA18" s="36">
        <f>SUM(B18:M18)</f>
        <v>87857.12214533826</v>
      </c>
      <c r="AB18" s="36">
        <f>SUM(B18:Y18)</f>
        <v>175714.2442906766</v>
      </c>
      <c r="AC18" s="43"/>
      <c r="AD18" s="43"/>
    </row>
    <row r="19" spans="1:30">
      <c r="A19" t="str">
        <f>IF(Calculations!A5&lt;&gt;Parameters!$A$18,IF(Calculations!A5=0,"",Calculations!A5),Inputs!B8)</f>
        <v>vegetables 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14642.85369088971</v>
      </c>
      <c r="C30" s="19">
        <f>SUM(C18:C29)</f>
        <v>14642.85369088971</v>
      </c>
      <c r="D30" s="19">
        <f>SUM(D18:D29)</f>
        <v>14642.85369088971</v>
      </c>
      <c r="E30" s="19">
        <f>SUM(E18:E29)</f>
        <v>14642.85369088971</v>
      </c>
      <c r="F30" s="19">
        <f>SUM(F18:F29)</f>
        <v>14642.85369088971</v>
      </c>
      <c r="G30" s="19">
        <f>SUM(G18:G29)</f>
        <v>14642.85369088971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14642.85369088971</v>
      </c>
      <c r="O30" s="19">
        <f>SUM(O18:O29)</f>
        <v>14642.85369088971</v>
      </c>
      <c r="P30" s="19">
        <f>SUM(P18:P29)</f>
        <v>14642.85369088971</v>
      </c>
      <c r="Q30" s="19">
        <f>SUM(Q18:Q29)</f>
        <v>14642.85369088971</v>
      </c>
      <c r="R30" s="19">
        <f>SUM(R18:R29)</f>
        <v>14642.85369088971</v>
      </c>
      <c r="S30" s="19">
        <f>SUM(S18:S29)</f>
        <v>14642.85369088971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102499.975836228</v>
      </c>
      <c r="AA30" s="19">
        <f>SUM(B30:M30)</f>
        <v>87857.12214533826</v>
      </c>
      <c r="AB30" s="19">
        <f>SUM(B30:Y30)</f>
        <v>175714.2442906766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8000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8000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8000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8000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17328</v>
      </c>
      <c r="C66" s="36">
        <f>O66</f>
        <v>17328</v>
      </c>
      <c r="D66" s="36">
        <f>P66</f>
        <v>17328</v>
      </c>
      <c r="E66" s="36">
        <f>Q66</f>
        <v>17328</v>
      </c>
      <c r="F66" s="36">
        <f>R66</f>
        <v>17328</v>
      </c>
      <c r="G66" s="36">
        <f>S66</f>
        <v>17328</v>
      </c>
      <c r="H66" s="36">
        <f>T66</f>
        <v>17328</v>
      </c>
      <c r="I66" s="36">
        <f>U66</f>
        <v>17328</v>
      </c>
      <c r="J66" s="36">
        <f>V66</f>
        <v>17328</v>
      </c>
      <c r="K66" s="36">
        <f>W66</f>
        <v>17328</v>
      </c>
      <c r="L66" s="36">
        <f>X66</f>
        <v>17328</v>
      </c>
      <c r="M66" s="36">
        <f>Y66</f>
        <v>17328</v>
      </c>
      <c r="N66" s="46">
        <f>SUM(N67:N71)</f>
        <v>17328</v>
      </c>
      <c r="O66" s="46">
        <f>SUM(O67:O71)</f>
        <v>17328</v>
      </c>
      <c r="P66" s="46">
        <f>SUM(P67:P71)</f>
        <v>17328</v>
      </c>
      <c r="Q66" s="46">
        <f>SUM(Q67:Q71)</f>
        <v>17328</v>
      </c>
      <c r="R66" s="46">
        <f>SUM(R67:R71)</f>
        <v>17328</v>
      </c>
      <c r="S66" s="46">
        <f>SUM(S67:S71)</f>
        <v>17328</v>
      </c>
      <c r="T66" s="46">
        <f>SUM(T67:T71)</f>
        <v>17328</v>
      </c>
      <c r="U66" s="46">
        <f>SUM(U67:U71)</f>
        <v>17328</v>
      </c>
      <c r="V66" s="46">
        <f>SUM(V67:V71)</f>
        <v>17328</v>
      </c>
      <c r="W66" s="46">
        <f>SUM(W67:W71)</f>
        <v>17328</v>
      </c>
      <c r="X66" s="46">
        <f>SUM(X67:X71)</f>
        <v>17328</v>
      </c>
      <c r="Y66" s="46">
        <f>SUM(Y67:Y71)</f>
        <v>17328</v>
      </c>
      <c r="Z66" s="46">
        <f>SUMIF($B$13:$Y$13,"Yes",B66:Y66)</f>
        <v>225264</v>
      </c>
      <c r="AA66" s="46">
        <f>SUM(B66:M66)</f>
        <v>207936</v>
      </c>
      <c r="AB66" s="46">
        <f>SUM(B66:Y66)</f>
        <v>415872</v>
      </c>
    </row>
    <row r="67" spans="1:30" hidden="true" outlineLevel="1">
      <c r="A67" s="181" t="str">
        <f>Calculations!$A$4</f>
        <v>Maize</v>
      </c>
      <c r="B67" s="36">
        <f>N67</f>
        <v>17328</v>
      </c>
      <c r="C67" s="36">
        <f>O67</f>
        <v>17328</v>
      </c>
      <c r="D67" s="36">
        <f>P67</f>
        <v>17328</v>
      </c>
      <c r="E67" s="36">
        <f>Q67</f>
        <v>17328</v>
      </c>
      <c r="F67" s="36">
        <f>R67</f>
        <v>17328</v>
      </c>
      <c r="G67" s="36">
        <f>S67</f>
        <v>17328</v>
      </c>
      <c r="H67" s="36">
        <f>T67</f>
        <v>17328</v>
      </c>
      <c r="I67" s="36">
        <f>U67</f>
        <v>17328</v>
      </c>
      <c r="J67" s="36">
        <f>V67</f>
        <v>17328</v>
      </c>
      <c r="K67" s="36">
        <f>W67</f>
        <v>17328</v>
      </c>
      <c r="L67" s="36">
        <f>X67</f>
        <v>17328</v>
      </c>
      <c r="M67" s="36">
        <f>Y67</f>
        <v>17328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17328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17328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17328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17328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17328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17328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17328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17328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17328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17328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17328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17328</v>
      </c>
      <c r="Z67" s="46">
        <f>SUMIF($B$13:$Y$13,"Yes",B67:Y67)</f>
        <v>225264</v>
      </c>
      <c r="AA67" s="46">
        <f>SUM(B67:M67)</f>
        <v>207936</v>
      </c>
      <c r="AB67" s="46">
        <f>SUM(B67:Y67)</f>
        <v>415872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-4269.295928488725</v>
      </c>
      <c r="C81" s="46">
        <f>(SUM($AA$18:$AA$29)-SUM($AA$36,$AA$42,$AA$48,$AA$54,$AA$60,$AA$66,$AA$72:$AA$79))*Parameters!$B$37/12</f>
        <v>-4269.295928488725</v>
      </c>
      <c r="D81" s="46">
        <f>(SUM($AA$18:$AA$29)-SUM($AA$36,$AA$42,$AA$48,$AA$54,$AA$60,$AA$66,$AA$72:$AA$79))*Parameters!$B$37/12</f>
        <v>-4269.295928488725</v>
      </c>
      <c r="E81" s="46">
        <f>(SUM($AA$18:$AA$29)-SUM($AA$36,$AA$42,$AA$48,$AA$54,$AA$60,$AA$66,$AA$72:$AA$79))*Parameters!$B$37/12</f>
        <v>-4269.295928488725</v>
      </c>
      <c r="F81" s="46">
        <f>(SUM($AA$18:$AA$29)-SUM($AA$36,$AA$42,$AA$48,$AA$54,$AA$60,$AA$66,$AA$72:$AA$79))*Parameters!$B$37/12</f>
        <v>-4269.295928488725</v>
      </c>
      <c r="G81" s="46">
        <f>(SUM($AA$18:$AA$29)-SUM($AA$36,$AA$42,$AA$48,$AA$54,$AA$60,$AA$66,$AA$72:$AA$79))*Parameters!$B$37/12</f>
        <v>-4269.295928488725</v>
      </c>
      <c r="H81" s="46">
        <f>(SUM($AA$18:$AA$29)-SUM($AA$36,$AA$42,$AA$48,$AA$54,$AA$60,$AA$66,$AA$72:$AA$79))*Parameters!$B$37/12</f>
        <v>-4269.295928488725</v>
      </c>
      <c r="I81" s="46">
        <f>(SUM($AA$18:$AA$29)-SUM($AA$36,$AA$42,$AA$48,$AA$54,$AA$60,$AA$66,$AA$72:$AA$79))*Parameters!$B$37/12</f>
        <v>-4269.295928488725</v>
      </c>
      <c r="J81" s="46">
        <f>(SUM($AA$18:$AA$29)-SUM($AA$36,$AA$42,$AA$48,$AA$54,$AA$60,$AA$66,$AA$72:$AA$79))*Parameters!$B$37/12</f>
        <v>-4269.295928488725</v>
      </c>
      <c r="K81" s="46">
        <f>(SUM($AA$18:$AA$29)-SUM($AA$36,$AA$42,$AA$48,$AA$54,$AA$60,$AA$66,$AA$72:$AA$79))*Parameters!$B$37/12</f>
        <v>-4269.295928488725</v>
      </c>
      <c r="L81" s="46">
        <f>(SUM($AA$18:$AA$29)-SUM($AA$36,$AA$42,$AA$48,$AA$54,$AA$60,$AA$66,$AA$72:$AA$79))*Parameters!$B$37/12</f>
        <v>-4269.295928488725</v>
      </c>
      <c r="M81" s="46">
        <f>(SUM($AA$18:$AA$29)-SUM($AA$36,$AA$42,$AA$48,$AA$54,$AA$60,$AA$66,$AA$72:$AA$79))*Parameters!$B$37/12</f>
        <v>-4269.295928488725</v>
      </c>
      <c r="N81" s="46">
        <f>(SUM($AA$18:$AA$29)-SUM($AA$36,$AA$42,$AA$48,$AA$54,$AA$60,$AA$66,$AA$72:$AA$79))*Parameters!$B$37/12</f>
        <v>-4269.295928488725</v>
      </c>
      <c r="O81" s="46">
        <f>(SUM($AA$18:$AA$29)-SUM($AA$36,$AA$42,$AA$48,$AA$54,$AA$60,$AA$66,$AA$72:$AA$79))*Parameters!$B$37/12</f>
        <v>-4269.295928488725</v>
      </c>
      <c r="P81" s="46">
        <f>(SUM($AA$18:$AA$29)-SUM($AA$36,$AA$42,$AA$48,$AA$54,$AA$60,$AA$66,$AA$72:$AA$79))*Parameters!$B$37/12</f>
        <v>-4269.295928488725</v>
      </c>
      <c r="Q81" s="46">
        <f>(SUM($AA$18:$AA$29)-SUM($AA$36,$AA$42,$AA$48,$AA$54,$AA$60,$AA$66,$AA$72:$AA$79))*Parameters!$B$37/12</f>
        <v>-4269.295928488725</v>
      </c>
      <c r="R81" s="46">
        <f>(SUM($AA$18:$AA$29)-SUM($AA$36,$AA$42,$AA$48,$AA$54,$AA$60,$AA$66,$AA$72:$AA$79))*Parameters!$B$37/12</f>
        <v>-4269.295928488725</v>
      </c>
      <c r="S81" s="46">
        <f>(SUM($AA$18:$AA$29)-SUM($AA$36,$AA$42,$AA$48,$AA$54,$AA$60,$AA$66,$AA$72:$AA$79))*Parameters!$B$37/12</f>
        <v>-4269.295928488725</v>
      </c>
      <c r="T81" s="46">
        <f>(SUM($AA$18:$AA$29)-SUM($AA$36,$AA$42,$AA$48,$AA$54,$AA$60,$AA$66,$AA$72:$AA$79))*Parameters!$B$37/12</f>
        <v>-4269.295928488725</v>
      </c>
      <c r="U81" s="46">
        <f>(SUM($AA$18:$AA$29)-SUM($AA$36,$AA$42,$AA$48,$AA$54,$AA$60,$AA$66,$AA$72:$AA$79))*Parameters!$B$37/12</f>
        <v>-4269.295928488725</v>
      </c>
      <c r="V81" s="46">
        <f>(SUM($AA$18:$AA$29)-SUM($AA$36,$AA$42,$AA$48,$AA$54,$AA$60,$AA$66,$AA$72:$AA$79))*Parameters!$B$37/12</f>
        <v>-4269.295928488725</v>
      </c>
      <c r="W81" s="46">
        <f>(SUM($AA$18:$AA$29)-SUM($AA$36,$AA$42,$AA$48,$AA$54,$AA$60,$AA$66,$AA$72:$AA$79))*Parameters!$B$37/12</f>
        <v>-4269.295928488725</v>
      </c>
      <c r="X81" s="46">
        <f>(SUM($AA$18:$AA$29)-SUM($AA$36,$AA$42,$AA$48,$AA$54,$AA$60,$AA$66,$AA$72:$AA$79))*Parameters!$B$37/12</f>
        <v>-4269.295928488725</v>
      </c>
      <c r="Y81" s="46">
        <f>(SUM($AA$18:$AA$29)-SUM($AA$36,$AA$42,$AA$48,$AA$54,$AA$60,$AA$66,$AA$72:$AA$79))*Parameters!$B$37/12</f>
        <v>-4269.295928488725</v>
      </c>
      <c r="Z81" s="46">
        <f>SUMIF($B$13:$Y$13,"Yes",B81:Y81)</f>
        <v>-55500.84707035343</v>
      </c>
      <c r="AA81" s="46">
        <f>SUM(B81:M81)</f>
        <v>-51231.5511418647</v>
      </c>
      <c r="AB81" s="46">
        <f>SUM(B81:Y81)</f>
        <v>-102463.1022837293</v>
      </c>
    </row>
    <row r="82" spans="1:30">
      <c r="A82" s="16" t="s">
        <v>52</v>
      </c>
      <c r="B82" s="46">
        <f>SUM(B83:B87)</f>
        <v>118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118</v>
      </c>
      <c r="AA82" s="46">
        <f>SUM(B82:M82)</f>
        <v>118</v>
      </c>
      <c r="AB82" s="46">
        <f>SUM(B82:Y82)</f>
        <v>118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118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118</v>
      </c>
      <c r="AA83" s="46">
        <f>SUM(B83:M83)</f>
        <v>118</v>
      </c>
      <c r="AB83" s="46">
        <f>SUM(B83:Y83)</f>
        <v>118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13176.70407151127</v>
      </c>
      <c r="C88" s="19">
        <f>SUM(C72:C82,C66,C60,C54,C48,C42,C36)</f>
        <v>13058.70407151127</v>
      </c>
      <c r="D88" s="19">
        <f>SUM(D72:D82,D66,D60,D54,D48,D42,D36)</f>
        <v>21058.70407151127</v>
      </c>
      <c r="E88" s="19">
        <f>SUM(E72:E82,E66,E60,E54,E48,E42,E36)</f>
        <v>13058.70407151127</v>
      </c>
      <c r="F88" s="19">
        <f>SUM(F72:F82,F66,F60,F54,F48,F42,F36)</f>
        <v>13058.70407151127</v>
      </c>
      <c r="G88" s="19">
        <f>SUM(G72:G82,G66,G60,G54,G48,G42,G36)</f>
        <v>13058.70407151127</v>
      </c>
      <c r="H88" s="19">
        <f>SUM(H72:H82,H66,H60,H54,H48,H42,H36)</f>
        <v>13058.70407151127</v>
      </c>
      <c r="I88" s="19">
        <f>SUM(I72:I82,I66,I60,I54,I48,I42,I36)</f>
        <v>13058.70407151127</v>
      </c>
      <c r="J88" s="19">
        <f>SUM(J72:J82,J66,J60,J54,J48,J42,J36)</f>
        <v>13058.70407151127</v>
      </c>
      <c r="K88" s="19">
        <f>SUM(K72:K82,K66,K60,K54,K48,K42,K36)</f>
        <v>13058.70407151127</v>
      </c>
      <c r="L88" s="19">
        <f>SUM(L72:L82,L66,L60,L54,L48,L42,L36)</f>
        <v>13058.70407151127</v>
      </c>
      <c r="M88" s="19">
        <f>SUM(M72:M82,M66,M60,M54,M48,M42,M36)</f>
        <v>13058.70407151127</v>
      </c>
      <c r="N88" s="19">
        <f>SUM(N72:N82,N66,N60,N54,N48,N42,N36)</f>
        <v>13058.70407151127</v>
      </c>
      <c r="O88" s="19">
        <f>SUM(O72:O82,O66,O60,O54,O48,O42,O36)</f>
        <v>13058.70407151127</v>
      </c>
      <c r="P88" s="19">
        <f>SUM(P72:P82,P66,P60,P54,P48,P42,P36)</f>
        <v>21058.70407151127</v>
      </c>
      <c r="Q88" s="19">
        <f>SUM(Q72:Q82,Q66,Q60,Q54,Q48,Q42,Q36)</f>
        <v>13058.70407151127</v>
      </c>
      <c r="R88" s="19">
        <f>SUM(R72:R82,R66,R60,R54,R48,R42,R36)</f>
        <v>13058.70407151127</v>
      </c>
      <c r="S88" s="19">
        <f>SUM(S72:S82,S66,S60,S54,S48,S42,S36)</f>
        <v>13058.70407151127</v>
      </c>
      <c r="T88" s="19">
        <f>SUM(T72:T82,T66,T60,T54,T48,T42,T36)</f>
        <v>13058.70407151127</v>
      </c>
      <c r="U88" s="19">
        <f>SUM(U72:U82,U66,U60,U54,U48,U42,U36)</f>
        <v>13058.70407151127</v>
      </c>
      <c r="V88" s="19">
        <f>SUM(V72:V82,V66,V60,V54,V48,V42,V36)</f>
        <v>13058.70407151127</v>
      </c>
      <c r="W88" s="19">
        <f>SUM(W72:W82,W66,W60,W54,W48,W42,W36)</f>
        <v>13058.70407151127</v>
      </c>
      <c r="X88" s="19">
        <f>SUM(X72:X82,X66,X60,X54,X48,X42,X36)</f>
        <v>13058.70407151127</v>
      </c>
      <c r="Y88" s="19">
        <f>SUM(Y72:Y82,Y66,Y60,Y54,Y48,Y42,Y36)</f>
        <v>13058.70407151127</v>
      </c>
      <c r="Z88" s="19">
        <f>SUMIF($B$13:$Y$13,"Yes",B88:Y88)</f>
        <v>177881.1529296466</v>
      </c>
      <c r="AA88" s="19">
        <f>SUM(B88:M88)</f>
        <v>164822.4488581354</v>
      </c>
      <c r="AB88" s="19">
        <f>SUM(B88:Y88)</f>
        <v>329526.8977162707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108000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132000000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650000</v>
      </c>
    </row>
    <row r="101" spans="1:30" customHeight="1" ht="15.75">
      <c r="A101" s="1" t="s">
        <v>67</v>
      </c>
      <c r="B101" s="19">
        <f>SUM(B94:B100)</f>
        <v>134658000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8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160008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>
        <v>8</v>
      </c>
      <c r="H7" s="145" t="s">
        <v>92</v>
      </c>
      <c r="I7" s="147" t="s">
        <v>92</v>
      </c>
      <c r="J7" s="148"/>
      <c r="K7" s="137"/>
      <c r="L7" s="20"/>
      <c r="M7" s="163">
        <v>5</v>
      </c>
      <c r="N7" s="153">
        <v>1</v>
      </c>
      <c r="P7" s="41"/>
    </row>
    <row r="8" spans="1:48">
      <c r="A8" s="143" t="s">
        <v>93</v>
      </c>
      <c r="B8" s="16" t="s">
        <v>94</v>
      </c>
      <c r="C8" s="143">
        <v>4</v>
      </c>
      <c r="D8" s="16">
        <v>79200</v>
      </c>
      <c r="E8" s="147" t="s">
        <v>90</v>
      </c>
      <c r="F8" s="149" t="s">
        <v>91</v>
      </c>
      <c r="G8" s="147"/>
      <c r="H8" s="147" t="s">
        <v>92</v>
      </c>
      <c r="I8" s="147" t="s">
        <v>92</v>
      </c>
      <c r="J8" s="148" t="s">
        <v>95</v>
      </c>
      <c r="K8" s="138"/>
      <c r="L8" s="16">
        <v>2200</v>
      </c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</v>
      </c>
    </row>
    <row r="27" spans="1:48">
      <c r="A27" s="14" t="s">
        <v>111</v>
      </c>
    </row>
    <row r="29" spans="1:48">
      <c r="A29" s="45" t="s">
        <v>112</v>
      </c>
      <c r="B29" s="156">
        <v>0</v>
      </c>
    </row>
    <row r="30" spans="1:48">
      <c r="A30" s="44" t="s">
        <v>113</v>
      </c>
      <c r="B30" s="157">
        <v>0</v>
      </c>
    </row>
    <row r="31" spans="1:48">
      <c r="A31" s="5" t="s">
        <v>114</v>
      </c>
      <c r="B31" s="158">
        <v>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122</v>
      </c>
    </row>
    <row r="45" spans="1:48">
      <c r="A45" s="56" t="s">
        <v>128</v>
      </c>
      <c r="B45" s="161">
        <v>1000000</v>
      </c>
    </row>
    <row r="46" spans="1:48" customHeight="1" ht="30">
      <c r="A46" s="57" t="s">
        <v>129</v>
      </c>
      <c r="B46" s="161">
        <v>450000</v>
      </c>
    </row>
    <row r="47" spans="1:48" customHeight="1" ht="30">
      <c r="A47" s="57" t="s">
        <v>130</v>
      </c>
      <c r="B47" s="161">
        <v>450000</v>
      </c>
    </row>
    <row r="48" spans="1:48" customHeight="1" ht="30">
      <c r="A48" s="57" t="s">
        <v>131</v>
      </c>
      <c r="B48" s="161">
        <v>650000</v>
      </c>
    </row>
    <row r="49" spans="1:48" customHeight="1" ht="30">
      <c r="A49" s="57" t="s">
        <v>132</v>
      </c>
      <c r="B49" s="161">
        <v>108000</v>
      </c>
    </row>
    <row r="50" spans="1:48">
      <c r="A50" s="43"/>
      <c r="B50" s="36"/>
    </row>
    <row r="51" spans="1:48">
      <c r="A51" s="58" t="s">
        <v>133</v>
      </c>
      <c r="B51" s="161">
        <v>10000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6000</v>
      </c>
      <c r="B56" s="159">
        <v>8</v>
      </c>
      <c r="C56" s="162" t="s">
        <v>141</v>
      </c>
      <c r="D56" s="163" t="s">
        <v>142</v>
      </c>
      <c r="E56" s="163" t="s">
        <v>122</v>
      </c>
      <c r="F56" s="163" t="s">
        <v>143</v>
      </c>
    </row>
    <row r="57" spans="1:48">
      <c r="A57" s="157">
        <v>250</v>
      </c>
      <c r="B57" s="157">
        <v>0</v>
      </c>
      <c r="C57" s="164" t="s">
        <v>144</v>
      </c>
      <c r="D57" s="165" t="s">
        <v>145</v>
      </c>
      <c r="E57" s="165" t="s">
        <v>122</v>
      </c>
      <c r="F57" s="165" t="s">
        <v>146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148</v>
      </c>
      <c r="C65" s="10" t="s">
        <v>149</v>
      </c>
    </row>
    <row r="66" spans="1:48">
      <c r="A66" s="142" t="s">
        <v>150</v>
      </c>
      <c r="B66" s="159">
        <v>80677</v>
      </c>
      <c r="C66" s="163">
        <v>62307</v>
      </c>
      <c r="D66" s="49">
        <f>INDEX(Parameters!$D$79:$D$90,MATCH(Inputs!A66,Parameters!$C$79:$C$90,0))</f>
        <v>6</v>
      </c>
    </row>
    <row r="67" spans="1:48">
      <c r="A67" s="143" t="s">
        <v>151</v>
      </c>
      <c r="B67" s="157">
        <v>85423</v>
      </c>
      <c r="C67" s="165">
        <v>83020</v>
      </c>
      <c r="D67" s="49">
        <f>INDEX(Parameters!$D$79:$D$90,MATCH(Inputs!A67,Parameters!$C$79:$C$90,0))</f>
        <v>7</v>
      </c>
    </row>
    <row r="68" spans="1:48">
      <c r="A68" s="143" t="s">
        <v>152</v>
      </c>
      <c r="B68" s="157">
        <v>162410</v>
      </c>
      <c r="C68" s="165">
        <v>85627</v>
      </c>
      <c r="D68" s="49">
        <f>INDEX(Parameters!$D$79:$D$90,MATCH(Inputs!A68,Parameters!$C$79:$C$90,0))</f>
        <v>8</v>
      </c>
    </row>
    <row r="69" spans="1:48">
      <c r="A69" s="143" t="s">
        <v>153</v>
      </c>
      <c r="B69" s="157">
        <v>177844</v>
      </c>
      <c r="C69" s="165">
        <v>108066</v>
      </c>
      <c r="D69" s="49">
        <f>INDEX(Parameters!$D$79:$D$90,MATCH(Inputs!A69,Parameters!$C$79:$C$90,0))</f>
        <v>9</v>
      </c>
    </row>
    <row r="70" spans="1:48">
      <c r="A70" s="143" t="s">
        <v>154</v>
      </c>
      <c r="B70" s="157">
        <v>274945</v>
      </c>
      <c r="C70" s="165">
        <v>334970</v>
      </c>
      <c r="D70" s="49">
        <f>INDEX(Parameters!$D$79:$D$90,MATCH(Inputs!A70,Parameters!$C$79:$C$90,0))</f>
        <v>10</v>
      </c>
    </row>
    <row r="71" spans="1:48">
      <c r="A71" s="144" t="s">
        <v>155</v>
      </c>
      <c r="B71" s="158">
        <v>124784</v>
      </c>
      <c r="C71" s="167">
        <v>14205</v>
      </c>
      <c r="D71" s="49">
        <f>INDEX(Parameters!$D$79:$D$90,MATCH(Inputs!A71,Parameters!$C$79:$C$90,0))</f>
        <v>11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150000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>
        <v>5</v>
      </c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2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1100.966442924039</v>
      </c>
      <c r="M4" s="25">
        <f>L4*H4</f>
        <v>4403.865771696154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175714.2442906766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8480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5064.445637450577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42767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2200</v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8000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97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135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46">
      <c r="A23" s="75">
        <f>Inputs!A56</f>
        <v>6000</v>
      </c>
      <c r="B23" s="75">
        <f>SUM(C23:D23)</f>
        <v>1838.461538461538</v>
      </c>
      <c r="C23" s="75">
        <f>IF(Inputs!B56&gt;0,(Inputs!A56-Inputs!B56)/(DATE(YEAR(Inputs!$B$76),MONTH(Inputs!$B$76),DAY(Inputs!$B$76))-DATE(YEAR(Inputs!C56),MONTH(Inputs!C56),DAY(Inputs!C56)))*30,0)</f>
        <v>1728.461538461538</v>
      </c>
      <c r="D23" s="75">
        <f>IF(Inputs!B56&gt;0,Inputs!A56*0.22/12,0)</f>
        <v>110</v>
      </c>
      <c r="E23" s="75">
        <f>IFERROR(ROUNDUP(Inputs!B56/C23,0),0)</f>
        <v>1</v>
      </c>
    </row>
    <row r="24" spans="1:46">
      <c r="A24" s="46">
        <f>Inputs!A57</f>
        <v>250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 Gikomba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42736</v>
      </c>
      <c r="F33" t="s">
        <v>161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42767</v>
      </c>
      <c r="F34" t="s">
        <v>162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42795</v>
      </c>
      <c r="F35" t="s">
        <v>164</v>
      </c>
      <c r="G35" s="27">
        <f>Inputs!B81</f>
        <v>150000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42826</v>
      </c>
      <c r="F36" t="s">
        <v>165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42856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23678.57142857143</v>
      </c>
      <c r="D38" s="170">
        <f>IFERROR(DATE(YEAR(B38),MONTH(B38),1)," ")</f>
        <v>42887</v>
      </c>
      <c r="F38" t="s">
        <v>227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23678.57142857143</v>
      </c>
      <c r="D39" s="170">
        <f>IFERROR(DATE(YEAR(B39),MONTH(B39),1)," ")</f>
        <v>42917</v>
      </c>
      <c r="F39" t="s">
        <v>170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23678.57142857143</v>
      </c>
      <c r="D40" s="170">
        <f>IFERROR(DATE(YEAR(B40),MONTH(B40),1)," ")</f>
        <v>42948</v>
      </c>
      <c r="F40" t="s">
        <v>171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23678.57142857143</v>
      </c>
      <c r="D41" s="170">
        <f>IFERROR(DATE(YEAR(B41),MONTH(B41),1)," ")</f>
        <v>42979</v>
      </c>
      <c r="F41" t="s">
        <v>228</v>
      </c>
      <c r="G41" s="73">
        <f>IFERROR(G35/(G38-G39),"")</f>
        <v>21428.57142857143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23678.57142857143</v>
      </c>
      <c r="D42" s="170">
        <f>IFERROR(DATE(YEAR(B42),MONTH(B42),1)," ")</f>
        <v>43009</v>
      </c>
      <c r="F42" t="s">
        <v>229</v>
      </c>
      <c r="G42" s="73">
        <f>IFERROR(G35*G36*IF(G37="Monthly",G38/12,IF(G37="Fortnightly",G38/(365/14),G38/(365/28)))/(G38-G40),"")</f>
        <v>2250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23678.57142857143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23678.57142857143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97</v>
      </c>
      <c r="B41" s="191" t="s">
        <v>92</v>
      </c>
      <c r="C41" s="191" t="s">
        <v>122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126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122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122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122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122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122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122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122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122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122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122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122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122</v>
      </c>
      <c r="B77" s="176">
        <v>0</v>
      </c>
      <c r="C77" s="12" t="s">
        <v>350</v>
      </c>
      <c r="E77" s="12" t="s">
        <v>92</v>
      </c>
      <c r="F77" s="12" t="s">
        <v>92</v>
      </c>
      <c r="G77" s="12" t="s">
        <v>351</v>
      </c>
      <c r="H77" s="12" t="s">
        <v>126</v>
      </c>
      <c r="I77" s="12" t="s">
        <v>352</v>
      </c>
      <c r="J77" s="136" t="s">
        <v>353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316</v>
      </c>
      <c r="I78" s="12" t="s">
        <v>358</v>
      </c>
      <c r="J78" s="70" t="s">
        <v>359</v>
      </c>
      <c r="K78" s="12" t="s">
        <v>92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167</v>
      </c>
      <c r="J79" s="70" t="s">
        <v>364</v>
      </c>
      <c r="K79" s="12" t="s">
        <v>92</v>
      </c>
      <c r="AJ79" s="12"/>
    </row>
    <row r="80" spans="1:36">
      <c r="B80" s="176">
        <v>20</v>
      </c>
      <c r="C80" s="12" t="s">
        <v>95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122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122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