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<sst xmlns="http://schemas.openxmlformats.org/spreadsheetml/2006/main" uniqueCount="370">
  <si>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</si>
  <si>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</si>
  <si>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</si>
  <si>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</si>
  <si>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</si>
  <si>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</si>
  <si>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</si>
  <si>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</si>
  <si>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</si>
  <si>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</si>
  <si>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</si>
  <si>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</si>
  <si>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</si>
  <si>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</si>
  <si>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</si>
  <si>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</si>
  <si>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</si>
  <si>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</si>
  <si>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</si>
  <si>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</si>
  <si>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</si>
  <si>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</si>
  <si>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</si>
  <si>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</si>
  <si>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</si>
  <si>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</si>
  <si>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</si>
  <si>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</si>
  <si>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</si>
  <si>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</si>
  <si>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</si>
  <si>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</si>
  <si>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</si>
  <si>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</si>
  <si>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</si>
  <si>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</si>
  <si>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</si>
  <si>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</si>
  <si>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</si>
  <si>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</si>
  <si>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</si>
  <si>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</si>
  <si>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</si>
  <si>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</si>
  <si>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</si>
  <si>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</si>
  <si>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</si>
  <si>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</si>
  <si>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</si>
  <si>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</si>
  <si>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</si>
  <si>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</si>
  <si>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</si>
  <si>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</si>
  <si>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</si>
  <si>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</si>
  <si>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</si>
  <si>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</si>
  <si>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</si>
  <si>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</si>
  <si>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</si>
  <si>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</si>
  <si>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</si>
  <si>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</si>
  <si>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</si>
  <si>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</si>
  <si>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</si>
  <si>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</si>
  <si>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</si>
  <si>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</si>
  <si>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</si>
  <si>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</si>
  <si>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</si>
  <si>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</si>
  <si>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</si>
  <si>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</si>
  <si>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</si>
  <si>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</si>
  <si>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</si>
  <si>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</si>
  <si>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</si>
  <si>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</si>
  <si>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</si>
  <si>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</si>
  <si>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</si>
  <si>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</si>
  <si>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</si>
  <si>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</si>
  <si>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</si>
  <si>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</si>
  <si>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</si>
  <si>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</si>
  <si>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</si>
  <si>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January</t>
  </si>
  <si>
    <t>Other crops</t>
  </si>
  <si>
    <t>Managu and Sagaa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</si>
  <si>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</si>
  <si>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</si>
  <si>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</si>
  <si>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</si>
  <si>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</si>
  <si>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</si>
  <si>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</si>
  <si>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</si>
  <si>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</si>
  <si>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</si>
  <si>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</si>
  <si>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</si>
  <si>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</si>
  <si>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</si>
  <si>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</si>
  <si>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</si>
  <si>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</si>
  <si>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</si>
  <si>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</si>
  <si>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</si>
  <si>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</si>
  <si>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</si>
  <si>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</si>
  <si>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</si>
  <si>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</si>
  <si>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</si>
  <si>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</si>
  <si>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</si>
  <si>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</si>
  <si>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</si>
  <si>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</si>
  <si>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</si>
  <si>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</si>
  <si>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</si>
  <si>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</si>
  <si>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</si>
  <si>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</si>
  <si>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</si>
  <si>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</si>
  <si>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</si>
  <si>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</si>
  <si>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</si>
  <si>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</si>
  <si>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</si>
  <si>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</si>
  <si>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6/2/2016</t>
  </si>
  <si>
    <t>Mshwari</t>
  </si>
  <si>
    <t>No arrears</t>
  </si>
  <si>
    <t>6/10/2016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</si>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</sst>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Managu and Sagaa,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0.7497650660984715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0.0152890116393766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46815.68609991473</v>
      </c>
    </row>
    <row r="18" spans="1:7">
      <c r="B18" s="1" t="s">
        <v>12</v>
      </c>
      <c r="C18" s="36">
        <f>MIN(Output!B6:M6)</f>
        <v>-11641.21467106422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39258.26293194563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3125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39258.26293194563</v>
      </c>
      <c r="C6" s="51">
        <f>C30-C88</f>
        <v>-11641.21467106422</v>
      </c>
      <c r="D6" s="51">
        <f>D30-D88</f>
        <v>-11264.87144999526</v>
      </c>
      <c r="E6" s="51">
        <f>E30-E88</f>
        <v>-11264.87144999526</v>
      </c>
      <c r="F6" s="51">
        <f>F30-F88</f>
        <v>-11264.87144999526</v>
      </c>
      <c r="G6" s="51">
        <f>G30-G88</f>
        <v>17585.40913906174</v>
      </c>
      <c r="H6" s="51">
        <f>H30-H88</f>
        <v>39258.26293194563</v>
      </c>
      <c r="I6" s="51">
        <f>I30-I88</f>
        <v>12358.78532893578</v>
      </c>
      <c r="J6" s="51">
        <f>J30-J88</f>
        <v>-11264.87144999526</v>
      </c>
      <c r="K6" s="51">
        <f>K30-K88</f>
        <v>-11264.87144999526</v>
      </c>
      <c r="L6" s="51">
        <f>L30-L88</f>
        <v>-11264.87144999526</v>
      </c>
      <c r="M6" s="51">
        <f>M30-M88</f>
        <v>17585.40913906174</v>
      </c>
      <c r="N6" s="51">
        <f>N30-N88</f>
        <v>39258.26293194563</v>
      </c>
      <c r="O6" s="51">
        <f>O30-O88</f>
        <v>-11641.21467106422</v>
      </c>
      <c r="P6" s="51">
        <f>P30-P88</f>
        <v>-11264.87144999526</v>
      </c>
      <c r="Q6" s="51">
        <f>Q30-Q88</f>
        <v>-11264.87144999526</v>
      </c>
      <c r="R6" s="51">
        <f>R30-R88</f>
        <v>-11264.87144999526</v>
      </c>
      <c r="S6" s="51">
        <f>S30-S88</f>
        <v>17585.40913906174</v>
      </c>
      <c r="T6" s="51">
        <f>T30-T88</f>
        <v>39258.26293194563</v>
      </c>
      <c r="U6" s="51">
        <f>U30-U88</f>
        <v>12358.78532893578</v>
      </c>
      <c r="V6" s="51">
        <f>V30-V88</f>
        <v>-11264.87144999526</v>
      </c>
      <c r="W6" s="51">
        <f>W30-W88</f>
        <v>-11264.87144999526</v>
      </c>
      <c r="X6" s="51">
        <f>X30-X88</f>
        <v>-11264.87144999526</v>
      </c>
      <c r="Y6" s="51">
        <f>Y30-Y88</f>
        <v>17585.40913906174</v>
      </c>
      <c r="Z6" s="51">
        <f>SUMIF($B$13:$Y$13,"Yes",B6:Y6)</f>
        <v>86073.94903186036</v>
      </c>
      <c r="AA6" s="51">
        <f>AA30-AA88</f>
        <v>46815.68609991475</v>
      </c>
      <c r="AB6" s="51">
        <f>AB30-AB88</f>
        <v>93631.37219982938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18370</v>
      </c>
      <c r="I7" s="80">
        <f>IF(ISERROR(VLOOKUP(MONTH(I5),Inputs!$D$66:$D$71,1,0)),"",INDEX(Inputs!$B$66:$B$71,MATCH(MONTH(Output!I5),Inputs!$D$66:$D$71,0))-INDEX(Inputs!$C$66:$C$71,MATCH(MONTH(Output!I5),Inputs!$D$66:$D$71,0)))</f>
        <v>2403</v>
      </c>
      <c r="J7" s="80">
        <f>IF(ISERROR(VLOOKUP(MONTH(J5),Inputs!$D$66:$D$71,1,0)),"",INDEX(Inputs!$B$66:$B$71,MATCH(MONTH(Output!J5),Inputs!$D$66:$D$71,0))-INDEX(Inputs!$C$66:$C$71,MATCH(MONTH(Output!J5),Inputs!$D$66:$D$71,0)))</f>
        <v>76783</v>
      </c>
      <c r="K7" s="80">
        <f>IF(ISERROR(VLOOKUP(MONTH(K5),Inputs!$D$66:$D$71,1,0)),"",INDEX(Inputs!$B$66:$B$71,MATCH(MONTH(Output!K5),Inputs!$D$66:$D$71,0))-INDEX(Inputs!$C$66:$C$71,MATCH(MONTH(Output!K5),Inputs!$D$66:$D$71,0)))</f>
        <v>69778</v>
      </c>
      <c r="L7" s="80">
        <f>IF(ISERROR(VLOOKUP(MONTH(L5),Inputs!$D$66:$D$71,1,0)),"",INDEX(Inputs!$B$66:$B$71,MATCH(MONTH(Output!L5),Inputs!$D$66:$D$71,0))-INDEX(Inputs!$C$66:$C$71,MATCH(MONTH(Output!L5),Inputs!$D$66:$D$71,0)))</f>
        <v>-60025</v>
      </c>
      <c r="M7" s="80">
        <f>IF(ISERROR(VLOOKUP(MONTH(M5),Inputs!$D$66:$D$71,1,0)),"",INDEX(Inputs!$B$66:$B$71,MATCH(MONTH(Output!M5),Inputs!$D$66:$D$71,0))-INDEX(Inputs!$C$66:$C$71,MATCH(MONTH(Output!M5),Inputs!$D$66:$D$71,0)))</f>
        <v>110579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18370</v>
      </c>
      <c r="U7" s="80">
        <f>IF(ISERROR(VLOOKUP(MONTH(U5),Inputs!$D$66:$D$71,1,0)),"",INDEX(Inputs!$B$66:$B$71,MATCH(MONTH(Output!U5),Inputs!$D$66:$D$71,0))-INDEX(Inputs!$C$66:$C$71,MATCH(MONTH(Output!U5),Inputs!$D$66:$D$71,0)))</f>
        <v>2403</v>
      </c>
      <c r="V7" s="80">
        <f>IF(ISERROR(VLOOKUP(MONTH(V5),Inputs!$D$66:$D$71,1,0)),"",INDEX(Inputs!$B$66:$B$71,MATCH(MONTH(Output!V5),Inputs!$D$66:$D$71,0))-INDEX(Inputs!$C$66:$C$71,MATCH(MONTH(Output!V5),Inputs!$D$66:$D$71,0)))</f>
        <v>76783</v>
      </c>
      <c r="W7" s="80">
        <f>IF(ISERROR(VLOOKUP(MONTH(W5),Inputs!$D$66:$D$71,1,0)),"",INDEX(Inputs!$B$66:$B$71,MATCH(MONTH(Output!W5),Inputs!$D$66:$D$71,0))-INDEX(Inputs!$C$66:$C$71,MATCH(MONTH(Output!W5),Inputs!$D$66:$D$71,0)))</f>
        <v>69778</v>
      </c>
      <c r="X7" s="80">
        <f>IF(ISERROR(VLOOKUP(MONTH(X5),Inputs!$D$66:$D$71,1,0)),"",INDEX(Inputs!$B$66:$B$71,MATCH(MONTH(Output!X5),Inputs!$D$66:$D$71,0))-INDEX(Inputs!$C$66:$C$71,MATCH(MONTH(Output!X5),Inputs!$D$66:$D$71,0)))</f>
        <v>-60025</v>
      </c>
      <c r="Y7" s="80">
        <f>IF(ISERROR(VLOOKUP(MONTH(Y5),Inputs!$D$66:$D$71,1,0)),"",INDEX(Inputs!$B$66:$B$71,MATCH(MONTH(Output!Y5),Inputs!$D$66:$D$71,0))-INDEX(Inputs!$C$66:$C$71,MATCH(MONTH(Output!Y5),Inputs!$D$66:$D$71,0)))</f>
        <v>110579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189258.2629319456</v>
      </c>
      <c r="C11" s="80">
        <f>C6+C9-C10</f>
        <v>-13891.21467106422</v>
      </c>
      <c r="D11" s="80">
        <f>D6+D9-D10</f>
        <v>-13514.87144999526</v>
      </c>
      <c r="E11" s="80">
        <f>E6+E9-E10</f>
        <v>-13514.87144999526</v>
      </c>
      <c r="F11" s="80">
        <f>F6+F9-F10</f>
        <v>-13514.87144999526</v>
      </c>
      <c r="G11" s="80">
        <f>G6+G9-G10</f>
        <v>15335.40913906174</v>
      </c>
      <c r="H11" s="80">
        <f>H6+H9-H10</f>
        <v>15579.6915033742</v>
      </c>
      <c r="I11" s="80">
        <f>I6+I9-I10</f>
        <v>-11319.78609963565</v>
      </c>
      <c r="J11" s="80">
        <f>J6+J9-J10</f>
        <v>-34943.44287856669</v>
      </c>
      <c r="K11" s="80">
        <f>K6+K9-K10</f>
        <v>-34943.44287856669</v>
      </c>
      <c r="L11" s="80">
        <f>L6+L9-L10</f>
        <v>-34943.44287856669</v>
      </c>
      <c r="M11" s="80">
        <f>M6+M9-M10</f>
        <v>-6093.162289509684</v>
      </c>
      <c r="N11" s="80">
        <f>N6+N9-N10</f>
        <v>15579.6915033742</v>
      </c>
      <c r="O11" s="80">
        <f>O6+O9-O10</f>
        <v>-11641.21467106422</v>
      </c>
      <c r="P11" s="80">
        <f>P6+P9-P10</f>
        <v>-11264.87144999526</v>
      </c>
      <c r="Q11" s="80">
        <f>Q6+Q9-Q10</f>
        <v>-11264.87144999526</v>
      </c>
      <c r="R11" s="80">
        <f>R6+R9-R10</f>
        <v>-11264.87144999526</v>
      </c>
      <c r="S11" s="80">
        <f>S6+S9-S10</f>
        <v>17585.40913906174</v>
      </c>
      <c r="T11" s="80">
        <f>T6+T9-T10</f>
        <v>39258.26293194563</v>
      </c>
      <c r="U11" s="80">
        <f>U6+U9-U10</f>
        <v>12358.78532893578</v>
      </c>
      <c r="V11" s="80">
        <f>V6+V9-V10</f>
        <v>-11264.87144999526</v>
      </c>
      <c r="W11" s="80">
        <f>W6+W9-W10</f>
        <v>-11264.87144999526</v>
      </c>
      <c r="X11" s="80">
        <f>X6+X9-X10</f>
        <v>-11264.87144999526</v>
      </c>
      <c r="Y11" s="80">
        <f>Y6+Y9-Y10</f>
        <v>17585.40913906174</v>
      </c>
      <c r="Z11" s="85">
        <f>SUMIF($B$13:$Y$13,"Yes",B11:Y11)</f>
        <v>59073.94903186037</v>
      </c>
      <c r="AA11" s="80">
        <f>SUM(B11:M11)</f>
        <v>43494.25752848617</v>
      </c>
      <c r="AB11" s="46">
        <f>SUM(B11:Y11)</f>
        <v>66631.37219982948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0.0126677029149546</v>
      </c>
      <c r="D12" s="82">
        <f>IF(D13="Yes",IF(SUM($B$10:D10)/(SUM($B$6:D6)+SUM($B$9:D9))&lt;0,999.99,SUM($B$10:D10)/(SUM($B$6:D6)+SUM($B$9:D9))),"")</f>
        <v>0.02705104367294049</v>
      </c>
      <c r="E12" s="82">
        <f>IF(E13="Yes",IF(SUM($B$10:E10)/(SUM($B$6:E6)+SUM($B$9:E9))&lt;0,999.99,SUM($B$10:E10)/(SUM($B$6:E6)+SUM($B$9:E9))),"")</f>
        <v>0.0435238718236327</v>
      </c>
      <c r="F12" s="82">
        <f>IF(F13="Yes",IF(SUM($B$10:F10)/(SUM($B$6:F6)+SUM($B$9:F9))&lt;0,999.99,SUM($B$10:F10)/(SUM($B$6:F6)+SUM($B$9:F9))),"")</f>
        <v>0.06257716376553535</v>
      </c>
      <c r="G12" s="82">
        <f>IF(G13="Yes",IF(SUM($B$10:G10)/(SUM($B$6:G6)+SUM($B$9:G9))&lt;0,999.99,SUM($B$10:G10)/(SUM($B$6:G6)+SUM($B$9:G9))),"")</f>
        <v>0.06969921527616234</v>
      </c>
      <c r="H12" s="82">
        <f>IF(H13="Yes",IF(SUM($B$10:H10)/(SUM($B$6:H6)+SUM($B$9:H9))&lt;0,999.99,SUM($B$10:H10)/(SUM($B$6:H6)+SUM($B$9:H9))),"")</f>
        <v>0.1740631346667057</v>
      </c>
      <c r="I12" s="82">
        <f>IF(I13="Yes",IF(SUM($B$10:I10)/(SUM($B$6:I6)+SUM($B$9:I9))&lt;0,999.99,SUM($B$10:I10)/(SUM($B$6:I6)+SUM($B$9:I9))),"")</f>
        <v>0.2751187548859034</v>
      </c>
      <c r="J12" s="82">
        <f>IF(J13="Yes",IF(SUM($B$10:J10)/(SUM($B$6:J6)+SUM($B$9:J9))&lt;0,999.99,SUM($B$10:J10)/(SUM($B$6:J6)+SUM($B$9:J9))),"")</f>
        <v>0.407839542950421</v>
      </c>
      <c r="K12" s="82">
        <f>IF(K13="Yes",IF(SUM($B$10:K10)/(SUM($B$6:K6)+SUM($B$9:K9))&lt;0,999.99,SUM($B$10:K10)/(SUM($B$6:K6)+SUM($B$9:K9))),"")</f>
        <v>0.5562571361961851</v>
      </c>
      <c r="L12" s="82">
        <f>IF(L13="Yes",IF(SUM($B$10:L10)/(SUM($B$6:L6)+SUM($B$9:L9))&lt;0,999.99,SUM($B$10:L10)/(SUM($B$6:L6)+SUM($B$9:L9))),"")</f>
        <v>0.7233312325415497</v>
      </c>
      <c r="M12" s="82">
        <f>IF(M13="Yes",IF(SUM($B$10:M10)/(SUM($B$6:M6)+SUM($B$9:M9))&lt;0,999.99,SUM($B$10:M10)/(SUM($B$6:M6)+SUM($B$9:M9))),"")</f>
        <v>0.7790102080257666</v>
      </c>
      <c r="N12" s="82">
        <f>IF(N13="Yes",IF(SUM($B$10:N10)/(SUM($B$6:N6)+SUM($B$9:N9))&lt;0,999.99,SUM($B$10:N10)/(SUM($B$6:N6)+SUM($B$9:N9))),"")</f>
        <v>0.7497650660984715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41859.13438194089</v>
      </c>
      <c r="C18" s="36">
        <f>O18</f>
        <v>48835.65677893104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34882.61198495074</v>
      </c>
      <c r="H18" s="36">
        <f>T18</f>
        <v>41859.13438194089</v>
      </c>
      <c r="I18" s="36">
        <f>U18</f>
        <v>48835.65677893104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34882.61198495074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41859.13438194089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48835.65677893104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34882.61198495074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41859.13438194089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48835.65677893104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34882.61198495074</v>
      </c>
      <c r="Z18" s="36">
        <f>SUMIF($B$13:$Y$13,"Yes",B18:Y18)</f>
        <v>293013.9406735863</v>
      </c>
      <c r="AA18" s="36">
        <f>SUM(B18:M18)</f>
        <v>251154.8062916454</v>
      </c>
      <c r="AB18" s="36">
        <f>SUM(B18:Y18)</f>
        <v>502309.6125832907</v>
      </c>
      <c r="AC18" s="43"/>
      <c r="AD18" s="43"/>
    </row>
    <row r="19" spans="1:30">
      <c r="A19" t="str">
        <f>IF(Calculations!A5&lt;&gt;Parameters!$A$18,IF(Calculations!A5=0,"",Calculations!A5),Inputs!B8)</f>
        <v>Managu and Sagaa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41859.13438194089</v>
      </c>
      <c r="C30" s="19">
        <f>SUM(C18:C29)</f>
        <v>48835.65677893104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34882.61198495074</v>
      </c>
      <c r="H30" s="19">
        <f>SUM(H18:H29)</f>
        <v>41859.13438194089</v>
      </c>
      <c r="I30" s="19">
        <f>SUM(I18:I29)</f>
        <v>48835.65677893104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34882.61198495074</v>
      </c>
      <c r="N30" s="19">
        <f>SUM(N18:N29)</f>
        <v>41859.13438194089</v>
      </c>
      <c r="O30" s="19">
        <f>SUM(O18:O29)</f>
        <v>48835.65677893104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34882.61198495074</v>
      </c>
      <c r="T30" s="19">
        <f>SUM(T18:T29)</f>
        <v>41859.13438194089</v>
      </c>
      <c r="U30" s="19">
        <f>SUM(U18:U29)</f>
        <v>48835.65677893104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34882.61198495074</v>
      </c>
      <c r="Z30" s="19">
        <f>SUMIF($B$13:$Y$13,"Yes",B30:Y30)</f>
        <v>293013.9406735863</v>
      </c>
      <c r="AA30" s="19">
        <f>SUM(B30:M30)</f>
        <v>251154.8062916454</v>
      </c>
      <c r="AB30" s="19">
        <f>SUM(B30:Y30)</f>
        <v>502309.6125832907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72000</v>
      </c>
      <c r="AA36" s="36">
        <f>SUM(B36:M36)</f>
        <v>72000</v>
      </c>
      <c r="AB36" s="36">
        <f>SUM(B36:Y36)</f>
        <v>144000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48000</v>
      </c>
      <c r="AA37" s="36">
        <f>SUM(B37:M37)</f>
        <v>48000</v>
      </c>
      <c r="AB37" s="36">
        <f>SUM(B37:Y37)</f>
        <v>96000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24000</v>
      </c>
      <c r="AB38" s="36">
        <f>SUM(B38:Y38)</f>
        <v>48000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1212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1212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2424</v>
      </c>
      <c r="AB42" s="36">
        <f>SUM(B42:Y42)</f>
        <v>4848.000000000001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1212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1212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6032.331395893737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6032.331395893737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6032.331395893737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6032.331395893737</v>
      </c>
      <c r="Z54" s="46">
        <f>SUMIF($B$13:$Y$13,"Yes",B54:Y54)</f>
        <v>12064.66279178747</v>
      </c>
      <c r="AA54" s="46">
        <f>SUM(B54:M54)</f>
        <v>12064.66279178747</v>
      </c>
      <c r="AB54" s="46">
        <f>SUM(B54:Y54)</f>
        <v>24129.32558357495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6032.331395893737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6032.331395893737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6032.331395893737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6032.331395893737</v>
      </c>
      <c r="Z55" s="46">
        <f>SUMIF($B$13:$Y$13,"Yes",B55:Y55)</f>
        <v>12064.66279178747</v>
      </c>
      <c r="AA55" s="46">
        <f>SUM(B55:M55)</f>
        <v>12064.66279178747</v>
      </c>
      <c r="AB55" s="46">
        <f>SUM(B55:Y55)</f>
        <v>24129.32558357495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8664</v>
      </c>
      <c r="D66" s="36">
        <f>P66</f>
        <v>8664</v>
      </c>
      <c r="E66" s="36">
        <f>Q66</f>
        <v>8664</v>
      </c>
      <c r="F66" s="36">
        <f>R66</f>
        <v>8664</v>
      </c>
      <c r="G66" s="36">
        <f>S66</f>
        <v>8664</v>
      </c>
      <c r="H66" s="36">
        <f>T66</f>
        <v>0</v>
      </c>
      <c r="I66" s="36">
        <f>U66</f>
        <v>8664</v>
      </c>
      <c r="J66" s="36">
        <f>V66</f>
        <v>8664</v>
      </c>
      <c r="K66" s="36">
        <f>W66</f>
        <v>8664</v>
      </c>
      <c r="L66" s="36">
        <f>X66</f>
        <v>8664</v>
      </c>
      <c r="M66" s="36">
        <f>Y66</f>
        <v>8664</v>
      </c>
      <c r="N66" s="46">
        <f>SUM(N67:N71)</f>
        <v>0</v>
      </c>
      <c r="O66" s="46">
        <f>SUM(O67:O71)</f>
        <v>8664</v>
      </c>
      <c r="P66" s="46">
        <f>SUM(P67:P71)</f>
        <v>8664</v>
      </c>
      <c r="Q66" s="46">
        <f>SUM(Q67:Q71)</f>
        <v>8664</v>
      </c>
      <c r="R66" s="46">
        <f>SUM(R67:R71)</f>
        <v>8664</v>
      </c>
      <c r="S66" s="46">
        <f>SUM(S67:S71)</f>
        <v>8664</v>
      </c>
      <c r="T66" s="46">
        <f>SUM(T67:T71)</f>
        <v>0</v>
      </c>
      <c r="U66" s="46">
        <f>SUM(U67:U71)</f>
        <v>8664</v>
      </c>
      <c r="V66" s="46">
        <f>SUM(V67:V71)</f>
        <v>8664</v>
      </c>
      <c r="W66" s="46">
        <f>SUM(W67:W71)</f>
        <v>8664</v>
      </c>
      <c r="X66" s="46">
        <f>SUM(X67:X71)</f>
        <v>8664</v>
      </c>
      <c r="Y66" s="46">
        <f>SUM(Y67:Y71)</f>
        <v>8664</v>
      </c>
      <c r="Z66" s="46">
        <f>SUMIF($B$13:$Y$13,"Yes",B66:Y66)</f>
        <v>86640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8664</v>
      </c>
      <c r="D67" s="36">
        <f>P67</f>
        <v>8664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0</v>
      </c>
      <c r="I67" s="36">
        <f>U67</f>
        <v>8664</v>
      </c>
      <c r="J67" s="36">
        <f>V67</f>
        <v>8664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86640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2600.871449995263</v>
      </c>
      <c r="C81" s="46">
        <f>(SUM($AA$18:$AA$29)-SUM($AA$36,$AA$42,$AA$48,$AA$54,$AA$60,$AA$66,$AA$72:$AA$79))*Parameters!$B$37/12</f>
        <v>2600.871449995263</v>
      </c>
      <c r="D81" s="46">
        <f>(SUM($AA$18:$AA$29)-SUM($AA$36,$AA$42,$AA$48,$AA$54,$AA$60,$AA$66,$AA$72:$AA$79))*Parameters!$B$37/12</f>
        <v>2600.871449995263</v>
      </c>
      <c r="E81" s="46">
        <f>(SUM($AA$18:$AA$29)-SUM($AA$36,$AA$42,$AA$48,$AA$54,$AA$60,$AA$66,$AA$72:$AA$79))*Parameters!$B$37/12</f>
        <v>2600.871449995263</v>
      </c>
      <c r="F81" s="46">
        <f>(SUM($AA$18:$AA$29)-SUM($AA$36,$AA$42,$AA$48,$AA$54,$AA$60,$AA$66,$AA$72:$AA$79))*Parameters!$B$37/12</f>
        <v>2600.871449995263</v>
      </c>
      <c r="G81" s="46">
        <f>(SUM($AA$18:$AA$29)-SUM($AA$36,$AA$42,$AA$48,$AA$54,$AA$60,$AA$66,$AA$72:$AA$79))*Parameters!$B$37/12</f>
        <v>2600.871449995263</v>
      </c>
      <c r="H81" s="46">
        <f>(SUM($AA$18:$AA$29)-SUM($AA$36,$AA$42,$AA$48,$AA$54,$AA$60,$AA$66,$AA$72:$AA$79))*Parameters!$B$37/12</f>
        <v>2600.871449995263</v>
      </c>
      <c r="I81" s="46">
        <f>(SUM($AA$18:$AA$29)-SUM($AA$36,$AA$42,$AA$48,$AA$54,$AA$60,$AA$66,$AA$72:$AA$79))*Parameters!$B$37/12</f>
        <v>2600.871449995263</v>
      </c>
      <c r="J81" s="46">
        <f>(SUM($AA$18:$AA$29)-SUM($AA$36,$AA$42,$AA$48,$AA$54,$AA$60,$AA$66,$AA$72:$AA$79))*Parameters!$B$37/12</f>
        <v>2600.871449995263</v>
      </c>
      <c r="K81" s="46">
        <f>(SUM($AA$18:$AA$29)-SUM($AA$36,$AA$42,$AA$48,$AA$54,$AA$60,$AA$66,$AA$72:$AA$79))*Parameters!$B$37/12</f>
        <v>2600.871449995263</v>
      </c>
      <c r="L81" s="46">
        <f>(SUM($AA$18:$AA$29)-SUM($AA$36,$AA$42,$AA$48,$AA$54,$AA$60,$AA$66,$AA$72:$AA$79))*Parameters!$B$37/12</f>
        <v>2600.871449995263</v>
      </c>
      <c r="M81" s="46">
        <f>(SUM($AA$18:$AA$29)-SUM($AA$36,$AA$42,$AA$48,$AA$54,$AA$60,$AA$66,$AA$72:$AA$79))*Parameters!$B$37/12</f>
        <v>2600.871449995263</v>
      </c>
      <c r="N81" s="46">
        <f>(SUM($AA$18:$AA$29)-SUM($AA$36,$AA$42,$AA$48,$AA$54,$AA$60,$AA$66,$AA$72:$AA$79))*Parameters!$B$37/12</f>
        <v>2600.871449995263</v>
      </c>
      <c r="O81" s="46">
        <f>(SUM($AA$18:$AA$29)-SUM($AA$36,$AA$42,$AA$48,$AA$54,$AA$60,$AA$66,$AA$72:$AA$79))*Parameters!$B$37/12</f>
        <v>2600.871449995263</v>
      </c>
      <c r="P81" s="46">
        <f>(SUM($AA$18:$AA$29)-SUM($AA$36,$AA$42,$AA$48,$AA$54,$AA$60,$AA$66,$AA$72:$AA$79))*Parameters!$B$37/12</f>
        <v>2600.871449995263</v>
      </c>
      <c r="Q81" s="46">
        <f>(SUM($AA$18:$AA$29)-SUM($AA$36,$AA$42,$AA$48,$AA$54,$AA$60,$AA$66,$AA$72:$AA$79))*Parameters!$B$37/12</f>
        <v>2600.871449995263</v>
      </c>
      <c r="R81" s="46">
        <f>(SUM($AA$18:$AA$29)-SUM($AA$36,$AA$42,$AA$48,$AA$54,$AA$60,$AA$66,$AA$72:$AA$79))*Parameters!$B$37/12</f>
        <v>2600.871449995263</v>
      </c>
      <c r="S81" s="46">
        <f>(SUM($AA$18:$AA$29)-SUM($AA$36,$AA$42,$AA$48,$AA$54,$AA$60,$AA$66,$AA$72:$AA$79))*Parameters!$B$37/12</f>
        <v>2600.871449995263</v>
      </c>
      <c r="T81" s="46">
        <f>(SUM($AA$18:$AA$29)-SUM($AA$36,$AA$42,$AA$48,$AA$54,$AA$60,$AA$66,$AA$72:$AA$79))*Parameters!$B$37/12</f>
        <v>2600.871449995263</v>
      </c>
      <c r="U81" s="46">
        <f>(SUM($AA$18:$AA$29)-SUM($AA$36,$AA$42,$AA$48,$AA$54,$AA$60,$AA$66,$AA$72:$AA$79))*Parameters!$B$37/12</f>
        <v>2600.871449995263</v>
      </c>
      <c r="V81" s="46">
        <f>(SUM($AA$18:$AA$29)-SUM($AA$36,$AA$42,$AA$48,$AA$54,$AA$60,$AA$66,$AA$72:$AA$79))*Parameters!$B$37/12</f>
        <v>2600.871449995263</v>
      </c>
      <c r="W81" s="46">
        <f>(SUM($AA$18:$AA$29)-SUM($AA$36,$AA$42,$AA$48,$AA$54,$AA$60,$AA$66,$AA$72:$AA$79))*Parameters!$B$37/12</f>
        <v>2600.871449995263</v>
      </c>
      <c r="X81" s="46">
        <f>(SUM($AA$18:$AA$29)-SUM($AA$36,$AA$42,$AA$48,$AA$54,$AA$60,$AA$66,$AA$72:$AA$79))*Parameters!$B$37/12</f>
        <v>2600.871449995263</v>
      </c>
      <c r="Y81" s="46">
        <f>(SUM($AA$18:$AA$29)-SUM($AA$36,$AA$42,$AA$48,$AA$54,$AA$60,$AA$66,$AA$72:$AA$79))*Parameters!$B$37/12</f>
        <v>2600.871449995263</v>
      </c>
      <c r="Z81" s="46">
        <f>SUMIF($B$13:$Y$13,"Yes",B81:Y81)</f>
        <v>33811.32884993842</v>
      </c>
      <c r="AA81" s="46">
        <f>SUM(B81:M81)</f>
        <v>31210.45739994316</v>
      </c>
      <c r="AB81" s="46">
        <f>SUM(B81:Y81)</f>
        <v>62420.9147998863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2600.871449995263</v>
      </c>
      <c r="C88" s="19">
        <f>SUM(C72:C82,C66,C60,C54,C48,C42,C36)</f>
        <v>60476.87144999526</v>
      </c>
      <c r="D88" s="19">
        <f>SUM(D72:D82,D66,D60,D54,D48,D42,D36)</f>
        <v>11264.87144999526</v>
      </c>
      <c r="E88" s="19">
        <f>SUM(E72:E82,E66,E60,E54,E48,E42,E36)</f>
        <v>11264.87144999526</v>
      </c>
      <c r="F88" s="19">
        <f>SUM(F72:F82,F66,F60,F54,F48,F42,F36)</f>
        <v>11264.87144999526</v>
      </c>
      <c r="G88" s="19">
        <f>SUM(G72:G82,G66,G60,G54,G48,G42,G36)</f>
        <v>17297.202845889</v>
      </c>
      <c r="H88" s="19">
        <f>SUM(H72:H82,H66,H60,H54,H48,H42,H36)</f>
        <v>2600.871449995263</v>
      </c>
      <c r="I88" s="19">
        <f>SUM(I72:I82,I66,I60,I54,I48,I42,I36)</f>
        <v>36476.87144999526</v>
      </c>
      <c r="J88" s="19">
        <f>SUM(J72:J82,J66,J60,J54,J48,J42,J36)</f>
        <v>11264.87144999526</v>
      </c>
      <c r="K88" s="19">
        <f>SUM(K72:K82,K66,K60,K54,K48,K42,K36)</f>
        <v>11264.87144999526</v>
      </c>
      <c r="L88" s="19">
        <f>SUM(L72:L82,L66,L60,L54,L48,L42,L36)</f>
        <v>11264.87144999526</v>
      </c>
      <c r="M88" s="19">
        <f>SUM(M72:M82,M66,M60,M54,M48,M42,M36)</f>
        <v>17297.202845889</v>
      </c>
      <c r="N88" s="19">
        <f>SUM(N72:N82,N66,N60,N54,N48,N42,N36)</f>
        <v>2600.871449995263</v>
      </c>
      <c r="O88" s="19">
        <f>SUM(O72:O82,O66,O60,O54,O48,O42,O36)</f>
        <v>60476.87144999526</v>
      </c>
      <c r="P88" s="19">
        <f>SUM(P72:P82,P66,P60,P54,P48,P42,P36)</f>
        <v>11264.87144999526</v>
      </c>
      <c r="Q88" s="19">
        <f>SUM(Q72:Q82,Q66,Q60,Q54,Q48,Q42,Q36)</f>
        <v>11264.87144999526</v>
      </c>
      <c r="R88" s="19">
        <f>SUM(R72:R82,R66,R60,R54,R48,R42,R36)</f>
        <v>11264.87144999526</v>
      </c>
      <c r="S88" s="19">
        <f>SUM(S72:S82,S66,S60,S54,S48,S42,S36)</f>
        <v>17297.202845889</v>
      </c>
      <c r="T88" s="19">
        <f>SUM(T72:T82,T66,T60,T54,T48,T42,T36)</f>
        <v>2600.871449995263</v>
      </c>
      <c r="U88" s="19">
        <f>SUM(U72:U82,U66,U60,U54,U48,U42,U36)</f>
        <v>36476.87144999526</v>
      </c>
      <c r="V88" s="19">
        <f>SUM(V72:V82,V66,V60,V54,V48,V42,V36)</f>
        <v>11264.87144999526</v>
      </c>
      <c r="W88" s="19">
        <f>SUM(W72:W82,W66,W60,W54,W48,W42,W36)</f>
        <v>11264.87144999526</v>
      </c>
      <c r="X88" s="19">
        <f>SUM(X72:X82,X66,X60,X54,X48,X42,X36)</f>
        <v>11264.87144999526</v>
      </c>
      <c r="Y88" s="19">
        <f>SUM(Y72:Y82,Y66,Y60,Y54,Y48,Y42,Y36)</f>
        <v>17297.202845889</v>
      </c>
      <c r="Z88" s="19">
        <f>SUMIF($B$13:$Y$13,"Yes",B88:Y88)</f>
        <v>206939.9916417259</v>
      </c>
      <c r="AA88" s="19">
        <f>SUM(B88:M88)</f>
        <v>204339.1201917306</v>
      </c>
      <c r="AB88" s="19">
        <f>SUM(B88:Y88)</f>
        <v>408678.2403834613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108000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7200000</v>
      </c>
    </row>
    <row r="98" spans="1:30">
      <c r="A98" t="s">
        <v>64</v>
      </c>
      <c r="B98" s="36">
        <f>IF(Inputs!B44="Yes",Inputs!B45,0)</f>
        <v>750000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10138000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>
        <v>400</v>
      </c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94</v>
      </c>
      <c r="B8" s="16" t="s">
        <v>95</v>
      </c>
      <c r="C8" s="143">
        <v>4</v>
      </c>
      <c r="D8" s="16">
        <v>44</v>
      </c>
      <c r="E8" s="147" t="s">
        <v>90</v>
      </c>
      <c r="F8" s="149" t="s">
        <v>91</v>
      </c>
      <c r="G8" s="147">
        <v>400</v>
      </c>
      <c r="H8" s="147" t="s">
        <v>92</v>
      </c>
      <c r="I8" s="147" t="s">
        <v>92</v>
      </c>
      <c r="J8" s="148" t="s">
        <v>93</v>
      </c>
      <c r="K8" s="138"/>
      <c r="L8" s="16">
        <v>0</v>
      </c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>
        <v>0</v>
      </c>
    </row>
    <row r="30" spans="1:48">
      <c r="A30" s="44" t="s">
        <v>113</v>
      </c>
      <c r="B30" s="157">
        <v>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750000</v>
      </c>
    </row>
    <row r="46" spans="1:48" customHeight="1" ht="30">
      <c r="A46" s="57" t="s">
        <v>129</v>
      </c>
      <c r="B46" s="161">
        <v>50000</v>
      </c>
    </row>
    <row r="47" spans="1:48" customHeight="1" ht="30">
      <c r="A47" s="57" t="s">
        <v>130</v>
      </c>
      <c r="B47" s="161">
        <v>30000</v>
      </c>
    </row>
    <row r="48" spans="1:48" customHeight="1" ht="30">
      <c r="A48" s="57" t="s">
        <v>131</v>
      </c>
      <c r="B48" s="161">
        <v>2000000</v>
      </c>
    </row>
    <row r="49" spans="1:48" customHeight="1" ht="30">
      <c r="A49" s="57" t="s">
        <v>132</v>
      </c>
      <c r="B49" s="161">
        <v>108000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6000</v>
      </c>
      <c r="B56" s="159">
        <v>0</v>
      </c>
      <c r="C56" s="162" t="s">
        <v>141</v>
      </c>
      <c r="D56" s="163" t="s">
        <v>142</v>
      </c>
      <c r="E56" s="163" t="s">
        <v>122</v>
      </c>
      <c r="F56" s="163" t="s">
        <v>143</v>
      </c>
    </row>
    <row r="57" spans="1:48">
      <c r="A57" s="157">
        <v>250</v>
      </c>
      <c r="B57" s="157">
        <v>0</v>
      </c>
      <c r="C57" s="164" t="s">
        <v>144</v>
      </c>
      <c r="D57" s="165" t="s">
        <v>142</v>
      </c>
      <c r="E57" s="165" t="s">
        <v>122</v>
      </c>
      <c r="F57" s="165" t="s">
        <v>143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146</v>
      </c>
      <c r="C65" s="10" t="s">
        <v>147</v>
      </c>
    </row>
    <row r="66" spans="1:48">
      <c r="A66" s="142" t="s">
        <v>148</v>
      </c>
      <c r="B66" s="159">
        <v>124784</v>
      </c>
      <c r="C66" s="163">
        <v>14205</v>
      </c>
      <c r="D66" s="49">
        <f>INDEX(Parameters!$D$79:$D$90,MATCH(Inputs!A66,Parameters!$C$79:$C$90,0))</f>
        <v>11</v>
      </c>
    </row>
    <row r="67" spans="1:48">
      <c r="A67" s="143" t="s">
        <v>149</v>
      </c>
      <c r="B67" s="157">
        <v>274945</v>
      </c>
      <c r="C67" s="165">
        <v>334970</v>
      </c>
      <c r="D67" s="49">
        <f>INDEX(Parameters!$D$79:$D$90,MATCH(Inputs!A67,Parameters!$C$79:$C$90,0))</f>
        <v>10</v>
      </c>
    </row>
    <row r="68" spans="1:48">
      <c r="A68" s="143" t="s">
        <v>150</v>
      </c>
      <c r="B68" s="157">
        <v>177844</v>
      </c>
      <c r="C68" s="165">
        <v>108066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162410</v>
      </c>
      <c r="C69" s="165">
        <v>85627</v>
      </c>
      <c r="D69" s="49">
        <f>INDEX(Parameters!$D$79:$D$90,MATCH(Inputs!A69,Parameters!$C$79:$C$90,0))</f>
        <v>8</v>
      </c>
    </row>
    <row r="70" spans="1:48">
      <c r="A70" s="143" t="s">
        <v>152</v>
      </c>
      <c r="B70" s="157">
        <v>85423</v>
      </c>
      <c r="C70" s="165">
        <v>83020</v>
      </c>
      <c r="D70" s="49">
        <f>INDEX(Parameters!$D$79:$D$90,MATCH(Inputs!A70,Parameters!$C$79:$C$90,0))</f>
        <v>7</v>
      </c>
    </row>
    <row r="71" spans="1:48">
      <c r="A71" s="144" t="s">
        <v>153</v>
      </c>
      <c r="B71" s="158">
        <v>80677</v>
      </c>
      <c r="C71" s="167">
        <v>62307</v>
      </c>
      <c r="D71" s="49">
        <f>INDEX(Parameters!$D$79:$D$90,MATCH(Inputs!A71,Parameters!$C$79:$C$90,0))</f>
        <v>6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11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42795</v>
      </c>
      <c r="D4" s="38">
        <f>IFERROR(DATE(YEAR(B4),MONTH(B4)+T4,DAY(B4)),"")</f>
        <v>42856</v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42979</v>
      </c>
      <c r="G4" s="38">
        <f>IFERROR(IF($S4=0,"",IF($S4=2,DATE(YEAR(D4),MONTH(D4)+6,DAY(D4)),IF($S4=1,D4,""))),"")</f>
        <v>43040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100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1311.376390411682</v>
      </c>
      <c r="M4" s="25">
        <f>L4*H4</f>
        <v>5245.505561646728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209295.6719097045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24000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6032.331395893737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42736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100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</v>
      </c>
      <c r="M5" s="30">
        <f>L5*H5</f>
        <v>44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>6000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>250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Kiambu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42736</v>
      </c>
      <c r="F33" t="s">
        <v>159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42767</v>
      </c>
      <c r="F34" t="s">
        <v>160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42795</v>
      </c>
      <c r="F35" t="s">
        <v>162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42826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42856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42887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42917</v>
      </c>
      <c r="F39" t="s">
        <v>168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42948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42979</v>
      </c>
      <c r="F41" t="s">
        <v>226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43009</v>
      </c>
      <c r="F42" t="s">
        <v>227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92</v>
      </c>
      <c r="C41" s="191" t="s">
        <v>122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126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122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349</v>
      </c>
      <c r="H77" s="12" t="s">
        <v>126</v>
      </c>
      <c r="I77" s="12" t="s">
        <v>350</v>
      </c>
      <c r="J77" s="136" t="s">
        <v>351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314</v>
      </c>
      <c r="I78" s="12" t="s">
        <v>356</v>
      </c>
      <c r="J78" s="70" t="s">
        <v>357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92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122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122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