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<sst xmlns="http://schemas.openxmlformats.org/spreadsheetml/2006/main" uniqueCount="367">
  <si>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</si>
  <si>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</si>
  <si>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</si>
  <si>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</si>
  <si>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</si>
  <si>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</si>
  <si>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</si>
  <si>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</si>
  <si>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</si>
  <si>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</si>
  <si>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</si>
  <si>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</si>
  <si>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</si>
  <si>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</si>
  <si>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</si>
  <si>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</si>
  <si>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</si>
  <si>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</si>
  <si>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</si>
  <si>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</si>
  <si>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</si>
  <si>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</si>
  <si>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</si>
  <si>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</si>
  <si>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</si>
  <si>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</si>
  <si>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</si>
  <si>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</si>
  <si>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</si>
  <si>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</si>
  <si>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</si>
  <si>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</si>
  <si>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</si>
  <si>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</si>
  <si>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</si>
  <si>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</si>
  <si>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</si>
  <si>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</si>
  <si>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</si>
  <si>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</si>
  <si>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</si>
  <si>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</si>
  <si>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</si>
  <si>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</si>
  <si>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</si>
  <si>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</si>
  <si>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</si>
  <si>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</si>
  <si>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</si>
  <si>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</si>
  <si>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</si>
  <si>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</si>
  <si>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</si>
  <si>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</si>
  <si>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</si>
  <si>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</si>
  <si>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</si>
  <si>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</si>
  <si>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</si>
  <si>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</si>
  <si>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</si>
  <si>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</si>
  <si>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</si>
  <si>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</si>
  <si>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</si>
  <si>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</si>
  <si>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</si>
  <si>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</si>
  <si>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</si>
  <si>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</si>
  <si>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</si>
  <si>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</si>
  <si>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</si>
  <si>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</si>
  <si>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</si>
  <si>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</si>
  <si>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</si>
  <si>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</si>
  <si>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</si>
  <si>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</si>
  <si>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</si>
  <si>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</si>
  <si>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</si>
  <si>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</si>
  <si>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</si>
  <si>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</si>
  <si>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</si>
  <si>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</si>
  <si>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</si>
  <si>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</si>
  <si>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</si>
  <si>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</si>
  <si>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</si>
  <si>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</si>
  <si>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Maize</t>
  </si>
  <si>
    <t>Yes both manure and inorganic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</si>
  <si>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</si>
  <si>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</si>
  <si>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</si>
  <si>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</si>
  <si>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</si>
  <si>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</si>
  <si>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</si>
  <si>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</si>
  <si>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</si>
  <si>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</si>
  <si>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</si>
  <si>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</si>
  <si>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</si>
  <si>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</si>
  <si>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</si>
  <si>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</si>
  <si>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</si>
  <si>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</si>
  <si>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</si>
  <si>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</si>
  <si>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</si>
  <si>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</si>
  <si>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</si>
  <si>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</si>
  <si>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</si>
  <si>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</si>
  <si>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</si>
  <si>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</si>
  <si>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</si>
  <si>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</si>
  <si>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</si>
  <si>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</si>
  <si>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</si>
  <si>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</si>
  <si>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</si>
  <si>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</si>
  <si>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</si>
  <si>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</si>
  <si>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</si>
  <si>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</si>
  <si>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</si>
  <si>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</si>
  <si>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</si>
  <si>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</si>
  <si>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</si>
  <si>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</si>
  <si>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</si>
  <si>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</si>
  <si>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</si>
  <si>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</si>
  <si>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</si>
  <si>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</si>
  <si>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</si>
  <si>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</si>
  <si>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</si>
  <si>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</si>
  <si>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</si>
  <si>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</si>
  <si>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</si>
  <si>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</si>
  <si>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2017/1/3</t>
  </si>
  <si>
    <t>Loan terms</t>
  </si>
  <si>
    <t>Expected disbursement date</t>
  </si>
  <si>
    <t>2017/1/4</t>
  </si>
  <si>
    <t>Expected first repayment date</t>
  </si>
  <si>
    <t>2017/2/4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</si>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</sst>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0.8640182560379774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0.02069910897875257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34368.95184660479</v>
      </c>
    </row>
    <row r="18" spans="1:7">
      <c r="B18" s="1" t="s">
        <v>12</v>
      </c>
      <c r="C18" s="36">
        <f>MIN(Output!B6:M6)</f>
        <v>-109351.4497057637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181303.4613769187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75344.61326172332</v>
      </c>
      <c r="C6" s="51">
        <f>C30-C88</f>
        <v>-40159.67245256237</v>
      </c>
      <c r="D6" s="51">
        <f>D30-D88</f>
        <v>28930.32754743763</v>
      </c>
      <c r="E6" s="51">
        <f>E30-E88</f>
        <v>28930.32754743763</v>
      </c>
      <c r="F6" s="51">
        <f>F30-F88</f>
        <v>28930.32754743763</v>
      </c>
      <c r="G6" s="51">
        <f>G30-G88</f>
        <v>28930.32754743763</v>
      </c>
      <c r="H6" s="51">
        <f>H30-H88</f>
        <v>-109351.4497057637</v>
      </c>
      <c r="I6" s="51">
        <f>I30-I88</f>
        <v>322.1811509724648</v>
      </c>
      <c r="J6" s="51">
        <f>J30-J88</f>
        <v>181303.4613769187</v>
      </c>
      <c r="K6" s="51">
        <f>K30-K88</f>
        <v>-62937.16399147802</v>
      </c>
      <c r="L6" s="51">
        <f>L30-L88</f>
        <v>-62937.16399147802</v>
      </c>
      <c r="M6" s="51">
        <f>M30-M88</f>
        <v>-62937.16399147802</v>
      </c>
      <c r="N6" s="51">
        <f>N30-N88</f>
        <v>75344.61326172332</v>
      </c>
      <c r="O6" s="51">
        <f>O30-O88</f>
        <v>-40159.67245256237</v>
      </c>
      <c r="P6" s="51">
        <f>P30-P88</f>
        <v>28930.32754743763</v>
      </c>
      <c r="Q6" s="51">
        <f>Q30-Q88</f>
        <v>28930.32754743763</v>
      </c>
      <c r="R6" s="51">
        <f>R30-R88</f>
        <v>28930.32754743763</v>
      </c>
      <c r="S6" s="51">
        <f>S30-S88</f>
        <v>28930.32754743763</v>
      </c>
      <c r="T6" s="51">
        <f>T30-T88</f>
        <v>-109351.4497057637</v>
      </c>
      <c r="U6" s="51">
        <f>U30-U88</f>
        <v>322.1811509724648</v>
      </c>
      <c r="V6" s="51">
        <f>V30-V88</f>
        <v>181303.4613769187</v>
      </c>
      <c r="W6" s="51">
        <f>W30-W88</f>
        <v>-62937.16399147802</v>
      </c>
      <c r="X6" s="51">
        <f>X30-X88</f>
        <v>-62937.16399147802</v>
      </c>
      <c r="Y6" s="51">
        <f>Y30-Y88</f>
        <v>-62937.16399147802</v>
      </c>
      <c r="Z6" s="51">
        <f>SUMIF($B$13:$Y$13,"Yes",B6:Y6)</f>
        <v>109713.5651083281</v>
      </c>
      <c r="AA6" s="51">
        <f>AA30-AA88</f>
        <v>34368.95184660493</v>
      </c>
      <c r="AB6" s="51">
        <f>AB30-AB88</f>
        <v>68737.90369320847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13550</v>
      </c>
      <c r="F7" s="80">
        <f>IF(ISERROR(VLOOKUP(MONTH(F5),Inputs!$D$66:$D$71,1,0)),"",INDEX(Inputs!$B$66:$B$71,MATCH(MONTH(Output!F5),Inputs!$D$66:$D$71,0))-INDEX(Inputs!$C$66:$C$71,MATCH(MONTH(Output!F5),Inputs!$D$66:$D$71,0)))</f>
        <v>3761</v>
      </c>
      <c r="G7" s="80">
        <f>IF(ISERROR(VLOOKUP(MONTH(G5),Inputs!$D$66:$D$71,1,0)),"",INDEX(Inputs!$B$66:$B$71,MATCH(MONTH(Output!G5),Inputs!$D$66:$D$71,0))-INDEX(Inputs!$C$66:$C$71,MATCH(MONTH(Output!G5),Inputs!$D$66:$D$71,0)))</f>
        <v>7010</v>
      </c>
      <c r="H7" s="80">
        <f>IF(ISERROR(VLOOKUP(MONTH(H5),Inputs!$D$66:$D$71,1,0)),"",INDEX(Inputs!$B$66:$B$71,MATCH(MONTH(Output!H5),Inputs!$D$66:$D$71,0))-INDEX(Inputs!$C$66:$C$71,MATCH(MONTH(Output!H5),Inputs!$D$66:$D$71,0)))</f>
        <v>13040</v>
      </c>
      <c r="I7" s="80">
        <f>IF(ISERROR(VLOOKUP(MONTH(I5),Inputs!$D$66:$D$71,1,0)),"",INDEX(Inputs!$B$66:$B$71,MATCH(MONTH(Output!I5),Inputs!$D$66:$D$71,0))-INDEX(Inputs!$C$66:$C$71,MATCH(MONTH(Output!I5),Inputs!$D$66:$D$71,0)))</f>
        <v>983122</v>
      </c>
      <c r="J7" s="80">
        <f>IF(ISERROR(VLOOKUP(MONTH(J5),Inputs!$D$66:$D$71,1,0)),"",INDEX(Inputs!$B$66:$B$71,MATCH(MONTH(Output!J5),Inputs!$D$66:$D$71,0))-INDEX(Inputs!$C$66:$C$71,MATCH(MONTH(Output!J5),Inputs!$D$66:$D$71,0)))</f>
        <v>2374500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13550</v>
      </c>
      <c r="R7" s="80">
        <f>IF(ISERROR(VLOOKUP(MONTH(R5),Inputs!$D$66:$D$71,1,0)),"",INDEX(Inputs!$B$66:$B$71,MATCH(MONTH(Output!R5),Inputs!$D$66:$D$71,0))-INDEX(Inputs!$C$66:$C$71,MATCH(MONTH(Output!R5),Inputs!$D$66:$D$71,0)))</f>
        <v>3761</v>
      </c>
      <c r="S7" s="80">
        <f>IF(ISERROR(VLOOKUP(MONTH(S5),Inputs!$D$66:$D$71,1,0)),"",INDEX(Inputs!$B$66:$B$71,MATCH(MONTH(Output!S5),Inputs!$D$66:$D$71,0))-INDEX(Inputs!$C$66:$C$71,MATCH(MONTH(Output!S5),Inputs!$D$66:$D$71,0)))</f>
        <v>7010</v>
      </c>
      <c r="T7" s="80">
        <f>IF(ISERROR(VLOOKUP(MONTH(T5),Inputs!$D$66:$D$71,1,0)),"",INDEX(Inputs!$B$66:$B$71,MATCH(MONTH(Output!T5),Inputs!$D$66:$D$71,0))-INDEX(Inputs!$C$66:$C$71,MATCH(MONTH(Output!T5),Inputs!$D$66:$D$71,0)))</f>
        <v>13040</v>
      </c>
      <c r="U7" s="80">
        <f>IF(ISERROR(VLOOKUP(MONTH(U5),Inputs!$D$66:$D$71,1,0)),"",INDEX(Inputs!$B$66:$B$71,MATCH(MONTH(Output!U5),Inputs!$D$66:$D$71,0))-INDEX(Inputs!$C$66:$C$71,MATCH(MONTH(Output!U5),Inputs!$D$66:$D$71,0)))</f>
        <v>983122</v>
      </c>
      <c r="V7" s="80">
        <f>IF(ISERROR(VLOOKUP(MONTH(V5),Inputs!$D$66:$D$71,1,0)),"",INDEX(Inputs!$B$66:$B$71,MATCH(MONTH(Output!V5),Inputs!$D$66:$D$71,0))-INDEX(Inputs!$C$66:$C$71,MATCH(MONTH(Output!V5),Inputs!$D$66:$D$71,0)))</f>
        <v>2374500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375344.6132617233</v>
      </c>
      <c r="C11" s="80">
        <f>C6+C9-C10</f>
        <v>-69659.67245256237</v>
      </c>
      <c r="D11" s="80">
        <f>D6+D9-D10</f>
        <v>-569.6724525623722</v>
      </c>
      <c r="E11" s="80">
        <f>E6+E9-E10</f>
        <v>-569.6724525623722</v>
      </c>
      <c r="F11" s="80">
        <f>F6+F9-F10</f>
        <v>-569.6724525623722</v>
      </c>
      <c r="G11" s="80">
        <f>G6+G9-G10</f>
        <v>-569.6724525623722</v>
      </c>
      <c r="H11" s="80">
        <f>H6+H9-H10</f>
        <v>-138851.4497057637</v>
      </c>
      <c r="I11" s="80">
        <f>I6+I9-I10</f>
        <v>-29177.81884902754</v>
      </c>
      <c r="J11" s="80">
        <f>J6+J9-J10</f>
        <v>151803.4613769187</v>
      </c>
      <c r="K11" s="80">
        <f>K6+K9-K10</f>
        <v>-92437.16399147802</v>
      </c>
      <c r="L11" s="80">
        <f>L6+L9-L10</f>
        <v>-92437.16399147802</v>
      </c>
      <c r="M11" s="80">
        <f>M6+M9-M10</f>
        <v>-92437.16399147802</v>
      </c>
      <c r="N11" s="80">
        <f>N6+N9-N10</f>
        <v>45844.61326172332</v>
      </c>
      <c r="O11" s="80">
        <f>O6+O9-O10</f>
        <v>-40159.67245256237</v>
      </c>
      <c r="P11" s="80">
        <f>P6+P9-P10</f>
        <v>28930.32754743763</v>
      </c>
      <c r="Q11" s="80">
        <f>Q6+Q9-Q10</f>
        <v>28930.32754743763</v>
      </c>
      <c r="R11" s="80">
        <f>R6+R9-R10</f>
        <v>28930.32754743763</v>
      </c>
      <c r="S11" s="80">
        <f>S6+S9-S10</f>
        <v>28930.32754743763</v>
      </c>
      <c r="T11" s="80">
        <f>T6+T9-T10</f>
        <v>-109351.4497057637</v>
      </c>
      <c r="U11" s="80">
        <f>U6+U9-U10</f>
        <v>322.1811509724648</v>
      </c>
      <c r="V11" s="80">
        <f>V6+V9-V10</f>
        <v>181303.4613769187</v>
      </c>
      <c r="W11" s="80">
        <f>W6+W9-W10</f>
        <v>-62937.16399147802</v>
      </c>
      <c r="X11" s="80">
        <f>X6+X9-X10</f>
        <v>-62937.16399147802</v>
      </c>
      <c r="Y11" s="80">
        <f>Y6+Y9-Y10</f>
        <v>-62937.16399147802</v>
      </c>
      <c r="Z11" s="85">
        <f>SUMIF($B$13:$Y$13,"Yes",B11:Y11)</f>
        <v>55713.56510832805</v>
      </c>
      <c r="AA11" s="80">
        <f>SUM(B11:M11)</f>
        <v>9868.95184660473</v>
      </c>
      <c r="AB11" s="46">
        <f>SUM(B11:Y11)</f>
        <v>14737.90369320955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0.08801111389069224</v>
      </c>
      <c r="D12" s="82">
        <f>IF(D13="Yes",IF(SUM($B$10:D10)/(SUM($B$6:D6)+SUM($B$9:D9))&lt;0,999.99,SUM($B$10:D10)/(SUM($B$6:D6)+SUM($B$9:D9))),"")</f>
        <v>0.1620365997457101</v>
      </c>
      <c r="E12" s="82">
        <f>IF(E13="Yes",IF(SUM($B$10:E10)/(SUM($B$6:E6)+SUM($B$9:E9))&lt;0,999.99,SUM($B$10:E10)/(SUM($B$6:E6)+SUM($B$9:E9))),"")</f>
        <v>0.2251647160590693</v>
      </c>
      <c r="F12" s="82">
        <f>IF(F13="Yes",IF(SUM($B$10:F10)/(SUM($B$6:F6)+SUM($B$9:F9))&lt;0,999.99,SUM($B$10:F10)/(SUM($B$6:F6)+SUM($B$9:F9))),"")</f>
        <v>0.2796368073202871</v>
      </c>
      <c r="G12" s="82">
        <f>IF(G13="Yes",IF(SUM($B$10:G10)/(SUM($B$6:G6)+SUM($B$9:G9))&lt;0,999.99,SUM($B$10:G10)/(SUM($B$6:G6)+SUM($B$9:G9))),"")</f>
        <v>0.3271189957407711</v>
      </c>
      <c r="H12" s="82">
        <f>IF(H13="Yes",IF(SUM($B$10:H10)/(SUM($B$6:H6)+SUM($B$9:H9))&lt;0,999.99,SUM($B$10:H10)/(SUM($B$6:H6)+SUM($B$9:H9))),"")</f>
        <v>0.5182184508309267</v>
      </c>
      <c r="I12" s="82">
        <f>IF(I13="Yes",IF(SUM($B$10:I10)/(SUM($B$6:I6)+SUM($B$9:I9))&lt;0,999.99,SUM($B$10:I10)/(SUM($B$6:I6)+SUM($B$9:I9))),"")</f>
        <v>0.6040184352971245</v>
      </c>
      <c r="J12" s="82">
        <f>IF(J13="Yes",IF(SUM($B$10:J10)/(SUM($B$6:J6)+SUM($B$9:J9))&lt;0,999.99,SUM($B$10:J10)/(SUM($B$6:J6)+SUM($B$9:J9))),"")</f>
        <v>0.4510871971367628</v>
      </c>
      <c r="K12" s="82">
        <f>IF(K13="Yes",IF(SUM($B$10:K10)/(SUM($B$6:K6)+SUM($B$9:K9))&lt;0,999.99,SUM($B$10:K10)/(SUM($B$6:K6)+SUM($B$9:K9))),"")</f>
        <v>0.5768688248926113</v>
      </c>
      <c r="L12" s="82">
        <f>IF(L13="Yes",IF(SUM($B$10:L10)/(SUM($B$6:L6)+SUM($B$9:L9))&lt;0,999.99,SUM($B$10:L10)/(SUM($B$6:L6)+SUM($B$9:L9))),"")</f>
        <v>0.7425005260181387</v>
      </c>
      <c r="M12" s="82">
        <f>IF(M13="Yes",IF(SUM($B$10:M10)/(SUM($B$6:M6)+SUM($B$9:M9))&lt;0,999.99,SUM($B$10:M10)/(SUM($B$6:M6)+SUM($B$9:M9))),"")</f>
        <v>0.9704848437867751</v>
      </c>
      <c r="N12" s="82">
        <f>IF(N13="Yes",IF(SUM($B$10:N10)/(SUM($B$6:N6)+SUM($B$9:N9))&lt;0,999.99,SUM($B$10:N10)/(SUM($B$6:N6)+SUM($B$9:N9))),"")</f>
        <v>0.8640182560379774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138281.7772532013</v>
      </c>
      <c r="C18" s="36">
        <f>O18</f>
        <v>138281.7772532013</v>
      </c>
      <c r="D18" s="36">
        <f>P18</f>
        <v>138281.7772532013</v>
      </c>
      <c r="E18" s="36">
        <f>Q18</f>
        <v>138281.7772532013</v>
      </c>
      <c r="F18" s="36">
        <f>R18</f>
        <v>138281.7772532013</v>
      </c>
      <c r="G18" s="36">
        <f>S18</f>
        <v>138281.7772532013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138281.7772532013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138281.7772532013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138281.7772532013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138281.7772532013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138281.7772532013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138281.7772532013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967972.4407724094</v>
      </c>
      <c r="AA18" s="36">
        <f>SUM(B18:M18)</f>
        <v>829690.6635192081</v>
      </c>
      <c r="AB18" s="36">
        <f>SUM(B18:Y18)</f>
        <v>1659381.327038416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203533.8544736639</v>
      </c>
      <c r="J19" s="36">
        <f>V19</f>
        <v>244240.6253683967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203533.8544736639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244240.6253683967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447774.4798420606</v>
      </c>
      <c r="AA19" s="36">
        <f>SUM(B19:M19)</f>
        <v>447774.4798420606</v>
      </c>
      <c r="AB19" s="36">
        <f>SUM(B19:Y19)</f>
        <v>895548.9596841212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56000.00000000001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173837.3328087569</v>
      </c>
      <c r="C30" s="19">
        <f>SUM(C18:C29)</f>
        <v>173837.3328087569</v>
      </c>
      <c r="D30" s="19">
        <f>SUM(D18:D29)</f>
        <v>173837.3328087569</v>
      </c>
      <c r="E30" s="19">
        <f>SUM(E18:E29)</f>
        <v>173837.3328087569</v>
      </c>
      <c r="F30" s="19">
        <f>SUM(F18:F29)</f>
        <v>173837.3328087569</v>
      </c>
      <c r="G30" s="19">
        <f>SUM(G18:G29)</f>
        <v>173837.3328087569</v>
      </c>
      <c r="H30" s="19">
        <f>SUM(H18:H29)</f>
        <v>35555.55555555556</v>
      </c>
      <c r="I30" s="19">
        <f>SUM(I18:I29)</f>
        <v>239089.4100292195</v>
      </c>
      <c r="J30" s="19">
        <f>SUM(J18:J29)</f>
        <v>279796.1809239523</v>
      </c>
      <c r="K30" s="19">
        <f>SUM(K18:K29)</f>
        <v>35555.55555555556</v>
      </c>
      <c r="L30" s="19">
        <f>SUM(L18:L29)</f>
        <v>35555.55555555556</v>
      </c>
      <c r="M30" s="19">
        <f>SUM(M18:M29)</f>
        <v>35555.55555555556</v>
      </c>
      <c r="N30" s="19">
        <f>SUM(N18:N29)</f>
        <v>173837.3328087569</v>
      </c>
      <c r="O30" s="19">
        <f>SUM(O18:O29)</f>
        <v>173837.3328087569</v>
      </c>
      <c r="P30" s="19">
        <f>SUM(P18:P29)</f>
        <v>173837.3328087569</v>
      </c>
      <c r="Q30" s="19">
        <f>SUM(Q18:Q29)</f>
        <v>173837.3328087569</v>
      </c>
      <c r="R30" s="19">
        <f>SUM(R18:R29)</f>
        <v>173837.3328087569</v>
      </c>
      <c r="S30" s="19">
        <f>SUM(S18:S29)</f>
        <v>173837.3328087569</v>
      </c>
      <c r="T30" s="19">
        <f>SUM(T18:T29)</f>
        <v>35555.55555555556</v>
      </c>
      <c r="U30" s="19">
        <f>SUM(U18:U29)</f>
        <v>239089.4100292195</v>
      </c>
      <c r="V30" s="19">
        <f>SUM(V18:V29)</f>
        <v>279796.1809239523</v>
      </c>
      <c r="W30" s="19">
        <f>SUM(W18:W29)</f>
        <v>35555.55555555556</v>
      </c>
      <c r="X30" s="19">
        <f>SUM(X18:X29)</f>
        <v>35555.55555555556</v>
      </c>
      <c r="Y30" s="19">
        <f>SUM(Y18:Y29)</f>
        <v>35555.55555555556</v>
      </c>
      <c r="Z30" s="19">
        <f>SUMIF($B$13:$Y$13,"Yes",B30:Y30)</f>
        <v>1877969.142836692</v>
      </c>
      <c r="AA30" s="19">
        <f>SUM(B30:M30)</f>
        <v>1704131.810027935</v>
      </c>
      <c r="AB30" s="19">
        <f>SUM(B30:Y30)</f>
        <v>3408263.62005587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60000</v>
      </c>
      <c r="AA36" s="36">
        <f>SUM(B36:M36)</f>
        <v>60000</v>
      </c>
      <c r="AB36" s="36">
        <f>SUM(B36:Y36)</f>
        <v>120000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60000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60000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60000</v>
      </c>
      <c r="AA38" s="36">
        <f>SUM(B38:M38)</f>
        <v>60000</v>
      </c>
      <c r="AB38" s="36">
        <f>SUM(B38:Y38)</f>
        <v>120000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9090.000000000002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9090.000000000002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9090.000000000002</v>
      </c>
      <c r="AA42" s="36">
        <f>SUM(B42:M42)</f>
        <v>9090.000000000002</v>
      </c>
      <c r="AB42" s="36">
        <f>SUM(B42:Y42)</f>
        <v>18180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9090.000000000002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9090.000000000002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9090.000000000002</v>
      </c>
      <c r="AA44" s="36">
        <f>SUM(B44:M44)</f>
        <v>9090.000000000002</v>
      </c>
      <c r="AB44" s="36">
        <f>SUM(B44:Y44)</f>
        <v>18180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93860.22361692773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93860.22361692773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93860.22361692773</v>
      </c>
      <c r="AA54" s="46">
        <f>SUM(B54:M54)</f>
        <v>93860.22361692773</v>
      </c>
      <c r="AB54" s="46">
        <f>SUM(B54:Y54)</f>
        <v>187720.4472338555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93860.22361692773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93860.22361692773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93860.22361692773</v>
      </c>
      <c r="AA56" s="46">
        <f>SUM(B56:M56)</f>
        <v>93860.22361692773</v>
      </c>
      <c r="AB56" s="46">
        <f>SUM(B56:Y56)</f>
        <v>187720.4472338555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90250</v>
      </c>
      <c r="C66" s="36">
        <f>O66</f>
        <v>136664.2857142857</v>
      </c>
      <c r="D66" s="36">
        <f>P66</f>
        <v>136664.2857142857</v>
      </c>
      <c r="E66" s="36">
        <f>Q66</f>
        <v>136664.2857142857</v>
      </c>
      <c r="F66" s="36">
        <f>R66</f>
        <v>136664.2857142857</v>
      </c>
      <c r="G66" s="36">
        <f>S66</f>
        <v>136664.2857142857</v>
      </c>
      <c r="H66" s="36">
        <f>T66</f>
        <v>136664.2857142857</v>
      </c>
      <c r="I66" s="36">
        <f>U66</f>
        <v>136664.2857142857</v>
      </c>
      <c r="J66" s="36">
        <f>V66</f>
        <v>90250</v>
      </c>
      <c r="K66" s="36">
        <f>W66</f>
        <v>90250</v>
      </c>
      <c r="L66" s="36">
        <f>X66</f>
        <v>90250</v>
      </c>
      <c r="M66" s="36">
        <f>Y66</f>
        <v>90250</v>
      </c>
      <c r="N66" s="46">
        <f>SUM(N67:N71)</f>
        <v>90250</v>
      </c>
      <c r="O66" s="46">
        <f>SUM(O67:O71)</f>
        <v>136664.2857142857</v>
      </c>
      <c r="P66" s="46">
        <f>SUM(P67:P71)</f>
        <v>136664.2857142857</v>
      </c>
      <c r="Q66" s="46">
        <f>SUM(Q67:Q71)</f>
        <v>136664.2857142857</v>
      </c>
      <c r="R66" s="46">
        <f>SUM(R67:R71)</f>
        <v>136664.2857142857</v>
      </c>
      <c r="S66" s="46">
        <f>SUM(S67:S71)</f>
        <v>136664.2857142857</v>
      </c>
      <c r="T66" s="46">
        <f>SUM(T67:T71)</f>
        <v>136664.2857142857</v>
      </c>
      <c r="U66" s="46">
        <f>SUM(U67:U71)</f>
        <v>136664.2857142857</v>
      </c>
      <c r="V66" s="46">
        <f>SUM(V67:V71)</f>
        <v>90250</v>
      </c>
      <c r="W66" s="46">
        <f>SUM(W67:W71)</f>
        <v>90250</v>
      </c>
      <c r="X66" s="46">
        <f>SUM(X67:X71)</f>
        <v>90250</v>
      </c>
      <c r="Y66" s="46">
        <f>SUM(Y67:Y71)</f>
        <v>90250</v>
      </c>
      <c r="Z66" s="46">
        <f>SUMIF($B$13:$Y$13,"Yes",B66:Y66)</f>
        <v>1498150</v>
      </c>
      <c r="AA66" s="46">
        <f>SUM(B66:M66)</f>
        <v>1407900</v>
      </c>
      <c r="AB66" s="46">
        <f>SUM(B66:Y66)</f>
        <v>2815800</v>
      </c>
    </row>
    <row r="67" spans="1:30" hidden="true" outlineLevel="1">
      <c r="A67" s="181" t="str">
        <f>Calculations!$A$4</f>
        <v>Wheat</v>
      </c>
      <c r="B67" s="36">
        <f>N67</f>
        <v>90250</v>
      </c>
      <c r="C67" s="36">
        <f>O67</f>
        <v>90250</v>
      </c>
      <c r="D67" s="36">
        <f>P67</f>
        <v>90250</v>
      </c>
      <c r="E67" s="36">
        <f>Q67</f>
        <v>90250</v>
      </c>
      <c r="F67" s="36">
        <f>R67</f>
        <v>90250</v>
      </c>
      <c r="G67" s="36">
        <f>S67</f>
        <v>90250</v>
      </c>
      <c r="H67" s="36">
        <f>T67</f>
        <v>90250</v>
      </c>
      <c r="I67" s="36">
        <f>U67</f>
        <v>90250</v>
      </c>
      <c r="J67" s="36">
        <f>V67</f>
        <v>90250</v>
      </c>
      <c r="K67" s="36">
        <f>W67</f>
        <v>90250</v>
      </c>
      <c r="L67" s="36">
        <f>X67</f>
        <v>90250</v>
      </c>
      <c r="M67" s="36">
        <f>Y67</f>
        <v>90250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90250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90250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90250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90250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90250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90250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90250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90250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90250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90250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90250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90250</v>
      </c>
      <c r="Z67" s="46">
        <f>SUMIF($B$13:$Y$13,"Yes",B67:Y67)</f>
        <v>1173250</v>
      </c>
      <c r="AA67" s="46">
        <f>SUM(B67:M67)</f>
        <v>1083000</v>
      </c>
      <c r="AB67" s="46">
        <f>SUM(B67:Y67)</f>
        <v>2166000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46414.28571428571</v>
      </c>
      <c r="D68" s="36">
        <f>P68</f>
        <v>46414.28571428571</v>
      </c>
      <c r="E68" s="36">
        <f>Q68</f>
        <v>46414.28571428571</v>
      </c>
      <c r="F68" s="36">
        <f>R68</f>
        <v>46414.28571428571</v>
      </c>
      <c r="G68" s="36">
        <f>S68</f>
        <v>46414.28571428571</v>
      </c>
      <c r="H68" s="36">
        <f>T68</f>
        <v>46414.28571428571</v>
      </c>
      <c r="I68" s="36">
        <f>U68</f>
        <v>46414.28571428571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46414.28571428571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46414.28571428571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46414.28571428571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46414.28571428571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46414.28571428571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46414.28571428571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46414.28571428571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324900</v>
      </c>
      <c r="AA68" s="46">
        <f>SUM(B68:M68)</f>
        <v>324900</v>
      </c>
      <c r="AB68" s="46">
        <f>SUM(B68:Y68)</f>
        <v>649799.9999999998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26000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2333.333333333333</v>
      </c>
      <c r="C76" s="46">
        <f>SUM(Calculations!$S$14:$S$16)/12</f>
        <v>2333.333333333333</v>
      </c>
      <c r="D76" s="46">
        <f>SUM(Calculations!$S$14:$S$16)/12</f>
        <v>2333.333333333333</v>
      </c>
      <c r="E76" s="46">
        <f>SUM(Calculations!$S$14:$S$16)/12</f>
        <v>2333.333333333333</v>
      </c>
      <c r="F76" s="46">
        <f>SUM(Calculations!$S$14:$S$16)/12</f>
        <v>2333.333333333333</v>
      </c>
      <c r="G76" s="46">
        <f>SUM(Calculations!$S$14:$S$16)/12</f>
        <v>2333.333333333333</v>
      </c>
      <c r="H76" s="46">
        <f>SUM(Calculations!$S$14:$S$16)/12</f>
        <v>2333.333333333333</v>
      </c>
      <c r="I76" s="46">
        <f>SUM(Calculations!$S$14:$S$16)/12</f>
        <v>2333.333333333333</v>
      </c>
      <c r="J76" s="46">
        <f>SUM(Calculations!$S$14:$S$16)/12</f>
        <v>2333.333333333333</v>
      </c>
      <c r="K76" s="46">
        <f>SUM(Calculations!$S$14:$S$16)/12</f>
        <v>2333.333333333333</v>
      </c>
      <c r="L76" s="46">
        <f>SUM(Calculations!$S$14:$S$16)/12</f>
        <v>2333.333333333333</v>
      </c>
      <c r="M76" s="46">
        <f>SUM(Calculations!$S$14:$S$16)/12</f>
        <v>2333.333333333333</v>
      </c>
      <c r="N76" s="46">
        <f>SUM(Calculations!$S$14:$S$16)/12</f>
        <v>2333.333333333333</v>
      </c>
      <c r="O76" s="46">
        <f>SUM(Calculations!$S$14:$S$16)/12</f>
        <v>2333.333333333333</v>
      </c>
      <c r="P76" s="46">
        <f>SUM(Calculations!$S$14:$S$16)/12</f>
        <v>2333.333333333333</v>
      </c>
      <c r="Q76" s="46">
        <f>SUM(Calculations!$S$14:$S$16)/12</f>
        <v>2333.333333333333</v>
      </c>
      <c r="R76" s="46">
        <f>SUM(Calculations!$S$14:$S$16)/12</f>
        <v>2333.333333333333</v>
      </c>
      <c r="S76" s="46">
        <f>SUM(Calculations!$S$14:$S$16)/12</f>
        <v>2333.333333333333</v>
      </c>
      <c r="T76" s="46">
        <f>SUM(Calculations!$S$14:$S$16)/12</f>
        <v>2333.333333333333</v>
      </c>
      <c r="U76" s="46">
        <f>SUM(Calculations!$S$14:$S$16)/12</f>
        <v>2333.333333333333</v>
      </c>
      <c r="V76" s="46">
        <f>SUM(Calculations!$S$14:$S$16)/12</f>
        <v>2333.333333333333</v>
      </c>
      <c r="W76" s="46">
        <f>SUM(Calculations!$S$14:$S$16)/12</f>
        <v>2333.333333333333</v>
      </c>
      <c r="X76" s="46">
        <f>SUM(Calculations!$S$14:$S$16)/12</f>
        <v>2333.333333333333</v>
      </c>
      <c r="Y76" s="46">
        <f>SUM(Calculations!$S$14:$S$16)/12</f>
        <v>2333.333333333333</v>
      </c>
      <c r="Z76" s="46">
        <f>SUMIF($B$13:$Y$13,"Yes",B76:Y76)</f>
        <v>30333.33333333333</v>
      </c>
      <c r="AA76" s="46">
        <f>SUM(B76:M76)</f>
        <v>28000</v>
      </c>
      <c r="AB76" s="46">
        <f>SUM(B76:Y76)</f>
        <v>56000.00000000001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1909.386213700248</v>
      </c>
      <c r="C81" s="46">
        <f>(SUM($AA$18:$AA$29)-SUM($AA$36,$AA$42,$AA$48,$AA$54,$AA$60,$AA$66,$AA$72:$AA$79))*Parameters!$B$37/12</f>
        <v>1909.386213700248</v>
      </c>
      <c r="D81" s="46">
        <f>(SUM($AA$18:$AA$29)-SUM($AA$36,$AA$42,$AA$48,$AA$54,$AA$60,$AA$66,$AA$72:$AA$79))*Parameters!$B$37/12</f>
        <v>1909.386213700248</v>
      </c>
      <c r="E81" s="46">
        <f>(SUM($AA$18:$AA$29)-SUM($AA$36,$AA$42,$AA$48,$AA$54,$AA$60,$AA$66,$AA$72:$AA$79))*Parameters!$B$37/12</f>
        <v>1909.386213700248</v>
      </c>
      <c r="F81" s="46">
        <f>(SUM($AA$18:$AA$29)-SUM($AA$36,$AA$42,$AA$48,$AA$54,$AA$60,$AA$66,$AA$72:$AA$79))*Parameters!$B$37/12</f>
        <v>1909.386213700248</v>
      </c>
      <c r="G81" s="46">
        <f>(SUM($AA$18:$AA$29)-SUM($AA$36,$AA$42,$AA$48,$AA$54,$AA$60,$AA$66,$AA$72:$AA$79))*Parameters!$B$37/12</f>
        <v>1909.386213700248</v>
      </c>
      <c r="H81" s="46">
        <f>(SUM($AA$18:$AA$29)-SUM($AA$36,$AA$42,$AA$48,$AA$54,$AA$60,$AA$66,$AA$72:$AA$79))*Parameters!$B$37/12</f>
        <v>1909.386213700248</v>
      </c>
      <c r="I81" s="46">
        <f>(SUM($AA$18:$AA$29)-SUM($AA$36,$AA$42,$AA$48,$AA$54,$AA$60,$AA$66,$AA$72:$AA$79))*Parameters!$B$37/12</f>
        <v>1909.386213700248</v>
      </c>
      <c r="J81" s="46">
        <f>(SUM($AA$18:$AA$29)-SUM($AA$36,$AA$42,$AA$48,$AA$54,$AA$60,$AA$66,$AA$72:$AA$79))*Parameters!$B$37/12</f>
        <v>1909.386213700248</v>
      </c>
      <c r="K81" s="46">
        <f>(SUM($AA$18:$AA$29)-SUM($AA$36,$AA$42,$AA$48,$AA$54,$AA$60,$AA$66,$AA$72:$AA$79))*Parameters!$B$37/12</f>
        <v>1909.386213700248</v>
      </c>
      <c r="L81" s="46">
        <f>(SUM($AA$18:$AA$29)-SUM($AA$36,$AA$42,$AA$48,$AA$54,$AA$60,$AA$66,$AA$72:$AA$79))*Parameters!$B$37/12</f>
        <v>1909.386213700248</v>
      </c>
      <c r="M81" s="46">
        <f>(SUM($AA$18:$AA$29)-SUM($AA$36,$AA$42,$AA$48,$AA$54,$AA$60,$AA$66,$AA$72:$AA$79))*Parameters!$B$37/12</f>
        <v>1909.386213700248</v>
      </c>
      <c r="N81" s="46">
        <f>(SUM($AA$18:$AA$29)-SUM($AA$36,$AA$42,$AA$48,$AA$54,$AA$60,$AA$66,$AA$72:$AA$79))*Parameters!$B$37/12</f>
        <v>1909.386213700248</v>
      </c>
      <c r="O81" s="46">
        <f>(SUM($AA$18:$AA$29)-SUM($AA$36,$AA$42,$AA$48,$AA$54,$AA$60,$AA$66,$AA$72:$AA$79))*Parameters!$B$37/12</f>
        <v>1909.386213700248</v>
      </c>
      <c r="P81" s="46">
        <f>(SUM($AA$18:$AA$29)-SUM($AA$36,$AA$42,$AA$48,$AA$54,$AA$60,$AA$66,$AA$72:$AA$79))*Parameters!$B$37/12</f>
        <v>1909.386213700248</v>
      </c>
      <c r="Q81" s="46">
        <f>(SUM($AA$18:$AA$29)-SUM($AA$36,$AA$42,$AA$48,$AA$54,$AA$60,$AA$66,$AA$72:$AA$79))*Parameters!$B$37/12</f>
        <v>1909.386213700248</v>
      </c>
      <c r="R81" s="46">
        <f>(SUM($AA$18:$AA$29)-SUM($AA$36,$AA$42,$AA$48,$AA$54,$AA$60,$AA$66,$AA$72:$AA$79))*Parameters!$B$37/12</f>
        <v>1909.386213700248</v>
      </c>
      <c r="S81" s="46">
        <f>(SUM($AA$18:$AA$29)-SUM($AA$36,$AA$42,$AA$48,$AA$54,$AA$60,$AA$66,$AA$72:$AA$79))*Parameters!$B$37/12</f>
        <v>1909.386213700248</v>
      </c>
      <c r="T81" s="46">
        <f>(SUM($AA$18:$AA$29)-SUM($AA$36,$AA$42,$AA$48,$AA$54,$AA$60,$AA$66,$AA$72:$AA$79))*Parameters!$B$37/12</f>
        <v>1909.386213700248</v>
      </c>
      <c r="U81" s="46">
        <f>(SUM($AA$18:$AA$29)-SUM($AA$36,$AA$42,$AA$48,$AA$54,$AA$60,$AA$66,$AA$72:$AA$79))*Parameters!$B$37/12</f>
        <v>1909.386213700248</v>
      </c>
      <c r="V81" s="46">
        <f>(SUM($AA$18:$AA$29)-SUM($AA$36,$AA$42,$AA$48,$AA$54,$AA$60,$AA$66,$AA$72:$AA$79))*Parameters!$B$37/12</f>
        <v>1909.386213700248</v>
      </c>
      <c r="W81" s="46">
        <f>(SUM($AA$18:$AA$29)-SUM($AA$36,$AA$42,$AA$48,$AA$54,$AA$60,$AA$66,$AA$72:$AA$79))*Parameters!$B$37/12</f>
        <v>1909.386213700248</v>
      </c>
      <c r="X81" s="46">
        <f>(SUM($AA$18:$AA$29)-SUM($AA$36,$AA$42,$AA$48,$AA$54,$AA$60,$AA$66,$AA$72:$AA$79))*Parameters!$B$37/12</f>
        <v>1909.386213700248</v>
      </c>
      <c r="Y81" s="46">
        <f>(SUM($AA$18:$AA$29)-SUM($AA$36,$AA$42,$AA$48,$AA$54,$AA$60,$AA$66,$AA$72:$AA$79))*Parameters!$B$37/12</f>
        <v>1909.386213700248</v>
      </c>
      <c r="Z81" s="46">
        <f>SUMIF($B$13:$Y$13,"Yes",B81:Y81)</f>
        <v>24822.02077810322</v>
      </c>
      <c r="AA81" s="46">
        <f>SUM(B81:M81)</f>
        <v>22912.63456440298</v>
      </c>
      <c r="AB81" s="46">
        <f>SUM(B81:Y81)</f>
        <v>45825.26912880597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98492.71954703359</v>
      </c>
      <c r="C88" s="19">
        <f>SUM(C72:C82,C66,C60,C54,C48,C42,C36)</f>
        <v>213997.0052613193</v>
      </c>
      <c r="D88" s="19">
        <f>SUM(D72:D82,D66,D60,D54,D48,D42,D36)</f>
        <v>144907.0052613193</v>
      </c>
      <c r="E88" s="19">
        <f>SUM(E72:E82,E66,E60,E54,E48,E42,E36)</f>
        <v>144907.0052613193</v>
      </c>
      <c r="F88" s="19">
        <f>SUM(F72:F82,F66,F60,F54,F48,F42,F36)</f>
        <v>144907.0052613193</v>
      </c>
      <c r="G88" s="19">
        <f>SUM(G72:G82,G66,G60,G54,G48,G42,G36)</f>
        <v>144907.0052613193</v>
      </c>
      <c r="H88" s="19">
        <f>SUM(H72:H82,H66,H60,H54,H48,H42,H36)</f>
        <v>144907.0052613193</v>
      </c>
      <c r="I88" s="19">
        <f>SUM(I72:I82,I66,I60,I54,I48,I42,I36)</f>
        <v>238767.228878247</v>
      </c>
      <c r="J88" s="19">
        <f>SUM(J72:J82,J66,J60,J54,J48,J42,J36)</f>
        <v>98492.71954703359</v>
      </c>
      <c r="K88" s="19">
        <f>SUM(K72:K82,K66,K60,K54,K48,K42,K36)</f>
        <v>98492.71954703359</v>
      </c>
      <c r="L88" s="19">
        <f>SUM(L72:L82,L66,L60,L54,L48,L42,L36)</f>
        <v>98492.71954703359</v>
      </c>
      <c r="M88" s="19">
        <f>SUM(M72:M82,M66,M60,M54,M48,M42,M36)</f>
        <v>98492.71954703359</v>
      </c>
      <c r="N88" s="19">
        <f>SUM(N72:N82,N66,N60,N54,N48,N42,N36)</f>
        <v>98492.71954703359</v>
      </c>
      <c r="O88" s="19">
        <f>SUM(O72:O82,O66,O60,O54,O48,O42,O36)</f>
        <v>213997.0052613193</v>
      </c>
      <c r="P88" s="19">
        <f>SUM(P72:P82,P66,P60,P54,P48,P42,P36)</f>
        <v>144907.0052613193</v>
      </c>
      <c r="Q88" s="19">
        <f>SUM(Q72:Q82,Q66,Q60,Q54,Q48,Q42,Q36)</f>
        <v>144907.0052613193</v>
      </c>
      <c r="R88" s="19">
        <f>SUM(R72:R82,R66,R60,R54,R48,R42,R36)</f>
        <v>144907.0052613193</v>
      </c>
      <c r="S88" s="19">
        <f>SUM(S72:S82,S66,S60,S54,S48,S42,S36)</f>
        <v>144907.0052613193</v>
      </c>
      <c r="T88" s="19">
        <f>SUM(T72:T82,T66,T60,T54,T48,T42,T36)</f>
        <v>144907.0052613193</v>
      </c>
      <c r="U88" s="19">
        <f>SUM(U72:U82,U66,U60,U54,U48,U42,U36)</f>
        <v>238767.228878247</v>
      </c>
      <c r="V88" s="19">
        <f>SUM(V72:V82,V66,V60,V54,V48,V42,V36)</f>
        <v>98492.71954703359</v>
      </c>
      <c r="W88" s="19">
        <f>SUM(W72:W82,W66,W60,W54,W48,W42,W36)</f>
        <v>98492.71954703359</v>
      </c>
      <c r="X88" s="19">
        <f>SUM(X72:X82,X66,X60,X54,X48,X42,X36)</f>
        <v>98492.71954703359</v>
      </c>
      <c r="Y88" s="19">
        <f>SUM(Y72:Y82,Y66,Y60,Y54,Y48,Y42,Y36)</f>
        <v>98492.71954703359</v>
      </c>
      <c r="Z88" s="19">
        <f>SUMIF($B$13:$Y$13,"Yes",B88:Y88)</f>
        <v>1768255.577728364</v>
      </c>
      <c r="AA88" s="19">
        <f>SUM(B88:M88)</f>
        <v>1669762.85818133</v>
      </c>
      <c r="AB88" s="19">
        <f>SUM(B88:Y88)</f>
        <v>3339525.716362662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380000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9625000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850000</v>
      </c>
    </row>
    <row r="101" spans="1:30" customHeight="1" ht="15.75">
      <c r="A101" s="1" t="s">
        <v>67</v>
      </c>
      <c r="B101" s="19">
        <f>SUM(B94:B100)</f>
        <v>14590000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15</v>
      </c>
      <c r="D8" s="16"/>
      <c r="E8" s="147" t="s">
        <v>90</v>
      </c>
      <c r="F8" s="149" t="s">
        <v>95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10000</v>
      </c>
    </row>
    <row r="31" spans="1:48">
      <c r="A31" s="5" t="s">
        <v>118</v>
      </c>
      <c r="B31" s="158">
        <v>2000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1200000</v>
      </c>
    </row>
    <row r="47" spans="1:48" customHeight="1" ht="30">
      <c r="A47" s="57" t="s">
        <v>133</v>
      </c>
      <c r="B47" s="161">
        <v>380000</v>
      </c>
    </row>
    <row r="48" spans="1:48" customHeight="1" ht="30">
      <c r="A48" s="57" t="s">
        <v>134</v>
      </c>
      <c r="B48" s="161">
        <v>850000</v>
      </c>
    </row>
    <row r="49" spans="1:48" customHeight="1" ht="30">
      <c r="A49" s="57" t="s">
        <v>135</v>
      </c>
      <c r="B49" s="161">
        <v>35000</v>
      </c>
    </row>
    <row r="50" spans="1:48">
      <c r="A50" s="43"/>
      <c r="B50" s="36"/>
    </row>
    <row r="51" spans="1:48">
      <c r="A51" s="58" t="s">
        <v>136</v>
      </c>
      <c r="B51" s="161">
        <v>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48750</v>
      </c>
      <c r="C66" s="163">
        <v>35200</v>
      </c>
      <c r="D66" s="49">
        <f>INDEX(Parameters!$D$79:$D$90,MATCH(Inputs!A66,Parameters!$C$79:$C$90,0))</f>
        <v>4</v>
      </c>
    </row>
    <row r="67" spans="1:48">
      <c r="A67" s="143" t="s">
        <v>148</v>
      </c>
      <c r="B67" s="157">
        <v>42284</v>
      </c>
      <c r="C67" s="165">
        <v>38523</v>
      </c>
      <c r="D67" s="49">
        <f>INDEX(Parameters!$D$79:$D$90,MATCH(Inputs!A67,Parameters!$C$79:$C$90,0))</f>
        <v>5</v>
      </c>
    </row>
    <row r="68" spans="1:48">
      <c r="A68" s="143" t="s">
        <v>149</v>
      </c>
      <c r="B68" s="157">
        <v>42820</v>
      </c>
      <c r="C68" s="165">
        <v>35810</v>
      </c>
      <c r="D68" s="49">
        <f>INDEX(Parameters!$D$79:$D$90,MATCH(Inputs!A68,Parameters!$C$79:$C$90,0))</f>
        <v>6</v>
      </c>
    </row>
    <row r="69" spans="1:48">
      <c r="A69" s="143" t="s">
        <v>150</v>
      </c>
      <c r="B69" s="157">
        <v>98361</v>
      </c>
      <c r="C69" s="165">
        <v>85321</v>
      </c>
      <c r="D69" s="49">
        <f>INDEX(Parameters!$D$79:$D$90,MATCH(Inputs!A69,Parameters!$C$79:$C$90,0))</f>
        <v>7</v>
      </c>
    </row>
    <row r="70" spans="1:48">
      <c r="A70" s="143" t="s">
        <v>151</v>
      </c>
      <c r="B70" s="157">
        <v>1035432</v>
      </c>
      <c r="C70" s="165">
        <v>52310</v>
      </c>
      <c r="D70" s="49">
        <f>INDEX(Parameters!$D$79:$D$90,MATCH(Inputs!A70,Parameters!$C$79:$C$90,0))</f>
        <v>8</v>
      </c>
    </row>
    <row r="71" spans="1:48">
      <c r="A71" s="144" t="s">
        <v>152</v>
      </c>
      <c r="B71" s="158">
        <v>2407080</v>
      </c>
      <c r="C71" s="167">
        <v>32580</v>
      </c>
      <c r="D71" s="49">
        <f>INDEX(Parameters!$D$79:$D$90,MATCH(Inputs!A71,Parameters!$C$79:$C$90,0))</f>
        <v>9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Wheat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31991.15725927157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27.3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1659381.327038416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77000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285000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42856</v>
      </c>
      <c r="D5" s="39">
        <f>IFERROR(DATE(YEAR(B5),MONTH(B5)+T5,DAY(B5)),"")</f>
        <v>42948</v>
      </c>
      <c r="E5" s="39">
        <f>IFERROR(IF($S5=0,"",IF($S5=2,DATE(YEAR(B5),MONTH(B5)+6,DAY(B5)),IF($S5=1,B5,""))),"")</f>
        <v>42767</v>
      </c>
      <c r="F5" s="39">
        <f>IFERROR(IF($S5=0,"",IF($S5=2,DATE(YEAR(C5),MONTH(C5)+6,DAY(C5)),IF($S5=1,C5,""))),"")</f>
        <v>42856</v>
      </c>
      <c r="G5" s="39">
        <f>IFERROR(IF($S5=0,"",IF($S5=2,DATE(YEAR(D5),MONTH(D5)+6,DAY(D5)),IF($S5=1,D5,""))),"")</f>
        <v>42948</v>
      </c>
      <c r="H5" s="16">
        <f>Inputs!C8</f>
        <v>15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1360.293095897503</v>
      </c>
      <c r="M5" s="30">
        <f>L5*H5</f>
        <v>20404.39643846255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0.2</v>
      </c>
      <c r="Q5" s="34">
        <f>M5*O5*(1-N5)*MAX(S5,1)</f>
        <v>407067.7089473279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4545.000000000001</v>
      </c>
      <c r="W5" s="34">
        <f>IFERROR(J5*H5*Parameters!$B$35+IF(OR(Inputs!F8=Parameters!$E$78,Inputs!F8=Parameters!$E$80),Calculations!H5*Parameters!$B$36,0),0)</f>
        <v>30000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46930.11180846387</v>
      </c>
      <c r="AB5" s="34">
        <f>H5*IFERROR(INDEX(Parameters!$A$3:$AI$17,MATCH(Calculations!A5,Parameters!$A$3:$A$17,0),MATCH(Parameters!$O$3,Parameters!$A$3:$AI$3,0)),AVERAGE(Parameters!$O$4:$O$17))*(1-Inputs!$B$25/100)</f>
        <v>171000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138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42770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42767</v>
      </c>
      <c r="F33" t="s">
        <v>158</v>
      </c>
      <c r="G33" s="128">
        <f>IF(Inputs!B79="","",DATE(YEAR(Inputs!B79),MONTH(Inputs!B79),DAY(Inputs!B79)))</f>
        <v>42739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42798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42795</v>
      </c>
      <c r="F34" t="s">
        <v>160</v>
      </c>
      <c r="G34" s="128">
        <f>IF(Inputs!B80="","",DATE(YEAR(Inputs!B80),MONTH(Inputs!B80),DAY(Inputs!B80)))</f>
        <v>42770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42829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42826</v>
      </c>
      <c r="F35" t="s">
        <v>162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42859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42856</v>
      </c>
      <c r="F36" t="s">
        <v>163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42890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42887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42920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42917</v>
      </c>
      <c r="F38" t="s">
        <v>225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42951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42948</v>
      </c>
      <c r="F39" t="s">
        <v>168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42982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42979</v>
      </c>
      <c r="F40" t="s">
        <v>169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43012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43009</v>
      </c>
      <c r="F41" t="s">
        <v>226</v>
      </c>
      <c r="G41" s="73">
        <f>IFERROR(G35/(G38-G39),"")</f>
        <v>25000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43043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43040</v>
      </c>
      <c r="F42" t="s">
        <v>227</v>
      </c>
      <c r="G42" s="73">
        <f>IFERROR(G35*G36*IF(G37="Monthly",G38/12,IF(G37="Fortnightly",G38/(365/14),G38/(365/28)))/(G38-G40),"")</f>
        <v>4500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43073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43104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312</v>
      </c>
      <c r="H52" s="12" t="s">
        <v>129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111</v>
      </c>
      <c r="H77" s="12" t="s">
        <v>129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95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