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<sst xmlns="http://schemas.openxmlformats.org/spreadsheetml/2006/main" uniqueCount="365">
  <si>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</si>
  <si>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</si>
  <si>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</si>
  <si>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</si>
  <si>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</si>
  <si>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</si>
  <si>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</si>
  <si>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</si>
  <si>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</si>
  <si>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</si>
  <si>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</si>
  <si>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</si>
  <si>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</si>
  <si>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</si>
  <si>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</si>
  <si>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</si>
  <si>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</si>
  <si>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</si>
  <si>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</si>
  <si>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</si>
  <si>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</si>
  <si>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</si>
  <si>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</si>
  <si>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</si>
  <si>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</si>
  <si>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</si>
  <si>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</si>
  <si>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</si>
  <si>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</si>
  <si>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</si>
  <si>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</si>
  <si>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</si>
  <si>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</si>
  <si>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</si>
  <si>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</si>
  <si>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</si>
  <si>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</si>
  <si>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</si>
  <si>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</si>
  <si>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</si>
  <si>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</si>
  <si>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</si>
  <si>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</si>
  <si>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</si>
  <si>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</si>
  <si>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</si>
  <si>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</si>
  <si>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</si>
  <si>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</si>
  <si>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</si>
  <si>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</si>
  <si>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</si>
  <si>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</si>
  <si>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</si>
  <si>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</si>
  <si>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</si>
  <si>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</si>
  <si>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</si>
  <si>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</si>
  <si>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</si>
  <si>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</si>
  <si>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</si>
  <si>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</si>
  <si>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</si>
  <si>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</si>
  <si>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</si>
  <si>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</si>
  <si>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</si>
  <si>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</si>
  <si>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</si>
  <si>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</si>
  <si>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</si>
  <si>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</si>
  <si>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</si>
  <si>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</si>
  <si>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</si>
  <si>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</si>
  <si>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</si>
  <si>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</si>
  <si>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</si>
  <si>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</si>
  <si>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</si>
  <si>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</si>
  <si>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</si>
  <si>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</si>
  <si>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</si>
  <si>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</si>
  <si>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</si>
  <si>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</si>
  <si>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</si>
  <si>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</si>
  <si>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Inorganic fertizers</t>
  </si>
  <si>
    <t>Yes</t>
  </si>
  <si>
    <t>Yes using a diesel pump</t>
  </si>
  <si>
    <t>Maize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</si>
  <si>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</si>
  <si>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</si>
  <si>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</si>
  <si>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</si>
  <si>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</si>
  <si>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</si>
  <si>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</si>
  <si>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</si>
  <si>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</si>
  <si>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</si>
  <si>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</si>
  <si>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</si>
  <si>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</si>
  <si>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</si>
  <si>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</si>
  <si>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</si>
  <si>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</si>
  <si>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</si>
  <si>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</si>
  <si>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</si>
  <si>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</si>
  <si>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</si>
  <si>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</si>
  <si>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</si>
  <si>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</si>
  <si>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</si>
  <si>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</si>
  <si>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</si>
  <si>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</si>
  <si>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</si>
  <si>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December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</si>
  <si>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</si>
  <si>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</si>
  <si>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</si>
  <si>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</si>
  <si>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</si>
  <si>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</si>
  <si>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</si>
  <si>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</si>
  <si>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</si>
  <si>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</si>
  <si>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</si>
  <si>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</si>
  <si>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</si>
  <si>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</si>
  <si>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</si>
  <si>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</si>
  <si>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</si>
  <si>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</si>
  <si>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</si>
  <si>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</si>
  <si>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</si>
  <si>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</si>
  <si>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</si>
  <si>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</si>
  <si>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</si>
  <si>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</si>
  <si>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</si>
  <si>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2017/1/4</t>
  </si>
  <si>
    <t>Loan terms</t>
  </si>
  <si>
    <t>Expected disbursement date</t>
  </si>
  <si>
    <t>Expected first repayment date</t>
  </si>
  <si>
    <t>2017/2/4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</si>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</sst>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0.3621421127377897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210420.6865049892</v>
      </c>
    </row>
    <row r="18" spans="1:7">
      <c r="B18" s="1" t="s">
        <v>12</v>
      </c>
      <c r="C18" s="36">
        <f>MIN(Output!B6:M6)</f>
        <v>-5690.038139166078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47931.3917501018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15418.24757511963</v>
      </c>
      <c r="C6" s="51">
        <f>C30-C88</f>
        <v>16024.24757511963</v>
      </c>
      <c r="D6" s="51">
        <f>D30-D88</f>
        <v>16024.24757511963</v>
      </c>
      <c r="E6" s="51">
        <f>E30-E88</f>
        <v>15424.24757511963</v>
      </c>
      <c r="F6" s="51">
        <f>F30-F88</f>
        <v>16024.24757511963</v>
      </c>
      <c r="G6" s="51">
        <f>G30-G88</f>
        <v>16024.24757511963</v>
      </c>
      <c r="H6" s="51">
        <f>H30-H88</f>
        <v>47931.3917501018</v>
      </c>
      <c r="I6" s="51">
        <f>I30-I88</f>
        <v>18309.96186083392</v>
      </c>
      <c r="J6" s="51">
        <f>J30-J88</f>
        <v>18309.96186083392</v>
      </c>
      <c r="K6" s="51">
        <f>K30-K88</f>
        <v>18309.96186083392</v>
      </c>
      <c r="L6" s="51">
        <f>L30-L88</f>
        <v>18309.96186083392</v>
      </c>
      <c r="M6" s="51">
        <f>M30-M88</f>
        <v>-5690.038139166078</v>
      </c>
      <c r="N6" s="51">
        <f>N30-N88</f>
        <v>15418.24757511963</v>
      </c>
      <c r="O6" s="51">
        <f>O30-O88</f>
        <v>16024.24757511963</v>
      </c>
      <c r="P6" s="51">
        <f>P30-P88</f>
        <v>16024.24757511963</v>
      </c>
      <c r="Q6" s="51">
        <f>Q30-Q88</f>
        <v>15424.24757511963</v>
      </c>
      <c r="R6" s="51">
        <f>R30-R88</f>
        <v>16024.24757511963</v>
      </c>
      <c r="S6" s="51">
        <f>S30-S88</f>
        <v>16024.24757511963</v>
      </c>
      <c r="T6" s="51">
        <f>T30-T88</f>
        <v>47931.3917501018</v>
      </c>
      <c r="U6" s="51">
        <f>U30-U88</f>
        <v>18309.96186083392</v>
      </c>
      <c r="V6" s="51">
        <f>V30-V88</f>
        <v>18309.96186083392</v>
      </c>
      <c r="W6" s="51">
        <f>W30-W88</f>
        <v>18309.96186083392</v>
      </c>
      <c r="X6" s="51">
        <f>X30-X88</f>
        <v>18309.96186083392</v>
      </c>
      <c r="Y6" s="51">
        <f>Y30-Y88</f>
        <v>-5690.038139166078</v>
      </c>
      <c r="Z6" s="51">
        <f>SUMIF($B$13:$Y$13,"Yes",B6:Y6)</f>
        <v>225838.9340801089</v>
      </c>
      <c r="AA6" s="51">
        <f>AA30-AA88</f>
        <v>210420.6865049892</v>
      </c>
      <c r="AB6" s="51">
        <f>AB30-AB88</f>
        <v>420841.3730099781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7000</v>
      </c>
      <c r="C7" s="80">
        <f>IF(ISERROR(VLOOKUP(MONTH(C5),Inputs!$D$66:$D$71,1,0)),"",INDEX(Inputs!$B$66:$B$71,MATCH(MONTH(Output!C5),Inputs!$D$66:$D$71,0))-INDEX(Inputs!$C$66:$C$71,MATCH(MONTH(Output!C5),Inputs!$D$66:$D$71,0)))</f>
        <v>25000</v>
      </c>
      <c r="D7" s="80">
        <f>IF(ISERROR(VLOOKUP(MONTH(D5),Inputs!$D$66:$D$71,1,0)),"",INDEX(Inputs!$B$66:$B$71,MATCH(MONTH(Output!D5),Inputs!$D$66:$D$71,0))-INDEX(Inputs!$C$66:$C$71,MATCH(MONTH(Output!D5),Inputs!$D$66:$D$71,0)))</f>
        <v>30000</v>
      </c>
      <c r="E7" s="80">
        <f>IF(ISERROR(VLOOKUP(MONTH(E5),Inputs!$D$66:$D$71,1,0)),"",INDEX(Inputs!$B$66:$B$71,MATCH(MONTH(Output!E5),Inputs!$D$66:$D$71,0))-INDEX(Inputs!$C$66:$C$71,MATCH(MONTH(Output!E5),Inputs!$D$66:$D$71,0)))</f>
        <v>30000</v>
      </c>
      <c r="F7" s="80">
        <f>IF(ISERROR(VLOOKUP(MONTH(F5),Inputs!$D$66:$D$71,1,0)),"",INDEX(Inputs!$B$66:$B$71,MATCH(MONTH(Output!F5),Inputs!$D$66:$D$71,0))-INDEX(Inputs!$C$66:$C$71,MATCH(MONTH(Output!F5),Inputs!$D$66:$D$71,0)))</f>
        <v>20000</v>
      </c>
      <c r="G7" s="80">
        <f>IF(ISERROR(VLOOKUP(MONTH(G5),Inputs!$D$66:$D$71,1,0)),"",INDEX(Inputs!$B$66:$B$71,MATCH(MONTH(Output!G5),Inputs!$D$66:$D$71,0))-INDEX(Inputs!$C$66:$C$71,MATCH(MONTH(Output!G5),Inputs!$D$66:$D$71,0)))</f>
        <v>25000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7000</v>
      </c>
      <c r="O7" s="80">
        <f>IF(ISERROR(VLOOKUP(MONTH(O5),Inputs!$D$66:$D$71,1,0)),"",INDEX(Inputs!$B$66:$B$71,MATCH(MONTH(Output!O5),Inputs!$D$66:$D$71,0))-INDEX(Inputs!$C$66:$C$71,MATCH(MONTH(Output!O5),Inputs!$D$66:$D$71,0)))</f>
        <v>25000</v>
      </c>
      <c r="P7" s="80">
        <f>IF(ISERROR(VLOOKUP(MONTH(P5),Inputs!$D$66:$D$71,1,0)),"",INDEX(Inputs!$B$66:$B$71,MATCH(MONTH(Output!P5),Inputs!$D$66:$D$71,0))-INDEX(Inputs!$C$66:$C$71,MATCH(MONTH(Output!P5),Inputs!$D$66:$D$71,0)))</f>
        <v>30000</v>
      </c>
      <c r="Q7" s="80">
        <f>IF(ISERROR(VLOOKUP(MONTH(Q5),Inputs!$D$66:$D$71,1,0)),"",INDEX(Inputs!$B$66:$B$71,MATCH(MONTH(Output!Q5),Inputs!$D$66:$D$71,0))-INDEX(Inputs!$C$66:$C$71,MATCH(MONTH(Output!Q5),Inputs!$D$66:$D$71,0)))</f>
        <v>30000</v>
      </c>
      <c r="R7" s="80">
        <f>IF(ISERROR(VLOOKUP(MONTH(R5),Inputs!$D$66:$D$71,1,0)),"",INDEX(Inputs!$B$66:$B$71,MATCH(MONTH(Output!R5),Inputs!$D$66:$D$71,0))-INDEX(Inputs!$C$66:$C$71,MATCH(MONTH(Output!R5),Inputs!$D$66:$D$71,0)))</f>
        <v>20000</v>
      </c>
      <c r="S7" s="80">
        <f>IF(ISERROR(VLOOKUP(MONTH(S5),Inputs!$D$66:$D$71,1,0)),"",INDEX(Inputs!$B$66:$B$71,MATCH(MONTH(Output!S5),Inputs!$D$66:$D$71,0))-INDEX(Inputs!$C$66:$C$71,MATCH(MONTH(Output!S5),Inputs!$D$66:$D$71,0)))</f>
        <v>25000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115418.2475751196</v>
      </c>
      <c r="C11" s="80">
        <f>C6+C9-C10</f>
        <v>14524.24757511963</v>
      </c>
      <c r="D11" s="80">
        <f>D6+D9-D10</f>
        <v>14524.24757511963</v>
      </c>
      <c r="E11" s="80">
        <f>E6+E9-E10</f>
        <v>13924.24757511963</v>
      </c>
      <c r="F11" s="80">
        <f>F6+F9-F10</f>
        <v>14524.24757511963</v>
      </c>
      <c r="G11" s="80">
        <f>G6+G9-G10</f>
        <v>14524.24757511963</v>
      </c>
      <c r="H11" s="80">
        <f>H6+H9-H10</f>
        <v>32145.67746438751</v>
      </c>
      <c r="I11" s="80">
        <f>I6+I9-I10</f>
        <v>2524.247575119636</v>
      </c>
      <c r="J11" s="80">
        <f>J6+J9-J10</f>
        <v>2524.247575119636</v>
      </c>
      <c r="K11" s="80">
        <f>K6+K9-K10</f>
        <v>2524.247575119636</v>
      </c>
      <c r="L11" s="80">
        <f>L6+L9-L10</f>
        <v>2524.247575119636</v>
      </c>
      <c r="M11" s="80">
        <f>M6+M9-M10</f>
        <v>-21475.75242488036</v>
      </c>
      <c r="N11" s="80">
        <f>N6+N9-N10</f>
        <v>-367.4667105946537</v>
      </c>
      <c r="O11" s="80">
        <f>O6+O9-O10</f>
        <v>16024.24757511963</v>
      </c>
      <c r="P11" s="80">
        <f>P6+P9-P10</f>
        <v>16024.24757511963</v>
      </c>
      <c r="Q11" s="80">
        <f>Q6+Q9-Q10</f>
        <v>15424.24757511963</v>
      </c>
      <c r="R11" s="80">
        <f>R6+R9-R10</f>
        <v>16024.24757511963</v>
      </c>
      <c r="S11" s="80">
        <f>S6+S9-S10</f>
        <v>16024.24757511963</v>
      </c>
      <c r="T11" s="80">
        <f>T6+T9-T10</f>
        <v>47931.3917501018</v>
      </c>
      <c r="U11" s="80">
        <f>U6+U9-U10</f>
        <v>18309.96186083392</v>
      </c>
      <c r="V11" s="80">
        <f>V6+V9-V10</f>
        <v>18309.96186083392</v>
      </c>
      <c r="W11" s="80">
        <f>W6+W9-W10</f>
        <v>18309.96186083392</v>
      </c>
      <c r="X11" s="80">
        <f>X6+X9-X10</f>
        <v>18309.96186083392</v>
      </c>
      <c r="Y11" s="80">
        <f>Y6+Y9-Y10</f>
        <v>-5690.038139166078</v>
      </c>
      <c r="Z11" s="85">
        <f>SUMIF($B$13:$Y$13,"Yes",B11:Y11)</f>
        <v>207838.9340801088</v>
      </c>
      <c r="AA11" s="80">
        <f>SUM(B11:M11)</f>
        <v>208206.4007907035</v>
      </c>
      <c r="AB11" s="46">
        <f>SUM(B11:Y11)</f>
        <v>402841.3730099784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0.0114118344929887</v>
      </c>
      <c r="D12" s="82">
        <f>IF(D13="Yes",IF(SUM($B$10:D10)/(SUM($B$6:D6)+SUM($B$9:D9))&lt;0,999.99,SUM($B$10:D10)/(SUM($B$6:D6)+SUM($B$9:D9))),"")</f>
        <v>0.02034356997758593</v>
      </c>
      <c r="E12" s="82">
        <f>IF(E13="Yes",IF(SUM($B$10:E10)/(SUM($B$6:E6)+SUM($B$9:E9))&lt;0,999.99,SUM($B$10:E10)/(SUM($B$6:E6)+SUM($B$9:E9))),"")</f>
        <v>0.02762583732653985</v>
      </c>
      <c r="F12" s="82">
        <f>IF(F13="Yes",IF(SUM($B$10:F10)/(SUM($B$6:F6)+SUM($B$9:F9))&lt;0,999.99,SUM($B$10:F10)/(SUM($B$6:F6)+SUM($B$9:F9))),"")</f>
        <v>0.03353543315394896</v>
      </c>
      <c r="G12" s="82">
        <f>IF(G13="Yes",IF(SUM($B$10:G10)/(SUM($B$6:G6)+SUM($B$9:G9))&lt;0,999.99,SUM($B$10:G10)/(SUM($B$6:G6)+SUM($B$9:G9))),"")</f>
        <v>0.03847347797527689</v>
      </c>
      <c r="H12" s="82">
        <f>IF(H13="Yes",IF(SUM($B$10:H10)/(SUM($B$6:H6)+SUM($B$9:H9))&lt;0,999.99,SUM($B$10:H10)/(SUM($B$6:H6)+SUM($B$9:H9))),"")</f>
        <v>0.09587693079586615</v>
      </c>
      <c r="I12" s="82">
        <f>IF(I13="Yes",IF(SUM($B$10:I10)/(SUM($B$6:I6)+SUM($B$9:I9))&lt;0,999.99,SUM($B$10:I10)/(SUM($B$6:I6)+SUM($B$9:I9))),"")</f>
        <v>0.1495953099461691</v>
      </c>
      <c r="J12" s="82">
        <f>IF(J13="Yes",IF(SUM($B$10:J10)/(SUM($B$6:J6)+SUM($B$9:J9))&lt;0,999.99,SUM($B$10:J10)/(SUM($B$6:J6)+SUM($B$9:J9))),"")</f>
        <v>0.1962753073664011</v>
      </c>
      <c r="K12" s="82">
        <f>IF(K13="Yes",IF(SUM($B$10:K10)/(SUM($B$6:K6)+SUM($B$9:K9))&lt;0,999.99,SUM($B$10:K10)/(SUM($B$6:K6)+SUM($B$9:K9))),"")</f>
        <v>0.2372151652084807</v>
      </c>
      <c r="L12" s="82">
        <f>IF(L13="Yes",IF(SUM($B$10:L10)/(SUM($B$6:L6)+SUM($B$9:L9))&lt;0,999.99,SUM($B$10:L10)/(SUM($B$6:L6)+SUM($B$9:L9))),"")</f>
        <v>0.2734123352691174</v>
      </c>
      <c r="M12" s="82">
        <f>IF(M13="Yes",IF(SUM($B$10:M10)/(SUM($B$6:M6)+SUM($B$9:M9))&lt;0,999.99,SUM($B$10:M10)/(SUM($B$6:M6)+SUM($B$9:M9))),"")</f>
        <v>0.3292766563501653</v>
      </c>
      <c r="N12" s="82">
        <f>IF(N13="Yes",IF(SUM($B$10:N10)/(SUM($B$6:N6)+SUM($B$9:N9))&lt;0,999.99,SUM($B$10:N10)/(SUM($B$6:N6)+SUM($B$9:N9))),"")</f>
        <v>0.3621421127377897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31907.14417498217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31907.14417498217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31907.14417498217</v>
      </c>
      <c r="AA19" s="36">
        <f>SUM(B19:M19)</f>
        <v>31907.14417498217</v>
      </c>
      <c r="AB19" s="36">
        <f>SUM(B19:Y19)</f>
        <v>63814.28834996434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50000</v>
      </c>
      <c r="C30" s="19">
        <f>SUM(C18:C29)</f>
        <v>50000</v>
      </c>
      <c r="D30" s="19">
        <f>SUM(D18:D29)</f>
        <v>50000</v>
      </c>
      <c r="E30" s="19">
        <f>SUM(E18:E29)</f>
        <v>50000</v>
      </c>
      <c r="F30" s="19">
        <f>SUM(F18:F29)</f>
        <v>50000</v>
      </c>
      <c r="G30" s="19">
        <f>SUM(G18:G29)</f>
        <v>50000</v>
      </c>
      <c r="H30" s="19">
        <f>SUM(H18:H29)</f>
        <v>81907.14417498217</v>
      </c>
      <c r="I30" s="19">
        <f>SUM(I18:I29)</f>
        <v>50000</v>
      </c>
      <c r="J30" s="19">
        <f>SUM(J18:J29)</f>
        <v>50000</v>
      </c>
      <c r="K30" s="19">
        <f>SUM(K18:K29)</f>
        <v>50000</v>
      </c>
      <c r="L30" s="19">
        <f>SUM(L18:L29)</f>
        <v>50000</v>
      </c>
      <c r="M30" s="19">
        <f>SUM(M18:M29)</f>
        <v>50000</v>
      </c>
      <c r="N30" s="19">
        <f>SUM(N18:N29)</f>
        <v>50000</v>
      </c>
      <c r="O30" s="19">
        <f>SUM(O18:O29)</f>
        <v>50000</v>
      </c>
      <c r="P30" s="19">
        <f>SUM(P18:P29)</f>
        <v>50000</v>
      </c>
      <c r="Q30" s="19">
        <f>SUM(Q18:Q29)</f>
        <v>50000</v>
      </c>
      <c r="R30" s="19">
        <f>SUM(R18:R29)</f>
        <v>50000</v>
      </c>
      <c r="S30" s="19">
        <f>SUM(S18:S29)</f>
        <v>50000</v>
      </c>
      <c r="T30" s="19">
        <f>SUM(T18:T29)</f>
        <v>81907.14417498217</v>
      </c>
      <c r="U30" s="19">
        <f>SUM(U18:U29)</f>
        <v>50000</v>
      </c>
      <c r="V30" s="19">
        <f>SUM(V18:V29)</f>
        <v>50000</v>
      </c>
      <c r="W30" s="19">
        <f>SUM(W18:W29)</f>
        <v>50000</v>
      </c>
      <c r="X30" s="19">
        <f>SUM(X18:X29)</f>
        <v>50000</v>
      </c>
      <c r="Y30" s="19">
        <f>SUM(Y18:Y29)</f>
        <v>50000</v>
      </c>
      <c r="Z30" s="19">
        <f>SUMIF($B$13:$Y$13,"Yes",B30:Y30)</f>
        <v>681907.1441749821</v>
      </c>
      <c r="AA30" s="19">
        <f>SUM(B30:M30)</f>
        <v>631907.1441749821</v>
      </c>
      <c r="AB30" s="19">
        <f>SUM(B30:Y30)</f>
        <v>1263814.288349964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606.0000000000001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606.0000000000001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606.0000000000001</v>
      </c>
      <c r="AB42" s="36">
        <f>SUM(B42:Y42)</f>
        <v>1212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606.0000000000001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606.0000000000001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</v>
      </c>
      <c r="AA44" s="36">
        <f>SUM(B44:M44)</f>
        <v>606.0000000000001</v>
      </c>
      <c r="AB44" s="36">
        <f>SUM(B44:Y44)</f>
        <v>1212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600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600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600</v>
      </c>
      <c r="AA48" s="46">
        <f>SUM(B48:M48)</f>
        <v>600</v>
      </c>
      <c r="AB48" s="46">
        <f>SUM(B48:Y48)</f>
        <v>1200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600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600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600</v>
      </c>
      <c r="AA50" s="46">
        <f>SUM(B50:M50)</f>
        <v>600</v>
      </c>
      <c r="AB50" s="46">
        <f>SUM(B50:Y50)</f>
        <v>1200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1428.571428571429</v>
      </c>
      <c r="C60" s="36">
        <f>O60</f>
        <v>1428.571428571429</v>
      </c>
      <c r="D60" s="36">
        <f>P60</f>
        <v>1428.571428571429</v>
      </c>
      <c r="E60" s="36">
        <f>Q60</f>
        <v>1428.571428571429</v>
      </c>
      <c r="F60" s="36">
        <f>R60</f>
        <v>1428.571428571429</v>
      </c>
      <c r="G60" s="36">
        <f>S60</f>
        <v>1428.571428571429</v>
      </c>
      <c r="H60" s="36">
        <f>T60</f>
        <v>1428.571428571429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1428.571428571429</v>
      </c>
      <c r="O60" s="46">
        <f>SUM(O61:O65)</f>
        <v>1428.571428571429</v>
      </c>
      <c r="P60" s="46">
        <f>SUM(P61:P65)</f>
        <v>1428.571428571429</v>
      </c>
      <c r="Q60" s="46">
        <f>SUM(Q61:Q65)</f>
        <v>1428.571428571429</v>
      </c>
      <c r="R60" s="46">
        <f>SUM(R61:R65)</f>
        <v>1428.571428571429</v>
      </c>
      <c r="S60" s="46">
        <f>SUM(S61:S65)</f>
        <v>1428.571428571429</v>
      </c>
      <c r="T60" s="46">
        <f>SUM(T61:T65)</f>
        <v>1428.571428571429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11428.57142857143</v>
      </c>
      <c r="AA60" s="46">
        <f>SUM(B60:M60)</f>
        <v>10000</v>
      </c>
      <c r="AB60" s="46">
        <f>SUM(B60:Y60)</f>
        <v>20000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1428.571428571429</v>
      </c>
      <c r="C62" s="36">
        <f>O62</f>
        <v>1428.571428571429</v>
      </c>
      <c r="D62" s="36">
        <f>P62</f>
        <v>1428.571428571429</v>
      </c>
      <c r="E62" s="36">
        <f>Q62</f>
        <v>1428.571428571429</v>
      </c>
      <c r="F62" s="36">
        <f>R62</f>
        <v>1428.571428571429</v>
      </c>
      <c r="G62" s="36">
        <f>S62</f>
        <v>1428.571428571429</v>
      </c>
      <c r="H62" s="36">
        <f>T62</f>
        <v>1428.571428571429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1428.571428571429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1428.571428571429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1428.571428571429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1428.571428571429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1428.571428571429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1428.571428571429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1428.571428571429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11428.57142857143</v>
      </c>
      <c r="AA62" s="46">
        <f>SUM(B62:M62)</f>
        <v>10000</v>
      </c>
      <c r="AB62" s="46">
        <f>SUM(B62:Y62)</f>
        <v>20000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857.1428571428571</v>
      </c>
      <c r="C66" s="36">
        <f>O66</f>
        <v>857.1428571428571</v>
      </c>
      <c r="D66" s="36">
        <f>P66</f>
        <v>857.1428571428571</v>
      </c>
      <c r="E66" s="36">
        <f>Q66</f>
        <v>857.1428571428571</v>
      </c>
      <c r="F66" s="36">
        <f>R66</f>
        <v>857.1428571428571</v>
      </c>
      <c r="G66" s="36">
        <f>S66</f>
        <v>857.1428571428571</v>
      </c>
      <c r="H66" s="36">
        <f>T66</f>
        <v>857.1428571428571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857.1428571428571</v>
      </c>
      <c r="O66" s="46">
        <f>SUM(O67:O71)</f>
        <v>857.1428571428571</v>
      </c>
      <c r="P66" s="46">
        <f>SUM(P67:P71)</f>
        <v>857.1428571428571</v>
      </c>
      <c r="Q66" s="46">
        <f>SUM(Q67:Q71)</f>
        <v>857.1428571428571</v>
      </c>
      <c r="R66" s="46">
        <f>SUM(R67:R71)</f>
        <v>857.1428571428571</v>
      </c>
      <c r="S66" s="46">
        <f>SUM(S67:S71)</f>
        <v>857.1428571428571</v>
      </c>
      <c r="T66" s="46">
        <f>SUM(T67:T71)</f>
        <v>857.1428571428571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6857.142857142856</v>
      </c>
      <c r="AA66" s="46">
        <f>SUM(B66:M66)</f>
        <v>5999.999999999999</v>
      </c>
      <c r="AB66" s="46">
        <f>SUM(B66:Y66)</f>
        <v>12000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Maize</v>
      </c>
      <c r="B68" s="36">
        <f>N68</f>
        <v>857.1428571428571</v>
      </c>
      <c r="C68" s="36">
        <f>O68</f>
        <v>857.1428571428571</v>
      </c>
      <c r="D68" s="36">
        <f>P68</f>
        <v>857.1428571428571</v>
      </c>
      <c r="E68" s="36">
        <f>Q68</f>
        <v>857.1428571428571</v>
      </c>
      <c r="F68" s="36">
        <f>R68</f>
        <v>857.1428571428571</v>
      </c>
      <c r="G68" s="36">
        <f>S68</f>
        <v>857.1428571428571</v>
      </c>
      <c r="H68" s="36">
        <f>T68</f>
        <v>857.1428571428571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857.1428571428571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857.1428571428571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857.1428571428571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857.1428571428571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857.1428571428571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857.1428571428571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857.1428571428571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6857.142857142856</v>
      </c>
      <c r="AA68" s="46">
        <f>SUM(B68:M68)</f>
        <v>5999.999999999999</v>
      </c>
      <c r="AB68" s="46">
        <f>SUM(B68:Y68)</f>
        <v>12000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24000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24000</v>
      </c>
      <c r="Z72" s="46">
        <f>SUMIF($B$13:$Y$13,"Yes",B72:Y72)</f>
        <v>24000</v>
      </c>
      <c r="AA72" s="46">
        <f>SUM(B72:M72)</f>
        <v>24000</v>
      </c>
      <c r="AB72" s="46">
        <f>SUM(B72:Y72)</f>
        <v>48000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260000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11690.03813916608</v>
      </c>
      <c r="C81" s="46">
        <f>(SUM($AA$18:$AA$29)-SUM($AA$36,$AA$42,$AA$48,$AA$54,$AA$60,$AA$66,$AA$72:$AA$79))*Parameters!$B$37/12</f>
        <v>11690.03813916608</v>
      </c>
      <c r="D81" s="46">
        <f>(SUM($AA$18:$AA$29)-SUM($AA$36,$AA$42,$AA$48,$AA$54,$AA$60,$AA$66,$AA$72:$AA$79))*Parameters!$B$37/12</f>
        <v>11690.03813916608</v>
      </c>
      <c r="E81" s="46">
        <f>(SUM($AA$18:$AA$29)-SUM($AA$36,$AA$42,$AA$48,$AA$54,$AA$60,$AA$66,$AA$72:$AA$79))*Parameters!$B$37/12</f>
        <v>11690.03813916608</v>
      </c>
      <c r="F81" s="46">
        <f>(SUM($AA$18:$AA$29)-SUM($AA$36,$AA$42,$AA$48,$AA$54,$AA$60,$AA$66,$AA$72:$AA$79))*Parameters!$B$37/12</f>
        <v>11690.03813916608</v>
      </c>
      <c r="G81" s="46">
        <f>(SUM($AA$18:$AA$29)-SUM($AA$36,$AA$42,$AA$48,$AA$54,$AA$60,$AA$66,$AA$72:$AA$79))*Parameters!$B$37/12</f>
        <v>11690.03813916608</v>
      </c>
      <c r="H81" s="46">
        <f>(SUM($AA$18:$AA$29)-SUM($AA$36,$AA$42,$AA$48,$AA$54,$AA$60,$AA$66,$AA$72:$AA$79))*Parameters!$B$37/12</f>
        <v>11690.03813916608</v>
      </c>
      <c r="I81" s="46">
        <f>(SUM($AA$18:$AA$29)-SUM($AA$36,$AA$42,$AA$48,$AA$54,$AA$60,$AA$66,$AA$72:$AA$79))*Parameters!$B$37/12</f>
        <v>11690.03813916608</v>
      </c>
      <c r="J81" s="46">
        <f>(SUM($AA$18:$AA$29)-SUM($AA$36,$AA$42,$AA$48,$AA$54,$AA$60,$AA$66,$AA$72:$AA$79))*Parameters!$B$37/12</f>
        <v>11690.03813916608</v>
      </c>
      <c r="K81" s="46">
        <f>(SUM($AA$18:$AA$29)-SUM($AA$36,$AA$42,$AA$48,$AA$54,$AA$60,$AA$66,$AA$72:$AA$79))*Parameters!$B$37/12</f>
        <v>11690.03813916608</v>
      </c>
      <c r="L81" s="46">
        <f>(SUM($AA$18:$AA$29)-SUM($AA$36,$AA$42,$AA$48,$AA$54,$AA$60,$AA$66,$AA$72:$AA$79))*Parameters!$B$37/12</f>
        <v>11690.03813916608</v>
      </c>
      <c r="M81" s="46">
        <f>(SUM($AA$18:$AA$29)-SUM($AA$36,$AA$42,$AA$48,$AA$54,$AA$60,$AA$66,$AA$72:$AA$79))*Parameters!$B$37/12</f>
        <v>11690.03813916608</v>
      </c>
      <c r="N81" s="46">
        <f>(SUM($AA$18:$AA$29)-SUM($AA$36,$AA$42,$AA$48,$AA$54,$AA$60,$AA$66,$AA$72:$AA$79))*Parameters!$B$37/12</f>
        <v>11690.03813916608</v>
      </c>
      <c r="O81" s="46">
        <f>(SUM($AA$18:$AA$29)-SUM($AA$36,$AA$42,$AA$48,$AA$54,$AA$60,$AA$66,$AA$72:$AA$79))*Parameters!$B$37/12</f>
        <v>11690.03813916608</v>
      </c>
      <c r="P81" s="46">
        <f>(SUM($AA$18:$AA$29)-SUM($AA$36,$AA$42,$AA$48,$AA$54,$AA$60,$AA$66,$AA$72:$AA$79))*Parameters!$B$37/12</f>
        <v>11690.03813916608</v>
      </c>
      <c r="Q81" s="46">
        <f>(SUM($AA$18:$AA$29)-SUM($AA$36,$AA$42,$AA$48,$AA$54,$AA$60,$AA$66,$AA$72:$AA$79))*Parameters!$B$37/12</f>
        <v>11690.03813916608</v>
      </c>
      <c r="R81" s="46">
        <f>(SUM($AA$18:$AA$29)-SUM($AA$36,$AA$42,$AA$48,$AA$54,$AA$60,$AA$66,$AA$72:$AA$79))*Parameters!$B$37/12</f>
        <v>11690.03813916608</v>
      </c>
      <c r="S81" s="46">
        <f>(SUM($AA$18:$AA$29)-SUM($AA$36,$AA$42,$AA$48,$AA$54,$AA$60,$AA$66,$AA$72:$AA$79))*Parameters!$B$37/12</f>
        <v>11690.03813916608</v>
      </c>
      <c r="T81" s="46">
        <f>(SUM($AA$18:$AA$29)-SUM($AA$36,$AA$42,$AA$48,$AA$54,$AA$60,$AA$66,$AA$72:$AA$79))*Parameters!$B$37/12</f>
        <v>11690.03813916608</v>
      </c>
      <c r="U81" s="46">
        <f>(SUM($AA$18:$AA$29)-SUM($AA$36,$AA$42,$AA$48,$AA$54,$AA$60,$AA$66,$AA$72:$AA$79))*Parameters!$B$37/12</f>
        <v>11690.03813916608</v>
      </c>
      <c r="V81" s="46">
        <f>(SUM($AA$18:$AA$29)-SUM($AA$36,$AA$42,$AA$48,$AA$54,$AA$60,$AA$66,$AA$72:$AA$79))*Parameters!$B$37/12</f>
        <v>11690.03813916608</v>
      </c>
      <c r="W81" s="46">
        <f>(SUM($AA$18:$AA$29)-SUM($AA$36,$AA$42,$AA$48,$AA$54,$AA$60,$AA$66,$AA$72:$AA$79))*Parameters!$B$37/12</f>
        <v>11690.03813916608</v>
      </c>
      <c r="X81" s="46">
        <f>(SUM($AA$18:$AA$29)-SUM($AA$36,$AA$42,$AA$48,$AA$54,$AA$60,$AA$66,$AA$72:$AA$79))*Parameters!$B$37/12</f>
        <v>11690.03813916608</v>
      </c>
      <c r="Y81" s="46">
        <f>(SUM($AA$18:$AA$29)-SUM($AA$36,$AA$42,$AA$48,$AA$54,$AA$60,$AA$66,$AA$72:$AA$79))*Parameters!$B$37/12</f>
        <v>11690.03813916608</v>
      </c>
      <c r="Z81" s="46">
        <f>SUMIF($B$13:$Y$13,"Yes",B81:Y81)</f>
        <v>151970.495809159</v>
      </c>
      <c r="AA81" s="46">
        <f>SUM(B81:M81)</f>
        <v>140280.4576699929</v>
      </c>
      <c r="AB81" s="46">
        <f>SUM(B81:Y81)</f>
        <v>280560.9153399858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34581.75242488037</v>
      </c>
      <c r="C88" s="19">
        <f>SUM(C72:C82,C66,C60,C54,C48,C42,C36)</f>
        <v>33975.75242488037</v>
      </c>
      <c r="D88" s="19">
        <f>SUM(D72:D82,D66,D60,D54,D48,D42,D36)</f>
        <v>33975.75242488037</v>
      </c>
      <c r="E88" s="19">
        <f>SUM(E72:E82,E66,E60,E54,E48,E42,E36)</f>
        <v>34575.75242488037</v>
      </c>
      <c r="F88" s="19">
        <f>SUM(F72:F82,F66,F60,F54,F48,F42,F36)</f>
        <v>33975.75242488037</v>
      </c>
      <c r="G88" s="19">
        <f>SUM(G72:G82,G66,G60,G54,G48,G42,G36)</f>
        <v>33975.75242488037</v>
      </c>
      <c r="H88" s="19">
        <f>SUM(H72:H82,H66,H60,H54,H48,H42,H36)</f>
        <v>33975.75242488037</v>
      </c>
      <c r="I88" s="19">
        <f>SUM(I72:I82,I66,I60,I54,I48,I42,I36)</f>
        <v>31690.03813916608</v>
      </c>
      <c r="J88" s="19">
        <f>SUM(J72:J82,J66,J60,J54,J48,J42,J36)</f>
        <v>31690.03813916608</v>
      </c>
      <c r="K88" s="19">
        <f>SUM(K72:K82,K66,K60,K54,K48,K42,K36)</f>
        <v>31690.03813916608</v>
      </c>
      <c r="L88" s="19">
        <f>SUM(L72:L82,L66,L60,L54,L48,L42,L36)</f>
        <v>31690.03813916608</v>
      </c>
      <c r="M88" s="19">
        <f>SUM(M72:M82,M66,M60,M54,M48,M42,M36)</f>
        <v>55690.03813916608</v>
      </c>
      <c r="N88" s="19">
        <f>SUM(N72:N82,N66,N60,N54,N48,N42,N36)</f>
        <v>34581.75242488037</v>
      </c>
      <c r="O88" s="19">
        <f>SUM(O72:O82,O66,O60,O54,O48,O42,O36)</f>
        <v>33975.75242488037</v>
      </c>
      <c r="P88" s="19">
        <f>SUM(P72:P82,P66,P60,P54,P48,P42,P36)</f>
        <v>33975.75242488037</v>
      </c>
      <c r="Q88" s="19">
        <f>SUM(Q72:Q82,Q66,Q60,Q54,Q48,Q42,Q36)</f>
        <v>34575.75242488037</v>
      </c>
      <c r="R88" s="19">
        <f>SUM(R72:R82,R66,R60,R54,R48,R42,R36)</f>
        <v>33975.75242488037</v>
      </c>
      <c r="S88" s="19">
        <f>SUM(S72:S82,S66,S60,S54,S48,S42,S36)</f>
        <v>33975.75242488037</v>
      </c>
      <c r="T88" s="19">
        <f>SUM(T72:T82,T66,T60,T54,T48,T42,T36)</f>
        <v>33975.75242488037</v>
      </c>
      <c r="U88" s="19">
        <f>SUM(U72:U82,U66,U60,U54,U48,U42,U36)</f>
        <v>31690.03813916608</v>
      </c>
      <c r="V88" s="19">
        <f>SUM(V72:V82,V66,V60,V54,V48,V42,V36)</f>
        <v>31690.03813916608</v>
      </c>
      <c r="W88" s="19">
        <f>SUM(W72:W82,W66,W60,W54,W48,W42,W36)</f>
        <v>31690.03813916608</v>
      </c>
      <c r="X88" s="19">
        <f>SUM(X72:X82,X66,X60,X54,X48,X42,X36)</f>
        <v>31690.03813916608</v>
      </c>
      <c r="Y88" s="19">
        <f>SUM(Y72:Y82,Y66,Y60,Y54,Y48,Y42,Y36)</f>
        <v>55690.03813916608</v>
      </c>
      <c r="Z88" s="19">
        <f>SUMIF($B$13:$Y$13,"Yes",B88:Y88)</f>
        <v>456068.2100948733</v>
      </c>
      <c r="AA88" s="19">
        <f>SUM(B88:M88)</f>
        <v>421486.4576699929</v>
      </c>
      <c r="AB88" s="19">
        <f>SUM(B88:Y88)</f>
        <v>842972.9153399861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70000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30000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0</v>
      </c>
      <c r="P7" s="41"/>
    </row>
    <row r="8" spans="1:48">
      <c r="A8" s="143" t="s">
        <v>94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95</v>
      </c>
      <c r="K8" s="138"/>
      <c r="L8" s="16"/>
      <c r="M8" s="165">
        <v>20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50</v>
      </c>
    </row>
    <row r="27" spans="1:48">
      <c r="A27" s="14" t="s">
        <v>111</v>
      </c>
    </row>
    <row r="29" spans="1:48">
      <c r="A29" s="45" t="s">
        <v>112</v>
      </c>
      <c r="B29" s="156"/>
    </row>
    <row r="30" spans="1:48">
      <c r="A30" s="44" t="s">
        <v>113</v>
      </c>
      <c r="B30" s="157">
        <v>50000</v>
      </c>
    </row>
    <row r="31" spans="1:48">
      <c r="A31" s="5" t="s">
        <v>114</v>
      </c>
      <c r="B31" s="158">
        <v>20000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122</v>
      </c>
    </row>
    <row r="41" spans="1:48">
      <c r="A41" s="55" t="s">
        <v>123</v>
      </c>
      <c r="B41" s="140">
        <v>24000</v>
      </c>
    </row>
    <row r="42" spans="1:48">
      <c r="A42" s="55" t="s">
        <v>124</v>
      </c>
      <c r="B42" s="139" t="s">
        <v>125</v>
      </c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122</v>
      </c>
    </row>
    <row r="45" spans="1:48">
      <c r="A45" s="56" t="s">
        <v>129</v>
      </c>
      <c r="B45" s="161"/>
    </row>
    <row r="46" spans="1:48" customHeight="1" ht="30">
      <c r="A46" s="57" t="s">
        <v>130</v>
      </c>
      <c r="B46" s="161">
        <v>30000</v>
      </c>
    </row>
    <row r="47" spans="1:48" customHeight="1" ht="30">
      <c r="A47" s="57" t="s">
        <v>131</v>
      </c>
      <c r="B47" s="161">
        <v>70000</v>
      </c>
    </row>
    <row r="48" spans="1:48" customHeight="1" ht="30">
      <c r="A48" s="57" t="s">
        <v>132</v>
      </c>
      <c r="B48" s="161">
        <v>0</v>
      </c>
    </row>
    <row r="49" spans="1:48" customHeight="1" ht="30">
      <c r="A49" s="57" t="s">
        <v>133</v>
      </c>
      <c r="B49" s="161">
        <v>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143</v>
      </c>
      <c r="C65" s="10" t="s">
        <v>144</v>
      </c>
    </row>
    <row r="66" spans="1:48">
      <c r="A66" s="142" t="s">
        <v>95</v>
      </c>
      <c r="B66" s="159">
        <v>15000</v>
      </c>
      <c r="C66" s="163">
        <v>8000</v>
      </c>
      <c r="D66" s="49">
        <f>INDEX(Parameters!$D$79:$D$90,MATCH(Inputs!A66,Parameters!$C$79:$C$90,0))</f>
        <v>1</v>
      </c>
    </row>
    <row r="67" spans="1:48">
      <c r="A67" s="143" t="s">
        <v>145</v>
      </c>
      <c r="B67" s="157">
        <v>50000</v>
      </c>
      <c r="C67" s="165">
        <v>25000</v>
      </c>
      <c r="D67" s="49">
        <f>INDEX(Parameters!$D$79:$D$90,MATCH(Inputs!A67,Parameters!$C$79:$C$90,0))</f>
        <v>2</v>
      </c>
    </row>
    <row r="68" spans="1:48">
      <c r="A68" s="143" t="s">
        <v>146</v>
      </c>
      <c r="B68" s="157">
        <v>50000</v>
      </c>
      <c r="C68" s="165">
        <v>20000</v>
      </c>
      <c r="D68" s="49">
        <f>INDEX(Parameters!$D$79:$D$90,MATCH(Inputs!A68,Parameters!$C$79:$C$90,0))</f>
        <v>3</v>
      </c>
    </row>
    <row r="69" spans="1:48">
      <c r="A69" s="143" t="s">
        <v>147</v>
      </c>
      <c r="B69" s="157">
        <v>50000</v>
      </c>
      <c r="C69" s="165">
        <v>20000</v>
      </c>
      <c r="D69" s="49">
        <f>INDEX(Parameters!$D$79:$D$90,MATCH(Inputs!A69,Parameters!$C$79:$C$90,0))</f>
        <v>4</v>
      </c>
    </row>
    <row r="70" spans="1:48">
      <c r="A70" s="143" t="s">
        <v>148</v>
      </c>
      <c r="B70" s="157">
        <v>50000</v>
      </c>
      <c r="C70" s="165">
        <v>30000</v>
      </c>
      <c r="D70" s="49">
        <f>INDEX(Parameters!$D$79:$D$90,MATCH(Inputs!A70,Parameters!$C$79:$C$90,0))</f>
        <v>5</v>
      </c>
    </row>
    <row r="71" spans="1:48">
      <c r="A71" s="144" t="s">
        <v>149</v>
      </c>
      <c r="B71" s="158">
        <v>50000</v>
      </c>
      <c r="C71" s="167">
        <v>25000</v>
      </c>
      <c r="D71" s="49">
        <f>INDEX(Parameters!$D$79:$D$90,MATCH(Inputs!A71,Parameters!$C$79:$C$90,0))</f>
        <v>6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15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100000</v>
      </c>
    </row>
    <row r="82" spans="1:48">
      <c r="A82" t="s">
        <v>159</v>
      </c>
      <c r="B82" s="161">
        <v>18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>
        <v>5</v>
      </c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 t="str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 t="str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18000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42736</v>
      </c>
      <c r="C5" s="39">
        <f>IFERROR(DATE(YEAR(B5),MONTH(B5)+ROUND(T5/2,0),DAY(B5)),B5)</f>
        <v>42826</v>
      </c>
      <c r="D5" s="39">
        <f>IFERROR(DATE(YEAR(B5),MONTH(B5)+T5,DAY(B5)),"")</f>
        <v>42917</v>
      </c>
      <c r="E5" s="39">
        <f>IFERROR(IF($S5=0,"",IF($S5=2,DATE(YEAR(B5),MONTH(B5)+6,DAY(B5)),IF($S5=1,B5,""))),"")</f>
        <v>42736</v>
      </c>
      <c r="F5" s="39">
        <f>IFERROR(IF($S5=0,"",IF($S5=2,DATE(YEAR(C5),MONTH(C5)+6,DAY(C5)),IF($S5=1,C5,""))),"")</f>
        <v>42826</v>
      </c>
      <c r="G5" s="39">
        <f>IFERROR(IF($S5=0,"",IF($S5=2,DATE(YEAR(D5),MONTH(D5)+6,DAY(D5)),IF($S5=1,D5,""))),"")</f>
        <v>42917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1899.234772320367</v>
      </c>
      <c r="M5" s="30">
        <f>L5*H5</f>
        <v>1899.234772320367</v>
      </c>
      <c r="N5" s="22">
        <f>Calculations!U5</f>
        <v>0.2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21</v>
      </c>
      <c r="P5" s="22">
        <f>IFERROR(INDEX(Parameters!$A$3:$V$17,MATCH(Calculations!$A5,Parameters!$A$3:$A$17,0),MATCH($P$3,Parameters!$A$3:$V$3,0)),0)</f>
        <v>0.2</v>
      </c>
      <c r="Q5" s="34">
        <f>M5*O5*(1-N5)*MAX(S5,1)</f>
        <v>31907.14417498217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0.2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303.0000000000001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</v>
      </c>
      <c r="Z5" s="34">
        <f>IF(Inputs!I8=Parameters!$F$78,H5*INDEX(Parameters!$A$3:$AI$18,MATCH(Calculations!A5,Parameters!$A$3:$A$18,0),MATCH(Parameters!$Q$3,Parameters!$A$3:$AI$3,0)),0)</f>
        <v>5000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6000</v>
      </c>
      <c r="AC5" s="22" t="str">
        <f>IF($D5="",1/12,IFERROR(INDEX(Parameters!$X$2:$AI$17,MATCH(Calculations!$A5,Parameters!$A$2:$A$17,0),MATCH(MONTH(Calculations!AC$3),Parameters!$X$2:$AI$2,0)),1/12))</f>
        <v/>
      </c>
      <c r="AD5" s="22" t="str">
        <f>IF($D5="",1/12,IFERROR(INDEX(Parameters!$X$2:$AI$17,MATCH(Calculations!$A5,Parameters!$A$2:$A$17,0),MATCH(MONTH(Calculations!AD$3),Parameters!$X$2:$AI$2,0)),1/12))</f>
        <v/>
      </c>
      <c r="AE5" s="22" t="str">
        <f>IF($D5="",1/12,IFERROR(INDEX(Parameters!$X$2:$AI$17,MATCH(Calculations!$A5,Parameters!$A$2:$A$17,0),MATCH(MONTH(Calculations!AE$3),Parameters!$X$2:$AI$2,0)),1/12))</f>
        <v/>
      </c>
      <c r="AF5" s="22" t="str">
        <f>IF($D5="",1/12,IFERROR(INDEX(Parameters!$X$2:$AI$17,MATCH(Calculations!$A5,Parameters!$A$2:$A$17,0),MATCH(MONTH(Calculations!AF$3),Parameters!$X$2:$AI$2,0)),1/12))</f>
        <v/>
      </c>
      <c r="AG5" s="22" t="str">
        <f>IF($D5="",1/12,IFERROR(INDEX(Parameters!$X$2:$AI$17,MATCH(Calculations!$A5,Parameters!$A$2:$A$17,0),MATCH(MONTH(Calculations!AG$3),Parameters!$X$2:$AI$2,0)),1/12))</f>
        <v/>
      </c>
      <c r="AH5" s="22" t="str">
        <f>IF($D5="",1/12,IFERROR(INDEX(Parameters!$X$2:$AI$17,MATCH(Calculations!$A5,Parameters!$A$2:$A$17,0),MATCH(MONTH(Calculations!AH$3),Parameters!$X$2:$AI$2,0)),1/12))</f>
        <v/>
      </c>
      <c r="AI5" s="22" t="str">
        <f>IF($D5="",1/12,IFERROR(INDEX(Parameters!$X$2:$AI$17,MATCH(Calculations!$A5,Parameters!$A$2:$A$17,0),MATCH(MONTH(Calculations!AI$3),Parameters!$X$2:$AI$2,0)),1/12))</f>
        <v/>
      </c>
      <c r="AJ5" s="22" t="str">
        <f>IF($D5="",1/12,IFERROR(INDEX(Parameters!$X$2:$AI$17,MATCH(Calculations!$A5,Parameters!$A$2:$A$17,0),MATCH(MONTH(Calculations!AJ$3),Parameters!$X$2:$AI$2,0)),1/12))</f>
        <v/>
      </c>
      <c r="AK5" s="22" t="str">
        <f>IF($D5="",1/12,IFERROR(INDEX(Parameters!$X$2:$AI$17,MATCH(Calculations!$A5,Parameters!$A$2:$A$17,0),MATCH(MONTH(Calculations!AK$3),Parameters!$X$2:$AI$2,0)),1/12))</f>
        <v/>
      </c>
      <c r="AL5" s="22" t="str">
        <f>IF($D5="",1/12,IFERROR(INDEX(Parameters!$X$2:$AI$17,MATCH(Calculations!$A5,Parameters!$A$2:$A$17,0),MATCH(MONTH(Calculations!AL$3),Parameters!$X$2:$AI$2,0)),1/12))</f>
        <v/>
      </c>
      <c r="AM5" s="22" t="str">
        <f>IF($D5="",1/12,IFERROR(INDEX(Parameters!$X$2:$AI$17,MATCH(Calculations!$A5,Parameters!$A$2:$A$17,0),MATCH(MONTH(Calculations!AM$3),Parameters!$X$2:$AI$2,0)),1/12))</f>
        <v/>
      </c>
      <c r="AN5" s="22" t="str">
        <f>IF($D5="",1/12,IFERROR(INDEX(Parameters!$X$2:$AI$17,MATCH(Calculations!$A5,Parameters!$A$2:$A$17,0),MATCH(MONTH(Calculations!AN$3),Parameters!$X$2:$AI$2,0)),1/12))</f>
        <v/>
      </c>
      <c r="AO5" s="22" t="str">
        <f>IF($D5="",1/12,IFERROR(INDEX(Parameters!$X$2:$AI$17,MATCH(Calculations!$A5,Parameters!$A$2:$A$17,0),MATCH(MONTH(Calculations!AO$3),Parameters!$X$2:$AI$2,0)),1/12))</f>
        <v/>
      </c>
      <c r="AP5" s="22" t="str">
        <f>IF($D5="",1/12,IFERROR(INDEX(Parameters!$X$2:$AI$17,MATCH(Calculations!$A5,Parameters!$A$2:$A$17,0),MATCH(MONTH(Calculations!AP$3),Parameters!$X$2:$AI$2,0)),1/12))</f>
        <v/>
      </c>
      <c r="AQ5" s="22" t="str">
        <f>IF($D5="",1/12,IFERROR(INDEX(Parameters!$X$2:$AI$17,MATCH(Calculations!$A5,Parameters!$A$2:$A$17,0),MATCH(MONTH(Calculations!AQ$3),Parameters!$X$2:$AI$2,0)),1/12))</f>
        <v/>
      </c>
      <c r="AR5" s="22" t="str">
        <f>IF($D5="",1/12,IFERROR(INDEX(Parameters!$X$2:$AI$17,MATCH(Calculations!$A5,Parameters!$A$2:$A$17,0),MATCH(MONTH(Calculations!AR$3),Parameters!$X$2:$AI$2,0)),1/12))</f>
        <v/>
      </c>
      <c r="AS5" s="22" t="str">
        <f>IF($D5="",1/12,IFERROR(INDEX(Parameters!$X$2:$AI$17,MATCH(Calculations!$A5,Parameters!$A$2:$A$17,0),MATCH(MONTH(Calculations!AS$3),Parameters!$X$2:$AI$2,0)),1/12))</f>
        <v/>
      </c>
      <c r="AT5" s="22" t="str">
        <f>IF($D5="",1/12,IFERROR(INDEX(Parameters!$X$2:$AI$17,MATCH(Calculations!$A5,Parameters!$A$2:$A$17,0),MATCH(MONTH(Calculations!AT$3),Parameters!$X$2:$AI$2,0)),1/12))</f>
        <v/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97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136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Narok</v>
      </c>
    </row>
    <row r="33" spans="1:46">
      <c r="A33">
        <v>1</v>
      </c>
      <c r="B33" s="128">
        <f>G34</f>
        <v>42770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42767</v>
      </c>
      <c r="F33" t="s">
        <v>155</v>
      </c>
      <c r="G33" s="128">
        <f>IF(Inputs!B79="","",DATE(YEAR(Inputs!B79),MONTH(Inputs!B79),DAY(Inputs!B79)))</f>
        <v>42739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42798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42795</v>
      </c>
      <c r="F34" t="s">
        <v>156</v>
      </c>
      <c r="G34" s="128">
        <f>IF(Inputs!B80="","",DATE(YEAR(Inputs!B80),MONTH(Inputs!B80),DAY(Inputs!B80)))</f>
        <v>42770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42829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42826</v>
      </c>
      <c r="F35" t="s">
        <v>158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42859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42856</v>
      </c>
      <c r="F36" t="s">
        <v>159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42890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42887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42920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42917</v>
      </c>
      <c r="F38" t="s">
        <v>221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42951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42948</v>
      </c>
      <c r="F39" t="s">
        <v>164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42982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42979</v>
      </c>
      <c r="F40" t="s">
        <v>165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43012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43009</v>
      </c>
      <c r="F41" t="s">
        <v>222</v>
      </c>
      <c r="G41" s="73">
        <f>IFERROR(G35/(G38-G39),"")</f>
        <v>14285.71428571429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43043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43040</v>
      </c>
      <c r="F42" t="s">
        <v>223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43073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43104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43101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196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97</v>
      </c>
      <c r="B41" s="191" t="s">
        <v>122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94</v>
      </c>
      <c r="E52" s="12" t="s">
        <v>94</v>
      </c>
      <c r="F52" s="12" t="s">
        <v>94</v>
      </c>
      <c r="G52" s="12" t="s">
        <v>309</v>
      </c>
      <c r="H52" s="12" t="s">
        <v>127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224</v>
      </c>
      <c r="E53" s="10" t="s">
        <v>183</v>
      </c>
      <c r="F53" s="10" t="s">
        <v>243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122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122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122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122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122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122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122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161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220</v>
      </c>
      <c r="J76" s="11" t="s">
        <v>343</v>
      </c>
      <c r="K76" s="11" t="s">
        <v>173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122</v>
      </c>
      <c r="F77" s="12" t="s">
        <v>122</v>
      </c>
      <c r="G77" s="12" t="s">
        <v>345</v>
      </c>
      <c r="H77" s="12" t="s">
        <v>127</v>
      </c>
      <c r="I77" s="12" t="s">
        <v>346</v>
      </c>
      <c r="J77" s="136" t="s">
        <v>347</v>
      </c>
      <c r="K77" s="12" t="s">
        <v>122</v>
      </c>
      <c r="AJ77" s="12"/>
    </row>
    <row r="78" spans="1:36">
      <c r="A78" t="s">
        <v>122</v>
      </c>
      <c r="B78" s="176">
        <v>5</v>
      </c>
      <c r="C78" s="134" t="s">
        <v>348</v>
      </c>
      <c r="D78" s="133"/>
      <c r="E78" s="12" t="s">
        <v>349</v>
      </c>
      <c r="F78" s="12" t="s">
        <v>93</v>
      </c>
      <c r="G78" s="12" t="s">
        <v>350</v>
      </c>
      <c r="H78" s="12" t="s">
        <v>310</v>
      </c>
      <c r="I78" s="12" t="s">
        <v>351</v>
      </c>
      <c r="J78" s="70" t="s">
        <v>352</v>
      </c>
      <c r="K78" s="12" t="s">
        <v>122</v>
      </c>
      <c r="AJ78" s="12"/>
    </row>
    <row r="79" spans="1:36">
      <c r="B79" s="176">
        <v>10</v>
      </c>
      <c r="C79" s="12" t="s">
        <v>95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161</v>
      </c>
      <c r="J79" s="70" t="s">
        <v>356</v>
      </c>
      <c r="K79" s="12" t="s">
        <v>122</v>
      </c>
      <c r="AJ79" s="12"/>
    </row>
    <row r="80" spans="1:36">
      <c r="B80" s="176">
        <v>20</v>
      </c>
      <c r="C80" s="12" t="s">
        <v>145</v>
      </c>
      <c r="D80" s="12">
        <f>D79+1</f>
        <v>2</v>
      </c>
      <c r="E80" s="12" t="s">
        <v>357</v>
      </c>
      <c r="F80" s="12" t="s">
        <v>358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146</v>
      </c>
      <c r="D81" s="12">
        <f>D80+1</f>
        <v>3</v>
      </c>
      <c r="J81" s="70" t="s">
        <v>359</v>
      </c>
      <c r="K81" s="12" t="s">
        <v>92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148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125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