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<sst xmlns="http://schemas.openxmlformats.org/spreadsheetml/2006/main" uniqueCount="366">
  <si>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</si>
  <si>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</si>
  <si>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</si>
  <si>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</si>
  <si>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</si>
  <si>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</si>
  <si>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</si>
  <si>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</si>
  <si>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</si>
  <si>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</si>
  <si>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</si>
  <si>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</si>
  <si>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</si>
  <si>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</si>
  <si>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</si>
  <si>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</si>
  <si>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</si>
  <si>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</si>
  <si>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</si>
  <si>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</si>
  <si>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</si>
  <si>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</si>
  <si>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</si>
  <si>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</si>
  <si>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</si>
  <si>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</si>
  <si>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</si>
  <si>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</si>
  <si>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</si>
  <si>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</si>
  <si>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</si>
  <si>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</si>
  <si>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</si>
  <si>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</si>
  <si>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</si>
  <si>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</si>
  <si>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</si>
  <si>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</si>
  <si>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</si>
  <si>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</si>
  <si>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</si>
  <si>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</si>
  <si>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</si>
  <si>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</si>
  <si>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</si>
  <si>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</si>
  <si>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</si>
  <si>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</si>
  <si>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</si>
  <si>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</si>
  <si>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</si>
  <si>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</si>
  <si>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</si>
  <si>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</si>
  <si>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</si>
  <si>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</si>
  <si>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</si>
  <si>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</si>
  <si>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</si>
  <si>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</si>
  <si>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</si>
  <si>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</si>
  <si>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</si>
  <si>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</si>
  <si>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</si>
  <si>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</si>
  <si>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</si>
  <si>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</si>
  <si>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</si>
  <si>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</si>
  <si>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</si>
  <si>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</si>
  <si>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</si>
  <si>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</si>
  <si>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</si>
  <si>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</si>
  <si>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</si>
  <si>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</si>
  <si>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</si>
  <si>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</si>
  <si>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</si>
  <si>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</si>
  <si>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</si>
  <si>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</si>
  <si>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</si>
  <si>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</si>
  <si>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</si>
  <si>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</si>
  <si>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</si>
  <si>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</si>
  <si>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</si>
  <si>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</si>
  <si>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</si>
  <si>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</si>
  <si>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Maize</t>
  </si>
  <si>
    <t>February</t>
  </si>
  <si>
    <t>Tomatoes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</si>
  <si>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</si>
  <si>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</si>
  <si>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</si>
  <si>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</si>
  <si>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</si>
  <si>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</si>
  <si>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</si>
  <si>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</si>
  <si>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</si>
  <si>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</si>
  <si>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</si>
  <si>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</si>
  <si>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</si>
  <si>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</si>
  <si>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</si>
  <si>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</si>
  <si>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</si>
  <si>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</si>
  <si>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clothes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</si>
  <si>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</si>
  <si>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</si>
  <si>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</si>
  <si>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</si>
  <si>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</si>
  <si>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</si>
  <si>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</si>
  <si>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</si>
  <si>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</si>
  <si>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</si>
  <si>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</si>
  <si>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</si>
  <si>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</si>
  <si>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</si>
  <si>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</si>
  <si>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</si>
  <si>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</si>
  <si>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</si>
  <si>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</si>
  <si>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</si>
  <si>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</si>
  <si>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</si>
  <si>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</si>
  <si>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</si>
  <si>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</si>
  <si>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</si>
  <si>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</si>
  <si>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</si>
  <si>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</si>
  <si>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</si>
  <si>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</si>
  <si>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</si>
  <si>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</si>
  <si>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</si>
  <si>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</si>
  <si>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Loan info</t>
  </si>
  <si>
    <t>Branch ID</t>
  </si>
  <si>
    <t>Submission date</t>
  </si>
  <si>
    <t>2017/1/4</t>
  </si>
  <si>
    <t>Loan terms</t>
  </si>
  <si>
    <t>Expected disbursement date</t>
  </si>
  <si>
    <t>Expected first repayment date</t>
  </si>
  <si>
    <t>2017/2/4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</si>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</sst>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October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Tomatoes,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selling clothes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0.5331702037471281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0.4347826086956522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145067.6898758087</v>
      </c>
    </row>
    <row r="18" spans="1:7">
      <c r="B18" s="1" t="s">
        <v>12</v>
      </c>
      <c r="C18" s="36">
        <f>MIN(Output!B6:M6)</f>
        <v>-27268.24467564018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179672.8014898258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1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-23749.99588110638</v>
      </c>
      <c r="C6" s="51">
        <f>C30-C88</f>
        <v>-20783.42445253495</v>
      </c>
      <c r="D6" s="51">
        <f>D30-D88</f>
        <v>-24071.42445253495</v>
      </c>
      <c r="E6" s="51">
        <f>E30-E88</f>
        <v>148545.6917577711</v>
      </c>
      <c r="F6" s="51">
        <f>F30-F88</f>
        <v>-17083.92445253495</v>
      </c>
      <c r="G6" s="51">
        <f>G30-G88</f>
        <v>-15883.92445253495</v>
      </c>
      <c r="H6" s="51">
        <f>H30-H88</f>
        <v>-27268.24467564018</v>
      </c>
      <c r="I6" s="51">
        <f>I30-I88</f>
        <v>-20060.84644975093</v>
      </c>
      <c r="J6" s="51">
        <f>J30-J88</f>
        <v>2269.613653272347</v>
      </c>
      <c r="K6" s="51">
        <f>K30-K88</f>
        <v>179672.8014898258</v>
      </c>
      <c r="L6" s="51">
        <f>L30-L88</f>
        <v>-18259.3161042116</v>
      </c>
      <c r="M6" s="51">
        <f>M30-M88</f>
        <v>-18259.3161042116</v>
      </c>
      <c r="N6" s="51">
        <f>N30-N88</f>
        <v>-23749.99588110638</v>
      </c>
      <c r="O6" s="51">
        <f>O30-O88</f>
        <v>-20783.42445253495</v>
      </c>
      <c r="P6" s="51">
        <f>P30-P88</f>
        <v>-24071.42445253495</v>
      </c>
      <c r="Q6" s="51">
        <f>Q30-Q88</f>
        <v>148545.6917577711</v>
      </c>
      <c r="R6" s="51">
        <f>R30-R88</f>
        <v>-17083.92445253495</v>
      </c>
      <c r="S6" s="51">
        <f>S30-S88</f>
        <v>-15883.92445253495</v>
      </c>
      <c r="T6" s="51">
        <f>T30-T88</f>
        <v>-27268.24467564018</v>
      </c>
      <c r="U6" s="51">
        <f>U30-U88</f>
        <v>-20060.84644975093</v>
      </c>
      <c r="V6" s="51">
        <f>V30-V88</f>
        <v>2269.613653272347</v>
      </c>
      <c r="W6" s="51">
        <f>W30-W88</f>
        <v>179672.8014898258</v>
      </c>
      <c r="X6" s="51">
        <f>X30-X88</f>
        <v>-18259.3161042116</v>
      </c>
      <c r="Y6" s="51">
        <f>Y30-Y88</f>
        <v>-18259.3161042116</v>
      </c>
      <c r="Z6" s="51">
        <f>SUMIF($B$13:$Y$13,"Yes",B6:Y6)</f>
        <v>121317.6939947023</v>
      </c>
      <c r="AA6" s="51">
        <f>AA30-AA88</f>
        <v>145067.6898758087</v>
      </c>
      <c r="AB6" s="51">
        <f>AB30-AB88</f>
        <v>290135.3797516179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25000</v>
      </c>
      <c r="D7" s="80">
        <f>IF(ISERROR(VLOOKUP(MONTH(D5),Inputs!$D$66:$D$71,1,0)),"",INDEX(Inputs!$B$66:$B$71,MATCH(MONTH(Output!D5),Inputs!$D$66:$D$71,0))-INDEX(Inputs!$C$66:$C$71,MATCH(MONTH(Output!D5),Inputs!$D$66:$D$71,0)))</f>
        <v>35000</v>
      </c>
      <c r="E7" s="80">
        <f>IF(ISERROR(VLOOKUP(MONTH(E5),Inputs!$D$66:$D$71,1,0)),"",INDEX(Inputs!$B$66:$B$71,MATCH(MONTH(Output!E5),Inputs!$D$66:$D$71,0))-INDEX(Inputs!$C$66:$C$71,MATCH(MONTH(Output!E5),Inputs!$D$66:$D$71,0)))</f>
        <v>45000</v>
      </c>
      <c r="F7" s="80">
        <f>IF(ISERROR(VLOOKUP(MONTH(F5),Inputs!$D$66:$D$71,1,0)),"",INDEX(Inputs!$B$66:$B$71,MATCH(MONTH(Output!F5),Inputs!$D$66:$D$71,0))-INDEX(Inputs!$C$66:$C$71,MATCH(MONTH(Output!F5),Inputs!$D$66:$D$71,0)))</f>
        <v>30000</v>
      </c>
      <c r="G7" s="80">
        <f>IF(ISERROR(VLOOKUP(MONTH(G5),Inputs!$D$66:$D$71,1,0)),"",INDEX(Inputs!$B$66:$B$71,MATCH(MONTH(Output!G5),Inputs!$D$66:$D$71,0))-INDEX(Inputs!$C$66:$C$71,MATCH(MONTH(Output!G5),Inputs!$D$66:$D$71,0)))</f>
        <v>32000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25000</v>
      </c>
      <c r="P7" s="80">
        <f>IF(ISERROR(VLOOKUP(MONTH(P5),Inputs!$D$66:$D$71,1,0)),"",INDEX(Inputs!$B$66:$B$71,MATCH(MONTH(Output!P5),Inputs!$D$66:$D$71,0))-INDEX(Inputs!$C$66:$C$71,MATCH(MONTH(Output!P5),Inputs!$D$66:$D$71,0)))</f>
        <v>35000</v>
      </c>
      <c r="Q7" s="80">
        <f>IF(ISERROR(VLOOKUP(MONTH(Q5),Inputs!$D$66:$D$71,1,0)),"",INDEX(Inputs!$B$66:$B$71,MATCH(MONTH(Output!Q5),Inputs!$D$66:$D$71,0))-INDEX(Inputs!$C$66:$C$71,MATCH(MONTH(Output!Q5),Inputs!$D$66:$D$71,0)))</f>
        <v>45000</v>
      </c>
      <c r="R7" s="80">
        <f>IF(ISERROR(VLOOKUP(MONTH(R5),Inputs!$D$66:$D$71,1,0)),"",INDEX(Inputs!$B$66:$B$71,MATCH(MONTH(Output!R5),Inputs!$D$66:$D$71,0))-INDEX(Inputs!$C$66:$C$71,MATCH(MONTH(Output!R5),Inputs!$D$66:$D$71,0)))</f>
        <v>30000</v>
      </c>
      <c r="S7" s="80">
        <f>IF(ISERROR(VLOOKUP(MONTH(S5),Inputs!$D$66:$D$71,1,0)),"",INDEX(Inputs!$B$66:$B$71,MATCH(MONTH(Output!S5),Inputs!$D$66:$D$71,0))-INDEX(Inputs!$C$66:$C$71,MATCH(MONTH(Output!S5),Inputs!$D$66:$D$71,0)))</f>
        <v>32000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76250.00411889362</v>
      </c>
      <c r="C11" s="80">
        <f>C6+C9-C10</f>
        <v>-30616.75778586829</v>
      </c>
      <c r="D11" s="80">
        <f>D6+D9-D10</f>
        <v>-33904.75778586829</v>
      </c>
      <c r="E11" s="80">
        <f>E6+E9-E10</f>
        <v>138712.3584244378</v>
      </c>
      <c r="F11" s="80">
        <f>F6+F9-F10</f>
        <v>-26917.25778586829</v>
      </c>
      <c r="G11" s="80">
        <f>G6+G9-G10</f>
        <v>-25717.25778586829</v>
      </c>
      <c r="H11" s="80">
        <f>H6+H9-H10</f>
        <v>-37101.57800897351</v>
      </c>
      <c r="I11" s="80">
        <f>I6+I9-I10</f>
        <v>-29894.17978308426</v>
      </c>
      <c r="J11" s="80">
        <f>J6+J9-J10</f>
        <v>-7563.719680060987</v>
      </c>
      <c r="K11" s="80">
        <f>K6+K9-K10</f>
        <v>169839.4681564924</v>
      </c>
      <c r="L11" s="80">
        <f>L6+L9-L10</f>
        <v>-28092.64943754494</v>
      </c>
      <c r="M11" s="80">
        <f>M6+M9-M10</f>
        <v>-28092.64943754494</v>
      </c>
      <c r="N11" s="80">
        <f>N6+N9-N10</f>
        <v>-33583.32921443971</v>
      </c>
      <c r="O11" s="80">
        <f>O6+O9-O10</f>
        <v>-20783.42445253495</v>
      </c>
      <c r="P11" s="80">
        <f>P6+P9-P10</f>
        <v>-24071.42445253495</v>
      </c>
      <c r="Q11" s="80">
        <f>Q6+Q9-Q10</f>
        <v>148545.6917577711</v>
      </c>
      <c r="R11" s="80">
        <f>R6+R9-R10</f>
        <v>-17083.92445253495</v>
      </c>
      <c r="S11" s="80">
        <f>S6+S9-S10</f>
        <v>-15883.92445253495</v>
      </c>
      <c r="T11" s="80">
        <f>T6+T9-T10</f>
        <v>-27268.24467564018</v>
      </c>
      <c r="U11" s="80">
        <f>U6+U9-U10</f>
        <v>-20060.84644975093</v>
      </c>
      <c r="V11" s="80">
        <f>V6+V9-V10</f>
        <v>2269.613653272347</v>
      </c>
      <c r="W11" s="80">
        <f>W6+W9-W10</f>
        <v>179672.8014898258</v>
      </c>
      <c r="X11" s="80">
        <f>X6+X9-X10</f>
        <v>-18259.3161042116</v>
      </c>
      <c r="Y11" s="80">
        <f>Y6+Y9-Y10</f>
        <v>-18259.3161042116</v>
      </c>
      <c r="Z11" s="85">
        <f>SUMIF($B$13:$Y$13,"Yes",B11:Y11)</f>
        <v>103317.6939947024</v>
      </c>
      <c r="AA11" s="80">
        <f>SUM(B11:M11)</f>
        <v>136901.0232091421</v>
      </c>
      <c r="AB11" s="46">
        <f>SUM(B11:Y11)</f>
        <v>272135.3797516176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0.1772839319186901</v>
      </c>
      <c r="D12" s="82">
        <f>IF(D13="Yes",IF(SUM($B$10:D10)/(SUM($B$6:D6)+SUM($B$9:D9))&lt;0,999.99,SUM($B$10:D10)/(SUM($B$6:D6)+SUM($B$9:D9))),"")</f>
        <v>0.6264236164058576</v>
      </c>
      <c r="E12" s="82">
        <f>IF(E13="Yes",IF(SUM($B$10:E10)/(SUM($B$6:E6)+SUM($B$9:E9))&lt;0,999.99,SUM($B$10:E10)/(SUM($B$6:E6)+SUM($B$9:E9))),"")</f>
        <v>0.163942765061325</v>
      </c>
      <c r="F12" s="82">
        <f>IF(F13="Yes",IF(SUM($B$10:F10)/(SUM($B$6:F6)+SUM($B$9:F9))&lt;0,999.99,SUM($B$10:F10)/(SUM($B$6:F6)+SUM($B$9:F9))),"")</f>
        <v>0.241520794602575</v>
      </c>
      <c r="G12" s="82">
        <f>IF(G13="Yes",IF(SUM($B$10:G10)/(SUM($B$6:G6)+SUM($B$9:G9))&lt;0,999.99,SUM($B$10:G10)/(SUM($B$6:G6)+SUM($B$9:G9))),"")</f>
        <v>0.3345285686042287</v>
      </c>
      <c r="H12" s="82">
        <f>IF(H13="Yes",IF(SUM($B$10:H10)/(SUM($B$6:H6)+SUM($B$9:H9))&lt;0,999.99,SUM($B$10:H10)/(SUM($B$6:H6)+SUM($B$9:H9))),"")</f>
        <v>0.4928793412851449</v>
      </c>
      <c r="I12" s="82">
        <f>IF(I13="Yes",IF(SUM($B$10:I10)/(SUM($B$6:I6)+SUM($B$9:I9))&lt;0,999.99,SUM($B$10:I10)/(SUM($B$6:I6)+SUM($B$9:I9))),"")</f>
        <v>0.6907931999695444</v>
      </c>
      <c r="J12" s="82">
        <f>IF(J13="Yes",IF(SUM($B$10:J10)/(SUM($B$6:J6)+SUM($B$9:J9))&lt;0,999.99,SUM($B$10:J10)/(SUM($B$6:J6)+SUM($B$9:J9))),"")</f>
        <v>0.7718962725244575</v>
      </c>
      <c r="K12" s="82">
        <f>IF(K13="Yes",IF(SUM($B$10:K10)/(SUM($B$6:K6)+SUM($B$9:K9))&lt;0,999.99,SUM($B$10:K10)/(SUM($B$6:K6)+SUM($B$9:K9))),"")</f>
        <v>0.3142908339614829</v>
      </c>
      <c r="L12" s="82">
        <f>IF(L13="Yes",IF(SUM($B$10:L10)/(SUM($B$6:L6)+SUM($B$9:L9))&lt;0,999.99,SUM($B$10:L10)/(SUM($B$6:L6)+SUM($B$9:L9))),"")</f>
        <v>0.3734266941872049</v>
      </c>
      <c r="M12" s="82">
        <f>IF(M13="Yes",IF(SUM($B$10:M10)/(SUM($B$6:M6)+SUM($B$9:M9))&lt;0,999.99,SUM($B$10:M10)/(SUM($B$6:M6)+SUM($B$9:M9))),"")</f>
        <v>0.441374653351821</v>
      </c>
      <c r="N12" s="82">
        <f>IF(N13="Yes",IF(SUM($B$10:N10)/(SUM($B$6:N6)+SUM($B$9:N9))&lt;0,999.99,SUM($B$10:N10)/(SUM($B$6:N6)+SUM($B$9:N9))),"")</f>
        <v>0.5331702037471281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6946.820223105226</v>
      </c>
      <c r="C18" s="36">
        <f>O18</f>
        <v>6946.820223105226</v>
      </c>
      <c r="D18" s="36">
        <f>P18</f>
        <v>6946.820223105226</v>
      </c>
      <c r="E18" s="36">
        <f>Q18</f>
        <v>6946.820223105226</v>
      </c>
      <c r="F18" s="36">
        <f>R18</f>
        <v>6946.820223105226</v>
      </c>
      <c r="G18" s="36">
        <f>S18</f>
        <v>6946.820223105226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6946.820223105226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6946.820223105226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6946.820223105226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6946.820223105226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6946.820223105226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6946.820223105226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48627.74156173658</v>
      </c>
      <c r="AA18" s="36">
        <f>SUM(B18:M18)</f>
        <v>41680.92133863136</v>
      </c>
      <c r="AB18" s="36">
        <f>SUM(B18:Y18)</f>
        <v>83361.84267726271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23930.35813123663</v>
      </c>
      <c r="J19" s="36">
        <f>V19</f>
        <v>28716.42975748395</v>
      </c>
      <c r="K19" s="36">
        <f>W19</f>
        <v>33502.50138373127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23930.35813123663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28716.42975748395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33502.50138373127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86149.28927245185</v>
      </c>
      <c r="AA19" s="36">
        <f>SUM(B19:M19)</f>
        <v>86149.28927245185</v>
      </c>
      <c r="AB19" s="36">
        <f>SUM(B19:Y19)</f>
        <v>172298.5785449037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168117.1162103061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168117.1162103061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168117.1162103061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168117.1162103061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336234.2324206122</v>
      </c>
      <c r="AA20" s="36">
        <f>SUM(B20:M20)</f>
        <v>336234.2324206122</v>
      </c>
      <c r="AB20" s="36">
        <f>SUM(B20:Y20)</f>
        <v>672468.4648412244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16946.82022310523</v>
      </c>
      <c r="C30" s="19">
        <f>SUM(C18:C29)</f>
        <v>16946.82022310523</v>
      </c>
      <c r="D30" s="19">
        <f>SUM(D18:D29)</f>
        <v>16946.82022310523</v>
      </c>
      <c r="E30" s="19">
        <f>SUM(E18:E29)</f>
        <v>185063.9364334113</v>
      </c>
      <c r="F30" s="19">
        <f>SUM(F18:F29)</f>
        <v>16946.82022310523</v>
      </c>
      <c r="G30" s="19">
        <f>SUM(G18:G29)</f>
        <v>16946.82022310523</v>
      </c>
      <c r="H30" s="19">
        <f>SUM(H18:H29)</f>
        <v>10000</v>
      </c>
      <c r="I30" s="19">
        <f>SUM(I18:I29)</f>
        <v>33930.35813123663</v>
      </c>
      <c r="J30" s="19">
        <f>SUM(J18:J29)</f>
        <v>38716.42975748395</v>
      </c>
      <c r="K30" s="19">
        <f>SUM(K18:K29)</f>
        <v>211619.6175940374</v>
      </c>
      <c r="L30" s="19">
        <f>SUM(L18:L29)</f>
        <v>10000</v>
      </c>
      <c r="M30" s="19">
        <f>SUM(M18:M29)</f>
        <v>10000</v>
      </c>
      <c r="N30" s="19">
        <f>SUM(N18:N29)</f>
        <v>16946.82022310523</v>
      </c>
      <c r="O30" s="19">
        <f>SUM(O18:O29)</f>
        <v>16946.82022310523</v>
      </c>
      <c r="P30" s="19">
        <f>SUM(P18:P29)</f>
        <v>16946.82022310523</v>
      </c>
      <c r="Q30" s="19">
        <f>SUM(Q18:Q29)</f>
        <v>185063.9364334113</v>
      </c>
      <c r="R30" s="19">
        <f>SUM(R18:R29)</f>
        <v>16946.82022310523</v>
      </c>
      <c r="S30" s="19">
        <f>SUM(S18:S29)</f>
        <v>16946.82022310523</v>
      </c>
      <c r="T30" s="19">
        <f>SUM(T18:T29)</f>
        <v>10000</v>
      </c>
      <c r="U30" s="19">
        <f>SUM(U18:U29)</f>
        <v>33930.35813123663</v>
      </c>
      <c r="V30" s="19">
        <f>SUM(V18:V29)</f>
        <v>38716.42975748395</v>
      </c>
      <c r="W30" s="19">
        <f>SUM(W18:W29)</f>
        <v>211619.6175940374</v>
      </c>
      <c r="X30" s="19">
        <f>SUM(X18:X29)</f>
        <v>10000</v>
      </c>
      <c r="Y30" s="19">
        <f>SUM(Y18:Y29)</f>
        <v>10000</v>
      </c>
      <c r="Z30" s="19">
        <f>SUMIF($B$13:$Y$13,"Yes",B30:Y30)</f>
        <v>601011.2632548007</v>
      </c>
      <c r="AA30" s="19">
        <f>SUM(B30:M30)</f>
        <v>584064.4430316954</v>
      </c>
      <c r="AB30" s="19">
        <f>SUM(B30:Y30)</f>
        <v>1168128.886063391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750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3462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1212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1212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Tomatoes</v>
      </c>
      <c r="B45" s="36">
        <f>N45</f>
        <v>750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750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750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750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2250</v>
      </c>
      <c r="AA45" s="36">
        <f>SUM(B45:M45)</f>
        <v>1500</v>
      </c>
      <c r="AB45" s="36">
        <f>SUM(B45:Y45)</f>
        <v>3000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4500</v>
      </c>
      <c r="E48" s="36">
        <f>Q48</f>
        <v>0</v>
      </c>
      <c r="F48" s="36">
        <f>R48</f>
        <v>1200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4500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4500</v>
      </c>
      <c r="Q48" s="46">
        <f>SUM(Q49:Q53)</f>
        <v>0</v>
      </c>
      <c r="R48" s="46">
        <f>SUM(R49:R53)</f>
        <v>1200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4500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10200</v>
      </c>
      <c r="AA48" s="46">
        <f>SUM(B48:M48)</f>
        <v>10200</v>
      </c>
      <c r="AB48" s="46">
        <f>SUM(B48:Y48)</f>
        <v>20400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1200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1200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4500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4500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4500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4500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9000</v>
      </c>
      <c r="AA51" s="46">
        <f>SUM(B51:M51)</f>
        <v>9000</v>
      </c>
      <c r="AB51" s="46">
        <f>SUM(B51:Y51)</f>
        <v>18000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17472.95990534738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17472.95990534738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17472.95990534738</v>
      </c>
      <c r="AA54" s="46">
        <f>SUM(B54:M54)</f>
        <v>17472.95990534738</v>
      </c>
      <c r="AB54" s="46">
        <f>SUM(B54:Y54)</f>
        <v>34945.91981069475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17472.95990534738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17472.95990534738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17472.95990534738</v>
      </c>
      <c r="AA56" s="46">
        <f>SUM(B56:M56)</f>
        <v>17472.95990534738</v>
      </c>
      <c r="AB56" s="46">
        <f>SUM(B56:Y56)</f>
        <v>34945.91981069475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8700</v>
      </c>
      <c r="C60" s="36">
        <f>O60</f>
        <v>11557.14285714286</v>
      </c>
      <c r="D60" s="36">
        <f>P60</f>
        <v>11557.14285714286</v>
      </c>
      <c r="E60" s="36">
        <f>Q60</f>
        <v>11557.14285714286</v>
      </c>
      <c r="F60" s="36">
        <f>R60</f>
        <v>10057.14285714286</v>
      </c>
      <c r="G60" s="36">
        <f>S60</f>
        <v>10057.14285714286</v>
      </c>
      <c r="H60" s="36">
        <f>T60</f>
        <v>11557.14285714286</v>
      </c>
      <c r="I60" s="36">
        <f>U60</f>
        <v>11557.14285714286</v>
      </c>
      <c r="J60" s="36">
        <f>V60</f>
        <v>8700</v>
      </c>
      <c r="K60" s="36">
        <f>W60</f>
        <v>8700</v>
      </c>
      <c r="L60" s="36">
        <f>X60</f>
        <v>7200</v>
      </c>
      <c r="M60" s="36">
        <f>Y60</f>
        <v>7200</v>
      </c>
      <c r="N60" s="46">
        <f>SUM(N61:N65)</f>
        <v>8700</v>
      </c>
      <c r="O60" s="46">
        <f>SUM(O61:O65)</f>
        <v>11557.14285714286</v>
      </c>
      <c r="P60" s="46">
        <f>SUM(P61:P65)</f>
        <v>11557.14285714286</v>
      </c>
      <c r="Q60" s="46">
        <f>SUM(Q61:Q65)</f>
        <v>11557.14285714286</v>
      </c>
      <c r="R60" s="46">
        <f>SUM(R61:R65)</f>
        <v>10057.14285714286</v>
      </c>
      <c r="S60" s="46">
        <f>SUM(S61:S65)</f>
        <v>10057.14285714286</v>
      </c>
      <c r="T60" s="46">
        <f>SUM(T61:T65)</f>
        <v>11557.14285714286</v>
      </c>
      <c r="U60" s="46">
        <f>SUM(U61:U65)</f>
        <v>11557.14285714286</v>
      </c>
      <c r="V60" s="46">
        <f>SUM(V61:V65)</f>
        <v>8700</v>
      </c>
      <c r="W60" s="46">
        <f>SUM(W61:W65)</f>
        <v>8700</v>
      </c>
      <c r="X60" s="46">
        <f>SUM(X61:X65)</f>
        <v>7200</v>
      </c>
      <c r="Y60" s="46">
        <f>SUM(Y61:Y65)</f>
        <v>7200</v>
      </c>
      <c r="Z60" s="46">
        <f>SUMIF($B$13:$Y$13,"Yes",B60:Y60)</f>
        <v>127100</v>
      </c>
      <c r="AA60" s="46">
        <f>SUM(B60:M60)</f>
        <v>118400</v>
      </c>
      <c r="AB60" s="46">
        <f>SUM(B60:Y60)</f>
        <v>236800.0000000001</v>
      </c>
    </row>
    <row r="61" spans="1:30" hidden="true" outlineLevel="1">
      <c r="A61" s="181" t="str">
        <f>Calculations!$A$4</f>
        <v>Beans</v>
      </c>
      <c r="B61" s="36">
        <f>N61</f>
        <v>7200</v>
      </c>
      <c r="C61" s="36">
        <f>O61</f>
        <v>7200</v>
      </c>
      <c r="D61" s="36">
        <f>P61</f>
        <v>7200</v>
      </c>
      <c r="E61" s="36">
        <f>Q61</f>
        <v>7200</v>
      </c>
      <c r="F61" s="36">
        <f>R61</f>
        <v>7200</v>
      </c>
      <c r="G61" s="36">
        <f>S61</f>
        <v>7200</v>
      </c>
      <c r="H61" s="36">
        <f>T61</f>
        <v>7200</v>
      </c>
      <c r="I61" s="36">
        <f>U61</f>
        <v>7200</v>
      </c>
      <c r="J61" s="36">
        <f>V61</f>
        <v>7200</v>
      </c>
      <c r="K61" s="36">
        <f>W61</f>
        <v>7200</v>
      </c>
      <c r="L61" s="36">
        <f>X61</f>
        <v>7200</v>
      </c>
      <c r="M61" s="36">
        <f>Y61</f>
        <v>7200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7200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7200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7200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7200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7200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7200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7200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7200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7200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7200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7200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7200</v>
      </c>
      <c r="Z61" s="46">
        <f>SUMIF($B$13:$Y$13,"Yes",B61:Y61)</f>
        <v>93600</v>
      </c>
      <c r="AA61" s="46">
        <f>SUM(B61:M61)</f>
        <v>86400</v>
      </c>
      <c r="AB61" s="46">
        <f>SUM(B61:Y61)</f>
        <v>172800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2857.142857142857</v>
      </c>
      <c r="D62" s="36">
        <f>P62</f>
        <v>2857.142857142857</v>
      </c>
      <c r="E62" s="36">
        <f>Q62</f>
        <v>2857.142857142857</v>
      </c>
      <c r="F62" s="36">
        <f>R62</f>
        <v>2857.142857142857</v>
      </c>
      <c r="G62" s="36">
        <f>S62</f>
        <v>2857.142857142857</v>
      </c>
      <c r="H62" s="36">
        <f>T62</f>
        <v>2857.142857142857</v>
      </c>
      <c r="I62" s="36">
        <f>U62</f>
        <v>2857.142857142857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2857.142857142857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2857.142857142857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2857.142857142857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2857.142857142857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2857.142857142857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2857.142857142857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2857.142857142857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20000</v>
      </c>
      <c r="AA62" s="46">
        <f>SUM(B62:M62)</f>
        <v>20000</v>
      </c>
      <c r="AB62" s="46">
        <f>SUM(B62:Y62)</f>
        <v>40000.00000000001</v>
      </c>
    </row>
    <row r="63" spans="1:30" hidden="true" outlineLevel="1">
      <c r="A63" s="181" t="str">
        <f>Calculations!$A$6</f>
        <v>Tomatoes</v>
      </c>
      <c r="B63" s="36">
        <f>N63</f>
        <v>1500</v>
      </c>
      <c r="C63" s="36">
        <f>O63</f>
        <v>1500</v>
      </c>
      <c r="D63" s="36">
        <f>P63</f>
        <v>1500</v>
      </c>
      <c r="E63" s="36">
        <f>Q63</f>
        <v>1500</v>
      </c>
      <c r="F63" s="36">
        <f>R63</f>
        <v>0</v>
      </c>
      <c r="G63" s="36">
        <f>S63</f>
        <v>0</v>
      </c>
      <c r="H63" s="36">
        <f>T63</f>
        <v>1500</v>
      </c>
      <c r="I63" s="36">
        <f>U63</f>
        <v>1500</v>
      </c>
      <c r="J63" s="36">
        <f>V63</f>
        <v>1500</v>
      </c>
      <c r="K63" s="36">
        <f>W63</f>
        <v>1500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1500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1500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1500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1500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1500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1500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1500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1500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13500</v>
      </c>
      <c r="AA63" s="46">
        <f>SUM(B63:M63)</f>
        <v>12000</v>
      </c>
      <c r="AB63" s="46">
        <f>SUM(B63:Y63)</f>
        <v>24000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8187.5</v>
      </c>
      <c r="C66" s="36">
        <f>O66</f>
        <v>9901.785714285714</v>
      </c>
      <c r="D66" s="36">
        <f>P66</f>
        <v>9901.785714285714</v>
      </c>
      <c r="E66" s="36">
        <f>Q66</f>
        <v>9901.785714285714</v>
      </c>
      <c r="F66" s="36">
        <f>R66</f>
        <v>7714.285714285714</v>
      </c>
      <c r="G66" s="36">
        <f>S66</f>
        <v>7714.285714285714</v>
      </c>
      <c r="H66" s="36">
        <f>T66</f>
        <v>9901.785714285714</v>
      </c>
      <c r="I66" s="36">
        <f>U66</f>
        <v>9901.785714285714</v>
      </c>
      <c r="J66" s="36">
        <f>V66</f>
        <v>8187.5</v>
      </c>
      <c r="K66" s="36">
        <f>W66</f>
        <v>8187.5</v>
      </c>
      <c r="L66" s="36">
        <f>X66</f>
        <v>6000</v>
      </c>
      <c r="M66" s="36">
        <f>Y66</f>
        <v>6000</v>
      </c>
      <c r="N66" s="46">
        <f>SUM(N67:N71)</f>
        <v>8187.5</v>
      </c>
      <c r="O66" s="46">
        <f>SUM(O67:O71)</f>
        <v>9901.785714285714</v>
      </c>
      <c r="P66" s="46">
        <f>SUM(P67:P71)</f>
        <v>9901.785714285714</v>
      </c>
      <c r="Q66" s="46">
        <f>SUM(Q67:Q71)</f>
        <v>9901.785714285714</v>
      </c>
      <c r="R66" s="46">
        <f>SUM(R67:R71)</f>
        <v>7714.285714285714</v>
      </c>
      <c r="S66" s="46">
        <f>SUM(S67:S71)</f>
        <v>7714.285714285714</v>
      </c>
      <c r="T66" s="46">
        <f>SUM(T67:T71)</f>
        <v>9901.785714285714</v>
      </c>
      <c r="U66" s="46">
        <f>SUM(U67:U71)</f>
        <v>9901.785714285714</v>
      </c>
      <c r="V66" s="46">
        <f>SUM(V67:V71)</f>
        <v>8187.5</v>
      </c>
      <c r="W66" s="46">
        <f>SUM(W67:W71)</f>
        <v>8187.5</v>
      </c>
      <c r="X66" s="46">
        <f>SUM(X67:X71)</f>
        <v>6000</v>
      </c>
      <c r="Y66" s="46">
        <f>SUM(Y67:Y71)</f>
        <v>6000</v>
      </c>
      <c r="Z66" s="46">
        <f>SUMIF($B$13:$Y$13,"Yes",B66:Y66)</f>
        <v>109687.5</v>
      </c>
      <c r="AA66" s="46">
        <f>SUM(B66:M66)</f>
        <v>101500</v>
      </c>
      <c r="AB66" s="46">
        <f>SUM(B66:Y66)</f>
        <v>203000</v>
      </c>
    </row>
    <row r="67" spans="1:30" hidden="true" outlineLevel="1">
      <c r="A67" s="181" t="str">
        <f>Calculations!$A$4</f>
        <v>Beans</v>
      </c>
      <c r="B67" s="36">
        <f>N67</f>
        <v>6000</v>
      </c>
      <c r="C67" s="36">
        <f>O67</f>
        <v>6000</v>
      </c>
      <c r="D67" s="36">
        <f>P67</f>
        <v>6000</v>
      </c>
      <c r="E67" s="36">
        <f>Q67</f>
        <v>6000</v>
      </c>
      <c r="F67" s="36">
        <f>R67</f>
        <v>6000</v>
      </c>
      <c r="G67" s="36">
        <f>S67</f>
        <v>6000</v>
      </c>
      <c r="H67" s="36">
        <f>T67</f>
        <v>6000</v>
      </c>
      <c r="I67" s="36">
        <f>U67</f>
        <v>6000</v>
      </c>
      <c r="J67" s="36">
        <f>V67</f>
        <v>6000</v>
      </c>
      <c r="K67" s="36">
        <f>W67</f>
        <v>6000</v>
      </c>
      <c r="L67" s="36">
        <f>X67</f>
        <v>6000</v>
      </c>
      <c r="M67" s="36">
        <f>Y67</f>
        <v>6000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6000</v>
      </c>
      <c r="Z67" s="46">
        <f>SUMIF($B$13:$Y$13,"Yes",B67:Y67)</f>
        <v>78000</v>
      </c>
      <c r="AA67" s="46">
        <f>SUM(B67:M67)</f>
        <v>72000</v>
      </c>
      <c r="AB67" s="46">
        <f>SUM(B67:Y67)</f>
        <v>144000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1714.285714285714</v>
      </c>
      <c r="D68" s="36">
        <f>P68</f>
        <v>1714.285714285714</v>
      </c>
      <c r="E68" s="36">
        <f>Q68</f>
        <v>1714.285714285714</v>
      </c>
      <c r="F68" s="36">
        <f>R68</f>
        <v>1714.285714285714</v>
      </c>
      <c r="G68" s="36">
        <f>S68</f>
        <v>1714.285714285714</v>
      </c>
      <c r="H68" s="36">
        <f>T68</f>
        <v>1714.285714285714</v>
      </c>
      <c r="I68" s="36">
        <f>U68</f>
        <v>1714.285714285714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1714.285714285714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1714.285714285714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1714.285714285714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1714.285714285714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1714.285714285714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1714.285714285714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1714.285714285714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12000</v>
      </c>
      <c r="AA68" s="46">
        <f>SUM(B68:M68)</f>
        <v>12000</v>
      </c>
      <c r="AB68" s="46">
        <f>SUM(B68:Y68)</f>
        <v>24000</v>
      </c>
    </row>
    <row r="69" spans="1:30" hidden="true" outlineLevel="1">
      <c r="A69" s="181" t="str">
        <f>Calculations!$A$6</f>
        <v>Tomatoes</v>
      </c>
      <c r="B69" s="36">
        <f>N69</f>
        <v>2187.5</v>
      </c>
      <c r="C69" s="36">
        <f>O69</f>
        <v>2187.5</v>
      </c>
      <c r="D69" s="36">
        <f>P69</f>
        <v>2187.5</v>
      </c>
      <c r="E69" s="36">
        <f>Q69</f>
        <v>2187.5</v>
      </c>
      <c r="F69" s="36">
        <f>R69</f>
        <v>0</v>
      </c>
      <c r="G69" s="36">
        <f>S69</f>
        <v>0</v>
      </c>
      <c r="H69" s="36">
        <f>T69</f>
        <v>2187.5</v>
      </c>
      <c r="I69" s="36">
        <f>U69</f>
        <v>2187.5</v>
      </c>
      <c r="J69" s="36">
        <f>V69</f>
        <v>2187.5</v>
      </c>
      <c r="K69" s="36">
        <f>W69</f>
        <v>2187.5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2187.5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2187.5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2187.5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2187.5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2187.5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2187.5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2187.5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2187.5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19687.5</v>
      </c>
      <c r="AA69" s="46">
        <f>SUM(B69:M69)</f>
        <v>17500</v>
      </c>
      <c r="AB69" s="46">
        <f>SUM(B69:Y69)</f>
        <v>35000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8000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8000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16000</v>
      </c>
      <c r="AA72" s="46">
        <f>SUM(B72:M72)</f>
        <v>8000</v>
      </c>
      <c r="AB72" s="46">
        <f>SUM(B72:Y72)</f>
        <v>16000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</v>
      </c>
      <c r="C79" s="46">
        <f>Inputs!$B$31</f>
        <v>7000</v>
      </c>
      <c r="D79" s="46">
        <f>Inputs!$B$31</f>
        <v>7000</v>
      </c>
      <c r="E79" s="46">
        <f>Inputs!$B$31</f>
        <v>7000</v>
      </c>
      <c r="F79" s="46">
        <f>Inputs!$B$31</f>
        <v>7000</v>
      </c>
      <c r="G79" s="46">
        <f>Inputs!$B$31</f>
        <v>7000</v>
      </c>
      <c r="H79" s="46">
        <f>Inputs!$B$31</f>
        <v>7000</v>
      </c>
      <c r="I79" s="46">
        <f>Inputs!$B$31</f>
        <v>7000</v>
      </c>
      <c r="J79" s="46">
        <f>Inputs!$B$31</f>
        <v>7000</v>
      </c>
      <c r="K79" s="46">
        <f>Inputs!$B$31</f>
        <v>7000</v>
      </c>
      <c r="L79" s="46">
        <f>Inputs!$B$31</f>
        <v>7000</v>
      </c>
      <c r="M79" s="46">
        <f>Inputs!$B$31</f>
        <v>7000</v>
      </c>
      <c r="N79" s="46">
        <f>Inputs!$B$31</f>
        <v>7000</v>
      </c>
      <c r="O79" s="46">
        <f>Inputs!$B$31</f>
        <v>7000</v>
      </c>
      <c r="P79" s="46">
        <f>Inputs!$B$31</f>
        <v>7000</v>
      </c>
      <c r="Q79" s="46">
        <f>Inputs!$B$31</f>
        <v>7000</v>
      </c>
      <c r="R79" s="46">
        <f>Inputs!$B$31</f>
        <v>7000</v>
      </c>
      <c r="S79" s="46">
        <f>Inputs!$B$31</f>
        <v>7000</v>
      </c>
      <c r="T79" s="46">
        <f>Inputs!$B$31</f>
        <v>7000</v>
      </c>
      <c r="U79" s="46">
        <f>Inputs!$B$31</f>
        <v>7000</v>
      </c>
      <c r="V79" s="46">
        <f>Inputs!$B$31</f>
        <v>7000</v>
      </c>
      <c r="W79" s="46">
        <f>Inputs!$B$31</f>
        <v>7000</v>
      </c>
      <c r="X79" s="46">
        <f>Inputs!$B$31</f>
        <v>7000</v>
      </c>
      <c r="Y79" s="46">
        <f>Inputs!$B$31</f>
        <v>7000</v>
      </c>
      <c r="Z79" s="46">
        <f>SUMIF($B$13:$Y$13,"Yes",B79:Y79)</f>
        <v>91000</v>
      </c>
      <c r="AA79" s="46">
        <f>SUM(B79:M79)</f>
        <v>84000</v>
      </c>
      <c r="AB79" s="46">
        <f>SUM(B79:Y79)</f>
        <v>168000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8059.316104211604</v>
      </c>
      <c r="C81" s="46">
        <f>(SUM($AA$18:$AA$29)-SUM($AA$36,$AA$42,$AA$48,$AA$54,$AA$60,$AA$66,$AA$72:$AA$79))*Parameters!$B$37/12</f>
        <v>8059.316104211604</v>
      </c>
      <c r="D81" s="46">
        <f>(SUM($AA$18:$AA$29)-SUM($AA$36,$AA$42,$AA$48,$AA$54,$AA$60,$AA$66,$AA$72:$AA$79))*Parameters!$B$37/12</f>
        <v>8059.316104211604</v>
      </c>
      <c r="E81" s="46">
        <f>(SUM($AA$18:$AA$29)-SUM($AA$36,$AA$42,$AA$48,$AA$54,$AA$60,$AA$66,$AA$72:$AA$79))*Parameters!$B$37/12</f>
        <v>8059.316104211604</v>
      </c>
      <c r="F81" s="46">
        <f>(SUM($AA$18:$AA$29)-SUM($AA$36,$AA$42,$AA$48,$AA$54,$AA$60,$AA$66,$AA$72:$AA$79))*Parameters!$B$37/12</f>
        <v>8059.316104211604</v>
      </c>
      <c r="G81" s="46">
        <f>(SUM($AA$18:$AA$29)-SUM($AA$36,$AA$42,$AA$48,$AA$54,$AA$60,$AA$66,$AA$72:$AA$79))*Parameters!$B$37/12</f>
        <v>8059.316104211604</v>
      </c>
      <c r="H81" s="46">
        <f>(SUM($AA$18:$AA$29)-SUM($AA$36,$AA$42,$AA$48,$AA$54,$AA$60,$AA$66,$AA$72:$AA$79))*Parameters!$B$37/12</f>
        <v>8059.316104211604</v>
      </c>
      <c r="I81" s="46">
        <f>(SUM($AA$18:$AA$29)-SUM($AA$36,$AA$42,$AA$48,$AA$54,$AA$60,$AA$66,$AA$72:$AA$79))*Parameters!$B$37/12</f>
        <v>8059.316104211604</v>
      </c>
      <c r="J81" s="46">
        <f>(SUM($AA$18:$AA$29)-SUM($AA$36,$AA$42,$AA$48,$AA$54,$AA$60,$AA$66,$AA$72:$AA$79))*Parameters!$B$37/12</f>
        <v>8059.316104211604</v>
      </c>
      <c r="K81" s="46">
        <f>(SUM($AA$18:$AA$29)-SUM($AA$36,$AA$42,$AA$48,$AA$54,$AA$60,$AA$66,$AA$72:$AA$79))*Parameters!$B$37/12</f>
        <v>8059.316104211604</v>
      </c>
      <c r="L81" s="46">
        <f>(SUM($AA$18:$AA$29)-SUM($AA$36,$AA$42,$AA$48,$AA$54,$AA$60,$AA$66,$AA$72:$AA$79))*Parameters!$B$37/12</f>
        <v>8059.316104211604</v>
      </c>
      <c r="M81" s="46">
        <f>(SUM($AA$18:$AA$29)-SUM($AA$36,$AA$42,$AA$48,$AA$54,$AA$60,$AA$66,$AA$72:$AA$79))*Parameters!$B$37/12</f>
        <v>8059.316104211604</v>
      </c>
      <c r="N81" s="46">
        <f>(SUM($AA$18:$AA$29)-SUM($AA$36,$AA$42,$AA$48,$AA$54,$AA$60,$AA$66,$AA$72:$AA$79))*Parameters!$B$37/12</f>
        <v>8059.316104211604</v>
      </c>
      <c r="O81" s="46">
        <f>(SUM($AA$18:$AA$29)-SUM($AA$36,$AA$42,$AA$48,$AA$54,$AA$60,$AA$66,$AA$72:$AA$79))*Parameters!$B$37/12</f>
        <v>8059.316104211604</v>
      </c>
      <c r="P81" s="46">
        <f>(SUM($AA$18:$AA$29)-SUM($AA$36,$AA$42,$AA$48,$AA$54,$AA$60,$AA$66,$AA$72:$AA$79))*Parameters!$B$37/12</f>
        <v>8059.316104211604</v>
      </c>
      <c r="Q81" s="46">
        <f>(SUM($AA$18:$AA$29)-SUM($AA$36,$AA$42,$AA$48,$AA$54,$AA$60,$AA$66,$AA$72:$AA$79))*Parameters!$B$37/12</f>
        <v>8059.316104211604</v>
      </c>
      <c r="R81" s="46">
        <f>(SUM($AA$18:$AA$29)-SUM($AA$36,$AA$42,$AA$48,$AA$54,$AA$60,$AA$66,$AA$72:$AA$79))*Parameters!$B$37/12</f>
        <v>8059.316104211604</v>
      </c>
      <c r="S81" s="46">
        <f>(SUM($AA$18:$AA$29)-SUM($AA$36,$AA$42,$AA$48,$AA$54,$AA$60,$AA$66,$AA$72:$AA$79))*Parameters!$B$37/12</f>
        <v>8059.316104211604</v>
      </c>
      <c r="T81" s="46">
        <f>(SUM($AA$18:$AA$29)-SUM($AA$36,$AA$42,$AA$48,$AA$54,$AA$60,$AA$66,$AA$72:$AA$79))*Parameters!$B$37/12</f>
        <v>8059.316104211604</v>
      </c>
      <c r="U81" s="46">
        <f>(SUM($AA$18:$AA$29)-SUM($AA$36,$AA$42,$AA$48,$AA$54,$AA$60,$AA$66,$AA$72:$AA$79))*Parameters!$B$37/12</f>
        <v>8059.316104211604</v>
      </c>
      <c r="V81" s="46">
        <f>(SUM($AA$18:$AA$29)-SUM($AA$36,$AA$42,$AA$48,$AA$54,$AA$60,$AA$66,$AA$72:$AA$79))*Parameters!$B$37/12</f>
        <v>8059.316104211604</v>
      </c>
      <c r="W81" s="46">
        <f>(SUM($AA$18:$AA$29)-SUM($AA$36,$AA$42,$AA$48,$AA$54,$AA$60,$AA$66,$AA$72:$AA$79))*Parameters!$B$37/12</f>
        <v>8059.316104211604</v>
      </c>
      <c r="X81" s="46">
        <f>(SUM($AA$18:$AA$29)-SUM($AA$36,$AA$42,$AA$48,$AA$54,$AA$60,$AA$66,$AA$72:$AA$79))*Parameters!$B$37/12</f>
        <v>8059.316104211604</v>
      </c>
      <c r="Y81" s="46">
        <f>(SUM($AA$18:$AA$29)-SUM($AA$36,$AA$42,$AA$48,$AA$54,$AA$60,$AA$66,$AA$72:$AA$79))*Parameters!$B$37/12</f>
        <v>8059.316104211604</v>
      </c>
      <c r="Z81" s="46">
        <f>SUMIF($B$13:$Y$13,"Yes",B81:Y81)</f>
        <v>104771.1093547509</v>
      </c>
      <c r="AA81" s="46">
        <f>SUM(B81:M81)</f>
        <v>96711.79325053928</v>
      </c>
      <c r="AB81" s="46">
        <f>SUM(B81:Y81)</f>
        <v>193423.5865010786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40696.8161042116</v>
      </c>
      <c r="C88" s="19">
        <f>SUM(C72:C82,C66,C60,C54,C48,C42,C36)</f>
        <v>37730.24467564018</v>
      </c>
      <c r="D88" s="19">
        <f>SUM(D72:D82,D66,D60,D54,D48,D42,D36)</f>
        <v>41018.24467564018</v>
      </c>
      <c r="E88" s="19">
        <f>SUM(E72:E82,E66,E60,E54,E48,E42,E36)</f>
        <v>36518.24467564018</v>
      </c>
      <c r="F88" s="19">
        <f>SUM(F72:F82,F66,F60,F54,F48,F42,F36)</f>
        <v>34030.74467564018</v>
      </c>
      <c r="G88" s="19">
        <f>SUM(G72:G82,G66,G60,G54,G48,G42,G36)</f>
        <v>32830.74467564018</v>
      </c>
      <c r="H88" s="19">
        <f>SUM(H72:H82,H66,H60,H54,H48,H42,H36)</f>
        <v>37268.24467564018</v>
      </c>
      <c r="I88" s="19">
        <f>SUM(I72:I82,I66,I60,I54,I48,I42,I36)</f>
        <v>53991.20458098756</v>
      </c>
      <c r="J88" s="19">
        <f>SUM(J72:J82,J66,J60,J54,J48,J42,J36)</f>
        <v>36446.8161042116</v>
      </c>
      <c r="K88" s="19">
        <f>SUM(K72:K82,K66,K60,K54,K48,K42,K36)</f>
        <v>31946.8161042116</v>
      </c>
      <c r="L88" s="19">
        <f>SUM(L72:L82,L66,L60,L54,L48,L42,L36)</f>
        <v>28259.3161042116</v>
      </c>
      <c r="M88" s="19">
        <f>SUM(M72:M82,M66,M60,M54,M48,M42,M36)</f>
        <v>28259.3161042116</v>
      </c>
      <c r="N88" s="19">
        <f>SUM(N72:N82,N66,N60,N54,N48,N42,N36)</f>
        <v>40696.8161042116</v>
      </c>
      <c r="O88" s="19">
        <f>SUM(O72:O82,O66,O60,O54,O48,O42,O36)</f>
        <v>37730.24467564018</v>
      </c>
      <c r="P88" s="19">
        <f>SUM(P72:P82,P66,P60,P54,P48,P42,P36)</f>
        <v>41018.24467564018</v>
      </c>
      <c r="Q88" s="19">
        <f>SUM(Q72:Q82,Q66,Q60,Q54,Q48,Q42,Q36)</f>
        <v>36518.24467564018</v>
      </c>
      <c r="R88" s="19">
        <f>SUM(R72:R82,R66,R60,R54,R48,R42,R36)</f>
        <v>34030.74467564018</v>
      </c>
      <c r="S88" s="19">
        <f>SUM(S72:S82,S66,S60,S54,S48,S42,S36)</f>
        <v>32830.74467564018</v>
      </c>
      <c r="T88" s="19">
        <f>SUM(T72:T82,T66,T60,T54,T48,T42,T36)</f>
        <v>37268.24467564018</v>
      </c>
      <c r="U88" s="19">
        <f>SUM(U72:U82,U66,U60,U54,U48,U42,U36)</f>
        <v>53991.20458098756</v>
      </c>
      <c r="V88" s="19">
        <f>SUM(V72:V82,V66,V60,V54,V48,V42,V36)</f>
        <v>36446.8161042116</v>
      </c>
      <c r="W88" s="19">
        <f>SUM(W72:W82,W66,W60,W54,W48,W42,W36)</f>
        <v>31946.8161042116</v>
      </c>
      <c r="X88" s="19">
        <f>SUM(X72:X82,X66,X60,X54,X48,X42,X36)</f>
        <v>28259.3161042116</v>
      </c>
      <c r="Y88" s="19">
        <f>SUM(Y72:Y82,Y66,Y60,Y54,Y48,Y42,Y36)</f>
        <v>28259.3161042116</v>
      </c>
      <c r="Z88" s="19">
        <f>SUMIF($B$13:$Y$13,"Yes",B88:Y88)</f>
        <v>479693.5692600983</v>
      </c>
      <c r="AA88" s="19">
        <f>SUM(B88:M88)</f>
        <v>438996.7531558867</v>
      </c>
      <c r="AB88" s="19">
        <f>SUM(B88:Y88)</f>
        <v>877993.5063117732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10</v>
      </c>
      <c r="N8" s="154">
        <v>2</v>
      </c>
    </row>
    <row r="9" spans="1:48">
      <c r="A9" s="143" t="s">
        <v>96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10000</v>
      </c>
    </row>
    <row r="31" spans="1:48">
      <c r="A31" s="5" t="s">
        <v>117</v>
      </c>
      <c r="B31" s="158">
        <v>7000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>
        <v>8000</v>
      </c>
    </row>
    <row r="42" spans="1:48">
      <c r="A42" s="55" t="s">
        <v>127</v>
      </c>
      <c r="B42" s="139" t="s">
        <v>97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125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200000</v>
      </c>
    </row>
    <row r="47" spans="1:48" customHeight="1" ht="30">
      <c r="A47" s="57" t="s">
        <v>133</v>
      </c>
      <c r="B47" s="161">
        <v>20000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10000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145</v>
      </c>
      <c r="C65" s="10" t="s">
        <v>146</v>
      </c>
    </row>
    <row r="66" spans="1:48">
      <c r="A66" s="142" t="s">
        <v>97</v>
      </c>
      <c r="B66" s="159">
        <v>50000</v>
      </c>
      <c r="C66" s="163">
        <v>20000</v>
      </c>
      <c r="D66" s="49">
        <f>INDEX(Parameters!$D$79:$D$90,MATCH(Inputs!A66,Parameters!$C$79:$C$90,0))</f>
        <v>1</v>
      </c>
    </row>
    <row r="67" spans="1:48">
      <c r="A67" s="143" t="s">
        <v>95</v>
      </c>
      <c r="B67" s="157">
        <v>50000</v>
      </c>
      <c r="C67" s="165">
        <v>25000</v>
      </c>
      <c r="D67" s="49">
        <f>INDEX(Parameters!$D$79:$D$90,MATCH(Inputs!A67,Parameters!$C$79:$C$90,0))</f>
        <v>2</v>
      </c>
    </row>
    <row r="68" spans="1:48">
      <c r="A68" s="143" t="s">
        <v>147</v>
      </c>
      <c r="B68" s="157">
        <v>50000</v>
      </c>
      <c r="C68" s="165">
        <v>15000</v>
      </c>
      <c r="D68" s="49">
        <f>INDEX(Parameters!$D$79:$D$90,MATCH(Inputs!A68,Parameters!$C$79:$C$90,0))</f>
        <v>3</v>
      </c>
    </row>
    <row r="69" spans="1:48">
      <c r="A69" s="143" t="s">
        <v>148</v>
      </c>
      <c r="B69" s="157">
        <v>75000</v>
      </c>
      <c r="C69" s="165">
        <v>30000</v>
      </c>
      <c r="D69" s="49">
        <f>INDEX(Parameters!$D$79:$D$90,MATCH(Inputs!A69,Parameters!$C$79:$C$90,0))</f>
        <v>4</v>
      </c>
    </row>
    <row r="70" spans="1:48">
      <c r="A70" s="143" t="s">
        <v>149</v>
      </c>
      <c r="B70" s="157">
        <v>50000</v>
      </c>
      <c r="C70" s="165">
        <v>20000</v>
      </c>
      <c r="D70" s="49">
        <f>INDEX(Parameters!$D$79:$D$90,MATCH(Inputs!A70,Parameters!$C$79:$C$90,0))</f>
        <v>5</v>
      </c>
    </row>
    <row r="71" spans="1:48">
      <c r="A71" s="144" t="s">
        <v>150</v>
      </c>
      <c r="B71" s="158">
        <v>60000</v>
      </c>
      <c r="C71" s="167">
        <v>28000</v>
      </c>
      <c r="D71" s="49">
        <f>INDEX(Parameters!$D$79:$D$90,MATCH(Inputs!A71,Parameters!$C$79:$C$90,0))</f>
        <v>6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Beans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24.5</v>
      </c>
      <c r="P4" s="22">
        <f>IFERROR(INDEX(Parameters!$A$3:$V$17,MATCH(Calculations!$A4,Parameters!$A$3:$A$17,0),MATCH($P$3,Parameters!$A$3:$V$3,0)),0)</f>
        <v>0.1</v>
      </c>
      <c r="Q4" s="33">
        <f>M4*O4*(1-N4)*MAX(S4,1)</f>
        <v>83361.84267726271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30000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42856</v>
      </c>
      <c r="D5" s="39">
        <f>IFERROR(DATE(YEAR(B5),MONTH(B5)+T5,DAY(B5)),"")</f>
        <v>42948</v>
      </c>
      <c r="E5" s="39">
        <f>IFERROR(IF($S5=0,"",IF($S5=2,DATE(YEAR(B5),MONTH(B5)+6,DAY(B5)),IF($S5=1,B5,""))),"")</f>
        <v>42767</v>
      </c>
      <c r="F5" s="39">
        <f>IFERROR(IF($S5=0,"",IF($S5=2,DATE(YEAR(C5),MONTH(C5)+6,DAY(C5)),IF($S5=1,C5,""))),"")</f>
        <v>42856</v>
      </c>
      <c r="G5" s="39">
        <f>IFERROR(IF($S5=0,"",IF($S5=2,DATE(YEAR(D5),MONTH(D5)+6,DAY(D5)),IF($S5=1,D5,""))),"")</f>
        <v>42948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1899.234772320367</v>
      </c>
      <c r="M5" s="30">
        <f>L5*H5</f>
        <v>3798.469544640734</v>
      </c>
      <c r="N5" s="22">
        <f>Calculations!U5</f>
        <v>0.1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0.2</v>
      </c>
      <c r="Q5" s="34">
        <f>M5*O5*(1-N5)*MAX(S5,1)</f>
        <v>71791.07439370987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10000</v>
      </c>
      <c r="AA5" s="34">
        <f>IFERROR(IF(Inputs!N8&gt;0,INDEX(Parameters!$A$3:$AI$17,MATCH(Calculations!A5,Parameters!$A$3:$A$17,0),MATCH(Parameters!$R$3,Parameters!$A$3:$AI$3,0)),0)*M5/S5,0)</f>
        <v>8736.479952673688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42736</v>
      </c>
      <c r="C6" s="39">
        <f>IFERROR(DATE(YEAR(B6),MONTH(B6)+ROUND(T6/2,0),DAY(B6)),B6)</f>
        <v>42795</v>
      </c>
      <c r="D6" s="39">
        <f>IFERROR(DATE(YEAR(B6),MONTH(B6)+T6,DAY(B6)),"")</f>
        <v>42826</v>
      </c>
      <c r="E6" s="39">
        <f>IFERROR(IF($S6=0,"",IF($S6=2,DATE(YEAR(B6),MONTH(B6)+6,DAY(B6)),IF($S6=1,B6,""))),"")</f>
        <v>42917</v>
      </c>
      <c r="F6" s="39">
        <f>IFERROR(IF($S6=0,"",IF($S6=2,DATE(YEAR(C6),MONTH(C6)+6,DAY(C6)),IF($S6=1,C6,""))),"")</f>
        <v>42979</v>
      </c>
      <c r="G6" s="39">
        <f>IFERROR(IF($S6=0,"",IF($S6=2,DATE(YEAR(D6),MONTH(D6)+6,DAY(D6)),IF($S6=1,D6,""))),"")</f>
        <v>43009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5056.15387098665</v>
      </c>
      <c r="M6" s="30">
        <f>L6*H6</f>
        <v>5056.15387098665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35</v>
      </c>
      <c r="P6" s="22">
        <f>IFERROR(INDEX(Parameters!$A$3:$V$17,MATCH(Calculations!$A6,Parameters!$A$3:$A$17,0),MATCH($P$3,Parameters!$A$3:$V$3,0)),0)</f>
        <v>0</v>
      </c>
      <c r="Q6" s="34">
        <f>M6*O6*(1-N6)*MAX(S6,1)</f>
        <v>336234.2324206122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750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4500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17500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99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138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42770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42767</v>
      </c>
      <c r="F33" t="s">
        <v>156</v>
      </c>
      <c r="G33" s="128">
        <f>IF(Inputs!B79="","",DATE(YEAR(Inputs!B79),MONTH(Inputs!B79),DAY(Inputs!B79)))</f>
        <v>42739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42798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42795</v>
      </c>
      <c r="F34" t="s">
        <v>157</v>
      </c>
      <c r="G34" s="128">
        <f>IF(Inputs!B80="","",DATE(YEAR(Inputs!B80),MONTH(Inputs!B80),DAY(Inputs!B80)))</f>
        <v>42770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42829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42826</v>
      </c>
      <c r="F35" t="s">
        <v>159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42859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42856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42890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42887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42920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42917</v>
      </c>
      <c r="F38" t="s">
        <v>222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42951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42948</v>
      </c>
      <c r="F39" t="s">
        <v>165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42982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42979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43012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43009</v>
      </c>
      <c r="F41" t="s">
        <v>223</v>
      </c>
      <c r="G41" s="73">
        <f>IFERROR(G35/(G38-G39),"")</f>
        <v>8333.333333333334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43043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43040</v>
      </c>
      <c r="F42" t="s">
        <v>224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43073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43104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197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99</v>
      </c>
      <c r="B41" s="191" t="s">
        <v>125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309</v>
      </c>
      <c r="H52" s="12" t="s">
        <v>129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125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125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125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125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125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125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125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162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221</v>
      </c>
      <c r="J76" s="11" t="s">
        <v>343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125</v>
      </c>
      <c r="F77" s="12" t="s">
        <v>125</v>
      </c>
      <c r="G77" s="12" t="s">
        <v>345</v>
      </c>
      <c r="H77" s="12" t="s">
        <v>129</v>
      </c>
      <c r="I77" s="12" t="s">
        <v>346</v>
      </c>
      <c r="J77" s="136" t="s">
        <v>347</v>
      </c>
      <c r="K77" s="12" t="s">
        <v>125</v>
      </c>
      <c r="AJ77" s="12"/>
    </row>
    <row r="78" spans="1:36">
      <c r="A78" t="s">
        <v>125</v>
      </c>
      <c r="B78" s="176">
        <v>5</v>
      </c>
      <c r="C78" s="134" t="s">
        <v>348</v>
      </c>
      <c r="D78" s="133"/>
      <c r="E78" s="12" t="s">
        <v>349</v>
      </c>
      <c r="F78" s="12" t="s">
        <v>93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125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162</v>
      </c>
      <c r="J79" s="70" t="s">
        <v>356</v>
      </c>
      <c r="K79" s="12" t="s">
        <v>125</v>
      </c>
      <c r="AJ79" s="12"/>
    </row>
    <row r="80" spans="1:36">
      <c r="B80" s="176">
        <v>20</v>
      </c>
      <c r="C80" s="12" t="s">
        <v>95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