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<sst xmlns="http://schemas.openxmlformats.org/spreadsheetml/2006/main" uniqueCount="366">
  <si>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</si>
  <si>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</si>
  <si>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</si>
  <si>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</si>
  <si>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</si>
  <si>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</si>
  <si>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</si>
  <si>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</si>
  <si>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</si>
  <si>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</si>
  <si>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</si>
  <si>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</si>
  <si>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</si>
  <si>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</si>
  <si>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</si>
  <si>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</si>
  <si>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</si>
  <si>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</si>
  <si>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</si>
  <si>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</si>
  <si>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</si>
  <si>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</si>
  <si>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</si>
  <si>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</si>
  <si>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</si>
  <si>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</si>
  <si>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</si>
  <si>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</si>
  <si>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</si>
  <si>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</si>
  <si>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</si>
  <si>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</si>
  <si>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</si>
  <si>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</si>
  <si>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</si>
  <si>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</si>
  <si>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</si>
  <si>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</si>
  <si>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</si>
  <si>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</si>
  <si>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</si>
  <si>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</si>
  <si>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</si>
  <si>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</si>
  <si>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</si>
  <si>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</si>
  <si>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</si>
  <si>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</si>
  <si>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</si>
  <si>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</si>
  <si>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</si>
  <si>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</si>
  <si>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</si>
  <si>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</si>
  <si>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</si>
  <si>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</si>
  <si>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</si>
  <si>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</si>
  <si>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</si>
  <si>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</si>
  <si>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</si>
  <si>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</si>
  <si>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</si>
  <si>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</si>
  <si>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</si>
  <si>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</si>
  <si>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</si>
  <si>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</si>
  <si>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</si>
  <si>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</si>
  <si>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</si>
  <si>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</si>
  <si>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</si>
  <si>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</si>
  <si>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</si>
  <si>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</si>
  <si>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</si>
  <si>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</si>
  <si>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</si>
  <si>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</si>
  <si>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</si>
  <si>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</si>
  <si>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</si>
  <si>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</si>
  <si>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</si>
  <si>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</si>
  <si>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</si>
  <si>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</si>
  <si>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</si>
  <si>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Wheat</t>
  </si>
  <si>
    <t>Shop_certified variety</t>
  </si>
  <si>
    <t>Yes Inorganic fertizers</t>
  </si>
  <si>
    <t>Yes</t>
  </si>
  <si>
    <t>No</t>
  </si>
  <si>
    <t>Maize</t>
  </si>
  <si>
    <t>Yes both manure and inorganic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</si>
  <si>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</si>
  <si>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</si>
  <si>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</si>
  <si>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</si>
  <si>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</si>
  <si>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</si>
  <si>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</si>
  <si>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</si>
  <si>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</si>
  <si>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</si>
  <si>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</si>
  <si>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</si>
  <si>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</si>
  <si>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</si>
  <si>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</si>
  <si>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</si>
  <si>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</si>
  <si>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</si>
  <si>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</si>
  <si>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</si>
  <si>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</si>
  <si>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</si>
  <si>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</si>
  <si>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</si>
  <si>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</si>
  <si>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</si>
  <si>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</si>
  <si>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</si>
  <si>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</si>
  <si>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</si>
  <si>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</si>
  <si>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</si>
  <si>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</si>
  <si>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</si>
  <si>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</si>
  <si>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</si>
  <si>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</si>
  <si>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</si>
  <si>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</si>
  <si>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</si>
  <si>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</si>
  <si>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</si>
  <si>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</si>
  <si>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</si>
  <si>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</si>
  <si>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</si>
  <si>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</si>
  <si>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</si>
  <si>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</si>
  <si>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</si>
  <si>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</si>
  <si>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April</t>
  </si>
  <si>
    <t>May</t>
  </si>
  <si>
    <t>June</t>
  </si>
  <si>
    <t>July</t>
  </si>
  <si>
    <t>August</t>
  </si>
  <si>
    <t>September</t>
  </si>
  <si>
    <t>Loan info</t>
  </si>
  <si>
    <t>Branch ID</t>
  </si>
  <si>
    <t>Submission date</t>
  </si>
  <si>
    <t>2017/1/7</t>
  </si>
  <si>
    <t>Loan terms</t>
  </si>
  <si>
    <t>Expected disbursement date</t>
  </si>
  <si>
    <t>2017/1/10</t>
  </si>
  <si>
    <t>Expected first repayment date</t>
  </si>
  <si>
    <t>2017/2/10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</si>
  <si>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</si>
  <si>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</si>
  <si>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</si>
  <si>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</si>
  <si>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</si>
  <si>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</si>
  <si>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</si>
  <si>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</si>
  <si>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</si>
  <si>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</si>
  <si>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</si>
  <si>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</si>
  <si>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</si>
  <si>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</si>
  <si>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</si>
  <si>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</si>
  <si>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</si>
  <si>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</si>
  <si>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</si>
  <si>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</si>
  <si>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</si>
  <si>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</si>
  <si>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</si>
  <si>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</si>
  <si>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</si>
  <si>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</si>
  <si>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</si>
  <si>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</si>
  <si>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</si>
  <si>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</si>
  <si>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</si>
  <si>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</si>
  <si>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</si>
  <si>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</si>
  <si>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</si>
  <si>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</si>
  <si>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</si>
  <si>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</si>
  <si>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</si>
  <si>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</si>
  <si>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</si>
  <si>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</si>
  <si>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</si>
  <si>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</si>
  <si>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</si>
  <si>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</si>
  <si>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</si>
  <si>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</si>
  <si>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</si>
  <si>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</si>
  <si>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</si>
  <si>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</si>
  <si>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</si>
  <si>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</si>
  <si>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</si>
  <si>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</si>
  <si>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</si>
  <si>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</si>
  <si>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</si>
  <si>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</si>
  <si>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</si>
  <si>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</si>
  <si>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</si>
  <si>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</si>
  <si>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</si>
  <si>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</si>
  <si>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</si>
  <si>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</si>
  <si>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</si>
  <si>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</si>
  <si>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</si>
  <si>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</si>
  <si>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</si>
  <si>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</si>
  <si>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</si>
  <si>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</si>
  <si>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</si>
  <si>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</si>
  <si>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</si>
  <si>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</si>
  <si>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</si>
  <si>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</si>
  <si>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</si>
  <si>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</si>
  <si>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</si>
  <si>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</si>
  <si>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</si>
  <si>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</si>
  <si>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</si>
  <si>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</si>
  <si>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</si>
  <si>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</si>
  <si>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</si>
  <si>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</si>
  <si>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</si>
  <si>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</si>
  <si>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</si>
  <si>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</si>
  <si>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</si>
  <si>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</si>
  <si>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</si>
  <si>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</si>
  <si>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</si>
  <si>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</si>
  <si>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</si>
  <si>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</si>
  <si>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</si>
  <si>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</si>
  <si>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</si>
  <si>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</si>
  <si>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</si>
  <si>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</si>
  <si>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</si>
  <si>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</si>
  <si>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</si>
  <si>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</si>
  <si>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</si>
  <si>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</si>
  <si>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</si>
  <si>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</si>
  <si>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</si>
  <si>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</si>
  <si>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</si>
  <si>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</si>
  <si>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</si>
  <si>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</si>
  <si>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</si>
  <si>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</si>
  <si>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</si>
  <si>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</si>
  <si>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</si>
  <si>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</si>
  <si>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</si>
  <si>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</si>
  <si>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</si>
  <si>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</si>
  <si>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</si>
  <si>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</si>
  <si>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</si>
  <si>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</si>
  <si>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</si>
  <si>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</si>
  <si>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</si>
  <si>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</si>
  <si>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</si>
  <si>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</si>
  <si>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</si>
  <si>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</si>
  <si>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</si>
  <si>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</si>
  <si>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</si>
  <si>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</si>
  <si>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</si>
  <si>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</si>
  <si>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</si>
  <si>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</si>
  <si>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</si>
  <si>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</si>
  <si>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</si>
  <si>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</si>
  <si>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</si>
  <si>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</si>
  <si>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</si>
  <si>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</si>
  <si>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</si>
  <si>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</si>
  <si>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</si>
  <si>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</si>
  <si>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</si>
  <si>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</si>
  <si>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</si>
  <si>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</si>
  <si>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</si>
  <si>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</si>
  <si>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</si>
  <si>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</si>
  <si>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</si>
  <si>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</si>
  <si>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</si>
  <si>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</si>
  <si>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</si>
  <si>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</si>
  <si>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</si>
  <si>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</si>
  <si>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</si>
  <si>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</si>
  <si>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</si>
  <si>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</si>
  <si>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</si>
  <si>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</si>
  <si>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</si>
  <si>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</si>
  <si>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</si>
  <si>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</si>
  <si>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</si>
  <si>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</si>
  <si>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</si>
  <si>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</si>
  <si>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without the use of a pump</t>
  </si>
  <si>
    <t>March</t>
  </si>
  <si>
    <t>NGO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</si>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</sst>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Wheat,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</v>
      </c>
    </row>
    <row r="8" spans="1:7">
      <c r="B8" s="1" t="s">
        <v>4</v>
      </c>
      <c r="C8">
        <f>IF(Inputs!B29="","None",Inputs!B29)</f>
        <v>15000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0.5760334689121883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2017</v>
      </c>
    </row>
    <row r="13" spans="1:7">
      <c r="B13" s="1" t="s">
        <v>8</v>
      </c>
      <c r="C13" s="67">
        <f>IFERROR(Output!B107/Output!B101,"")</f>
        <v>0.004007858546168959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87427.39726027398</v>
      </c>
    </row>
    <row r="17" spans="1:7">
      <c r="B17" s="1" t="s">
        <v>11</v>
      </c>
      <c r="C17" s="36">
        <f>SUM(Output!B6:M6)</f>
        <v>-28469.80865232204</v>
      </c>
    </row>
    <row r="18" spans="1:7">
      <c r="B18" s="1" t="s">
        <v>12</v>
      </c>
      <c r="C18" s="36">
        <f>MIN(Output!B6:M6)</f>
        <v>-189943.7407891567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2017</v>
      </c>
    </row>
    <row r="20" spans="1:7">
      <c r="B20" s="1" t="s">
        <v>14</v>
      </c>
      <c r="C20" s="36">
        <f>MAX(Output!B6:M6)</f>
        <v>238548.5844185569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133034.0994315317</v>
      </c>
      <c r="C6" s="51">
        <f>C30-C88</f>
        <v>17529.813717246</v>
      </c>
      <c r="D6" s="51">
        <f>D30-D88</f>
        <v>86619.813717246</v>
      </c>
      <c r="E6" s="51">
        <f>E30-E88</f>
        <v>86619.813717246</v>
      </c>
      <c r="F6" s="51">
        <f>F30-F88</f>
        <v>86619.813717246</v>
      </c>
      <c r="G6" s="51">
        <f>G30-G88</f>
        <v>86619.813717246</v>
      </c>
      <c r="H6" s="51">
        <f>H30-H88</f>
        <v>-189943.7407891567</v>
      </c>
      <c r="I6" s="51">
        <f>I30-I88</f>
        <v>238548.5844185569</v>
      </c>
      <c r="J6" s="51">
        <f>J30-J88</f>
        <v>-143529.455074871</v>
      </c>
      <c r="K6" s="51">
        <f>K30-K88</f>
        <v>-143529.455074871</v>
      </c>
      <c r="L6" s="51">
        <f>L30-L88</f>
        <v>-143529.455074871</v>
      </c>
      <c r="M6" s="51">
        <f>M30-M88</f>
        <v>-143529.455074871</v>
      </c>
      <c r="N6" s="51">
        <f>N30-N88</f>
        <v>133034.0994315317</v>
      </c>
      <c r="O6" s="51">
        <f>O30-O88</f>
        <v>17529.813717246</v>
      </c>
      <c r="P6" s="51">
        <f>P30-P88</f>
        <v>86619.813717246</v>
      </c>
      <c r="Q6" s="51">
        <f>Q30-Q88</f>
        <v>86619.813717246</v>
      </c>
      <c r="R6" s="51">
        <f>R30-R88</f>
        <v>86619.813717246</v>
      </c>
      <c r="S6" s="51">
        <f>S30-S88</f>
        <v>86619.813717246</v>
      </c>
      <c r="T6" s="51">
        <f>T30-T88</f>
        <v>-189943.7407891567</v>
      </c>
      <c r="U6" s="51">
        <f>U30-U88</f>
        <v>238548.5844185569</v>
      </c>
      <c r="V6" s="51">
        <f>V30-V88</f>
        <v>-143529.455074871</v>
      </c>
      <c r="W6" s="51">
        <f>W30-W88</f>
        <v>-143529.455074871</v>
      </c>
      <c r="X6" s="51">
        <f>X30-X88</f>
        <v>-143529.455074871</v>
      </c>
      <c r="Y6" s="51">
        <f>Y30-Y88</f>
        <v>-143529.455074871</v>
      </c>
      <c r="Z6" s="51">
        <f>SUMIF($B$13:$Y$13,"Yes",B6:Y6)</f>
        <v>307099.427228605</v>
      </c>
      <c r="AA6" s="51">
        <f>AA30-AA88</f>
        <v>-28469.80865232227</v>
      </c>
      <c r="AB6" s="51">
        <f>AB30-AB88</f>
        <v>-56939.61730464455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>
        <f>IF(ISERROR(VLOOKUP(MONTH(E5),Inputs!$D$66:$D$71,1,0)),"",INDEX(Inputs!$B$66:$B$71,MATCH(MONTH(Output!E5),Inputs!$D$66:$D$71,0))-INDEX(Inputs!$C$66:$C$71,MATCH(MONTH(Output!E5),Inputs!$D$66:$D$71,0)))</f>
        <v>13420</v>
      </c>
      <c r="F7" s="80">
        <f>IF(ISERROR(VLOOKUP(MONTH(F5),Inputs!$D$66:$D$71,1,0)),"",INDEX(Inputs!$B$66:$B$71,MATCH(MONTH(Output!F5),Inputs!$D$66:$D$71,0))-INDEX(Inputs!$C$66:$C$71,MATCH(MONTH(Output!F5),Inputs!$D$66:$D$71,0)))</f>
        <v>12959</v>
      </c>
      <c r="G7" s="80">
        <f>IF(ISERROR(VLOOKUP(MONTH(G5),Inputs!$D$66:$D$71,1,0)),"",INDEX(Inputs!$B$66:$B$71,MATCH(MONTH(Output!G5),Inputs!$D$66:$D$71,0))-INDEX(Inputs!$C$66:$C$71,MATCH(MONTH(Output!G5),Inputs!$D$66:$D$71,0)))</f>
        <v>12997</v>
      </c>
      <c r="H7" s="80">
        <f>IF(ISERROR(VLOOKUP(MONTH(H5),Inputs!$D$66:$D$71,1,0)),"",INDEX(Inputs!$B$66:$B$71,MATCH(MONTH(Output!H5),Inputs!$D$66:$D$71,0))-INDEX(Inputs!$C$66:$C$71,MATCH(MONTH(Output!H5),Inputs!$D$66:$D$71,0)))</f>
        <v>1931230</v>
      </c>
      <c r="I7" s="80">
        <f>IF(ISERROR(VLOOKUP(MONTH(I5),Inputs!$D$66:$D$71,1,0)),"",INDEX(Inputs!$B$66:$B$71,MATCH(MONTH(Output!I5),Inputs!$D$66:$D$71,0))-INDEX(Inputs!$C$66:$C$71,MATCH(MONTH(Output!I5),Inputs!$D$66:$D$71,0)))</f>
        <v>1900250</v>
      </c>
      <c r="J7" s="80">
        <f>IF(ISERROR(VLOOKUP(MONTH(J5),Inputs!$D$66:$D$71,1,0)),"",INDEX(Inputs!$B$66:$B$71,MATCH(MONTH(Output!J5),Inputs!$D$66:$D$71,0))-INDEX(Inputs!$C$66:$C$71,MATCH(MONTH(Output!J5),Inputs!$D$66:$D$71,0)))</f>
        <v>1136300</v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>
        <f>IF(ISERROR(VLOOKUP(MONTH(Q5),Inputs!$D$66:$D$71,1,0)),"",INDEX(Inputs!$B$66:$B$71,MATCH(MONTH(Output!Q5),Inputs!$D$66:$D$71,0))-INDEX(Inputs!$C$66:$C$71,MATCH(MONTH(Output!Q5),Inputs!$D$66:$D$71,0)))</f>
        <v>13420</v>
      </c>
      <c r="R7" s="80">
        <f>IF(ISERROR(VLOOKUP(MONTH(R5),Inputs!$D$66:$D$71,1,0)),"",INDEX(Inputs!$B$66:$B$71,MATCH(MONTH(Output!R5),Inputs!$D$66:$D$71,0))-INDEX(Inputs!$C$66:$C$71,MATCH(MONTH(Output!R5),Inputs!$D$66:$D$71,0)))</f>
        <v>12959</v>
      </c>
      <c r="S7" s="80">
        <f>IF(ISERROR(VLOOKUP(MONTH(S5),Inputs!$D$66:$D$71,1,0)),"",INDEX(Inputs!$B$66:$B$71,MATCH(MONTH(Output!S5),Inputs!$D$66:$D$71,0))-INDEX(Inputs!$C$66:$C$71,MATCH(MONTH(Output!S5),Inputs!$D$66:$D$71,0)))</f>
        <v>12997</v>
      </c>
      <c r="T7" s="80">
        <f>IF(ISERROR(VLOOKUP(MONTH(T5),Inputs!$D$66:$D$71,1,0)),"",INDEX(Inputs!$B$66:$B$71,MATCH(MONTH(Output!T5),Inputs!$D$66:$D$71,0))-INDEX(Inputs!$C$66:$C$71,MATCH(MONTH(Output!T5),Inputs!$D$66:$D$71,0)))</f>
        <v>1931230</v>
      </c>
      <c r="U7" s="80">
        <f>IF(ISERROR(VLOOKUP(MONTH(U5),Inputs!$D$66:$D$71,1,0)),"",INDEX(Inputs!$B$66:$B$71,MATCH(MONTH(Output!U5),Inputs!$D$66:$D$71,0))-INDEX(Inputs!$C$66:$C$71,MATCH(MONTH(Output!U5),Inputs!$D$66:$D$71,0)))</f>
        <v>1900250</v>
      </c>
      <c r="V7" s="80">
        <f>IF(ISERROR(VLOOKUP(MONTH(V5),Inputs!$D$66:$D$71,1,0)),"",INDEX(Inputs!$B$66:$B$71,MATCH(MONTH(Output!V5),Inputs!$D$66:$D$71,0))-INDEX(Inputs!$C$66:$C$71,MATCH(MONTH(Output!V5),Inputs!$D$66:$D$71,0)))</f>
        <v>1136300</v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58284.93150684932</v>
      </c>
      <c r="D10" s="37">
        <f>SUMPRODUCT((Calculations!$D$33:$D$84=Output!D5)+0,Calculations!$C$33:$C$84)</f>
        <v>58284.93150684932</v>
      </c>
      <c r="E10" s="37">
        <f>SUMPRODUCT((Calculations!$D$33:$D$84=Output!E5)+0,Calculations!$C$33:$C$84)</f>
        <v>58284.93150684932</v>
      </c>
      <c r="F10" s="37">
        <f>SUMPRODUCT((Calculations!$D$33:$D$84=Output!F5)+0,Calculations!$C$33:$C$84)</f>
        <v>58284.93150684932</v>
      </c>
      <c r="G10" s="37">
        <f>SUMPRODUCT((Calculations!$D$33:$D$84=Output!G5)+0,Calculations!$C$33:$C$84)</f>
        <v>87427.39726027398</v>
      </c>
      <c r="H10" s="37">
        <f>SUMPRODUCT((Calculations!$D$33:$D$84=Output!H5)+0,Calculations!$C$33:$C$84)</f>
        <v>29142.46575342466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349709.5890410959</v>
      </c>
      <c r="AA10" s="37">
        <f>SUM(B10:M10)</f>
        <v>349709.5890410959</v>
      </c>
      <c r="AB10" s="37">
        <f>SUM(B10:Y10)</f>
        <v>349709.5890410959</v>
      </c>
    </row>
    <row r="11" spans="1:30" customHeight="1" ht="15.75">
      <c r="A11" s="43" t="s">
        <v>31</v>
      </c>
      <c r="B11" s="80">
        <f>B6+B9-B10</f>
        <v>433034.0994315317</v>
      </c>
      <c r="C11" s="80">
        <f>C6+C9-C10</f>
        <v>-40755.11778960332</v>
      </c>
      <c r="D11" s="80">
        <f>D6+D9-D10</f>
        <v>28334.88221039668</v>
      </c>
      <c r="E11" s="80">
        <f>E6+E9-E10</f>
        <v>28334.88221039668</v>
      </c>
      <c r="F11" s="80">
        <f>F6+F9-F10</f>
        <v>28334.88221039668</v>
      </c>
      <c r="G11" s="80">
        <f>G6+G9-G10</f>
        <v>-807.583543027984</v>
      </c>
      <c r="H11" s="80">
        <f>H6+H9-H10</f>
        <v>-219086.2065425813</v>
      </c>
      <c r="I11" s="80">
        <f>I6+I9-I10</f>
        <v>238548.5844185569</v>
      </c>
      <c r="J11" s="80">
        <f>J6+J9-J10</f>
        <v>-143529.455074871</v>
      </c>
      <c r="K11" s="80">
        <f>K6+K9-K10</f>
        <v>-143529.455074871</v>
      </c>
      <c r="L11" s="80">
        <f>L6+L9-L10</f>
        <v>-143529.455074871</v>
      </c>
      <c r="M11" s="80">
        <f>M6+M9-M10</f>
        <v>-143529.455074871</v>
      </c>
      <c r="N11" s="80">
        <f>N6+N9-N10</f>
        <v>133034.0994315317</v>
      </c>
      <c r="O11" s="80">
        <f>O6+O9-O10</f>
        <v>17529.813717246</v>
      </c>
      <c r="P11" s="80">
        <f>P6+P9-P10</f>
        <v>86619.813717246</v>
      </c>
      <c r="Q11" s="80">
        <f>Q6+Q9-Q10</f>
        <v>86619.813717246</v>
      </c>
      <c r="R11" s="80">
        <f>R6+R9-R10</f>
        <v>86619.813717246</v>
      </c>
      <c r="S11" s="80">
        <f>S6+S9-S10</f>
        <v>86619.813717246</v>
      </c>
      <c r="T11" s="80">
        <f>T6+T9-T10</f>
        <v>-189943.7407891567</v>
      </c>
      <c r="U11" s="80">
        <f>U6+U9-U10</f>
        <v>238548.5844185569</v>
      </c>
      <c r="V11" s="80">
        <f>V6+V9-V10</f>
        <v>-143529.455074871</v>
      </c>
      <c r="W11" s="80">
        <f>W6+W9-W10</f>
        <v>-143529.455074871</v>
      </c>
      <c r="X11" s="80">
        <f>X6+X9-X10</f>
        <v>-143529.455074871</v>
      </c>
      <c r="Y11" s="80">
        <f>Y6+Y9-Y10</f>
        <v>-143529.455074871</v>
      </c>
      <c r="Z11" s="85">
        <f>SUMIF($B$13:$Y$13,"Yes",B11:Y11)</f>
        <v>257389.8381875092</v>
      </c>
      <c r="AA11" s="80">
        <f>SUM(B11:M11)</f>
        <v>-78179.39769341773</v>
      </c>
      <c r="AB11" s="46">
        <f>SUM(B11:Y11)</f>
        <v>-106649.2063457397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0.1293599638273814</v>
      </c>
      <c r="D12" s="82">
        <f>IF(D13="Yes",IF(SUM($B$10:D10)/(SUM($B$6:D6)+SUM($B$9:D9))&lt;0,999.99,SUM($B$10:D10)/(SUM($B$6:D6)+SUM($B$9:D9))),"")</f>
        <v>0.2170018509193815</v>
      </c>
      <c r="E12" s="82">
        <f>IF(E13="Yes",IF(SUM($B$10:E10)/(SUM($B$6:E6)+SUM($B$9:E9))&lt;0,999.99,SUM($B$10:E10)/(SUM($B$6:E6)+SUM($B$9:E9))),"")</f>
        <v>0.2803042675215581</v>
      </c>
      <c r="F12" s="82">
        <f>IF(F13="Yes",IF(SUM($B$10:F10)/(SUM($B$6:F6)+SUM($B$9:F9))&lt;0,999.99,SUM($B$10:F10)/(SUM($B$6:F6)+SUM($B$9:F9))),"")</f>
        <v>0.3281701320995382</v>
      </c>
      <c r="G12" s="82">
        <f>IF(G13="Yes",IF(SUM($B$10:G10)/(SUM($B$6:G6)+SUM($B$9:G9))&lt;0,999.99,SUM($B$10:G10)/(SUM($B$6:G6)+SUM($B$9:G9))),"")</f>
        <v>0.4021954345144422</v>
      </c>
      <c r="H12" s="82">
        <f>IF(H13="Yes",IF(SUM($B$10:H10)/(SUM($B$6:H6)+SUM($B$9:H9))&lt;0,999.99,SUM($B$10:H10)/(SUM($B$6:H6)+SUM($B$9:H9))),"")</f>
        <v>0.5760334689121883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Wheat</v>
      </c>
      <c r="B18" s="36">
        <f>N18</f>
        <v>276563.5545064027</v>
      </c>
      <c r="C18" s="36">
        <f>O18</f>
        <v>276563.5545064027</v>
      </c>
      <c r="D18" s="36">
        <f>P18</f>
        <v>276563.5545064027</v>
      </c>
      <c r="E18" s="36">
        <f>Q18</f>
        <v>276563.5545064027</v>
      </c>
      <c r="F18" s="36">
        <f>R18</f>
        <v>276563.5545064027</v>
      </c>
      <c r="G18" s="36">
        <f>S18</f>
        <v>276563.5545064027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276563.5545064027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276563.5545064027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276563.5545064027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276563.5545064027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276563.5545064027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276563.5545064027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1659381.327038416</v>
      </c>
      <c r="AA18" s="36">
        <f>SUM(B18:M18)</f>
        <v>1659381.327038416</v>
      </c>
      <c r="AB18" s="36">
        <f>SUM(B18:Y18)</f>
        <v>3318762.654076831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428492.3252077136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428492.3252077136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428492.3252077136</v>
      </c>
      <c r="AB19" s="36">
        <f>SUM(B19:Y19)</f>
        <v>856984.6504154272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116000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25555.55555555556</v>
      </c>
      <c r="C24" s="36">
        <f>IFERROR(Calculations!$P14/12,"")</f>
        <v>25555.55555555556</v>
      </c>
      <c r="D24" s="36">
        <f>IFERROR(Calculations!$P14/12,"")</f>
        <v>25555.55555555556</v>
      </c>
      <c r="E24" s="36">
        <f>IFERROR(Calculations!$P14/12,"")</f>
        <v>25555.55555555556</v>
      </c>
      <c r="F24" s="36">
        <f>IFERROR(Calculations!$P14/12,"")</f>
        <v>25555.55555555556</v>
      </c>
      <c r="G24" s="36">
        <f>IFERROR(Calculations!$P14/12,"")</f>
        <v>25555.55555555556</v>
      </c>
      <c r="H24" s="36">
        <f>IFERROR(Calculations!$P14/12,"")</f>
        <v>25555.55555555556</v>
      </c>
      <c r="I24" s="36">
        <f>IFERROR(Calculations!$P14/12,"")</f>
        <v>25555.55555555556</v>
      </c>
      <c r="J24" s="36">
        <f>IFERROR(Calculations!$P14/12,"")</f>
        <v>25555.55555555556</v>
      </c>
      <c r="K24" s="36">
        <f>IFERROR(Calculations!$P14/12,"")</f>
        <v>25555.55555555556</v>
      </c>
      <c r="L24" s="36">
        <f>IFERROR(Calculations!$P14/12,"")</f>
        <v>25555.55555555556</v>
      </c>
      <c r="M24" s="36">
        <f>IFERROR(Calculations!$P14/12,"")</f>
        <v>25555.55555555556</v>
      </c>
      <c r="N24" s="36">
        <f>IFERROR(Calculations!$P14/12,"")</f>
        <v>25555.55555555556</v>
      </c>
      <c r="O24" s="36">
        <f>IFERROR(Calculations!$P14/12,"")</f>
        <v>25555.55555555556</v>
      </c>
      <c r="P24" s="36">
        <f>IFERROR(Calculations!$P14/12,"")</f>
        <v>25555.55555555556</v>
      </c>
      <c r="Q24" s="36">
        <f>IFERROR(Calculations!$P14/12,"")</f>
        <v>25555.55555555556</v>
      </c>
      <c r="R24" s="36">
        <f>IFERROR(Calculations!$P14/12,"")</f>
        <v>25555.55555555556</v>
      </c>
      <c r="S24" s="36">
        <f>IFERROR(Calculations!$P14/12,"")</f>
        <v>25555.55555555556</v>
      </c>
      <c r="T24" s="36">
        <f>IFERROR(Calculations!$P14/12,"")</f>
        <v>25555.55555555556</v>
      </c>
      <c r="U24" s="36">
        <f>IFERROR(Calculations!$P14/12,"")</f>
        <v>25555.55555555556</v>
      </c>
      <c r="V24" s="36">
        <f>IFERROR(Calculations!$P14/12,"")</f>
        <v>25555.55555555556</v>
      </c>
      <c r="W24" s="36">
        <f>IFERROR(Calculations!$P14/12,"")</f>
        <v>25555.55555555556</v>
      </c>
      <c r="X24" s="36">
        <f>IFERROR(Calculations!$P14/12,"")</f>
        <v>25555.55555555556</v>
      </c>
      <c r="Y24" s="36">
        <f>IFERROR(Calculations!$P14/12,"")</f>
        <v>25555.55555555556</v>
      </c>
      <c r="Z24" s="36">
        <f>SUMIF($B$13:$Y$13,"Yes",B24:Y24)</f>
        <v>178888.8888888889</v>
      </c>
      <c r="AA24" s="36">
        <f>SUM(B24:M24)</f>
        <v>306666.6666666667</v>
      </c>
      <c r="AB24" s="46">
        <f>SUM(B24:Y24)</f>
        <v>613333.3333333333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8333.333333333334</v>
      </c>
      <c r="C25" s="36">
        <f>IFERROR(Calculations!$P15/12,"")</f>
        <v>8333.333333333334</v>
      </c>
      <c r="D25" s="36">
        <f>IFERROR(Calculations!$P15/12,"")</f>
        <v>8333.333333333334</v>
      </c>
      <c r="E25" s="36">
        <f>IFERROR(Calculations!$P15/12,"")</f>
        <v>8333.333333333334</v>
      </c>
      <c r="F25" s="36">
        <f>IFERROR(Calculations!$P15/12,"")</f>
        <v>8333.333333333334</v>
      </c>
      <c r="G25" s="36">
        <f>IFERROR(Calculations!$P15/12,"")</f>
        <v>8333.333333333334</v>
      </c>
      <c r="H25" s="36">
        <f>IFERROR(Calculations!$P15/12,"")</f>
        <v>8333.333333333334</v>
      </c>
      <c r="I25" s="36">
        <f>IFERROR(Calculations!$P15/12,"")</f>
        <v>8333.333333333334</v>
      </c>
      <c r="J25" s="36">
        <f>IFERROR(Calculations!$P15/12,"")</f>
        <v>8333.333333333334</v>
      </c>
      <c r="K25" s="36">
        <f>IFERROR(Calculations!$P15/12,"")</f>
        <v>8333.333333333334</v>
      </c>
      <c r="L25" s="36">
        <f>IFERROR(Calculations!$P15/12,"")</f>
        <v>8333.333333333334</v>
      </c>
      <c r="M25" s="36">
        <f>IFERROR(Calculations!$P15/12,"")</f>
        <v>8333.333333333334</v>
      </c>
      <c r="N25" s="36">
        <f>IFERROR(Calculations!$P15/12,"")</f>
        <v>8333.333333333334</v>
      </c>
      <c r="O25" s="36">
        <f>IFERROR(Calculations!$P15/12,"")</f>
        <v>8333.333333333334</v>
      </c>
      <c r="P25" s="36">
        <f>IFERROR(Calculations!$P15/12,"")</f>
        <v>8333.333333333334</v>
      </c>
      <c r="Q25" s="36">
        <f>IFERROR(Calculations!$P15/12,"")</f>
        <v>8333.333333333334</v>
      </c>
      <c r="R25" s="36">
        <f>IFERROR(Calculations!$P15/12,"")</f>
        <v>8333.333333333334</v>
      </c>
      <c r="S25" s="36">
        <f>IFERROR(Calculations!$P15/12,"")</f>
        <v>8333.333333333334</v>
      </c>
      <c r="T25" s="36">
        <f>IFERROR(Calculations!$P15/12,"")</f>
        <v>8333.333333333334</v>
      </c>
      <c r="U25" s="36">
        <f>IFERROR(Calculations!$P15/12,"")</f>
        <v>8333.333333333334</v>
      </c>
      <c r="V25" s="36">
        <f>IFERROR(Calculations!$P15/12,"")</f>
        <v>8333.333333333334</v>
      </c>
      <c r="W25" s="36">
        <f>IFERROR(Calculations!$P15/12,"")</f>
        <v>8333.333333333334</v>
      </c>
      <c r="X25" s="36">
        <f>IFERROR(Calculations!$P15/12,"")</f>
        <v>8333.333333333334</v>
      </c>
      <c r="Y25" s="36">
        <f>IFERROR(Calculations!$P15/12,"")</f>
        <v>8333.333333333334</v>
      </c>
      <c r="Z25" s="36">
        <f>SUMIF($B$13:$Y$13,"Yes",B25:Y25)</f>
        <v>58333.33333333334</v>
      </c>
      <c r="AA25" s="36">
        <f>SUM(B25:M25)</f>
        <v>99999.99999999999</v>
      </c>
      <c r="AB25" s="46">
        <f>SUM(B25:Y25)</f>
        <v>200000.0000000001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</v>
      </c>
      <c r="C29" s="37">
        <f>Inputs!$B$30</f>
        <v>25000</v>
      </c>
      <c r="D29" s="37">
        <f>Inputs!$B$30</f>
        <v>25000</v>
      </c>
      <c r="E29" s="37">
        <f>Inputs!$B$30</f>
        <v>25000</v>
      </c>
      <c r="F29" s="37">
        <f>Inputs!$B$30</f>
        <v>25000</v>
      </c>
      <c r="G29" s="37">
        <f>Inputs!$B$30</f>
        <v>25000</v>
      </c>
      <c r="H29" s="37">
        <f>Inputs!$B$30</f>
        <v>25000</v>
      </c>
      <c r="I29" s="37">
        <f>Inputs!$B$30</f>
        <v>25000</v>
      </c>
      <c r="J29" s="37">
        <f>Inputs!$B$30</f>
        <v>25000</v>
      </c>
      <c r="K29" s="37">
        <f>Inputs!$B$30</f>
        <v>25000</v>
      </c>
      <c r="L29" s="37">
        <f>Inputs!$B$30</f>
        <v>25000</v>
      </c>
      <c r="M29" s="37">
        <f>Inputs!$B$30</f>
        <v>25000</v>
      </c>
      <c r="N29" s="37">
        <f>Inputs!$B$30</f>
        <v>25000</v>
      </c>
      <c r="O29" s="37">
        <f>Inputs!$B$30</f>
        <v>25000</v>
      </c>
      <c r="P29" s="37">
        <f>Inputs!$B$30</f>
        <v>25000</v>
      </c>
      <c r="Q29" s="37">
        <f>Inputs!$B$30</f>
        <v>25000</v>
      </c>
      <c r="R29" s="37">
        <f>Inputs!$B$30</f>
        <v>25000</v>
      </c>
      <c r="S29" s="37">
        <f>Inputs!$B$30</f>
        <v>25000</v>
      </c>
      <c r="T29" s="37">
        <f>Inputs!$B$30</f>
        <v>25000</v>
      </c>
      <c r="U29" s="37">
        <f>Inputs!$B$30</f>
        <v>25000</v>
      </c>
      <c r="V29" s="37">
        <f>Inputs!$B$30</f>
        <v>25000</v>
      </c>
      <c r="W29" s="37">
        <f>Inputs!$B$30</f>
        <v>25000</v>
      </c>
      <c r="X29" s="37">
        <f>Inputs!$B$30</f>
        <v>25000</v>
      </c>
      <c r="Y29" s="37">
        <f>Inputs!$B$30</f>
        <v>25000</v>
      </c>
      <c r="Z29" s="37">
        <f>SUMIF($B$13:$Y$13,"Yes",B29:Y29)</f>
        <v>175000</v>
      </c>
      <c r="AA29" s="37">
        <f>SUM(B29:M29)</f>
        <v>300000</v>
      </c>
      <c r="AB29" s="37">
        <f>SUM(B29:Y29)</f>
        <v>600000</v>
      </c>
    </row>
    <row r="30" spans="1:30" customHeight="1" ht="15.75">
      <c r="A30" s="1" t="s">
        <v>37</v>
      </c>
      <c r="B30" s="19">
        <f>SUM(B18:B29)</f>
        <v>335452.4433952916</v>
      </c>
      <c r="C30" s="19">
        <f>SUM(C18:C29)</f>
        <v>335452.4433952916</v>
      </c>
      <c r="D30" s="19">
        <f>SUM(D18:D29)</f>
        <v>335452.4433952916</v>
      </c>
      <c r="E30" s="19">
        <f>SUM(E18:E29)</f>
        <v>335452.4433952916</v>
      </c>
      <c r="F30" s="19">
        <f>SUM(F18:F29)</f>
        <v>335452.4433952916</v>
      </c>
      <c r="G30" s="19">
        <f>SUM(G18:G29)</f>
        <v>335452.4433952916</v>
      </c>
      <c r="H30" s="19">
        <f>SUM(H18:H29)</f>
        <v>58888.88888888889</v>
      </c>
      <c r="I30" s="19">
        <f>SUM(I18:I29)</f>
        <v>487381.2140966025</v>
      </c>
      <c r="J30" s="19">
        <f>SUM(J18:J29)</f>
        <v>58888.88888888889</v>
      </c>
      <c r="K30" s="19">
        <f>SUM(K18:K29)</f>
        <v>58888.88888888889</v>
      </c>
      <c r="L30" s="19">
        <f>SUM(L18:L29)</f>
        <v>58888.88888888889</v>
      </c>
      <c r="M30" s="19">
        <f>SUM(M18:M29)</f>
        <v>58888.88888888889</v>
      </c>
      <c r="N30" s="19">
        <f>SUM(N18:N29)</f>
        <v>335452.4433952916</v>
      </c>
      <c r="O30" s="19">
        <f>SUM(O18:O29)</f>
        <v>335452.4433952916</v>
      </c>
      <c r="P30" s="19">
        <f>SUM(P18:P29)</f>
        <v>335452.4433952916</v>
      </c>
      <c r="Q30" s="19">
        <f>SUM(Q18:Q29)</f>
        <v>335452.4433952916</v>
      </c>
      <c r="R30" s="19">
        <f>SUM(R18:R29)</f>
        <v>335452.4433952916</v>
      </c>
      <c r="S30" s="19">
        <f>SUM(S18:S29)</f>
        <v>335452.4433952916</v>
      </c>
      <c r="T30" s="19">
        <f>SUM(T18:T29)</f>
        <v>58888.88888888889</v>
      </c>
      <c r="U30" s="19">
        <f>SUM(U18:U29)</f>
        <v>487381.2140966025</v>
      </c>
      <c r="V30" s="19">
        <f>SUM(V18:V29)</f>
        <v>58888.88888888889</v>
      </c>
      <c r="W30" s="19">
        <f>SUM(W18:W29)</f>
        <v>58888.88888888889</v>
      </c>
      <c r="X30" s="19">
        <f>SUM(X18:X29)</f>
        <v>58888.88888888889</v>
      </c>
      <c r="Y30" s="19">
        <f>SUM(Y18:Y29)</f>
        <v>58888.88888888889</v>
      </c>
      <c r="Z30" s="19">
        <f>SUMIF($B$13:$Y$13,"Yes",B30:Y30)</f>
        <v>2071603.549260638</v>
      </c>
      <c r="AA30" s="19">
        <f>SUM(B30:M30)</f>
        <v>2794540.318912797</v>
      </c>
      <c r="AB30" s="19">
        <f>SUM(B30:Y30)</f>
        <v>5589080.637825592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60000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60000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60000</v>
      </c>
      <c r="AA36" s="36">
        <f>SUM(B36:M36)</f>
        <v>60000</v>
      </c>
      <c r="AB36" s="36">
        <f>SUM(B36:Y36)</f>
        <v>120000</v>
      </c>
      <c r="AC36" s="73"/>
    </row>
    <row r="37" spans="1:30" hidden="true" outlineLevel="1">
      <c r="A37" s="181" t="str">
        <f>Calculations!$A$4</f>
        <v>Wheat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60000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60000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60000</v>
      </c>
      <c r="AA38" s="36">
        <f>SUM(B38:M38)</f>
        <v>60000</v>
      </c>
      <c r="AB38" s="36">
        <f>SUM(B38:Y38)</f>
        <v>120000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9090.000000000002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9090.000000000002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9090.000000000002</v>
      </c>
      <c r="AA42" s="36">
        <f>SUM(B42:M42)</f>
        <v>9090.000000000002</v>
      </c>
      <c r="AB42" s="36">
        <f>SUM(B42:Y42)</f>
        <v>18180</v>
      </c>
    </row>
    <row r="43" spans="1:30" hidden="true" outlineLevel="1">
      <c r="A43" s="181" t="str">
        <f>Calculations!$A$4</f>
        <v>Wheat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9090.000000000002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9090.000000000002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9090.000000000002</v>
      </c>
      <c r="AA44" s="36">
        <f>SUM(B44:M44)</f>
        <v>9090.000000000002</v>
      </c>
      <c r="AB44" s="36">
        <f>SUM(B44:Y44)</f>
        <v>18180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Wheat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Wheat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Wheat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180500</v>
      </c>
      <c r="C66" s="36">
        <f>O66</f>
        <v>226914.2857142857</v>
      </c>
      <c r="D66" s="36">
        <f>P66</f>
        <v>226914.2857142857</v>
      </c>
      <c r="E66" s="36">
        <f>Q66</f>
        <v>226914.2857142857</v>
      </c>
      <c r="F66" s="36">
        <f>R66</f>
        <v>226914.2857142857</v>
      </c>
      <c r="G66" s="36">
        <f>S66</f>
        <v>226914.2857142857</v>
      </c>
      <c r="H66" s="36">
        <f>T66</f>
        <v>226914.2857142857</v>
      </c>
      <c r="I66" s="36">
        <f>U66</f>
        <v>226914.2857142857</v>
      </c>
      <c r="J66" s="36">
        <f>V66</f>
        <v>180500</v>
      </c>
      <c r="K66" s="36">
        <f>W66</f>
        <v>180500</v>
      </c>
      <c r="L66" s="36">
        <f>X66</f>
        <v>180500</v>
      </c>
      <c r="M66" s="36">
        <f>Y66</f>
        <v>180500</v>
      </c>
      <c r="N66" s="46">
        <f>SUM(N67:N71)</f>
        <v>180500</v>
      </c>
      <c r="O66" s="46">
        <f>SUM(O67:O71)</f>
        <v>226914.2857142857</v>
      </c>
      <c r="P66" s="46">
        <f>SUM(P67:P71)</f>
        <v>226914.2857142857</v>
      </c>
      <c r="Q66" s="46">
        <f>SUM(Q67:Q71)</f>
        <v>226914.2857142857</v>
      </c>
      <c r="R66" s="46">
        <f>SUM(R67:R71)</f>
        <v>226914.2857142857</v>
      </c>
      <c r="S66" s="46">
        <f>SUM(S67:S71)</f>
        <v>226914.2857142857</v>
      </c>
      <c r="T66" s="46">
        <f>SUM(T67:T71)</f>
        <v>226914.2857142857</v>
      </c>
      <c r="U66" s="46">
        <f>SUM(U67:U71)</f>
        <v>226914.2857142857</v>
      </c>
      <c r="V66" s="46">
        <f>SUM(V67:V71)</f>
        <v>180500</v>
      </c>
      <c r="W66" s="46">
        <f>SUM(W67:W71)</f>
        <v>180500</v>
      </c>
      <c r="X66" s="46">
        <f>SUM(X67:X71)</f>
        <v>180500</v>
      </c>
      <c r="Y66" s="46">
        <f>SUM(Y67:Y71)</f>
        <v>180500</v>
      </c>
      <c r="Z66" s="46">
        <f>SUMIF($B$13:$Y$13,"Yes",B66:Y66)</f>
        <v>1541985.714285714</v>
      </c>
      <c r="AA66" s="46">
        <f>SUM(B66:M66)</f>
        <v>2490900</v>
      </c>
      <c r="AB66" s="46">
        <f>SUM(B66:Y66)</f>
        <v>4981800.000000001</v>
      </c>
    </row>
    <row r="67" spans="1:30" hidden="true" outlineLevel="1">
      <c r="A67" s="181" t="str">
        <f>Calculations!$A$4</f>
        <v>Wheat</v>
      </c>
      <c r="B67" s="36">
        <f>N67</f>
        <v>180500</v>
      </c>
      <c r="C67" s="36">
        <f>O67</f>
        <v>180500</v>
      </c>
      <c r="D67" s="36">
        <f>P67</f>
        <v>180500</v>
      </c>
      <c r="E67" s="36">
        <f>Q67</f>
        <v>180500</v>
      </c>
      <c r="F67" s="36">
        <f>R67</f>
        <v>180500</v>
      </c>
      <c r="G67" s="36">
        <f>S67</f>
        <v>180500</v>
      </c>
      <c r="H67" s="36">
        <f>T67</f>
        <v>180500</v>
      </c>
      <c r="I67" s="36">
        <f>U67</f>
        <v>180500</v>
      </c>
      <c r="J67" s="36">
        <f>V67</f>
        <v>180500</v>
      </c>
      <c r="K67" s="36">
        <f>W67</f>
        <v>180500</v>
      </c>
      <c r="L67" s="36">
        <f>X67</f>
        <v>180500</v>
      </c>
      <c r="M67" s="36">
        <f>Y67</f>
        <v>180500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180500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180500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180500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180500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180500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180500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180500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180500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180500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180500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180500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180500</v>
      </c>
      <c r="Z67" s="46">
        <f>SUMIF($B$13:$Y$13,"Yes",B67:Y67)</f>
        <v>1263500</v>
      </c>
      <c r="AA67" s="46">
        <f>SUM(B67:M67)</f>
        <v>2166000</v>
      </c>
      <c r="AB67" s="46">
        <f>SUM(B67:Y67)</f>
        <v>4332000</v>
      </c>
    </row>
    <row r="68" spans="1:30" hidden="true" outlineLevel="1">
      <c r="A68" s="181" t="str">
        <f>Calculations!$A$5</f>
        <v>Maize</v>
      </c>
      <c r="B68" s="36">
        <f>N68</f>
        <v>0</v>
      </c>
      <c r="C68" s="36">
        <f>O68</f>
        <v>46414.28571428571</v>
      </c>
      <c r="D68" s="36">
        <f>P68</f>
        <v>46414.28571428571</v>
      </c>
      <c r="E68" s="36">
        <f>Q68</f>
        <v>46414.28571428571</v>
      </c>
      <c r="F68" s="36">
        <f>R68</f>
        <v>46414.28571428571</v>
      </c>
      <c r="G68" s="36">
        <f>S68</f>
        <v>46414.28571428571</v>
      </c>
      <c r="H68" s="36">
        <f>T68</f>
        <v>46414.28571428571</v>
      </c>
      <c r="I68" s="36">
        <f>U68</f>
        <v>46414.28571428571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46414.28571428571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46414.28571428571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46414.28571428571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46414.28571428571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46414.28571428571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46414.28571428571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46414.28571428571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278485.7142857143</v>
      </c>
      <c r="AA68" s="46">
        <f>SUM(B68:M68)</f>
        <v>324900</v>
      </c>
      <c r="AB68" s="46">
        <f>SUM(B68:Y68)</f>
        <v>649799.9999999998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3666.666666666667</v>
      </c>
      <c r="C75" s="46">
        <f>SUM(Calculations!$R$14:$R$16)/12</f>
        <v>3666.666666666667</v>
      </c>
      <c r="D75" s="46">
        <f>SUM(Calculations!$R$14:$R$16)/12</f>
        <v>3666.666666666667</v>
      </c>
      <c r="E75" s="46">
        <f>SUM(Calculations!$R$14:$R$16)/12</f>
        <v>3666.666666666667</v>
      </c>
      <c r="F75" s="46">
        <f>SUM(Calculations!$R$14:$R$16)/12</f>
        <v>3666.666666666667</v>
      </c>
      <c r="G75" s="46">
        <f>SUM(Calculations!$R$14:$R$16)/12</f>
        <v>3666.666666666667</v>
      </c>
      <c r="H75" s="46">
        <f>SUM(Calculations!$R$14:$R$16)/12</f>
        <v>3666.666666666667</v>
      </c>
      <c r="I75" s="46">
        <f>SUM(Calculations!$R$14:$R$16)/12</f>
        <v>3666.666666666667</v>
      </c>
      <c r="J75" s="46">
        <f>SUM(Calculations!$R$14:$R$16)/12</f>
        <v>3666.666666666667</v>
      </c>
      <c r="K75" s="46">
        <f>SUM(Calculations!$R$14:$R$16)/12</f>
        <v>3666.666666666667</v>
      </c>
      <c r="L75" s="46">
        <f>SUM(Calculations!$R$14:$R$16)/12</f>
        <v>3666.666666666667</v>
      </c>
      <c r="M75" s="46">
        <f>SUM(Calculations!$R$14:$R$16)/12</f>
        <v>3666.666666666667</v>
      </c>
      <c r="N75" s="46">
        <f>SUM(Calculations!$R$14:$R$16)/12</f>
        <v>3666.666666666667</v>
      </c>
      <c r="O75" s="46">
        <f>SUM(Calculations!$R$14:$R$16)/12</f>
        <v>3666.666666666667</v>
      </c>
      <c r="P75" s="46">
        <f>SUM(Calculations!$R$14:$R$16)/12</f>
        <v>3666.666666666667</v>
      </c>
      <c r="Q75" s="46">
        <f>SUM(Calculations!$R$14:$R$16)/12</f>
        <v>3666.666666666667</v>
      </c>
      <c r="R75" s="46">
        <f>SUM(Calculations!$R$14:$R$16)/12</f>
        <v>3666.666666666667</v>
      </c>
      <c r="S75" s="46">
        <f>SUM(Calculations!$R$14:$R$16)/12</f>
        <v>3666.666666666667</v>
      </c>
      <c r="T75" s="46">
        <f>SUM(Calculations!$R$14:$R$16)/12</f>
        <v>3666.666666666667</v>
      </c>
      <c r="U75" s="46">
        <f>SUM(Calculations!$R$14:$R$16)/12</f>
        <v>3666.666666666667</v>
      </c>
      <c r="V75" s="46">
        <f>SUM(Calculations!$R$14:$R$16)/12</f>
        <v>3666.666666666667</v>
      </c>
      <c r="W75" s="46">
        <f>SUM(Calculations!$R$14:$R$16)/12</f>
        <v>3666.666666666667</v>
      </c>
      <c r="X75" s="46">
        <f>SUM(Calculations!$R$14:$R$16)/12</f>
        <v>3666.666666666667</v>
      </c>
      <c r="Y75" s="46">
        <f>SUM(Calculations!$R$14:$R$16)/12</f>
        <v>3666.666666666667</v>
      </c>
      <c r="Z75" s="46">
        <f>SUMIF($B$13:$Y$13,"Yes",B75:Y75)</f>
        <v>25666.66666666667</v>
      </c>
      <c r="AA75" s="46">
        <f>SUM(B75:M75)</f>
        <v>43999.99999999999</v>
      </c>
      <c r="AB75" s="46">
        <f>SUM(B75:Y75)</f>
        <v>88000.00000000001</v>
      </c>
    </row>
    <row r="76" spans="1:30">
      <c r="A76" s="16" t="s">
        <v>48</v>
      </c>
      <c r="B76" s="46">
        <f>SUM(Calculations!$S$14:$S$16)/12</f>
        <v>4833.333333333333</v>
      </c>
      <c r="C76" s="46">
        <f>SUM(Calculations!$S$14:$S$16)/12</f>
        <v>4833.333333333333</v>
      </c>
      <c r="D76" s="46">
        <f>SUM(Calculations!$S$14:$S$16)/12</f>
        <v>4833.333333333333</v>
      </c>
      <c r="E76" s="46">
        <f>SUM(Calculations!$S$14:$S$16)/12</f>
        <v>4833.333333333333</v>
      </c>
      <c r="F76" s="46">
        <f>SUM(Calculations!$S$14:$S$16)/12</f>
        <v>4833.333333333333</v>
      </c>
      <c r="G76" s="46">
        <f>SUM(Calculations!$S$14:$S$16)/12</f>
        <v>4833.333333333333</v>
      </c>
      <c r="H76" s="46">
        <f>SUM(Calculations!$S$14:$S$16)/12</f>
        <v>4833.333333333333</v>
      </c>
      <c r="I76" s="46">
        <f>SUM(Calculations!$S$14:$S$16)/12</f>
        <v>4833.333333333333</v>
      </c>
      <c r="J76" s="46">
        <f>SUM(Calculations!$S$14:$S$16)/12</f>
        <v>4833.333333333333</v>
      </c>
      <c r="K76" s="46">
        <f>SUM(Calculations!$S$14:$S$16)/12</f>
        <v>4833.333333333333</v>
      </c>
      <c r="L76" s="46">
        <f>SUM(Calculations!$S$14:$S$16)/12</f>
        <v>4833.333333333333</v>
      </c>
      <c r="M76" s="46">
        <f>SUM(Calculations!$S$14:$S$16)/12</f>
        <v>4833.333333333333</v>
      </c>
      <c r="N76" s="46">
        <f>SUM(Calculations!$S$14:$S$16)/12</f>
        <v>4833.333333333333</v>
      </c>
      <c r="O76" s="46">
        <f>SUM(Calculations!$S$14:$S$16)/12</f>
        <v>4833.333333333333</v>
      </c>
      <c r="P76" s="46">
        <f>SUM(Calculations!$S$14:$S$16)/12</f>
        <v>4833.333333333333</v>
      </c>
      <c r="Q76" s="46">
        <f>SUM(Calculations!$S$14:$S$16)/12</f>
        <v>4833.333333333333</v>
      </c>
      <c r="R76" s="46">
        <f>SUM(Calculations!$S$14:$S$16)/12</f>
        <v>4833.333333333333</v>
      </c>
      <c r="S76" s="46">
        <f>SUM(Calculations!$S$14:$S$16)/12</f>
        <v>4833.333333333333</v>
      </c>
      <c r="T76" s="46">
        <f>SUM(Calculations!$S$14:$S$16)/12</f>
        <v>4833.333333333333</v>
      </c>
      <c r="U76" s="46">
        <f>SUM(Calculations!$S$14:$S$16)/12</f>
        <v>4833.333333333333</v>
      </c>
      <c r="V76" s="46">
        <f>SUM(Calculations!$S$14:$S$16)/12</f>
        <v>4833.333333333333</v>
      </c>
      <c r="W76" s="46">
        <f>SUM(Calculations!$S$14:$S$16)/12</f>
        <v>4833.333333333333</v>
      </c>
      <c r="X76" s="46">
        <f>SUM(Calculations!$S$14:$S$16)/12</f>
        <v>4833.333333333333</v>
      </c>
      <c r="Y76" s="46">
        <f>SUM(Calculations!$S$14:$S$16)/12</f>
        <v>4833.333333333333</v>
      </c>
      <c r="Z76" s="46">
        <f>SUMIF($B$13:$Y$13,"Yes",B76:Y76)</f>
        <v>33833.33333333333</v>
      </c>
      <c r="AA76" s="46">
        <f>SUM(B76:M76)</f>
        <v>58000.00000000001</v>
      </c>
      <c r="AB76" s="46">
        <f>SUM(B76:Y76)</f>
        <v>116000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105000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-1581.656036240126</v>
      </c>
      <c r="C81" s="46">
        <f>(SUM($AA$18:$AA$29)-SUM($AA$36,$AA$42,$AA$48,$AA$54,$AA$60,$AA$66,$AA$72:$AA$79))*Parameters!$B$37/12</f>
        <v>-1581.656036240126</v>
      </c>
      <c r="D81" s="46">
        <f>(SUM($AA$18:$AA$29)-SUM($AA$36,$AA$42,$AA$48,$AA$54,$AA$60,$AA$66,$AA$72:$AA$79))*Parameters!$B$37/12</f>
        <v>-1581.656036240126</v>
      </c>
      <c r="E81" s="46">
        <f>(SUM($AA$18:$AA$29)-SUM($AA$36,$AA$42,$AA$48,$AA$54,$AA$60,$AA$66,$AA$72:$AA$79))*Parameters!$B$37/12</f>
        <v>-1581.656036240126</v>
      </c>
      <c r="F81" s="46">
        <f>(SUM($AA$18:$AA$29)-SUM($AA$36,$AA$42,$AA$48,$AA$54,$AA$60,$AA$66,$AA$72:$AA$79))*Parameters!$B$37/12</f>
        <v>-1581.656036240126</v>
      </c>
      <c r="G81" s="46">
        <f>(SUM($AA$18:$AA$29)-SUM($AA$36,$AA$42,$AA$48,$AA$54,$AA$60,$AA$66,$AA$72:$AA$79))*Parameters!$B$37/12</f>
        <v>-1581.656036240126</v>
      </c>
      <c r="H81" s="46">
        <f>(SUM($AA$18:$AA$29)-SUM($AA$36,$AA$42,$AA$48,$AA$54,$AA$60,$AA$66,$AA$72:$AA$79))*Parameters!$B$37/12</f>
        <v>-1581.656036240126</v>
      </c>
      <c r="I81" s="46">
        <f>(SUM($AA$18:$AA$29)-SUM($AA$36,$AA$42,$AA$48,$AA$54,$AA$60,$AA$66,$AA$72:$AA$79))*Parameters!$B$37/12</f>
        <v>-1581.656036240126</v>
      </c>
      <c r="J81" s="46">
        <f>(SUM($AA$18:$AA$29)-SUM($AA$36,$AA$42,$AA$48,$AA$54,$AA$60,$AA$66,$AA$72:$AA$79))*Parameters!$B$37/12</f>
        <v>-1581.656036240126</v>
      </c>
      <c r="K81" s="46">
        <f>(SUM($AA$18:$AA$29)-SUM($AA$36,$AA$42,$AA$48,$AA$54,$AA$60,$AA$66,$AA$72:$AA$79))*Parameters!$B$37/12</f>
        <v>-1581.656036240126</v>
      </c>
      <c r="L81" s="46">
        <f>(SUM($AA$18:$AA$29)-SUM($AA$36,$AA$42,$AA$48,$AA$54,$AA$60,$AA$66,$AA$72:$AA$79))*Parameters!$B$37/12</f>
        <v>-1581.656036240126</v>
      </c>
      <c r="M81" s="46">
        <f>(SUM($AA$18:$AA$29)-SUM($AA$36,$AA$42,$AA$48,$AA$54,$AA$60,$AA$66,$AA$72:$AA$79))*Parameters!$B$37/12</f>
        <v>-1581.656036240126</v>
      </c>
      <c r="N81" s="46">
        <f>(SUM($AA$18:$AA$29)-SUM($AA$36,$AA$42,$AA$48,$AA$54,$AA$60,$AA$66,$AA$72:$AA$79))*Parameters!$B$37/12</f>
        <v>-1581.656036240126</v>
      </c>
      <c r="O81" s="46">
        <f>(SUM($AA$18:$AA$29)-SUM($AA$36,$AA$42,$AA$48,$AA$54,$AA$60,$AA$66,$AA$72:$AA$79))*Parameters!$B$37/12</f>
        <v>-1581.656036240126</v>
      </c>
      <c r="P81" s="46">
        <f>(SUM($AA$18:$AA$29)-SUM($AA$36,$AA$42,$AA$48,$AA$54,$AA$60,$AA$66,$AA$72:$AA$79))*Parameters!$B$37/12</f>
        <v>-1581.656036240126</v>
      </c>
      <c r="Q81" s="46">
        <f>(SUM($AA$18:$AA$29)-SUM($AA$36,$AA$42,$AA$48,$AA$54,$AA$60,$AA$66,$AA$72:$AA$79))*Parameters!$B$37/12</f>
        <v>-1581.656036240126</v>
      </c>
      <c r="R81" s="46">
        <f>(SUM($AA$18:$AA$29)-SUM($AA$36,$AA$42,$AA$48,$AA$54,$AA$60,$AA$66,$AA$72:$AA$79))*Parameters!$B$37/12</f>
        <v>-1581.656036240126</v>
      </c>
      <c r="S81" s="46">
        <f>(SUM($AA$18:$AA$29)-SUM($AA$36,$AA$42,$AA$48,$AA$54,$AA$60,$AA$66,$AA$72:$AA$79))*Parameters!$B$37/12</f>
        <v>-1581.656036240126</v>
      </c>
      <c r="T81" s="46">
        <f>(SUM($AA$18:$AA$29)-SUM($AA$36,$AA$42,$AA$48,$AA$54,$AA$60,$AA$66,$AA$72:$AA$79))*Parameters!$B$37/12</f>
        <v>-1581.656036240126</v>
      </c>
      <c r="U81" s="46">
        <f>(SUM($AA$18:$AA$29)-SUM($AA$36,$AA$42,$AA$48,$AA$54,$AA$60,$AA$66,$AA$72:$AA$79))*Parameters!$B$37/12</f>
        <v>-1581.656036240126</v>
      </c>
      <c r="V81" s="46">
        <f>(SUM($AA$18:$AA$29)-SUM($AA$36,$AA$42,$AA$48,$AA$54,$AA$60,$AA$66,$AA$72:$AA$79))*Parameters!$B$37/12</f>
        <v>-1581.656036240126</v>
      </c>
      <c r="W81" s="46">
        <f>(SUM($AA$18:$AA$29)-SUM($AA$36,$AA$42,$AA$48,$AA$54,$AA$60,$AA$66,$AA$72:$AA$79))*Parameters!$B$37/12</f>
        <v>-1581.656036240126</v>
      </c>
      <c r="X81" s="46">
        <f>(SUM($AA$18:$AA$29)-SUM($AA$36,$AA$42,$AA$48,$AA$54,$AA$60,$AA$66,$AA$72:$AA$79))*Parameters!$B$37/12</f>
        <v>-1581.656036240126</v>
      </c>
      <c r="Y81" s="46">
        <f>(SUM($AA$18:$AA$29)-SUM($AA$36,$AA$42,$AA$48,$AA$54,$AA$60,$AA$66,$AA$72:$AA$79))*Parameters!$B$37/12</f>
        <v>-1581.656036240126</v>
      </c>
      <c r="Z81" s="46">
        <f>SUMIF($B$13:$Y$13,"Yes",B81:Y81)</f>
        <v>-11071.59225368088</v>
      </c>
      <c r="AA81" s="46">
        <f>SUM(B81:M81)</f>
        <v>-18979.87243488152</v>
      </c>
      <c r="AB81" s="46">
        <f>SUM(B81:Y81)</f>
        <v>-37959.74486976303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202418.3439637599</v>
      </c>
      <c r="C88" s="19">
        <f>SUM(C72:C82,C66,C60,C54,C48,C42,C36)</f>
        <v>317922.6296780456</v>
      </c>
      <c r="D88" s="19">
        <f>SUM(D72:D82,D66,D60,D54,D48,D42,D36)</f>
        <v>248832.6296780456</v>
      </c>
      <c r="E88" s="19">
        <f>SUM(E72:E82,E66,E60,E54,E48,E42,E36)</f>
        <v>248832.6296780456</v>
      </c>
      <c r="F88" s="19">
        <f>SUM(F72:F82,F66,F60,F54,F48,F42,F36)</f>
        <v>248832.6296780456</v>
      </c>
      <c r="G88" s="19">
        <f>SUM(G72:G82,G66,G60,G54,G48,G42,G36)</f>
        <v>248832.6296780456</v>
      </c>
      <c r="H88" s="19">
        <f>SUM(H72:H82,H66,H60,H54,H48,H42,H36)</f>
        <v>248832.6296780456</v>
      </c>
      <c r="I88" s="19">
        <f>SUM(I72:I82,I66,I60,I54,I48,I42,I36)</f>
        <v>248832.6296780456</v>
      </c>
      <c r="J88" s="19">
        <f>SUM(J72:J82,J66,J60,J54,J48,J42,J36)</f>
        <v>202418.3439637599</v>
      </c>
      <c r="K88" s="19">
        <f>SUM(K72:K82,K66,K60,K54,K48,K42,K36)</f>
        <v>202418.3439637599</v>
      </c>
      <c r="L88" s="19">
        <f>SUM(L72:L82,L66,L60,L54,L48,L42,L36)</f>
        <v>202418.3439637599</v>
      </c>
      <c r="M88" s="19">
        <f>SUM(M72:M82,M66,M60,M54,M48,M42,M36)</f>
        <v>202418.3439637599</v>
      </c>
      <c r="N88" s="19">
        <f>SUM(N72:N82,N66,N60,N54,N48,N42,N36)</f>
        <v>202418.3439637599</v>
      </c>
      <c r="O88" s="19">
        <f>SUM(O72:O82,O66,O60,O54,O48,O42,O36)</f>
        <v>317922.6296780456</v>
      </c>
      <c r="P88" s="19">
        <f>SUM(P72:P82,P66,P60,P54,P48,P42,P36)</f>
        <v>248832.6296780456</v>
      </c>
      <c r="Q88" s="19">
        <f>SUM(Q72:Q82,Q66,Q60,Q54,Q48,Q42,Q36)</f>
        <v>248832.6296780456</v>
      </c>
      <c r="R88" s="19">
        <f>SUM(R72:R82,R66,R60,R54,R48,R42,R36)</f>
        <v>248832.6296780456</v>
      </c>
      <c r="S88" s="19">
        <f>SUM(S72:S82,S66,S60,S54,S48,S42,S36)</f>
        <v>248832.6296780456</v>
      </c>
      <c r="T88" s="19">
        <f>SUM(T72:T82,T66,T60,T54,T48,T42,T36)</f>
        <v>248832.6296780456</v>
      </c>
      <c r="U88" s="19">
        <f>SUM(U72:U82,U66,U60,U54,U48,U42,U36)</f>
        <v>248832.6296780456</v>
      </c>
      <c r="V88" s="19">
        <f>SUM(V72:V82,V66,V60,V54,V48,V42,V36)</f>
        <v>202418.3439637599</v>
      </c>
      <c r="W88" s="19">
        <f>SUM(W72:W82,W66,W60,W54,W48,W42,W36)</f>
        <v>202418.3439637599</v>
      </c>
      <c r="X88" s="19">
        <f>SUM(X72:X82,X66,X60,X54,X48,X42,X36)</f>
        <v>202418.3439637599</v>
      </c>
      <c r="Y88" s="19">
        <f>SUM(Y72:Y82,Y66,Y60,Y54,Y48,Y42,Y36)</f>
        <v>202418.3439637599</v>
      </c>
      <c r="Z88" s="19">
        <f>SUMIF($B$13:$Y$13,"Yes",B88:Y88)</f>
        <v>1764504.122032034</v>
      </c>
      <c r="AA88" s="19">
        <f>SUM(B88:M88)</f>
        <v>2823010.127565119</v>
      </c>
      <c r="AB88" s="19">
        <f>SUM(B88:Y88)</f>
        <v>5646020.255130237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250000</v>
      </c>
    </row>
    <row r="95" spans="1:30">
      <c r="A95" t="s">
        <v>61</v>
      </c>
      <c r="B95" s="36">
        <f>Inputs!B47</f>
        <v>550000</v>
      </c>
    </row>
    <row r="96" spans="1:30">
      <c r="A96" t="s">
        <v>62</v>
      </c>
      <c r="B96" s="36">
        <f>SUMPRODUCT(Inputs!C19:C21,Calculations!O14:O16)</f>
        <v>1600000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68750000</v>
      </c>
    </row>
    <row r="98" spans="1:30">
      <c r="A98" t="s">
        <v>64</v>
      </c>
      <c r="B98" s="36">
        <f>IF(Inputs!B44="Yes",Inputs!B45,0)</f>
        <v>2500000</v>
      </c>
    </row>
    <row r="99" spans="1:30">
      <c r="A99" t="s">
        <v>65</v>
      </c>
      <c r="B99" s="36">
        <f>Inputs!B46</f>
        <v>1500000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76350000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/>
      <c r="K7" s="137"/>
      <c r="L7" s="20"/>
      <c r="M7" s="163">
        <v>5</v>
      </c>
      <c r="N7" s="153">
        <v>0</v>
      </c>
      <c r="P7" s="41"/>
    </row>
    <row r="8" spans="1:48">
      <c r="A8" s="143" t="s">
        <v>94</v>
      </c>
      <c r="B8" s="16"/>
      <c r="C8" s="143">
        <v>15</v>
      </c>
      <c r="D8" s="16"/>
      <c r="E8" s="147" t="s">
        <v>90</v>
      </c>
      <c r="F8" s="149" t="s">
        <v>95</v>
      </c>
      <c r="G8" s="147"/>
      <c r="H8" s="147" t="s">
        <v>93</v>
      </c>
      <c r="I8" s="147" t="s">
        <v>93</v>
      </c>
      <c r="J8" s="148" t="s">
        <v>96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40</v>
      </c>
      <c r="D19" s="145"/>
      <c r="E19" s="20"/>
      <c r="F19" s="145" t="s">
        <v>93</v>
      </c>
      <c r="G19" s="20"/>
      <c r="H19" s="20"/>
      <c r="I19" s="145" t="s">
        <v>111</v>
      </c>
      <c r="J19" s="145"/>
      <c r="K19" s="145"/>
      <c r="L19" s="25"/>
    </row>
    <row r="20" spans="1:48">
      <c r="A20" s="143" t="s">
        <v>112</v>
      </c>
      <c r="B20" s="16"/>
      <c r="C20" s="143">
        <v>100</v>
      </c>
      <c r="D20" s="147"/>
      <c r="E20" s="16"/>
      <c r="F20" s="147" t="s">
        <v>93</v>
      </c>
      <c r="G20" s="16"/>
      <c r="H20" s="16"/>
      <c r="I20" s="147" t="s">
        <v>111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5</v>
      </c>
    </row>
    <row r="27" spans="1:48">
      <c r="A27" s="14" t="s">
        <v>115</v>
      </c>
    </row>
    <row r="29" spans="1:48">
      <c r="A29" s="45" t="s">
        <v>116</v>
      </c>
      <c r="B29" s="156">
        <v>15000</v>
      </c>
    </row>
    <row r="30" spans="1:48">
      <c r="A30" s="44" t="s">
        <v>117</v>
      </c>
      <c r="B30" s="157">
        <v>25000</v>
      </c>
    </row>
    <row r="31" spans="1:48">
      <c r="A31" s="5" t="s">
        <v>118</v>
      </c>
      <c r="B31" s="158">
        <v>15000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2500000</v>
      </c>
    </row>
    <row r="46" spans="1:48" customHeight="1" ht="30">
      <c r="A46" s="57" t="s">
        <v>132</v>
      </c>
      <c r="B46" s="161">
        <v>1500000</v>
      </c>
    </row>
    <row r="47" spans="1:48" customHeight="1" ht="30">
      <c r="A47" s="57" t="s">
        <v>133</v>
      </c>
      <c r="B47" s="161">
        <v>550000</v>
      </c>
    </row>
    <row r="48" spans="1:48" customHeight="1" ht="30">
      <c r="A48" s="57" t="s">
        <v>134</v>
      </c>
      <c r="B48" s="161">
        <v>1200000</v>
      </c>
    </row>
    <row r="49" spans="1:48" customHeight="1" ht="30">
      <c r="A49" s="57" t="s">
        <v>135</v>
      </c>
      <c r="B49" s="161">
        <v>250000</v>
      </c>
    </row>
    <row r="50" spans="1:48">
      <c r="A50" s="43"/>
      <c r="B50" s="36"/>
    </row>
    <row r="51" spans="1:48">
      <c r="A51" s="58" t="s">
        <v>136</v>
      </c>
      <c r="B51" s="161">
        <v>6000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145</v>
      </c>
      <c r="C65" s="10" t="s">
        <v>146</v>
      </c>
    </row>
    <row r="66" spans="1:48">
      <c r="A66" s="142" t="s">
        <v>147</v>
      </c>
      <c r="B66" s="159">
        <v>42650</v>
      </c>
      <c r="C66" s="163">
        <v>29230</v>
      </c>
      <c r="D66" s="49">
        <f>INDEX(Parameters!$D$79:$D$90,MATCH(Inputs!A66,Parameters!$C$79:$C$90,0))</f>
        <v>4</v>
      </c>
    </row>
    <row r="67" spans="1:48">
      <c r="A67" s="143" t="s">
        <v>148</v>
      </c>
      <c r="B67" s="157">
        <v>42284</v>
      </c>
      <c r="C67" s="165">
        <v>29325</v>
      </c>
      <c r="D67" s="49">
        <f>INDEX(Parameters!$D$79:$D$90,MATCH(Inputs!A67,Parameters!$C$79:$C$90,0))</f>
        <v>5</v>
      </c>
    </row>
    <row r="68" spans="1:48">
      <c r="A68" s="143" t="s">
        <v>149</v>
      </c>
      <c r="B68" s="157">
        <v>42850</v>
      </c>
      <c r="C68" s="165">
        <v>29853</v>
      </c>
      <c r="D68" s="49">
        <f>INDEX(Parameters!$D$79:$D$90,MATCH(Inputs!A68,Parameters!$C$79:$C$90,0))</f>
        <v>6</v>
      </c>
    </row>
    <row r="69" spans="1:48">
      <c r="A69" s="143" t="s">
        <v>150</v>
      </c>
      <c r="B69" s="157">
        <v>1983610</v>
      </c>
      <c r="C69" s="165">
        <v>52380</v>
      </c>
      <c r="D69" s="49">
        <f>INDEX(Parameters!$D$79:$D$90,MATCH(Inputs!A69,Parameters!$C$79:$C$90,0))</f>
        <v>7</v>
      </c>
    </row>
    <row r="70" spans="1:48">
      <c r="A70" s="143" t="s">
        <v>151</v>
      </c>
      <c r="B70" s="157">
        <v>1914500</v>
      </c>
      <c r="C70" s="165">
        <v>14250</v>
      </c>
      <c r="D70" s="49">
        <f>INDEX(Parameters!$D$79:$D$90,MATCH(Inputs!A70,Parameters!$C$79:$C$90,0))</f>
        <v>8</v>
      </c>
    </row>
    <row r="71" spans="1:48">
      <c r="A71" s="144" t="s">
        <v>152</v>
      </c>
      <c r="B71" s="158">
        <v>1168800</v>
      </c>
      <c r="C71" s="167">
        <v>32500</v>
      </c>
      <c r="D71" s="49">
        <f>INDEX(Parameters!$D$79:$D$90,MATCH(Inputs!A71,Parameters!$C$79:$C$90,0))</f>
        <v>9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15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300000</v>
      </c>
    </row>
    <row r="82" spans="1:48">
      <c r="A82" t="s">
        <v>163</v>
      </c>
      <c r="B82" s="161">
        <v>18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</row>
    <row r="4" spans="1:46" s="21" customFormat="1">
      <c r="A4" s="20" t="str">
        <f>Inputs!A7</f>
        <v>Wheat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40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1599.557862963579</v>
      </c>
      <c r="M4" s="25">
        <f>L4*H4</f>
        <v>63982.31451854314</v>
      </c>
      <c r="N4" s="22">
        <f>Calculations!U4</f>
        <v>0.05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27.3</v>
      </c>
      <c r="P4" s="22">
        <f>IFERROR(INDEX(Parameters!$A$3:$V$17,MATCH(Calculations!$A4,Parameters!$A$3:$A$17,0),MATCH($P$3,Parameters!$A$3:$V$3,0)),0)</f>
        <v>0</v>
      </c>
      <c r="Q4" s="33">
        <f>M4*O4*(1-N4)*MAX(S4,1)</f>
        <v>3318762.654076832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154000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360000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570000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42767</v>
      </c>
      <c r="C5" s="39">
        <f>IFERROR(DATE(YEAR(B5),MONTH(B5)+ROUND(T5/2,0),DAY(B5)),B5)</f>
        <v>42856</v>
      </c>
      <c r="D5" s="39">
        <f>IFERROR(DATE(YEAR(B5),MONTH(B5)+T5,DAY(B5)),"")</f>
        <v>42948</v>
      </c>
      <c r="E5" s="39">
        <f>IFERROR(IF($S5=0,"",IF($S5=2,DATE(YEAR(B5),MONTH(B5)+6,DAY(B5)),IF($S5=1,B5,""))),"")</f>
        <v>42767</v>
      </c>
      <c r="F5" s="39">
        <f>IFERROR(IF($S5=0,"",IF($S5=2,DATE(YEAR(C5),MONTH(C5)+6,DAY(C5)),IF($S5=1,C5,""))),"")</f>
        <v>42856</v>
      </c>
      <c r="G5" s="39">
        <f>IFERROR(IF($S5=0,"",IF($S5=2,DATE(YEAR(D5),MONTH(D5)+6,DAY(D5)),IF($S5=1,D5,""))),"")</f>
        <v>42948</v>
      </c>
      <c r="H5" s="16">
        <f>Inputs!C8</f>
        <v>15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1360.293095897503</v>
      </c>
      <c r="M5" s="30">
        <f>L5*H5</f>
        <v>20404.39643846255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21</v>
      </c>
      <c r="P5" s="22">
        <f>IFERROR(INDEX(Parameters!$A$3:$V$17,MATCH(Calculations!$A5,Parameters!$A$3:$A$17,0),MATCH($P$3,Parameters!$A$3:$V$3,0)),0)</f>
        <v>0.2</v>
      </c>
      <c r="Q5" s="34">
        <f>M5*O5*(1-N5)*MAX(S5,1)</f>
        <v>428492.3252077136</v>
      </c>
      <c r="R5" s="22">
        <f>IFERROR(INDEX(Parameters!$A$3:$V$17,MATCH(Calculations!$A5,Parameters!$A$3:$A$17,0),MATCH($R$3,Parameters!$A$3:$V$3,0)),0)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1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6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4545.000000000001</v>
      </c>
      <c r="W5" s="34">
        <f>IFERROR(J5*H5*Parameters!$B$35+IF(OR(Inputs!F8=Parameters!$E$78,Inputs!F8=Parameters!$E$80),Calculations!H5*Parameters!$B$36,0),0)</f>
        <v>30000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171000</v>
      </c>
      <c r="AC5" s="22" t="str">
        <f>IF($D5="",1/12,IFERROR(INDEX(Parameters!$X$2:$AI$17,MATCH(Calculations!$A5,Parameters!$A$2:$A$17,0),MATCH(MONTH(Calculations!AC$3),Parameters!$X$2:$AI$2,0)),1/12))</f>
        <v/>
      </c>
      <c r="AD5" s="22" t="str">
        <f>IF($D5="",1/12,IFERROR(INDEX(Parameters!$X$2:$AI$17,MATCH(Calculations!$A5,Parameters!$A$2:$A$17,0),MATCH(MONTH(Calculations!AD$3),Parameters!$X$2:$AI$2,0)),1/12))</f>
        <v/>
      </c>
      <c r="AE5" s="22" t="str">
        <f>IF($D5="",1/12,IFERROR(INDEX(Parameters!$X$2:$AI$17,MATCH(Calculations!$A5,Parameters!$A$2:$A$17,0),MATCH(MONTH(Calculations!AE$3),Parameters!$X$2:$AI$2,0)),1/12))</f>
        <v/>
      </c>
      <c r="AF5" s="22" t="str">
        <f>IF($D5="",1/12,IFERROR(INDEX(Parameters!$X$2:$AI$17,MATCH(Calculations!$A5,Parameters!$A$2:$A$17,0),MATCH(MONTH(Calculations!AF$3),Parameters!$X$2:$AI$2,0)),1/12))</f>
        <v/>
      </c>
      <c r="AG5" s="22" t="str">
        <f>IF($D5="",1/12,IFERROR(INDEX(Parameters!$X$2:$AI$17,MATCH(Calculations!$A5,Parameters!$A$2:$A$17,0),MATCH(MONTH(Calculations!AG$3),Parameters!$X$2:$AI$2,0)),1/12))</f>
        <v/>
      </c>
      <c r="AH5" s="22" t="str">
        <f>IF($D5="",1/12,IFERROR(INDEX(Parameters!$X$2:$AI$17,MATCH(Calculations!$A5,Parameters!$A$2:$A$17,0),MATCH(MONTH(Calculations!AH$3),Parameters!$X$2:$AI$2,0)),1/12))</f>
        <v/>
      </c>
      <c r="AI5" s="22" t="str">
        <f>IF($D5="",1/12,IFERROR(INDEX(Parameters!$X$2:$AI$17,MATCH(Calculations!$A5,Parameters!$A$2:$A$17,0),MATCH(MONTH(Calculations!AI$3),Parameters!$X$2:$AI$2,0)),1/12))</f>
        <v/>
      </c>
      <c r="AJ5" s="22" t="str">
        <f>IF($D5="",1/12,IFERROR(INDEX(Parameters!$X$2:$AI$17,MATCH(Calculations!$A5,Parameters!$A$2:$A$17,0),MATCH(MONTH(Calculations!AJ$3),Parameters!$X$2:$AI$2,0)),1/12))</f>
        <v/>
      </c>
      <c r="AK5" s="22" t="str">
        <f>IF($D5="",1/12,IFERROR(INDEX(Parameters!$X$2:$AI$17,MATCH(Calculations!$A5,Parameters!$A$2:$A$17,0),MATCH(MONTH(Calculations!AK$3),Parameters!$X$2:$AI$2,0)),1/12))</f>
        <v/>
      </c>
      <c r="AL5" s="22" t="str">
        <f>IF($D5="",1/12,IFERROR(INDEX(Parameters!$X$2:$AI$17,MATCH(Calculations!$A5,Parameters!$A$2:$A$17,0),MATCH(MONTH(Calculations!AL$3),Parameters!$X$2:$AI$2,0)),1/12))</f>
        <v/>
      </c>
      <c r="AM5" s="22" t="str">
        <f>IF($D5="",1/12,IFERROR(INDEX(Parameters!$X$2:$AI$17,MATCH(Calculations!$A5,Parameters!$A$2:$A$17,0),MATCH(MONTH(Calculations!AM$3),Parameters!$X$2:$AI$2,0)),1/12))</f>
        <v/>
      </c>
      <c r="AN5" s="22" t="str">
        <f>IF($D5="",1/12,IFERROR(INDEX(Parameters!$X$2:$AI$17,MATCH(Calculations!$A5,Parameters!$A$2:$A$17,0),MATCH(MONTH(Calculations!AN$3),Parameters!$X$2:$AI$2,0)),1/12))</f>
        <v/>
      </c>
      <c r="AO5" s="22" t="str">
        <f>IF($D5="",1/12,IFERROR(INDEX(Parameters!$X$2:$AI$17,MATCH(Calculations!$A5,Parameters!$A$2:$A$17,0),MATCH(MONTH(Calculations!AO$3),Parameters!$X$2:$AI$2,0)),1/12))</f>
        <v/>
      </c>
      <c r="AP5" s="22" t="str">
        <f>IF($D5="",1/12,IFERROR(INDEX(Parameters!$X$2:$AI$17,MATCH(Calculations!$A5,Parameters!$A$2:$A$17,0),MATCH(MONTH(Calculations!AP$3),Parameters!$X$2:$AI$2,0)),1/12))</f>
        <v/>
      </c>
      <c r="AQ5" s="22" t="str">
        <f>IF($D5="",1/12,IFERROR(INDEX(Parameters!$X$2:$AI$17,MATCH(Calculations!$A5,Parameters!$A$2:$A$17,0),MATCH(MONTH(Calculations!AQ$3),Parameters!$X$2:$AI$2,0)),1/12))</f>
        <v/>
      </c>
      <c r="AR5" s="22" t="str">
        <f>IF($D5="",1/12,IFERROR(INDEX(Parameters!$X$2:$AI$17,MATCH(Calculations!$A5,Parameters!$A$2:$A$17,0),MATCH(MONTH(Calculations!AR$3),Parameters!$X$2:$AI$2,0)),1/12))</f>
        <v/>
      </c>
      <c r="AS5" s="22" t="str">
        <f>IF($D5="",1/12,IFERROR(INDEX(Parameters!$X$2:$AI$17,MATCH(Calculations!$A5,Parameters!$A$2:$A$17,0),MATCH(MONTH(Calculations!AS$3),Parameters!$X$2:$AI$2,0)),1/12))</f>
        <v/>
      </c>
      <c r="AT5" s="22" t="str">
        <f>IF($D5="",1/12,IFERROR(INDEX(Parameters!$X$2:$AI$17,MATCH(Calculations!$A5,Parameters!$A$2:$A$17,0),MATCH(MONTH(Calculations!AT$3),Parameters!$X$2:$AI$2,0)),1/12))</f>
        <v/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98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46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40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306666.6666666667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24000</v>
      </c>
      <c r="S14" s="63">
        <f>IFERROR(D14*INDEX(Parameters!$A$22:$P$29,MATCH(Calculations!$A14,Parameters!$A$22:$A$29,0),MATCH(Parameters!$N$22,Parameters!$A$22:$P$22,0)),"")</f>
        <v>28000</v>
      </c>
    </row>
    <row r="15" spans="1:46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100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8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100000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20000</v>
      </c>
      <c r="S15" s="64">
        <f>IFERROR(D15*INDEX(Parameters!$A$22:$P$29,MATCH(Calculations!$A15,Parameters!$A$22:$A$29,0),MATCH(Parameters!$N$22,Parameters!$A$22:$P$22,0)),"")</f>
        <v>30000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138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Narok</v>
      </c>
    </row>
    <row r="33" spans="1:46">
      <c r="A33">
        <v>1</v>
      </c>
      <c r="B33" s="128">
        <f>G34</f>
        <v>42776</v>
      </c>
      <c r="C33" s="27">
        <f>IF(B33&lt;&gt;"",IF(COUNT($A$33:A33)&lt;=$G$39,0,$G$41)+IF(COUNT($A$33:A33)&lt;=$G$40,0,$G$42),0)</f>
        <v>29142.46575342466</v>
      </c>
      <c r="D33" s="170">
        <f>IFERROR(DATE(YEAR(B33),MONTH(B33),1)," ")</f>
        <v>42767</v>
      </c>
      <c r="F33" t="s">
        <v>158</v>
      </c>
      <c r="G33" s="128">
        <f>IF(Inputs!B79="","",DATE(YEAR(Inputs!B79),MONTH(Inputs!B79),DAY(Inputs!B79)))</f>
        <v>42745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42790</v>
      </c>
      <c r="C34" s="27">
        <f>IF(B34&lt;&gt;"",IF(COUNT($A$33:A34)&lt;=$G$39,0,$G$41)+IF(COUNT($A$33:A34)&lt;=$G$40,0,$G$42),0)</f>
        <v>29142.46575342466</v>
      </c>
      <c r="D34" s="170">
        <f>IFERROR(DATE(YEAR(B34),MONTH(B34),1)," ")</f>
        <v>42767</v>
      </c>
      <c r="F34" t="s">
        <v>160</v>
      </c>
      <c r="G34" s="128">
        <f>IF(Inputs!B80="","",DATE(YEAR(Inputs!B80),MONTH(Inputs!B80),DAY(Inputs!B80)))</f>
        <v>42776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42804</v>
      </c>
      <c r="C35" s="27">
        <f>IF(B35&lt;&gt;"",IF(COUNT($A$33:A35)&lt;=$G$39,0,$G$41)+IF(COUNT($A$33:A35)&lt;=$G$40,0,$G$42),0)</f>
        <v>29142.46575342466</v>
      </c>
      <c r="D35" s="170">
        <f>IFERROR(DATE(YEAR(B35),MONTH(B35),1)," ")</f>
        <v>42795</v>
      </c>
      <c r="F35" t="s">
        <v>162</v>
      </c>
      <c r="G35" s="27">
        <f>Inputs!B81</f>
        <v>300000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42818</v>
      </c>
      <c r="C36" s="27">
        <f>IF(B36&lt;&gt;"",IF(COUNT($A$33:A36)&lt;=$G$39,0,$G$41)+IF(COUNT($A$33:A36)&lt;=$G$40,0,$G$42),0)</f>
        <v>29142.46575342466</v>
      </c>
      <c r="D36" s="170">
        <f>IFERROR(DATE(YEAR(B36),MONTH(B36),1)," ")</f>
        <v>42795</v>
      </c>
      <c r="F36" t="s">
        <v>163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42832</v>
      </c>
      <c r="C37" s="27">
        <f>IF(B37&lt;&gt;"",IF(COUNT($A$33:A37)&lt;=$G$39,0,$G$41)+IF(COUNT($A$33:A37)&lt;=$G$40,0,$G$42),0)</f>
        <v>29142.46575342466</v>
      </c>
      <c r="D37" s="170">
        <f>IFERROR(DATE(YEAR(B37),MONTH(B37),1)," ")</f>
        <v>42826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Weekly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42846</v>
      </c>
      <c r="C38" s="27">
        <f>IF(B38&lt;&gt;"",IF(COUNT($A$33:A38)&lt;=$G$39,0,$G$41)+IF(COUNT($A$33:A38)&lt;=$G$40,0,$G$42),0)</f>
        <v>29142.46575342466</v>
      </c>
      <c r="D38" s="170">
        <f>IFERROR(DATE(YEAR(B38),MONTH(B38),1)," ")</f>
        <v>42826</v>
      </c>
      <c r="F38" t="s">
        <v>225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42860</v>
      </c>
      <c r="C39" s="27">
        <f>IF(B39&lt;&gt;"",IF(COUNT($A$33:A39)&lt;=$G$39,0,$G$41)+IF(COUNT($A$33:A39)&lt;=$G$40,0,$G$42),0)</f>
        <v>29142.46575342466</v>
      </c>
      <c r="D39" s="170">
        <f>IFERROR(DATE(YEAR(B39),MONTH(B39),1)," ")</f>
        <v>42856</v>
      </c>
      <c r="F39" t="s">
        <v>168</v>
      </c>
      <c r="G39" s="27">
        <f>IF(Inputs!B86="",0,Inputs!B86)</f>
        <v>0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42874</v>
      </c>
      <c r="C40" s="27">
        <f>IF(B40&lt;&gt;"",IF(COUNT($A$33:A40)&lt;=$G$39,0,$G$41)+IF(COUNT($A$33:A40)&lt;=$G$40,0,$G$42),0)</f>
        <v>29142.46575342466</v>
      </c>
      <c r="D40" s="170">
        <f>IFERROR(DATE(YEAR(B40),MONTH(B40),1)," ")</f>
        <v>42856</v>
      </c>
      <c r="F40" t="s">
        <v>169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42888</v>
      </c>
      <c r="C41" s="27">
        <f>IF(B41&lt;&gt;"",IF(COUNT($A$33:A41)&lt;=$G$39,0,$G$41)+IF(COUNT($A$33:A41)&lt;=$G$40,0,$G$42),0)</f>
        <v>29142.46575342466</v>
      </c>
      <c r="D41" s="170">
        <f>IFERROR(DATE(YEAR(B41),MONTH(B41),1)," ")</f>
        <v>42887</v>
      </c>
      <c r="F41" t="s">
        <v>226</v>
      </c>
      <c r="G41" s="73">
        <f>IFERROR(G35/(G38-G39),"")</f>
        <v>25000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42902</v>
      </c>
      <c r="C42" s="27">
        <f>IF(B42&lt;&gt;"",IF(COUNT($A$33:A42)&lt;=$G$39,0,$G$41)+IF(COUNT($A$33:A42)&lt;=$G$40,0,$G$42),0)</f>
        <v>29142.46575342466</v>
      </c>
      <c r="D42" s="170">
        <f>IFERROR(DATE(YEAR(B42),MONTH(B42),1)," ")</f>
        <v>42887</v>
      </c>
      <c r="F42" t="s">
        <v>227</v>
      </c>
      <c r="G42" s="73">
        <f>IFERROR(G35*G36*IF(G37="Monthly",G38/12,IF(G37="Fortnightly",G38/(365/14),G38/(365/28)))/(G38-G40),"")</f>
        <v>4142.465753424657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42916</v>
      </c>
      <c r="C43" s="27">
        <f>IF(B43&lt;&gt;"",IF(COUNT($A$33:A43)&lt;=$G$39,0,$G$41)+IF(COUNT($A$33:A43)&lt;=$G$40,0,$G$42),0)</f>
        <v>29142.46575342466</v>
      </c>
      <c r="D43" s="170">
        <f>IFERROR(DATE(YEAR(B43),MONTH(B43),1)," ")</f>
        <v>42887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42930</v>
      </c>
      <c r="C44" s="27">
        <f>IF(B44&lt;&gt;"",IF(COUNT($A$33:A44)&lt;=$G$39,0,$G$41)+IF(COUNT($A$33:A44)&lt;=$G$40,0,$G$42),0)</f>
        <v>29142.46575342466</v>
      </c>
      <c r="D44" s="170">
        <f>IFERROR(DATE(YEAR(B44),MONTH(B44),1)," ")</f>
        <v>42917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89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200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295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112</v>
      </c>
      <c r="B27" s="71" t="s">
        <v>295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295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295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112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94</v>
      </c>
      <c r="E52" s="12" t="s">
        <v>94</v>
      </c>
      <c r="F52" s="12" t="s">
        <v>94</v>
      </c>
      <c r="G52" s="12" t="s">
        <v>311</v>
      </c>
      <c r="H52" s="12" t="s">
        <v>312</v>
      </c>
      <c r="I52" s="12" t="s">
        <v>129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228</v>
      </c>
      <c r="E53" s="10" t="s">
        <v>187</v>
      </c>
      <c r="F53" s="10" t="s">
        <v>247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341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224</v>
      </c>
      <c r="J76" s="11" t="s">
        <v>346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93</v>
      </c>
      <c r="F77" s="12" t="s">
        <v>93</v>
      </c>
      <c r="G77" s="12" t="s">
        <v>111</v>
      </c>
      <c r="H77" s="12" t="s">
        <v>312</v>
      </c>
      <c r="I77" s="12" t="s">
        <v>348</v>
      </c>
      <c r="J77" s="136" t="s">
        <v>349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129</v>
      </c>
      <c r="I78" s="12" t="s">
        <v>165</v>
      </c>
      <c r="J78" s="70" t="s">
        <v>354</v>
      </c>
      <c r="K78" s="12" t="s">
        <v>93</v>
      </c>
      <c r="AJ78" s="12"/>
    </row>
    <row r="79" spans="1:36">
      <c r="B79" s="176">
        <v>10</v>
      </c>
      <c r="C79" s="12" t="s">
        <v>355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341</v>
      </c>
      <c r="J79" s="70" t="s">
        <v>359</v>
      </c>
      <c r="K79" s="12" t="s">
        <v>93</v>
      </c>
      <c r="AJ79" s="12"/>
    </row>
    <row r="80" spans="1:36">
      <c r="B80" s="176">
        <v>20</v>
      </c>
      <c r="C80" s="12" t="s">
        <v>96</v>
      </c>
      <c r="D80" s="12">
        <f>D79+1</f>
        <v>2</v>
      </c>
      <c r="E80" s="12" t="s">
        <v>95</v>
      </c>
      <c r="F80" s="12" t="s">
        <v>360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147</v>
      </c>
      <c r="D82" s="12">
        <f>D81+1</f>
        <v>4</v>
      </c>
      <c r="J82" s="70"/>
    </row>
    <row r="83" spans="1:36">
      <c r="B83" s="176">
        <v>50</v>
      </c>
      <c r="C83" s="12" t="s">
        <v>148</v>
      </c>
      <c r="D83" s="12">
        <f>D82+1</f>
        <v>5</v>
      </c>
    </row>
    <row r="84" spans="1:36">
      <c r="B84" s="176">
        <v>60</v>
      </c>
      <c r="C84" s="12" t="s">
        <v>149</v>
      </c>
      <c r="D84" s="12">
        <f>D83+1</f>
        <v>6</v>
      </c>
    </row>
    <row r="85" spans="1:36">
      <c r="B85" s="176">
        <v>70</v>
      </c>
      <c r="C85" s="12" t="s">
        <v>150</v>
      </c>
      <c r="D85" s="12">
        <f>D84+1</f>
        <v>7</v>
      </c>
    </row>
    <row r="86" spans="1:36">
      <c r="B86" s="176">
        <v>80</v>
      </c>
      <c r="C86" s="12" t="s">
        <v>151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