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<sst xmlns="http://schemas.openxmlformats.org/spreadsheetml/2006/main" uniqueCount="365">
  <si>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</si>
  <si>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</si>
  <si>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</si>
  <si>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</si>
  <si>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</si>
  <si>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</si>
  <si>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</si>
  <si>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</si>
  <si>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</si>
  <si>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</si>
  <si>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</si>
  <si>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</si>
  <si>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</si>
  <si>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</si>
  <si>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</si>
  <si>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</si>
  <si>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</si>
  <si>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</si>
  <si>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</si>
  <si>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</si>
  <si>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</si>
  <si>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</si>
  <si>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</si>
  <si>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</si>
  <si>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</si>
  <si>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</si>
  <si>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</si>
  <si>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</si>
  <si>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</si>
  <si>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</si>
  <si>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</si>
  <si>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</si>
  <si>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</si>
  <si>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</si>
  <si>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</si>
  <si>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</si>
  <si>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</si>
  <si>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</si>
  <si>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</si>
  <si>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</si>
  <si>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</si>
  <si>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</si>
  <si>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</si>
  <si>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</si>
  <si>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</si>
  <si>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</si>
  <si>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</si>
  <si>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</si>
  <si>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</si>
  <si>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</si>
  <si>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</si>
  <si>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</si>
  <si>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</si>
  <si>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</si>
  <si>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</si>
  <si>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</si>
  <si>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</si>
  <si>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</si>
  <si>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</si>
  <si>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</si>
  <si>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</si>
  <si>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</si>
  <si>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</si>
  <si>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</si>
  <si>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</si>
  <si>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</si>
  <si>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</si>
  <si>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</si>
  <si>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</si>
  <si>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</si>
  <si>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</si>
  <si>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</si>
  <si>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</si>
  <si>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</si>
  <si>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</si>
  <si>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</si>
  <si>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</si>
  <si>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</si>
  <si>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</si>
  <si>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</si>
  <si>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</si>
  <si>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</si>
  <si>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</si>
  <si>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</si>
  <si>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</si>
  <si>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</si>
  <si>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</si>
  <si>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</si>
  <si>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</si>
  <si>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</si>
  <si>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Home recycled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</si>
  <si>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</si>
  <si>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</si>
  <si>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</si>
  <si>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</si>
  <si>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</si>
  <si>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</si>
  <si>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</si>
  <si>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</si>
  <si>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</si>
  <si>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</si>
  <si>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</si>
  <si>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</si>
  <si>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</si>
  <si>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</si>
  <si>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</si>
  <si>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</si>
  <si>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</si>
  <si>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</si>
  <si>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</si>
  <si>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</si>
  <si>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</si>
  <si>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manure farming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</si>
  <si>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</si>
  <si>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</si>
  <si>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</si>
  <si>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</si>
  <si>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</si>
  <si>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</si>
  <si>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</si>
  <si>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</si>
  <si>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</si>
  <si>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</si>
  <si>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</si>
  <si>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</si>
  <si>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</si>
  <si>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</si>
  <si>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</si>
  <si>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</si>
  <si>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</si>
  <si>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</si>
  <si>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</si>
  <si>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</si>
  <si>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</si>
  <si>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</si>
  <si>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</si>
  <si>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</si>
  <si>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</si>
  <si>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</si>
  <si>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</si>
  <si>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</si>
  <si>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</si>
  <si>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</si>
  <si>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</si>
  <si>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</si>
  <si>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</si>
  <si>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</si>
  <si>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</si>
  <si>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</si>
  <si>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</si>
  <si>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</si>
  <si>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</si>
  <si>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</si>
  <si>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2017/1/10</t>
  </si>
  <si>
    <t>Loan terms</t>
  </si>
  <si>
    <t>Expected disbursement date</t>
  </si>
  <si>
    <t>Expected first repayment date</t>
  </si>
  <si>
    <t>2017/2/10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</si>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</sst>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manure farming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0.1442609349997703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0.009070698088039128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18166.66666666667</v>
      </c>
    </row>
    <row r="17" spans="1:7">
      <c r="B17" s="1" t="s">
        <v>11</v>
      </c>
      <c r="C17" s="36">
        <f>SUM(Output!B6:M6)</f>
        <v>1124159.451879699</v>
      </c>
    </row>
    <row r="18" spans="1:7">
      <c r="B18" s="1" t="s">
        <v>12</v>
      </c>
      <c r="C18" s="36">
        <f>MIN(Output!B6:M6)</f>
        <v>92960.82932330827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95439.57932330827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93495.57932330827</v>
      </c>
      <c r="C6" s="51">
        <f>C30-C88</f>
        <v>92960.82932330827</v>
      </c>
      <c r="D6" s="51">
        <f>D30-D88</f>
        <v>95439.57932330827</v>
      </c>
      <c r="E6" s="51">
        <f>E30-E88</f>
        <v>93192.57932330827</v>
      </c>
      <c r="F6" s="51">
        <f>F30-F88</f>
        <v>93495.57932330827</v>
      </c>
      <c r="G6" s="51">
        <f>G30-G88</f>
        <v>93495.57932330827</v>
      </c>
      <c r="H6" s="51">
        <f>H30-H88</f>
        <v>93495.57932330827</v>
      </c>
      <c r="I6" s="51">
        <f>I30-I88</f>
        <v>92960.82932330827</v>
      </c>
      <c r="J6" s="51">
        <f>J30-J88</f>
        <v>95439.57932330827</v>
      </c>
      <c r="K6" s="51">
        <f>K30-K88</f>
        <v>93192.57932330827</v>
      </c>
      <c r="L6" s="51">
        <f>L30-L88</f>
        <v>93495.57932330827</v>
      </c>
      <c r="M6" s="51">
        <f>M30-M88</f>
        <v>93495.57932330827</v>
      </c>
      <c r="N6" s="51">
        <f>N30-N88</f>
        <v>93495.57932330827</v>
      </c>
      <c r="O6" s="51">
        <f>O30-O88</f>
        <v>92960.82932330827</v>
      </c>
      <c r="P6" s="51">
        <f>P30-P88</f>
        <v>95439.57932330827</v>
      </c>
      <c r="Q6" s="51">
        <f>Q30-Q88</f>
        <v>93192.57932330827</v>
      </c>
      <c r="R6" s="51">
        <f>R30-R88</f>
        <v>198495.5793233083</v>
      </c>
      <c r="S6" s="51">
        <f>S30-S88</f>
        <v>93495.57932330827</v>
      </c>
      <c r="T6" s="51">
        <f>T30-T88</f>
        <v>93495.57932330827</v>
      </c>
      <c r="U6" s="51">
        <f>U30-U88</f>
        <v>92960.82932330827</v>
      </c>
      <c r="V6" s="51">
        <f>V30-V88</f>
        <v>95439.57932330827</v>
      </c>
      <c r="W6" s="51">
        <f>W30-W88</f>
        <v>93192.57932330827</v>
      </c>
      <c r="X6" s="51">
        <f>X30-X88</f>
        <v>93495.57932330827</v>
      </c>
      <c r="Y6" s="51">
        <f>Y30-Y88</f>
        <v>93495.57932330827</v>
      </c>
      <c r="Z6" s="51">
        <f>SUMIF($B$13:$Y$13,"Yes",B6:Y6)</f>
        <v>655575.3052631579</v>
      </c>
      <c r="AA6" s="51">
        <f>AA30-AA88</f>
        <v>1124159.451879699</v>
      </c>
      <c r="AB6" s="51">
        <f>AB30-AB88</f>
        <v>2353318.903759398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20000</v>
      </c>
      <c r="I7" s="80">
        <f>IF(ISERROR(VLOOKUP(MONTH(I5),Inputs!$D$66:$D$71,1,0)),"",INDEX(Inputs!$B$66:$B$71,MATCH(MONTH(Output!I5),Inputs!$D$66:$D$71,0))-INDEX(Inputs!$C$66:$C$71,MATCH(MONTH(Output!I5),Inputs!$D$66:$D$71,0)))</f>
        <v>50000</v>
      </c>
      <c r="J7" s="80">
        <f>IF(ISERROR(VLOOKUP(MONTH(J5),Inputs!$D$66:$D$71,1,0)),"",INDEX(Inputs!$B$66:$B$71,MATCH(MONTH(Output!J5),Inputs!$D$66:$D$71,0))-INDEX(Inputs!$C$66:$C$71,MATCH(MONTH(Output!J5),Inputs!$D$66:$D$71,0)))</f>
        <v>110000</v>
      </c>
      <c r="K7" s="80">
        <f>IF(ISERROR(VLOOKUP(MONTH(K5),Inputs!$D$66:$D$71,1,0)),"",INDEX(Inputs!$B$66:$B$71,MATCH(MONTH(Output!K5),Inputs!$D$66:$D$71,0))-INDEX(Inputs!$C$66:$C$71,MATCH(MONTH(Output!K5),Inputs!$D$66:$D$71,0)))</f>
        <v>90000</v>
      </c>
      <c r="L7" s="80">
        <f>IF(ISERROR(VLOOKUP(MONTH(L5),Inputs!$D$66:$D$71,1,0)),"",INDEX(Inputs!$B$66:$B$71,MATCH(MONTH(Output!L5),Inputs!$D$66:$D$71,0))-INDEX(Inputs!$C$66:$C$71,MATCH(MONTH(Output!L5),Inputs!$D$66:$D$71,0)))</f>
        <v>50000</v>
      </c>
      <c r="M7" s="80">
        <f>IF(ISERROR(VLOOKUP(MONTH(M5),Inputs!$D$66:$D$71,1,0)),"",INDEX(Inputs!$B$66:$B$71,MATCH(MONTH(Output!M5),Inputs!$D$66:$D$71,0))-INDEX(Inputs!$C$66:$C$71,MATCH(MONTH(Output!M5),Inputs!$D$66:$D$71,0)))</f>
        <v>150000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20000</v>
      </c>
      <c r="U7" s="80">
        <f>IF(ISERROR(VLOOKUP(MONTH(U5),Inputs!$D$66:$D$71,1,0)),"",INDEX(Inputs!$B$66:$B$71,MATCH(MONTH(Output!U5),Inputs!$D$66:$D$71,0))-INDEX(Inputs!$C$66:$C$71,MATCH(MONTH(Output!U5),Inputs!$D$66:$D$71,0)))</f>
        <v>50000</v>
      </c>
      <c r="V7" s="80">
        <f>IF(ISERROR(VLOOKUP(MONTH(V5),Inputs!$D$66:$D$71,1,0)),"",INDEX(Inputs!$B$66:$B$71,MATCH(MONTH(Output!V5),Inputs!$D$66:$D$71,0))-INDEX(Inputs!$C$66:$C$71,MATCH(MONTH(Output!V5),Inputs!$D$66:$D$71,0)))</f>
        <v>110000</v>
      </c>
      <c r="W7" s="80">
        <f>IF(ISERROR(VLOOKUP(MONTH(W5),Inputs!$D$66:$D$71,1,0)),"",INDEX(Inputs!$B$66:$B$71,MATCH(MONTH(Output!W5),Inputs!$D$66:$D$71,0))-INDEX(Inputs!$C$66:$C$71,MATCH(MONTH(Output!W5),Inputs!$D$66:$D$71,0)))</f>
        <v>90000</v>
      </c>
      <c r="X7" s="80">
        <f>IF(ISERROR(VLOOKUP(MONTH(X5),Inputs!$D$66:$D$71,1,0)),"",INDEX(Inputs!$B$66:$B$71,MATCH(MONTH(Output!X5),Inputs!$D$66:$D$71,0))-INDEX(Inputs!$C$66:$C$71,MATCH(MONTH(Output!X5),Inputs!$D$66:$D$71,0)))</f>
        <v>50000</v>
      </c>
      <c r="Y7" s="80">
        <f>IF(ISERROR(VLOOKUP(MONTH(Y5),Inputs!$D$66:$D$71,1,0)),"",INDEX(Inputs!$B$66:$B$71,MATCH(MONTH(Output!Y5),Inputs!$D$66:$D$71,0))-INDEX(Inputs!$C$66:$C$71,MATCH(MONTH(Output!Y5),Inputs!$D$66:$D$71,0)))</f>
        <v>150000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18166.66666666667</v>
      </c>
      <c r="D10" s="37">
        <f>SUMPRODUCT((Calculations!$D$33:$D$84=Output!D5)+0,Calculations!$C$33:$C$84)</f>
        <v>18166.66666666667</v>
      </c>
      <c r="E10" s="37">
        <f>SUMPRODUCT((Calculations!$D$33:$D$84=Output!E5)+0,Calculations!$C$33:$C$84)</f>
        <v>18166.66666666667</v>
      </c>
      <c r="F10" s="37">
        <f>SUMPRODUCT((Calculations!$D$33:$D$84=Output!F5)+0,Calculations!$C$33:$C$84)</f>
        <v>18166.66666666667</v>
      </c>
      <c r="G10" s="37">
        <f>SUMPRODUCT((Calculations!$D$33:$D$84=Output!G5)+0,Calculations!$C$33:$C$84)</f>
        <v>18166.66666666667</v>
      </c>
      <c r="H10" s="37">
        <f>SUMPRODUCT((Calculations!$D$33:$D$84=Output!H5)+0,Calculations!$C$33:$C$84)</f>
        <v>18166.66666666667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109000</v>
      </c>
      <c r="AA10" s="37">
        <f>SUM(B10:M10)</f>
        <v>109000</v>
      </c>
      <c r="AB10" s="37">
        <f>SUM(B10:Y10)</f>
        <v>109000</v>
      </c>
    </row>
    <row r="11" spans="1:30" customHeight="1" ht="15.75">
      <c r="A11" s="43" t="s">
        <v>31</v>
      </c>
      <c r="B11" s="80">
        <f>B6+B9-B10</f>
        <v>193495.5793233083</v>
      </c>
      <c r="C11" s="80">
        <f>C6+C9-C10</f>
        <v>74794.16265664159</v>
      </c>
      <c r="D11" s="80">
        <f>D6+D9-D10</f>
        <v>77272.91265664159</v>
      </c>
      <c r="E11" s="80">
        <f>E6+E9-E10</f>
        <v>75025.91265664159</v>
      </c>
      <c r="F11" s="80">
        <f>F6+F9-F10</f>
        <v>75328.91265664159</v>
      </c>
      <c r="G11" s="80">
        <f>G6+G9-G10</f>
        <v>75328.91265664159</v>
      </c>
      <c r="H11" s="80">
        <f>H6+H9-H10</f>
        <v>75328.91265664159</v>
      </c>
      <c r="I11" s="80">
        <f>I6+I9-I10</f>
        <v>92960.82932330827</v>
      </c>
      <c r="J11" s="80">
        <f>J6+J9-J10</f>
        <v>95439.57932330827</v>
      </c>
      <c r="K11" s="80">
        <f>K6+K9-K10</f>
        <v>93192.57932330827</v>
      </c>
      <c r="L11" s="80">
        <f>L6+L9-L10</f>
        <v>93495.57932330827</v>
      </c>
      <c r="M11" s="80">
        <f>M6+M9-M10</f>
        <v>93495.57932330827</v>
      </c>
      <c r="N11" s="80">
        <f>N6+N9-N10</f>
        <v>93495.57932330827</v>
      </c>
      <c r="O11" s="80">
        <f>O6+O9-O10</f>
        <v>92960.82932330827</v>
      </c>
      <c r="P11" s="80">
        <f>P6+P9-P10</f>
        <v>95439.57932330827</v>
      </c>
      <c r="Q11" s="80">
        <f>Q6+Q9-Q10</f>
        <v>93192.57932330827</v>
      </c>
      <c r="R11" s="80">
        <f>R6+R9-R10</f>
        <v>198495.5793233083</v>
      </c>
      <c r="S11" s="80">
        <f>S6+S9-S10</f>
        <v>93495.57932330827</v>
      </c>
      <c r="T11" s="80">
        <f>T6+T9-T10</f>
        <v>93495.57932330827</v>
      </c>
      <c r="U11" s="80">
        <f>U6+U9-U10</f>
        <v>92960.82932330827</v>
      </c>
      <c r="V11" s="80">
        <f>V6+V9-V10</f>
        <v>95439.57932330827</v>
      </c>
      <c r="W11" s="80">
        <f>W6+W9-W10</f>
        <v>93192.57932330827</v>
      </c>
      <c r="X11" s="80">
        <f>X6+X9-X10</f>
        <v>93495.57932330827</v>
      </c>
      <c r="Y11" s="80">
        <f>Y6+Y9-Y10</f>
        <v>93495.57932330827</v>
      </c>
      <c r="Z11" s="85">
        <f>SUMIF($B$13:$Y$13,"Yes",B11:Y11)</f>
        <v>646575.3052631577</v>
      </c>
      <c r="AA11" s="80">
        <f>SUM(B11:M11)</f>
        <v>1115159.451879699</v>
      </c>
      <c r="AB11" s="46">
        <f>SUM(B11:Y11)</f>
        <v>2344318.903759398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0.06341860792186974</v>
      </c>
      <c r="D12" s="82">
        <f>IF(D13="Yes",IF(SUM($B$10:D10)/(SUM($B$6:D6)+SUM($B$9:D9))&lt;0,999.99,SUM($B$10:D10)/(SUM($B$6:D6)+SUM($B$9:D9))),"")</f>
        <v>0.09513934285215551</v>
      </c>
      <c r="E12" s="82">
        <f>IF(E13="Yes",IF(SUM($B$10:E10)/(SUM($B$6:E6)+SUM($B$9:E9))&lt;0,999.99,SUM($B$10:E10)/(SUM($B$6:E6)+SUM($B$9:E9))),"")</f>
        <v>0.1147154525534218</v>
      </c>
      <c r="F12" s="82">
        <f>IF(F13="Yes",IF(SUM($B$10:F10)/(SUM($B$6:F6)+SUM($B$9:F9))&lt;0,999.99,SUM($B$10:F10)/(SUM($B$6:F6)+SUM($B$9:F9))),"")</f>
        <v>0.1278028363947224</v>
      </c>
      <c r="G12" s="82">
        <f>IF(G13="Yes",IF(SUM($B$10:G10)/(SUM($B$6:G6)+SUM($B$9:G9))&lt;0,999.99,SUM($B$10:G10)/(SUM($B$6:G6)+SUM($B$9:G9))),"")</f>
        <v>0.1371939507804618</v>
      </c>
      <c r="H12" s="82">
        <f>IF(H13="Yes",IF(SUM($B$10:H10)/(SUM($B$6:H6)+SUM($B$9:H9))&lt;0,999.99,SUM($B$10:H10)/(SUM($B$6:H6)+SUM($B$9:H9))),"")</f>
        <v>0.1442609349997703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82330.82706766915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105000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105000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1400000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200000</v>
      </c>
      <c r="C30" s="19">
        <f>SUM(C18:C29)</f>
        <v>200000</v>
      </c>
      <c r="D30" s="19">
        <f>SUM(D18:D29)</f>
        <v>200000</v>
      </c>
      <c r="E30" s="19">
        <f>SUM(E18:E29)</f>
        <v>200000</v>
      </c>
      <c r="F30" s="19">
        <f>SUM(F18:F29)</f>
        <v>200000</v>
      </c>
      <c r="G30" s="19">
        <f>SUM(G18:G29)</f>
        <v>200000</v>
      </c>
      <c r="H30" s="19">
        <f>SUM(H18:H29)</f>
        <v>200000</v>
      </c>
      <c r="I30" s="19">
        <f>SUM(I18:I29)</f>
        <v>200000</v>
      </c>
      <c r="J30" s="19">
        <f>SUM(J18:J29)</f>
        <v>200000</v>
      </c>
      <c r="K30" s="19">
        <f>SUM(K18:K29)</f>
        <v>200000</v>
      </c>
      <c r="L30" s="19">
        <f>SUM(L18:L29)</f>
        <v>200000</v>
      </c>
      <c r="M30" s="19">
        <f>SUM(M18:M29)</f>
        <v>200000</v>
      </c>
      <c r="N30" s="19">
        <f>SUM(N18:N29)</f>
        <v>200000</v>
      </c>
      <c r="O30" s="19">
        <f>SUM(O18:O29)</f>
        <v>200000</v>
      </c>
      <c r="P30" s="19">
        <f>SUM(P18:P29)</f>
        <v>200000</v>
      </c>
      <c r="Q30" s="19">
        <f>SUM(Q18:Q29)</f>
        <v>200000</v>
      </c>
      <c r="R30" s="19">
        <f>SUM(R18:R29)</f>
        <v>305000</v>
      </c>
      <c r="S30" s="19">
        <f>SUM(S18:S29)</f>
        <v>200000</v>
      </c>
      <c r="T30" s="19">
        <f>SUM(T18:T29)</f>
        <v>200000</v>
      </c>
      <c r="U30" s="19">
        <f>SUM(U18:U29)</f>
        <v>200000</v>
      </c>
      <c r="V30" s="19">
        <f>SUM(V18:V29)</f>
        <v>200000</v>
      </c>
      <c r="W30" s="19">
        <f>SUM(W18:W29)</f>
        <v>200000</v>
      </c>
      <c r="X30" s="19">
        <f>SUM(X18:X29)</f>
        <v>200000</v>
      </c>
      <c r="Y30" s="19">
        <f>SUM(Y18:Y29)</f>
        <v>200000</v>
      </c>
      <c r="Z30" s="19">
        <f>SUMIF($B$13:$Y$13,"Yes",B30:Y30)</f>
        <v>1400000</v>
      </c>
      <c r="AA30" s="19">
        <f>SUM(B30:M30)</f>
        <v>2400000</v>
      </c>
      <c r="AB30" s="19">
        <f>SUM(B30:Y30)</f>
        <v>4905000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303.0000000000001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303.0000000000001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303.0000000000001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303.0000000000001</v>
      </c>
      <c r="X42" s="36">
        <f>SUM(X43:X47)</f>
        <v>0</v>
      </c>
      <c r="Y42" s="36">
        <f>SUM(Y43:Y47)</f>
        <v>0</v>
      </c>
      <c r="Z42" s="36">
        <f>SUMIF($B$13:$Y$13,"Yes",B42:Y42)</f>
        <v>303.0000000000001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303.0000000000001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303.0000000000001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534.75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534.75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534.75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534.75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534.75</v>
      </c>
      <c r="AA54" s="46">
        <f>SUM(B54:M54)</f>
        <v>1069.5</v>
      </c>
      <c r="AB54" s="46">
        <f>SUM(B54:Y54)</f>
        <v>2139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534.75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534.75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534.75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534.75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534.75</v>
      </c>
      <c r="AA55" s="46">
        <f>SUM(B55:M55)</f>
        <v>1069.5</v>
      </c>
      <c r="AB55" s="46">
        <f>SUM(B55:Y55)</f>
        <v>2139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1944</v>
      </c>
      <c r="C66" s="36">
        <f>O66</f>
        <v>1944</v>
      </c>
      <c r="D66" s="36">
        <f>P66</f>
        <v>0</v>
      </c>
      <c r="E66" s="36">
        <f>Q66</f>
        <v>1944</v>
      </c>
      <c r="F66" s="36">
        <f>R66</f>
        <v>1944</v>
      </c>
      <c r="G66" s="36">
        <f>S66</f>
        <v>1944</v>
      </c>
      <c r="H66" s="36">
        <f>T66</f>
        <v>1944</v>
      </c>
      <c r="I66" s="36">
        <f>U66</f>
        <v>1944</v>
      </c>
      <c r="J66" s="36">
        <f>V66</f>
        <v>0</v>
      </c>
      <c r="K66" s="36">
        <f>W66</f>
        <v>1944</v>
      </c>
      <c r="L66" s="36">
        <f>X66</f>
        <v>1944</v>
      </c>
      <c r="M66" s="36">
        <f>Y66</f>
        <v>1944</v>
      </c>
      <c r="N66" s="46">
        <f>SUM(N67:N71)</f>
        <v>1944</v>
      </c>
      <c r="O66" s="46">
        <f>SUM(O67:O71)</f>
        <v>1944</v>
      </c>
      <c r="P66" s="46">
        <f>SUM(P67:P71)</f>
        <v>0</v>
      </c>
      <c r="Q66" s="46">
        <f>SUM(Q67:Q71)</f>
        <v>1944</v>
      </c>
      <c r="R66" s="46">
        <f>SUM(R67:R71)</f>
        <v>1944</v>
      </c>
      <c r="S66" s="46">
        <f>SUM(S67:S71)</f>
        <v>1944</v>
      </c>
      <c r="T66" s="46">
        <f>SUM(T67:T71)</f>
        <v>1944</v>
      </c>
      <c r="U66" s="46">
        <f>SUM(U67:U71)</f>
        <v>1944</v>
      </c>
      <c r="V66" s="46">
        <f>SUM(V67:V71)</f>
        <v>0</v>
      </c>
      <c r="W66" s="46">
        <f>SUM(W67:W71)</f>
        <v>1944</v>
      </c>
      <c r="X66" s="46">
        <f>SUM(X67:X71)</f>
        <v>1944</v>
      </c>
      <c r="Y66" s="46">
        <f>SUM(Y67:Y71)</f>
        <v>1944</v>
      </c>
      <c r="Z66" s="46">
        <f>SUMIF($B$13:$Y$13,"Yes",B66:Y66)</f>
        <v>11664</v>
      </c>
      <c r="AA66" s="46">
        <f>SUM(B66:M66)</f>
        <v>19440</v>
      </c>
      <c r="AB66" s="46">
        <f>SUM(B66:Y66)</f>
        <v>38880</v>
      </c>
    </row>
    <row r="67" spans="1:30" hidden="true" outlineLevel="1">
      <c r="A67" s="181" t="str">
        <f>Calculations!$A$4</f>
        <v>Maize</v>
      </c>
      <c r="B67" s="36">
        <f>N67</f>
        <v>1944</v>
      </c>
      <c r="C67" s="36">
        <f>O67</f>
        <v>1944</v>
      </c>
      <c r="D67" s="36">
        <f>P67</f>
        <v>0</v>
      </c>
      <c r="E67" s="36">
        <f>Q67</f>
        <v>1944</v>
      </c>
      <c r="F67" s="36">
        <f>R67</f>
        <v>1944</v>
      </c>
      <c r="G67" s="36">
        <f>S67</f>
        <v>1944</v>
      </c>
      <c r="H67" s="36">
        <f>T67</f>
        <v>1944</v>
      </c>
      <c r="I67" s="36">
        <f>U67</f>
        <v>1944</v>
      </c>
      <c r="J67" s="36">
        <f>V67</f>
        <v>0</v>
      </c>
      <c r="K67" s="36">
        <f>W67</f>
        <v>1944</v>
      </c>
      <c r="L67" s="36">
        <f>X67</f>
        <v>1944</v>
      </c>
      <c r="M67" s="36">
        <f>Y67</f>
        <v>1944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1944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1944</v>
      </c>
      <c r="Z67" s="46">
        <f>SUMIF($B$13:$Y$13,"Yes",B67:Y67)</f>
        <v>11664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18250</v>
      </c>
      <c r="C74" s="46">
        <f>SUM(Calculations!$Q$14:$Q$16)/12</f>
        <v>18250</v>
      </c>
      <c r="D74" s="46">
        <f>SUM(Calculations!$Q$14:$Q$16)/12</f>
        <v>18250</v>
      </c>
      <c r="E74" s="46">
        <f>SUM(Calculations!$Q$14:$Q$16)/12</f>
        <v>18250</v>
      </c>
      <c r="F74" s="46">
        <f>SUM(Calculations!$Q$14:$Q$16)/12</f>
        <v>18250</v>
      </c>
      <c r="G74" s="46">
        <f>SUM(Calculations!$Q$14:$Q$16)/12</f>
        <v>18250</v>
      </c>
      <c r="H74" s="46">
        <f>SUM(Calculations!$Q$14:$Q$16)/12</f>
        <v>18250</v>
      </c>
      <c r="I74" s="46">
        <f>SUM(Calculations!$Q$14:$Q$16)/12</f>
        <v>18250</v>
      </c>
      <c r="J74" s="46">
        <f>SUM(Calculations!$Q$14:$Q$16)/12</f>
        <v>18250</v>
      </c>
      <c r="K74" s="46">
        <f>SUM(Calculations!$Q$14:$Q$16)/12</f>
        <v>18250</v>
      </c>
      <c r="L74" s="46">
        <f>SUM(Calculations!$Q$14:$Q$16)/12</f>
        <v>18250</v>
      </c>
      <c r="M74" s="46">
        <f>SUM(Calculations!$Q$14:$Q$16)/12</f>
        <v>18250</v>
      </c>
      <c r="N74" s="46">
        <f>SUM(Calculations!$Q$14:$Q$16)/12</f>
        <v>18250</v>
      </c>
      <c r="O74" s="46">
        <f>SUM(Calculations!$Q$14:$Q$16)/12</f>
        <v>18250</v>
      </c>
      <c r="P74" s="46">
        <f>SUM(Calculations!$Q$14:$Q$16)/12</f>
        <v>18250</v>
      </c>
      <c r="Q74" s="46">
        <f>SUM(Calculations!$Q$14:$Q$16)/12</f>
        <v>18250</v>
      </c>
      <c r="R74" s="46">
        <f>SUM(Calculations!$Q$14:$Q$16)/12</f>
        <v>18250</v>
      </c>
      <c r="S74" s="46">
        <f>SUM(Calculations!$Q$14:$Q$16)/12</f>
        <v>18250</v>
      </c>
      <c r="T74" s="46">
        <f>SUM(Calculations!$Q$14:$Q$16)/12</f>
        <v>18250</v>
      </c>
      <c r="U74" s="46">
        <f>SUM(Calculations!$Q$14:$Q$16)/12</f>
        <v>18250</v>
      </c>
      <c r="V74" s="46">
        <f>SUM(Calculations!$Q$14:$Q$16)/12</f>
        <v>18250</v>
      </c>
      <c r="W74" s="46">
        <f>SUM(Calculations!$Q$14:$Q$16)/12</f>
        <v>18250</v>
      </c>
      <c r="X74" s="46">
        <f>SUM(Calculations!$Q$14:$Q$16)/12</f>
        <v>18250</v>
      </c>
      <c r="Y74" s="46">
        <f>SUM(Calculations!$Q$14:$Q$16)/12</f>
        <v>18250</v>
      </c>
      <c r="Z74" s="46">
        <f>SUMIF($B$13:$Y$13,"Yes",B74:Y74)</f>
        <v>127750</v>
      </c>
      <c r="AA74" s="46">
        <f>SUM(B74:M74)</f>
        <v>219000</v>
      </c>
      <c r="AB74" s="46">
        <f>SUM(B74:Y74)</f>
        <v>438000</v>
      </c>
    </row>
    <row r="75" spans="1:30">
      <c r="A75" s="16" t="s">
        <v>47</v>
      </c>
      <c r="B75" s="46">
        <f>SUM(Calculations!$R$14:$R$16)/12</f>
        <v>426.6666666666667</v>
      </c>
      <c r="C75" s="46">
        <f>SUM(Calculations!$R$14:$R$16)/12</f>
        <v>426.6666666666667</v>
      </c>
      <c r="D75" s="46">
        <f>SUM(Calculations!$R$14:$R$16)/12</f>
        <v>426.6666666666667</v>
      </c>
      <c r="E75" s="46">
        <f>SUM(Calculations!$R$14:$R$16)/12</f>
        <v>426.6666666666667</v>
      </c>
      <c r="F75" s="46">
        <f>SUM(Calculations!$R$14:$R$16)/12</f>
        <v>426.6666666666667</v>
      </c>
      <c r="G75" s="46">
        <f>SUM(Calculations!$R$14:$R$16)/12</f>
        <v>426.6666666666667</v>
      </c>
      <c r="H75" s="46">
        <f>SUM(Calculations!$R$14:$R$16)/12</f>
        <v>426.6666666666667</v>
      </c>
      <c r="I75" s="46">
        <f>SUM(Calculations!$R$14:$R$16)/12</f>
        <v>426.6666666666667</v>
      </c>
      <c r="J75" s="46">
        <f>SUM(Calculations!$R$14:$R$16)/12</f>
        <v>426.6666666666667</v>
      </c>
      <c r="K75" s="46">
        <f>SUM(Calculations!$R$14:$R$16)/12</f>
        <v>426.6666666666667</v>
      </c>
      <c r="L75" s="46">
        <f>SUM(Calculations!$R$14:$R$16)/12</f>
        <v>426.6666666666667</v>
      </c>
      <c r="M75" s="46">
        <f>SUM(Calculations!$R$14:$R$16)/12</f>
        <v>426.6666666666667</v>
      </c>
      <c r="N75" s="46">
        <f>SUM(Calculations!$R$14:$R$16)/12</f>
        <v>426.6666666666667</v>
      </c>
      <c r="O75" s="46">
        <f>SUM(Calculations!$R$14:$R$16)/12</f>
        <v>426.6666666666667</v>
      </c>
      <c r="P75" s="46">
        <f>SUM(Calculations!$R$14:$R$16)/12</f>
        <v>426.6666666666667</v>
      </c>
      <c r="Q75" s="46">
        <f>SUM(Calculations!$R$14:$R$16)/12</f>
        <v>426.6666666666667</v>
      </c>
      <c r="R75" s="46">
        <f>SUM(Calculations!$R$14:$R$16)/12</f>
        <v>426.6666666666667</v>
      </c>
      <c r="S75" s="46">
        <f>SUM(Calculations!$R$14:$R$16)/12</f>
        <v>426.6666666666667</v>
      </c>
      <c r="T75" s="46">
        <f>SUM(Calculations!$R$14:$R$16)/12</f>
        <v>426.6666666666667</v>
      </c>
      <c r="U75" s="46">
        <f>SUM(Calculations!$R$14:$R$16)/12</f>
        <v>426.6666666666667</v>
      </c>
      <c r="V75" s="46">
        <f>SUM(Calculations!$R$14:$R$16)/12</f>
        <v>426.6666666666667</v>
      </c>
      <c r="W75" s="46">
        <f>SUM(Calculations!$R$14:$R$16)/12</f>
        <v>426.6666666666667</v>
      </c>
      <c r="X75" s="46">
        <f>SUM(Calculations!$R$14:$R$16)/12</f>
        <v>426.6666666666667</v>
      </c>
      <c r="Y75" s="46">
        <f>SUM(Calculations!$R$14:$R$16)/12</f>
        <v>426.6666666666667</v>
      </c>
      <c r="Z75" s="46">
        <f>SUMIF($B$13:$Y$13,"Yes",B75:Y75)</f>
        <v>2986.666666666667</v>
      </c>
      <c r="AA75" s="46">
        <f>SUM(B75:M75)</f>
        <v>5120</v>
      </c>
      <c r="AB75" s="46">
        <f>SUM(B75:Y75)</f>
        <v>10240</v>
      </c>
    </row>
    <row r="76" spans="1:30">
      <c r="A76" s="16" t="s">
        <v>48</v>
      </c>
      <c r="B76" s="46">
        <f>SUM(Calculations!$S$14:$S$16)/12</f>
        <v>3430.451127819548</v>
      </c>
      <c r="C76" s="46">
        <f>SUM(Calculations!$S$14:$S$16)/12</f>
        <v>3430.451127819548</v>
      </c>
      <c r="D76" s="46">
        <f>SUM(Calculations!$S$14:$S$16)/12</f>
        <v>3430.451127819548</v>
      </c>
      <c r="E76" s="46">
        <f>SUM(Calculations!$S$14:$S$16)/12</f>
        <v>3430.451127819548</v>
      </c>
      <c r="F76" s="46">
        <f>SUM(Calculations!$S$14:$S$16)/12</f>
        <v>3430.451127819548</v>
      </c>
      <c r="G76" s="46">
        <f>SUM(Calculations!$S$14:$S$16)/12</f>
        <v>3430.451127819548</v>
      </c>
      <c r="H76" s="46">
        <f>SUM(Calculations!$S$14:$S$16)/12</f>
        <v>3430.451127819548</v>
      </c>
      <c r="I76" s="46">
        <f>SUM(Calculations!$S$14:$S$16)/12</f>
        <v>3430.451127819548</v>
      </c>
      <c r="J76" s="46">
        <f>SUM(Calculations!$S$14:$S$16)/12</f>
        <v>3430.451127819548</v>
      </c>
      <c r="K76" s="46">
        <f>SUM(Calculations!$S$14:$S$16)/12</f>
        <v>3430.451127819548</v>
      </c>
      <c r="L76" s="46">
        <f>SUM(Calculations!$S$14:$S$16)/12</f>
        <v>3430.451127819548</v>
      </c>
      <c r="M76" s="46">
        <f>SUM(Calculations!$S$14:$S$16)/12</f>
        <v>3430.451127819548</v>
      </c>
      <c r="N76" s="46">
        <f>SUM(Calculations!$S$14:$S$16)/12</f>
        <v>3430.451127819548</v>
      </c>
      <c r="O76" s="46">
        <f>SUM(Calculations!$S$14:$S$16)/12</f>
        <v>3430.451127819548</v>
      </c>
      <c r="P76" s="46">
        <f>SUM(Calculations!$S$14:$S$16)/12</f>
        <v>3430.451127819548</v>
      </c>
      <c r="Q76" s="46">
        <f>SUM(Calculations!$S$14:$S$16)/12</f>
        <v>3430.451127819548</v>
      </c>
      <c r="R76" s="46">
        <f>SUM(Calculations!$S$14:$S$16)/12</f>
        <v>3430.451127819548</v>
      </c>
      <c r="S76" s="46">
        <f>SUM(Calculations!$S$14:$S$16)/12</f>
        <v>3430.451127819548</v>
      </c>
      <c r="T76" s="46">
        <f>SUM(Calculations!$S$14:$S$16)/12</f>
        <v>3430.451127819548</v>
      </c>
      <c r="U76" s="46">
        <f>SUM(Calculations!$S$14:$S$16)/12</f>
        <v>3430.451127819548</v>
      </c>
      <c r="V76" s="46">
        <f>SUM(Calculations!$S$14:$S$16)/12</f>
        <v>3430.451127819548</v>
      </c>
      <c r="W76" s="46">
        <f>SUM(Calculations!$S$14:$S$16)/12</f>
        <v>3430.451127819548</v>
      </c>
      <c r="X76" s="46">
        <f>SUM(Calculations!$S$14:$S$16)/12</f>
        <v>3430.451127819548</v>
      </c>
      <c r="Y76" s="46">
        <f>SUM(Calculations!$S$14:$S$16)/12</f>
        <v>3430.451127819548</v>
      </c>
      <c r="Z76" s="46">
        <f>SUMIF($B$13:$Y$13,"Yes",B76:Y76)</f>
        <v>24013.15789473684</v>
      </c>
      <c r="AA76" s="46">
        <f>SUM(B76:M76)</f>
        <v>41165.41353383459</v>
      </c>
      <c r="AB76" s="46">
        <f>SUM(B76:Y76)</f>
        <v>82330.82706766915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140000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62453.30288220552</v>
      </c>
      <c r="C81" s="46">
        <f>(SUM($AA$18:$AA$29)-SUM($AA$36,$AA$42,$AA$48,$AA$54,$AA$60,$AA$66,$AA$72:$AA$79))*Parameters!$B$37/12</f>
        <v>62453.30288220552</v>
      </c>
      <c r="D81" s="46">
        <f>(SUM($AA$18:$AA$29)-SUM($AA$36,$AA$42,$AA$48,$AA$54,$AA$60,$AA$66,$AA$72:$AA$79))*Parameters!$B$37/12</f>
        <v>62453.30288220552</v>
      </c>
      <c r="E81" s="46">
        <f>(SUM($AA$18:$AA$29)-SUM($AA$36,$AA$42,$AA$48,$AA$54,$AA$60,$AA$66,$AA$72:$AA$79))*Parameters!$B$37/12</f>
        <v>62453.30288220552</v>
      </c>
      <c r="F81" s="46">
        <f>(SUM($AA$18:$AA$29)-SUM($AA$36,$AA$42,$AA$48,$AA$54,$AA$60,$AA$66,$AA$72:$AA$79))*Parameters!$B$37/12</f>
        <v>62453.30288220552</v>
      </c>
      <c r="G81" s="46">
        <f>(SUM($AA$18:$AA$29)-SUM($AA$36,$AA$42,$AA$48,$AA$54,$AA$60,$AA$66,$AA$72:$AA$79))*Parameters!$B$37/12</f>
        <v>62453.30288220552</v>
      </c>
      <c r="H81" s="46">
        <f>(SUM($AA$18:$AA$29)-SUM($AA$36,$AA$42,$AA$48,$AA$54,$AA$60,$AA$66,$AA$72:$AA$79))*Parameters!$B$37/12</f>
        <v>62453.30288220552</v>
      </c>
      <c r="I81" s="46">
        <f>(SUM($AA$18:$AA$29)-SUM($AA$36,$AA$42,$AA$48,$AA$54,$AA$60,$AA$66,$AA$72:$AA$79))*Parameters!$B$37/12</f>
        <v>62453.30288220552</v>
      </c>
      <c r="J81" s="46">
        <f>(SUM($AA$18:$AA$29)-SUM($AA$36,$AA$42,$AA$48,$AA$54,$AA$60,$AA$66,$AA$72:$AA$79))*Parameters!$B$37/12</f>
        <v>62453.30288220552</v>
      </c>
      <c r="K81" s="46">
        <f>(SUM($AA$18:$AA$29)-SUM($AA$36,$AA$42,$AA$48,$AA$54,$AA$60,$AA$66,$AA$72:$AA$79))*Parameters!$B$37/12</f>
        <v>62453.30288220552</v>
      </c>
      <c r="L81" s="46">
        <f>(SUM($AA$18:$AA$29)-SUM($AA$36,$AA$42,$AA$48,$AA$54,$AA$60,$AA$66,$AA$72:$AA$79))*Parameters!$B$37/12</f>
        <v>62453.30288220552</v>
      </c>
      <c r="M81" s="46">
        <f>(SUM($AA$18:$AA$29)-SUM($AA$36,$AA$42,$AA$48,$AA$54,$AA$60,$AA$66,$AA$72:$AA$79))*Parameters!$B$37/12</f>
        <v>62453.30288220552</v>
      </c>
      <c r="N81" s="46">
        <f>(SUM($AA$18:$AA$29)-SUM($AA$36,$AA$42,$AA$48,$AA$54,$AA$60,$AA$66,$AA$72:$AA$79))*Parameters!$B$37/12</f>
        <v>62453.30288220552</v>
      </c>
      <c r="O81" s="46">
        <f>(SUM($AA$18:$AA$29)-SUM($AA$36,$AA$42,$AA$48,$AA$54,$AA$60,$AA$66,$AA$72:$AA$79))*Parameters!$B$37/12</f>
        <v>62453.30288220552</v>
      </c>
      <c r="P81" s="46">
        <f>(SUM($AA$18:$AA$29)-SUM($AA$36,$AA$42,$AA$48,$AA$54,$AA$60,$AA$66,$AA$72:$AA$79))*Parameters!$B$37/12</f>
        <v>62453.30288220552</v>
      </c>
      <c r="Q81" s="46">
        <f>(SUM($AA$18:$AA$29)-SUM($AA$36,$AA$42,$AA$48,$AA$54,$AA$60,$AA$66,$AA$72:$AA$79))*Parameters!$B$37/12</f>
        <v>62453.30288220552</v>
      </c>
      <c r="R81" s="46">
        <f>(SUM($AA$18:$AA$29)-SUM($AA$36,$AA$42,$AA$48,$AA$54,$AA$60,$AA$66,$AA$72:$AA$79))*Parameters!$B$37/12</f>
        <v>62453.30288220552</v>
      </c>
      <c r="S81" s="46">
        <f>(SUM($AA$18:$AA$29)-SUM($AA$36,$AA$42,$AA$48,$AA$54,$AA$60,$AA$66,$AA$72:$AA$79))*Parameters!$B$37/12</f>
        <v>62453.30288220552</v>
      </c>
      <c r="T81" s="46">
        <f>(SUM($AA$18:$AA$29)-SUM($AA$36,$AA$42,$AA$48,$AA$54,$AA$60,$AA$66,$AA$72:$AA$79))*Parameters!$B$37/12</f>
        <v>62453.30288220552</v>
      </c>
      <c r="U81" s="46">
        <f>(SUM($AA$18:$AA$29)-SUM($AA$36,$AA$42,$AA$48,$AA$54,$AA$60,$AA$66,$AA$72:$AA$79))*Parameters!$B$37/12</f>
        <v>62453.30288220552</v>
      </c>
      <c r="V81" s="46">
        <f>(SUM($AA$18:$AA$29)-SUM($AA$36,$AA$42,$AA$48,$AA$54,$AA$60,$AA$66,$AA$72:$AA$79))*Parameters!$B$37/12</f>
        <v>62453.30288220552</v>
      </c>
      <c r="W81" s="46">
        <f>(SUM($AA$18:$AA$29)-SUM($AA$36,$AA$42,$AA$48,$AA$54,$AA$60,$AA$66,$AA$72:$AA$79))*Parameters!$B$37/12</f>
        <v>62453.30288220552</v>
      </c>
      <c r="X81" s="46">
        <f>(SUM($AA$18:$AA$29)-SUM($AA$36,$AA$42,$AA$48,$AA$54,$AA$60,$AA$66,$AA$72:$AA$79))*Parameters!$B$37/12</f>
        <v>62453.30288220552</v>
      </c>
      <c r="Y81" s="46">
        <f>(SUM($AA$18:$AA$29)-SUM($AA$36,$AA$42,$AA$48,$AA$54,$AA$60,$AA$66,$AA$72:$AA$79))*Parameters!$B$37/12</f>
        <v>62453.30288220552</v>
      </c>
      <c r="Z81" s="46">
        <f>SUMIF($B$13:$Y$13,"Yes",B81:Y81)</f>
        <v>437173.1201754386</v>
      </c>
      <c r="AA81" s="46">
        <f>SUM(B81:M81)</f>
        <v>749439.634586466</v>
      </c>
      <c r="AB81" s="46">
        <f>SUM(B81:Y81)</f>
        <v>1498879.269172932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106504.4206766917</v>
      </c>
      <c r="C88" s="19">
        <f>SUM(C72:C82,C66,C60,C54,C48,C42,C36)</f>
        <v>107039.1706766917</v>
      </c>
      <c r="D88" s="19">
        <f>SUM(D72:D82,D66,D60,D54,D48,D42,D36)</f>
        <v>104560.4206766917</v>
      </c>
      <c r="E88" s="19">
        <f>SUM(E72:E82,E66,E60,E54,E48,E42,E36)</f>
        <v>106807.4206766917</v>
      </c>
      <c r="F88" s="19">
        <f>SUM(F72:F82,F66,F60,F54,F48,F42,F36)</f>
        <v>106504.4206766917</v>
      </c>
      <c r="G88" s="19">
        <f>SUM(G72:G82,G66,G60,G54,G48,G42,G36)</f>
        <v>106504.4206766917</v>
      </c>
      <c r="H88" s="19">
        <f>SUM(H72:H82,H66,H60,H54,H48,H42,H36)</f>
        <v>106504.4206766917</v>
      </c>
      <c r="I88" s="19">
        <f>SUM(I72:I82,I66,I60,I54,I48,I42,I36)</f>
        <v>107039.1706766917</v>
      </c>
      <c r="J88" s="19">
        <f>SUM(J72:J82,J66,J60,J54,J48,J42,J36)</f>
        <v>104560.4206766917</v>
      </c>
      <c r="K88" s="19">
        <f>SUM(K72:K82,K66,K60,K54,K48,K42,K36)</f>
        <v>106807.4206766917</v>
      </c>
      <c r="L88" s="19">
        <f>SUM(L72:L82,L66,L60,L54,L48,L42,L36)</f>
        <v>106504.4206766917</v>
      </c>
      <c r="M88" s="19">
        <f>SUM(M72:M82,M66,M60,M54,M48,M42,M36)</f>
        <v>106504.4206766917</v>
      </c>
      <c r="N88" s="19">
        <f>SUM(N72:N82,N66,N60,N54,N48,N42,N36)</f>
        <v>106504.4206766917</v>
      </c>
      <c r="O88" s="19">
        <f>SUM(O72:O82,O66,O60,O54,O48,O42,O36)</f>
        <v>107039.1706766917</v>
      </c>
      <c r="P88" s="19">
        <f>SUM(P72:P82,P66,P60,P54,P48,P42,P36)</f>
        <v>104560.4206766917</v>
      </c>
      <c r="Q88" s="19">
        <f>SUM(Q72:Q82,Q66,Q60,Q54,Q48,Q42,Q36)</f>
        <v>106807.4206766917</v>
      </c>
      <c r="R88" s="19">
        <f>SUM(R72:R82,R66,R60,R54,R48,R42,R36)</f>
        <v>106504.4206766917</v>
      </c>
      <c r="S88" s="19">
        <f>SUM(S72:S82,S66,S60,S54,S48,S42,S36)</f>
        <v>106504.4206766917</v>
      </c>
      <c r="T88" s="19">
        <f>SUM(T72:T82,T66,T60,T54,T48,T42,T36)</f>
        <v>106504.4206766917</v>
      </c>
      <c r="U88" s="19">
        <f>SUM(U72:U82,U66,U60,U54,U48,U42,U36)</f>
        <v>107039.1706766917</v>
      </c>
      <c r="V88" s="19">
        <f>SUM(V72:V82,V66,V60,V54,V48,V42,V36)</f>
        <v>104560.4206766917</v>
      </c>
      <c r="W88" s="19">
        <f>SUM(W72:W82,W66,W60,W54,W48,W42,W36)</f>
        <v>106807.4206766917</v>
      </c>
      <c r="X88" s="19">
        <f>SUM(X72:X82,X66,X60,X54,X48,X42,X36)</f>
        <v>106504.4206766917</v>
      </c>
      <c r="Y88" s="19">
        <f>SUM(Y72:Y82,Y66,Y60,Y54,Y48,Y42,Y36)</f>
        <v>106504.4206766917</v>
      </c>
      <c r="Z88" s="19">
        <f>SUMIF($B$13:$Y$13,"Yes",B88:Y88)</f>
        <v>744424.6947368421</v>
      </c>
      <c r="AA88" s="19">
        <f>SUM(B88:M88)</f>
        <v>1275840.548120301</v>
      </c>
      <c r="AB88" s="19">
        <f>SUM(B88:Y88)</f>
        <v>2551681.096240602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270000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525000</v>
      </c>
    </row>
    <row r="98" spans="1:30">
      <c r="A98" t="s">
        <v>64</v>
      </c>
      <c r="B98" s="36">
        <f>IF(Inputs!B44="Yes",Inputs!B45,0)</f>
        <v>4000000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11245000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100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600</v>
      </c>
      <c r="D19" s="145">
        <v>300</v>
      </c>
      <c r="E19" s="20"/>
      <c r="F19" s="145" t="s">
        <v>91</v>
      </c>
      <c r="G19" s="20"/>
      <c r="H19" s="20"/>
      <c r="I19" s="145" t="s">
        <v>107</v>
      </c>
      <c r="J19" s="145">
        <v>100</v>
      </c>
      <c r="K19" s="145">
        <v>100</v>
      </c>
      <c r="L19" s="25">
        <v>2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200000</v>
      </c>
    </row>
    <row r="31" spans="1:48">
      <c r="A31" s="5" t="s">
        <v>114</v>
      </c>
      <c r="B31" s="158">
        <v>20000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122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122</v>
      </c>
    </row>
    <row r="45" spans="1:48">
      <c r="A45" s="56" t="s">
        <v>128</v>
      </c>
      <c r="B45" s="161">
        <v>4000000</v>
      </c>
    </row>
    <row r="46" spans="1:48" customHeight="1" ht="30">
      <c r="A46" s="57" t="s">
        <v>129</v>
      </c>
      <c r="B46" s="161">
        <v>50000</v>
      </c>
    </row>
    <row r="47" spans="1:48" customHeight="1" ht="30">
      <c r="A47" s="57" t="s">
        <v>130</v>
      </c>
      <c r="B47" s="161">
        <v>400000</v>
      </c>
    </row>
    <row r="48" spans="1:48" customHeight="1" ht="30">
      <c r="A48" s="57" t="s">
        <v>131</v>
      </c>
      <c r="B48" s="161">
        <v>4000000</v>
      </c>
    </row>
    <row r="49" spans="1:48" customHeight="1" ht="30">
      <c r="A49" s="57" t="s">
        <v>132</v>
      </c>
      <c r="B49" s="161">
        <v>2000000</v>
      </c>
    </row>
    <row r="50" spans="1:48">
      <c r="A50" s="43"/>
      <c r="B50" s="36"/>
    </row>
    <row r="51" spans="1:48">
      <c r="A51" s="58" t="s">
        <v>133</v>
      </c>
      <c r="B51" s="161">
        <v>2000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142</v>
      </c>
      <c r="C65" s="10" t="s">
        <v>143</v>
      </c>
    </row>
    <row r="66" spans="1:48">
      <c r="A66" s="142" t="s">
        <v>144</v>
      </c>
      <c r="B66" s="159">
        <v>200000</v>
      </c>
      <c r="C66" s="163">
        <v>180000</v>
      </c>
      <c r="D66" s="49">
        <f>INDEX(Parameters!$D$79:$D$90,MATCH(Inputs!A66,Parameters!$C$79:$C$90,0))</f>
        <v>7</v>
      </c>
    </row>
    <row r="67" spans="1:48">
      <c r="A67" s="143" t="s">
        <v>145</v>
      </c>
      <c r="B67" s="157">
        <v>300000</v>
      </c>
      <c r="C67" s="165">
        <v>250000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360000</v>
      </c>
      <c r="C68" s="165">
        <v>250000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350000</v>
      </c>
      <c r="C69" s="165">
        <v>260000</v>
      </c>
      <c r="D69" s="49">
        <f>INDEX(Parameters!$D$79:$D$90,MATCH(Inputs!A69,Parameters!$C$79:$C$90,0))</f>
        <v>10</v>
      </c>
    </row>
    <row r="70" spans="1:48">
      <c r="A70" s="143" t="s">
        <v>148</v>
      </c>
      <c r="B70" s="157">
        <v>300000</v>
      </c>
      <c r="C70" s="165">
        <v>250000</v>
      </c>
      <c r="D70" s="49">
        <f>INDEX(Parameters!$D$79:$D$90,MATCH(Inputs!A70,Parameters!$C$79:$C$90,0))</f>
        <v>11</v>
      </c>
    </row>
    <row r="71" spans="1:48">
      <c r="A71" s="144" t="s">
        <v>149</v>
      </c>
      <c r="B71" s="158">
        <v>400000</v>
      </c>
      <c r="C71" s="167">
        <v>250000</v>
      </c>
      <c r="D71" s="49">
        <f>INDEX(Parameters!$D$79:$D$90,MATCH(Inputs!A71,Parameters!$C$79:$C$90,0))</f>
        <v>12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6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</row>
    <row r="4" spans="1:46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465</v>
      </c>
      <c r="M4" s="25">
        <f>L4*H4</f>
        <v>465</v>
      </c>
      <c r="N4" s="22">
        <f>Calculations!U4</f>
        <v>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0.2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534.75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IF($D4="",1/12,IFERROR(INDEX(Parameters!$X$2:$AI$17,MATCH(Calculations!$A4,Parameters!$A$2:$A$17,0),MATCH(MONTH(Calculations!AC$3),Parameters!$X$2:$AI$2,0)),1/12))</f>
        <v/>
      </c>
      <c r="AD4" s="60" t="str">
        <f>IF($D4="",1/12,IFERROR(INDEX(Parameters!$X$2:$AI$17,MATCH(Calculations!$A4,Parameters!$A$2:$A$17,0),MATCH(MONTH(Calculations!AD$3),Parameters!$X$2:$AI$2,0)),1/12))</f>
        <v/>
      </c>
      <c r="AE4" s="60" t="str">
        <f>IF($D4="",1/12,IFERROR(INDEX(Parameters!$X$2:$AI$17,MATCH(Calculations!$A4,Parameters!$A$2:$A$17,0),MATCH(MONTH(Calculations!AE$3),Parameters!$X$2:$AI$2,0)),1/12))</f>
        <v/>
      </c>
      <c r="AF4" s="60" t="str">
        <f>IF($D4="",1/12,IFERROR(INDEX(Parameters!$X$2:$AI$17,MATCH(Calculations!$A4,Parameters!$A$2:$A$17,0),MATCH(MONTH(Calculations!AF$3),Parameters!$X$2:$AI$2,0)),1/12))</f>
        <v/>
      </c>
      <c r="AG4" s="60" t="str">
        <f>IF($D4="",1/12,IFERROR(INDEX(Parameters!$X$2:$AI$17,MATCH(Calculations!$A4,Parameters!$A$2:$A$17,0),MATCH(MONTH(Calculations!AG$3),Parameters!$X$2:$AI$2,0)),1/12))</f>
        <v/>
      </c>
      <c r="AH4" s="60" t="str">
        <f>IF($D4="",1/12,IFERROR(INDEX(Parameters!$X$2:$AI$17,MATCH(Calculations!$A4,Parameters!$A$2:$A$17,0),MATCH(MONTH(Calculations!AH$3),Parameters!$X$2:$AI$2,0)),1/12))</f>
        <v/>
      </c>
      <c r="AI4" s="60" t="str">
        <f>IF($D4="",1/12,IFERROR(INDEX(Parameters!$X$2:$AI$17,MATCH(Calculations!$A4,Parameters!$A$2:$A$17,0),MATCH(MONTH(Calculations!AI$3),Parameters!$X$2:$AI$2,0)),1/12))</f>
        <v/>
      </c>
      <c r="AJ4" s="60" t="str">
        <f>IF($D4="",1/12,IFERROR(INDEX(Parameters!$X$2:$AI$17,MATCH(Calculations!$A4,Parameters!$A$2:$A$17,0),MATCH(MONTH(Calculations!AJ$3),Parameters!$X$2:$AI$2,0)),1/12))</f>
        <v/>
      </c>
      <c r="AK4" s="60" t="str">
        <f>IF($D4="",1/12,IFERROR(INDEX(Parameters!$X$2:$AI$17,MATCH(Calculations!$A4,Parameters!$A$2:$A$17,0),MATCH(MONTH(Calculations!AK$3),Parameters!$X$2:$AI$2,0)),1/12))</f>
        <v/>
      </c>
      <c r="AL4" s="60" t="str">
        <f>IF($D4="",1/12,IFERROR(INDEX(Parameters!$X$2:$AI$17,MATCH(Calculations!$A4,Parameters!$A$2:$A$17,0),MATCH(MONTH(Calculations!AL$3),Parameters!$X$2:$AI$2,0)),1/12))</f>
        <v/>
      </c>
      <c r="AM4" s="60" t="str">
        <f>IF($D4="",1/12,IFERROR(INDEX(Parameters!$X$2:$AI$17,MATCH(Calculations!$A4,Parameters!$A$2:$A$17,0),MATCH(MONTH(Calculations!AM$3),Parameters!$X$2:$AI$2,0)),1/12))</f>
        <v/>
      </c>
      <c r="AN4" s="60" t="str">
        <f>IF($D4="",1/12,IFERROR(INDEX(Parameters!$X$2:$AI$17,MATCH(Calculations!$A4,Parameters!$A$2:$A$17,0),MATCH(MONTH(Calculations!AN$3),Parameters!$X$2:$AI$2,0)),1/12))</f>
        <v/>
      </c>
      <c r="AO4" s="60" t="str">
        <f>IF($D4="",1/12,IFERROR(INDEX(Parameters!$X$2:$AI$17,MATCH(Calculations!$A4,Parameters!$A$2:$A$17,0),MATCH(MONTH(Calculations!AO$3),Parameters!$X$2:$AI$2,0)),1/12))</f>
        <v/>
      </c>
      <c r="AP4" s="60" t="str">
        <f>IF($D4="",1/12,IFERROR(INDEX(Parameters!$X$2:$AI$17,MATCH(Calculations!$A4,Parameters!$A$2:$A$17,0),MATCH(MONTH(Calculations!AP$3),Parameters!$X$2:$AI$2,0)),1/12))</f>
        <v/>
      </c>
      <c r="AQ4" s="60" t="str">
        <f>IF($D4="",1/12,IFERROR(INDEX(Parameters!$X$2:$AI$17,MATCH(Calculations!$A4,Parameters!$A$2:$A$17,0),MATCH(MONTH(Calculations!AQ$3),Parameters!$X$2:$AI$2,0)),1/12))</f>
        <v/>
      </c>
      <c r="AR4" s="60" t="str">
        <f>IF($D4="",1/12,IFERROR(INDEX(Parameters!$X$2:$AI$17,MATCH(Calculations!$A4,Parameters!$A$2:$A$17,0),MATCH(MONTH(Calculations!AR$3),Parameters!$X$2:$AI$2,0)),1/12))</f>
        <v/>
      </c>
      <c r="AS4" s="60" t="str">
        <f>IF($D4="",1/12,IFERROR(INDEX(Parameters!$X$2:$AI$17,MATCH(Calculations!$A4,Parameters!$A$2:$A$17,0),MATCH(MONTH(Calculations!AS$3),Parameters!$X$2:$AI$2,0)),1/12))</f>
        <v/>
      </c>
      <c r="AT4" s="60" t="str">
        <f>IF($D4="",1/12,IFERROR(INDEX(Parameters!$X$2:$AI$17,MATCH(Calculations!$A4,Parameters!$A$2:$A$17,0),MATCH(MONTH(Calculations!AT$3),Parameters!$X$2:$AI$2,0)),1/12))</f>
        <v/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600</v>
      </c>
      <c r="E14" s="16">
        <f>Inputs!D19</f>
        <v>300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1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219000</v>
      </c>
      <c r="R14" s="63">
        <f>IFERROR(D14*INDEX(Parameters!$A$22:$P$29,MATCH(Calculations!$A14,Parameters!$A$22:$A$29,0),MATCH(Parameters!$M$22,Parameters!$A$22:$P$22,0)),"")</f>
        <v>5120</v>
      </c>
      <c r="S14" s="63">
        <f>IFERROR(D14*INDEX(Parameters!$A$22:$P$29,MATCH(Calculations!$A14,Parameters!$A$22:$A$29,0),MATCH(Parameters!$N$22,Parameters!$A$22:$P$22,0)),"")</f>
        <v>41165.41353383458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43221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105000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Kitengela</v>
      </c>
    </row>
    <row r="33" spans="1:46">
      <c r="A33">
        <v>1</v>
      </c>
      <c r="B33" s="128">
        <f>G34</f>
        <v>42776</v>
      </c>
      <c r="C33" s="27">
        <f>IF(B33&lt;&gt;"",IF(COUNT($A$33:A33)&lt;=$G$39,0,$G$41)+IF(COUNT($A$33:A33)&lt;=$G$40,0,$G$42),0)</f>
        <v>18166.66666666667</v>
      </c>
      <c r="D33" s="170">
        <f>IFERROR(DATE(YEAR(B33),MONTH(B33),1)," ")</f>
        <v>42767</v>
      </c>
      <c r="F33" t="s">
        <v>155</v>
      </c>
      <c r="G33" s="128">
        <f>IF(Inputs!B79="","",DATE(YEAR(Inputs!B79),MONTH(Inputs!B79),DAY(Inputs!B79)))</f>
        <v>42745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42804</v>
      </c>
      <c r="C34" s="27">
        <f>IF(B34&lt;&gt;"",IF(COUNT($A$33:A34)&lt;=$G$39,0,$G$41)+IF(COUNT($A$33:A34)&lt;=$G$40,0,$G$42),0)</f>
        <v>18166.66666666667</v>
      </c>
      <c r="D34" s="170">
        <f>IFERROR(DATE(YEAR(B34),MONTH(B34),1)," ")</f>
        <v>42795</v>
      </c>
      <c r="F34" t="s">
        <v>156</v>
      </c>
      <c r="G34" s="128">
        <f>IF(Inputs!B80="","",DATE(YEAR(Inputs!B80),MONTH(Inputs!B80),DAY(Inputs!B80)))</f>
        <v>42776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42835</v>
      </c>
      <c r="C35" s="27">
        <f>IF(B35&lt;&gt;"",IF(COUNT($A$33:A35)&lt;=$G$39,0,$G$41)+IF(COUNT($A$33:A35)&lt;=$G$40,0,$G$42),0)</f>
        <v>18166.66666666667</v>
      </c>
      <c r="D35" s="170">
        <f>IFERROR(DATE(YEAR(B35),MONTH(B35),1)," ")</f>
        <v>42826</v>
      </c>
      <c r="F35" t="s">
        <v>158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42865</v>
      </c>
      <c r="C36" s="27">
        <f>IF(B36&lt;&gt;"",IF(COUNT($A$33:A36)&lt;=$G$39,0,$G$41)+IF(COUNT($A$33:A36)&lt;=$G$40,0,$G$42),0)</f>
        <v>18166.66666666667</v>
      </c>
      <c r="D36" s="170">
        <f>IFERROR(DATE(YEAR(B36),MONTH(B36),1)," ")</f>
        <v>42856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42896</v>
      </c>
      <c r="C37" s="27">
        <f>IF(B37&lt;&gt;"",IF(COUNT($A$33:A37)&lt;=$G$39,0,$G$41)+IF(COUNT($A$33:A37)&lt;=$G$40,0,$G$42),0)</f>
        <v>18166.66666666667</v>
      </c>
      <c r="D37" s="170">
        <f>IFERROR(DATE(YEAR(B37),MONTH(B37),1)," ")</f>
        <v>42887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42926</v>
      </c>
      <c r="C38" s="27">
        <f>IF(B38&lt;&gt;"",IF(COUNT($A$33:A38)&lt;=$G$39,0,$G$41)+IF(COUNT($A$33:A38)&lt;=$G$40,0,$G$42),0)</f>
        <v>18166.66666666667</v>
      </c>
      <c r="D38" s="170">
        <f>IFERROR(DATE(YEAR(B38),MONTH(B38),1)," ")</f>
        <v>42917</v>
      </c>
      <c r="F38" t="s">
        <v>221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164</v>
      </c>
      <c r="G39" s="27">
        <f>IF(Inputs!B86="",0,Inputs!B86)</f>
        <v>0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222</v>
      </c>
      <c r="G41" s="73">
        <f>IFERROR(G35/(G38-G39),"")</f>
        <v>16666.66666666667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223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106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94</v>
      </c>
      <c r="B41" s="191" t="s">
        <v>91</v>
      </c>
      <c r="C41" s="191" t="s">
        <v>122</v>
      </c>
    </row>
    <row r="42" spans="1:36">
      <c r="A42" t="s">
        <v>106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309</v>
      </c>
      <c r="H52" s="12" t="s">
        <v>126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122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122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122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122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122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122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122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122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122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122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122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122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126</v>
      </c>
      <c r="I77" s="12" t="s">
        <v>346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91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107</v>
      </c>
      <c r="I79" s="12" t="s">
        <v>161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122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122</v>
      </c>
    </row>
    <row r="82" spans="1:36">
      <c r="B82" s="176">
        <v>40</v>
      </c>
      <c r="C82" s="12" t="s">
        <v>92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