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<sst xmlns="http://schemas.openxmlformats.org/spreadsheetml/2006/main" uniqueCount="364">
  <si>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</si>
  <si>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</si>
  <si>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</si>
  <si>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</si>
  <si>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</si>
  <si>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</si>
  <si>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</si>
  <si>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</si>
  <si>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</si>
  <si>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</si>
  <si>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</si>
  <si>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</si>
  <si>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</si>
  <si>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</si>
  <si>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</si>
  <si>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</si>
  <si>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</si>
  <si>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</si>
  <si>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</si>
  <si>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</si>
  <si>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</si>
  <si>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</si>
  <si>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</si>
  <si>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</si>
  <si>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</si>
  <si>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</si>
  <si>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</si>
  <si>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</si>
  <si>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</si>
  <si>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</si>
  <si>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</si>
  <si>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</si>
  <si>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</si>
  <si>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</si>
  <si>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</si>
  <si>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</si>
  <si>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</si>
  <si>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</si>
  <si>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</si>
  <si>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</si>
  <si>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</si>
  <si>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</si>
  <si>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</si>
  <si>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</si>
  <si>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</si>
  <si>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</si>
  <si>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</si>
  <si>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</si>
  <si>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</si>
  <si>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</si>
  <si>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</si>
  <si>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</si>
  <si>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</si>
  <si>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</si>
  <si>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</si>
  <si>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</si>
  <si>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</si>
  <si>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</si>
  <si>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</si>
  <si>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</si>
  <si>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</si>
  <si>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</si>
  <si>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</si>
  <si>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</si>
  <si>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</si>
  <si>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</si>
  <si>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</si>
  <si>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</si>
  <si>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</si>
  <si>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</si>
  <si>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</si>
  <si>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</si>
  <si>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</si>
  <si>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</si>
  <si>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</si>
  <si>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</si>
  <si>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</si>
  <si>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</si>
  <si>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</si>
  <si>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</si>
  <si>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</si>
  <si>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</si>
  <si>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</si>
  <si>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</si>
  <si>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</si>
  <si>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</si>
  <si>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</si>
  <si>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</si>
  <si>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</si>
  <si>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</si>
  <si>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</si>
  <si>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</si>
  <si>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</si>
  <si>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</si>
  <si>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Cabbages</t>
  </si>
  <si>
    <t>April</t>
  </si>
  <si>
    <t>Carrots</t>
  </si>
  <si>
    <t>Home recycled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</si>
  <si>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</si>
  <si>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</si>
  <si>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</si>
  <si>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</si>
  <si>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</si>
  <si>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</si>
  <si>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</si>
  <si>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</si>
  <si>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</si>
  <si>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</si>
  <si>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</si>
  <si>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</si>
  <si>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</si>
  <si>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</si>
  <si>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</si>
  <si>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</si>
  <si>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</si>
  <si>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</si>
  <si>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</si>
  <si>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</si>
  <si>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</si>
  <si>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</si>
  <si>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</si>
  <si>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</si>
  <si>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</si>
  <si>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</si>
  <si>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</si>
  <si>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</si>
  <si>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</si>
  <si>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</si>
  <si>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</si>
  <si>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</si>
  <si>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</si>
  <si>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</si>
  <si>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</si>
  <si>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</si>
  <si>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</si>
  <si>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</si>
  <si>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</si>
  <si>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</si>
  <si>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</si>
  <si>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</si>
  <si>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</si>
  <si>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</si>
  <si>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</si>
  <si>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</si>
  <si>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</si>
  <si>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</si>
  <si>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</si>
  <si>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</si>
  <si>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</si>
  <si>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</si>
  <si>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</si>
  <si>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</si>
  <si>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</si>
  <si>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</si>
  <si>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</si>
  <si>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2017/1/16</t>
  </si>
  <si>
    <t>Loan terms</t>
  </si>
  <si>
    <t>Expected disbursement date</t>
  </si>
  <si>
    <t>Expected first repayment date</t>
  </si>
  <si>
    <t>2017/2/16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</si>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</sst>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Cabbages, Carrots,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0.1168779502784911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0.02714932126696833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1380749.447926752</v>
      </c>
    </row>
    <row r="18" spans="1:7">
      <c r="B18" s="1" t="s">
        <v>12</v>
      </c>
      <c r="C18" s="36">
        <f>MIN(Output!B6:M6)</f>
        <v>-191935.0526625973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1017448.777623696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-16349.17329622444</v>
      </c>
      <c r="C6" s="51">
        <f>C30-C88</f>
        <v>93217.52762369608</v>
      </c>
      <c r="D6" s="51">
        <f>D30-D88</f>
        <v>93217.52762369608</v>
      </c>
      <c r="E6" s="51">
        <f>E30-E88</f>
        <v>81236.77762369608</v>
      </c>
      <c r="F6" s="51">
        <f>F30-F88</f>
        <v>1017448.777623696</v>
      </c>
      <c r="G6" s="51">
        <f>G30-G88</f>
        <v>106118.7776236961</v>
      </c>
      <c r="H6" s="51">
        <f>H30-H88</f>
        <v>-19521.00358251794</v>
      </c>
      <c r="I6" s="51">
        <f>I30-I88</f>
        <v>-179954.3026625973</v>
      </c>
      <c r="J6" s="51">
        <f>J30-J88</f>
        <v>-179954.3026625973</v>
      </c>
      <c r="K6" s="51">
        <f>K30-K88</f>
        <v>-191935.0526625973</v>
      </c>
      <c r="L6" s="51">
        <f>L30-L88</f>
        <v>744276.9473374027</v>
      </c>
      <c r="M6" s="51">
        <f>M30-M88</f>
        <v>-167053.0526625973</v>
      </c>
      <c r="N6" s="51">
        <f>N30-N88</f>
        <v>-16349.17329622444</v>
      </c>
      <c r="O6" s="51">
        <f>O30-O88</f>
        <v>93217.52762369608</v>
      </c>
      <c r="P6" s="51">
        <f>P30-P88</f>
        <v>93217.52762369608</v>
      </c>
      <c r="Q6" s="51">
        <f>Q30-Q88</f>
        <v>81236.77762369608</v>
      </c>
      <c r="R6" s="51">
        <f>R30-R88</f>
        <v>1017448.777623696</v>
      </c>
      <c r="S6" s="51">
        <f>S30-S88</f>
        <v>106118.7776236961</v>
      </c>
      <c r="T6" s="51">
        <f>T30-T88</f>
        <v>-19521.00358251794</v>
      </c>
      <c r="U6" s="51">
        <f>U30-U88</f>
        <v>-179954.3026625973</v>
      </c>
      <c r="V6" s="51">
        <f>V30-V88</f>
        <v>-179954.3026625973</v>
      </c>
      <c r="W6" s="51">
        <f>W30-W88</f>
        <v>-191935.0526625973</v>
      </c>
      <c r="X6" s="51">
        <f>X30-X88</f>
        <v>744276.9473374027</v>
      </c>
      <c r="Y6" s="51">
        <f>Y30-Y88</f>
        <v>-167053.0526625973</v>
      </c>
      <c r="Z6" s="51">
        <f>SUMIF($B$13:$Y$13,"Yes",B6:Y6)</f>
        <v>1364400.274630527</v>
      </c>
      <c r="AA6" s="51">
        <f>AA30-AA88</f>
        <v>1380749.447926751</v>
      </c>
      <c r="AB6" s="51">
        <f>AB30-AB88</f>
        <v>2761498.895853503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9710</v>
      </c>
      <c r="I7" s="80">
        <f>IF(ISERROR(VLOOKUP(MONTH(I5),Inputs!$D$66:$D$71,1,0)),"",INDEX(Inputs!$B$66:$B$71,MATCH(MONTH(Output!I5),Inputs!$D$66:$D$71,0))-INDEX(Inputs!$C$66:$C$71,MATCH(MONTH(Output!I5),Inputs!$D$66:$D$71,0)))</f>
        <v>20190</v>
      </c>
      <c r="J7" s="80">
        <f>IF(ISERROR(VLOOKUP(MONTH(J5),Inputs!$D$66:$D$71,1,0)),"",INDEX(Inputs!$B$66:$B$71,MATCH(MONTH(Output!J5),Inputs!$D$66:$D$71,0))-INDEX(Inputs!$C$66:$C$71,MATCH(MONTH(Output!J5),Inputs!$D$66:$D$71,0)))</f>
        <v>30760</v>
      </c>
      <c r="K7" s="80">
        <f>IF(ISERROR(VLOOKUP(MONTH(K5),Inputs!$D$66:$D$71,1,0)),"",INDEX(Inputs!$B$66:$B$71,MATCH(MONTH(Output!K5),Inputs!$D$66:$D$71,0))-INDEX(Inputs!$C$66:$C$71,MATCH(MONTH(Output!K5),Inputs!$D$66:$D$71,0)))</f>
        <v>31217</v>
      </c>
      <c r="L7" s="80">
        <f>IF(ISERROR(VLOOKUP(MONTH(L5),Inputs!$D$66:$D$71,1,0)),"",INDEX(Inputs!$B$66:$B$71,MATCH(MONTH(Output!L5),Inputs!$D$66:$D$71,0))-INDEX(Inputs!$C$66:$C$71,MATCH(MONTH(Output!L5),Inputs!$D$66:$D$71,0)))</f>
        <v>18750</v>
      </c>
      <c r="M7" s="80">
        <f>IF(ISERROR(VLOOKUP(MONTH(M5),Inputs!$D$66:$D$71,1,0)),"",INDEX(Inputs!$B$66:$B$71,MATCH(MONTH(Output!M5),Inputs!$D$66:$D$71,0))-INDEX(Inputs!$C$66:$C$71,MATCH(MONTH(Output!M5),Inputs!$D$66:$D$71,0)))</f>
        <v>26000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9710</v>
      </c>
      <c r="U7" s="80">
        <f>IF(ISERROR(VLOOKUP(MONTH(U5),Inputs!$D$66:$D$71,1,0)),"",INDEX(Inputs!$B$66:$B$71,MATCH(MONTH(Output!U5),Inputs!$D$66:$D$71,0))-INDEX(Inputs!$C$66:$C$71,MATCH(MONTH(Output!U5),Inputs!$D$66:$D$71,0)))</f>
        <v>20190</v>
      </c>
      <c r="V7" s="80">
        <f>IF(ISERROR(VLOOKUP(MONTH(V5),Inputs!$D$66:$D$71,1,0)),"",INDEX(Inputs!$B$66:$B$71,MATCH(MONTH(Output!V5),Inputs!$D$66:$D$71,0))-INDEX(Inputs!$C$66:$C$71,MATCH(MONTH(Output!V5),Inputs!$D$66:$D$71,0)))</f>
        <v>30760</v>
      </c>
      <c r="W7" s="80">
        <f>IF(ISERROR(VLOOKUP(MONTH(W5),Inputs!$D$66:$D$71,1,0)),"",INDEX(Inputs!$B$66:$B$71,MATCH(MONTH(Output!W5),Inputs!$D$66:$D$71,0))-INDEX(Inputs!$C$66:$C$71,MATCH(MONTH(Output!W5),Inputs!$D$66:$D$71,0)))</f>
        <v>31217</v>
      </c>
      <c r="X7" s="80">
        <f>IF(ISERROR(VLOOKUP(MONTH(X5),Inputs!$D$66:$D$71,1,0)),"",INDEX(Inputs!$B$66:$B$71,MATCH(MONTH(Output!X5),Inputs!$D$66:$D$71,0))-INDEX(Inputs!$C$66:$C$71,MATCH(MONTH(Output!X5),Inputs!$D$66:$D$71,0)))</f>
        <v>18750</v>
      </c>
      <c r="Y7" s="80">
        <f>IF(ISERROR(VLOOKUP(MONTH(Y5),Inputs!$D$66:$D$71,1,0)),"",INDEX(Inputs!$B$66:$B$71,MATCH(MONTH(Output!Y5),Inputs!$D$66:$D$71,0))-INDEX(Inputs!$C$66:$C$71,MATCH(MONTH(Output!Y5),Inputs!$D$66:$D$71,0)))</f>
        <v>26000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133650.8267037756</v>
      </c>
      <c r="C11" s="80">
        <f>C6+C9-C10</f>
        <v>90967.52762369608</v>
      </c>
      <c r="D11" s="80">
        <f>D6+D9-D10</f>
        <v>90967.52762369608</v>
      </c>
      <c r="E11" s="80">
        <f>E6+E9-E10</f>
        <v>78986.77762369608</v>
      </c>
      <c r="F11" s="80">
        <f>F6+F9-F10</f>
        <v>1015198.777623696</v>
      </c>
      <c r="G11" s="80">
        <f>G6+G9-G10</f>
        <v>103868.7776236961</v>
      </c>
      <c r="H11" s="80">
        <f>H6+H9-H10</f>
        <v>-43199.57501108936</v>
      </c>
      <c r="I11" s="80">
        <f>I6+I9-I10</f>
        <v>-203632.8740911687</v>
      </c>
      <c r="J11" s="80">
        <f>J6+J9-J10</f>
        <v>-203632.8740911687</v>
      </c>
      <c r="K11" s="80">
        <f>K6+K9-K10</f>
        <v>-215613.6240911687</v>
      </c>
      <c r="L11" s="80">
        <f>L6+L9-L10</f>
        <v>720598.3759088313</v>
      </c>
      <c r="M11" s="80">
        <f>M6+M9-M10</f>
        <v>-190731.6240911687</v>
      </c>
      <c r="N11" s="80">
        <f>N6+N9-N10</f>
        <v>-40027.74472479587</v>
      </c>
      <c r="O11" s="80">
        <f>O6+O9-O10</f>
        <v>93217.52762369608</v>
      </c>
      <c r="P11" s="80">
        <f>P6+P9-P10</f>
        <v>93217.52762369608</v>
      </c>
      <c r="Q11" s="80">
        <f>Q6+Q9-Q10</f>
        <v>81236.77762369608</v>
      </c>
      <c r="R11" s="80">
        <f>R6+R9-R10</f>
        <v>1017448.777623696</v>
      </c>
      <c r="S11" s="80">
        <f>S6+S9-S10</f>
        <v>106118.7776236961</v>
      </c>
      <c r="T11" s="80">
        <f>T6+T9-T10</f>
        <v>-19521.00358251794</v>
      </c>
      <c r="U11" s="80">
        <f>U6+U9-U10</f>
        <v>-179954.3026625973</v>
      </c>
      <c r="V11" s="80">
        <f>V6+V9-V10</f>
        <v>-179954.3026625973</v>
      </c>
      <c r="W11" s="80">
        <f>W6+W9-W10</f>
        <v>-191935.0526625973</v>
      </c>
      <c r="X11" s="80">
        <f>X6+X9-X10</f>
        <v>744276.9473374027</v>
      </c>
      <c r="Y11" s="80">
        <f>Y6+Y9-Y10</f>
        <v>-167053.0526625973</v>
      </c>
      <c r="Z11" s="85">
        <f>SUMIF($B$13:$Y$13,"Yes",B11:Y11)</f>
        <v>1337400.274630527</v>
      </c>
      <c r="AA11" s="80">
        <f>SUM(B11:M11)</f>
        <v>1377428.019355323</v>
      </c>
      <c r="AB11" s="46">
        <f>SUM(B11:Y11)</f>
        <v>2734498.895853502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0.009917645881770942</v>
      </c>
      <c r="D12" s="82">
        <f>IF(D13="Yes",IF(SUM($B$10:D10)/(SUM($B$6:D6)+SUM($B$9:D9))&lt;0,999.99,SUM($B$10:D10)/(SUM($B$6:D6)+SUM($B$9:D9))),"")</f>
        <v>0.01405872690344562</v>
      </c>
      <c r="E12" s="82">
        <f>IF(E13="Yes",IF(SUM($B$10:E10)/(SUM($B$6:E6)+SUM($B$9:E9))&lt;0,999.99,SUM($B$10:E10)/(SUM($B$6:E6)+SUM($B$9:E9))),"")</f>
        <v>0.01681938420110773</v>
      </c>
      <c r="F12" s="82">
        <f>IF(F13="Yes",IF(SUM($B$10:F10)/(SUM($B$6:F6)+SUM($B$9:F9))&lt;0,999.99,SUM($B$10:F10)/(SUM($B$6:F6)+SUM($B$9:F9))),"")</f>
        <v>0.006343516484777127</v>
      </c>
      <c r="G12" s="82">
        <f>IF(G13="Yes",IF(SUM($B$10:G10)/(SUM($B$6:G6)+SUM($B$9:G9))&lt;0,999.99,SUM($B$10:G10)/(SUM($B$6:G6)+SUM($B$9:G9))),"")</f>
        <v>0.007377580294402586</v>
      </c>
      <c r="H12" s="82">
        <f>IF(H13="Yes",IF(SUM($B$10:H10)/(SUM($B$6:H6)+SUM($B$9:H9))&lt;0,999.99,SUM($B$10:H10)/(SUM($B$6:H6)+SUM($B$9:H9))),"")</f>
        <v>0.02320266096036746</v>
      </c>
      <c r="I12" s="82">
        <f>IF(I13="Yes",IF(SUM($B$10:I10)/(SUM($B$6:I6)+SUM($B$9:I9))&lt;0,999.99,SUM($B$10:I10)/(SUM($B$6:I6)+SUM($B$9:I9))),"")</f>
        <v>0.0442179595822253</v>
      </c>
      <c r="J12" s="82">
        <f>IF(J13="Yes",IF(SUM($B$10:J10)/(SUM($B$6:J6)+SUM($B$9:J9))&lt;0,999.99,SUM($B$10:J10)/(SUM($B$6:J6)+SUM($B$9:J9))),"")</f>
        <v>0.07183635461650541</v>
      </c>
      <c r="K12" s="82">
        <f>IF(K13="Yes",IF(SUM($B$10:K10)/(SUM($B$6:K6)+SUM($B$9:K9))&lt;0,999.99,SUM($B$10:K10)/(SUM($B$6:K6)+SUM($B$9:K9))),"")</f>
        <v>0.1111289418022416</v>
      </c>
      <c r="L12" s="82">
        <f>IF(L13="Yes",IF(SUM($B$10:L10)/(SUM($B$6:L6)+SUM($B$9:L9))&lt;0,999.99,SUM($B$10:L10)/(SUM($B$6:L6)+SUM($B$9:L9))),"")</f>
        <v>0.07635920968301962</v>
      </c>
      <c r="M12" s="82">
        <f>IF(M13="Yes",IF(SUM($B$10:M10)/(SUM($B$6:M6)+SUM($B$9:M9))&lt;0,999.99,SUM($B$10:M10)/(SUM($B$6:M6)+SUM($B$9:M9))),"")</f>
        <v>0.100161021634917</v>
      </c>
      <c r="N12" s="82">
        <f>IF(N13="Yes",IF(SUM($B$10:N10)/(SUM($B$6:N6)+SUM($B$9:N9))&lt;0,999.99,SUM($B$10:N10)/(SUM($B$6:N6)+SUM($B$9:N9))),"")</f>
        <v>0.1168779502784911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273171.8302862934</v>
      </c>
      <c r="C18" s="36">
        <f>O18</f>
        <v>273171.8302862934</v>
      </c>
      <c r="D18" s="36">
        <f>P18</f>
        <v>273171.8302862934</v>
      </c>
      <c r="E18" s="36">
        <f>Q18</f>
        <v>273171.8302862934</v>
      </c>
      <c r="F18" s="36">
        <f>R18</f>
        <v>273171.8302862934</v>
      </c>
      <c r="G18" s="36">
        <f>S18</f>
        <v>273171.8302862934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273171.8302862934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273171.8302862934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273171.8302862934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273171.8302862934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273171.8302862934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273171.8302862934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1912202.812004053</v>
      </c>
      <c r="AA18" s="36">
        <f>SUM(B18:M18)</f>
        <v>1639030.98171776</v>
      </c>
      <c r="AB18" s="36">
        <f>SUM(B18:Y18)</f>
        <v>3278061.96343552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240002.0490800794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240002.0490800794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240002.0490800794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240002.0490800794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720006.1472402381</v>
      </c>
      <c r="AA19" s="36">
        <f>SUM(B19:M19)</f>
        <v>480004.0981601588</v>
      </c>
      <c r="AB19" s="36">
        <f>SUM(B19:Y19)</f>
        <v>960008.1963203176</v>
      </c>
      <c r="AC19" s="43"/>
      <c r="AD19" s="43"/>
    </row>
    <row r="20" spans="1:30">
      <c r="A20" t="str">
        <f>IF(Calculations!A6&lt;&gt;Parameters!$A$18,IF(Calculations!A6=0,"",Calculations!A6),Inputs!B9)</f>
        <v>Carrots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931000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931000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931000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931000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1862000</v>
      </c>
      <c r="AA20" s="36">
        <f>SUM(B20:M20)</f>
        <v>1862000</v>
      </c>
      <c r="AB20" s="36">
        <f>SUM(B20:Y20)</f>
        <v>3724000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513173.8793663728</v>
      </c>
      <c r="C30" s="19">
        <f>SUM(C18:C29)</f>
        <v>273171.8302862934</v>
      </c>
      <c r="D30" s="19">
        <f>SUM(D18:D29)</f>
        <v>273171.8302862934</v>
      </c>
      <c r="E30" s="19">
        <f>SUM(E18:E29)</f>
        <v>273171.8302862934</v>
      </c>
      <c r="F30" s="19">
        <f>SUM(F18:F29)</f>
        <v>1204171.830286293</v>
      </c>
      <c r="G30" s="19">
        <f>SUM(G18:G29)</f>
        <v>273171.8302862934</v>
      </c>
      <c r="H30" s="19">
        <f>SUM(H18:H29)</f>
        <v>240002.0490800794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931000</v>
      </c>
      <c r="M30" s="19">
        <f>SUM(M18:M29)</f>
        <v>0</v>
      </c>
      <c r="N30" s="19">
        <f>SUM(N18:N29)</f>
        <v>513173.8793663728</v>
      </c>
      <c r="O30" s="19">
        <f>SUM(O18:O29)</f>
        <v>273171.8302862934</v>
      </c>
      <c r="P30" s="19">
        <f>SUM(P18:P29)</f>
        <v>273171.8302862934</v>
      </c>
      <c r="Q30" s="19">
        <f>SUM(Q18:Q29)</f>
        <v>273171.8302862934</v>
      </c>
      <c r="R30" s="19">
        <f>SUM(R18:R29)</f>
        <v>1204171.830286293</v>
      </c>
      <c r="S30" s="19">
        <f>SUM(S18:S29)</f>
        <v>273171.8302862934</v>
      </c>
      <c r="T30" s="19">
        <f>SUM(T18:T29)</f>
        <v>240002.0490800794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931000</v>
      </c>
      <c r="Y30" s="19">
        <f>SUM(Y18:Y29)</f>
        <v>0</v>
      </c>
      <c r="Z30" s="19">
        <f>SUMIF($B$13:$Y$13,"Yes",B30:Y30)</f>
        <v>4494208.959244292</v>
      </c>
      <c r="AA30" s="19">
        <f>SUM(B30:M30)</f>
        <v>3981035.079877919</v>
      </c>
      <c r="AB30" s="19">
        <f>SUM(B30:Y30)</f>
        <v>7962070.159755838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4000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4000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4000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4000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Carrots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72800</v>
      </c>
      <c r="C42" s="36">
        <f>O42</f>
        <v>0</v>
      </c>
      <c r="D42" s="36">
        <f>P42</f>
        <v>0</v>
      </c>
      <c r="E42" s="36">
        <f>Q42</f>
        <v>1212</v>
      </c>
      <c r="F42" s="36">
        <f>R42</f>
        <v>0</v>
      </c>
      <c r="G42" s="36">
        <f>S42</f>
        <v>0</v>
      </c>
      <c r="H42" s="36">
        <f>T42</f>
        <v>72800</v>
      </c>
      <c r="I42" s="36">
        <f>U42</f>
        <v>0</v>
      </c>
      <c r="J42" s="36">
        <f>V42</f>
        <v>0</v>
      </c>
      <c r="K42" s="36">
        <f>W42</f>
        <v>1212</v>
      </c>
      <c r="L42" s="36">
        <f>X42</f>
        <v>0</v>
      </c>
      <c r="M42" s="36">
        <f>Y42</f>
        <v>0</v>
      </c>
      <c r="N42" s="36">
        <f>SUM(N43:N47)</f>
        <v>72800</v>
      </c>
      <c r="O42" s="36">
        <f>SUM(O43:O47)</f>
        <v>0</v>
      </c>
      <c r="P42" s="36">
        <f>SUM(P43:P47)</f>
        <v>0</v>
      </c>
      <c r="Q42" s="36">
        <f>SUM(Q43:Q47)</f>
        <v>1212</v>
      </c>
      <c r="R42" s="36">
        <f>SUM(R43:R47)</f>
        <v>0</v>
      </c>
      <c r="S42" s="36">
        <f>SUM(S43:S47)</f>
        <v>0</v>
      </c>
      <c r="T42" s="36">
        <f>SUM(T43:T47)</f>
        <v>72800</v>
      </c>
      <c r="U42" s="36">
        <f>SUM(U43:U47)</f>
        <v>0</v>
      </c>
      <c r="V42" s="36">
        <f>SUM(V43:V47)</f>
        <v>0</v>
      </c>
      <c r="W42" s="36">
        <f>SUM(W43:W47)</f>
        <v>1212</v>
      </c>
      <c r="X42" s="36">
        <f>SUM(X43:X47)</f>
        <v>0</v>
      </c>
      <c r="Y42" s="36">
        <f>SUM(Y43:Y47)</f>
        <v>0</v>
      </c>
      <c r="Z42" s="36">
        <f>SUMIF($B$13:$Y$13,"Yes",B42:Y42)</f>
        <v>220824</v>
      </c>
      <c r="AA42" s="36">
        <f>SUM(B42:M42)</f>
        <v>148024</v>
      </c>
      <c r="AB42" s="36">
        <f>SUM(B42:Y42)</f>
        <v>296048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1212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1212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1212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1212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2424</v>
      </c>
      <c r="AA44" s="36">
        <f>SUM(B44:M44)</f>
        <v>2424</v>
      </c>
      <c r="AB44" s="36">
        <f>SUM(B44:Y44)</f>
        <v>4848</v>
      </c>
    </row>
    <row r="45" spans="1:30" hidden="true" outlineLevel="1">
      <c r="A45" s="181" t="str">
        <f>Calculations!$A$6</f>
        <v>Carrots</v>
      </c>
      <c r="B45" s="36">
        <f>N45</f>
        <v>72800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72800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72800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72800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218400</v>
      </c>
      <c r="AA45" s="36">
        <f>SUM(B45:M45)</f>
        <v>145600</v>
      </c>
      <c r="AB45" s="36">
        <f>SUM(B45:Y45)</f>
        <v>291200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5600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5600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5600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5600</v>
      </c>
      <c r="Z48" s="46">
        <f>SUMIF($B$13:$Y$13,"Yes",B48:Y48)</f>
        <v>11200</v>
      </c>
      <c r="AA48" s="46">
        <f>SUM(B48:M48)</f>
        <v>11200</v>
      </c>
      <c r="AB48" s="46">
        <f>SUM(B48:Y48)</f>
        <v>22400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5600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5600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5600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5600</v>
      </c>
      <c r="Z50" s="46">
        <f>SUMIF($B$13:$Y$13,"Yes",B50:Y50)</f>
        <v>11200</v>
      </c>
      <c r="AA50" s="46">
        <f>SUM(B50:M50)</f>
        <v>11200</v>
      </c>
      <c r="AB50" s="46">
        <f>SUM(B50:Y50)</f>
        <v>22400</v>
      </c>
    </row>
    <row r="51" spans="1:30" hidden="true" outlineLevel="1">
      <c r="A51" s="181" t="str">
        <f>Calculations!$A$6</f>
        <v>Carrots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Carrots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Carrots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110014.75</v>
      </c>
      <c r="C66" s="36">
        <f>O66</f>
        <v>103246</v>
      </c>
      <c r="D66" s="36">
        <f>P66</f>
        <v>103246</v>
      </c>
      <c r="E66" s="36">
        <f>Q66</f>
        <v>110014.75</v>
      </c>
      <c r="F66" s="36">
        <f>R66</f>
        <v>110014.75</v>
      </c>
      <c r="G66" s="36">
        <f>S66</f>
        <v>84744.75</v>
      </c>
      <c r="H66" s="36">
        <f>T66</f>
        <v>110014.75</v>
      </c>
      <c r="I66" s="36">
        <f>U66</f>
        <v>103246</v>
      </c>
      <c r="J66" s="36">
        <f>V66</f>
        <v>103246</v>
      </c>
      <c r="K66" s="36">
        <f>W66</f>
        <v>110014.75</v>
      </c>
      <c r="L66" s="36">
        <f>X66</f>
        <v>110014.75</v>
      </c>
      <c r="M66" s="36">
        <f>Y66</f>
        <v>84744.75</v>
      </c>
      <c r="N66" s="46">
        <f>SUM(N67:N71)</f>
        <v>110014.75</v>
      </c>
      <c r="O66" s="46">
        <f>SUM(O67:O71)</f>
        <v>103246</v>
      </c>
      <c r="P66" s="46">
        <f>SUM(P67:P71)</f>
        <v>103246</v>
      </c>
      <c r="Q66" s="46">
        <f>SUM(Q67:Q71)</f>
        <v>110014.75</v>
      </c>
      <c r="R66" s="46">
        <f>SUM(R67:R71)</f>
        <v>110014.75</v>
      </c>
      <c r="S66" s="46">
        <f>SUM(S67:S71)</f>
        <v>84744.75</v>
      </c>
      <c r="T66" s="46">
        <f>SUM(T67:T71)</f>
        <v>110014.75</v>
      </c>
      <c r="U66" s="46">
        <f>SUM(U67:U71)</f>
        <v>103246</v>
      </c>
      <c r="V66" s="46">
        <f>SUM(V67:V71)</f>
        <v>103246</v>
      </c>
      <c r="W66" s="46">
        <f>SUM(W67:W71)</f>
        <v>110014.75</v>
      </c>
      <c r="X66" s="46">
        <f>SUM(X67:X71)</f>
        <v>110014.75</v>
      </c>
      <c r="Y66" s="46">
        <f>SUM(Y67:Y71)</f>
        <v>84744.75</v>
      </c>
      <c r="Z66" s="46">
        <f>SUMIF($B$13:$Y$13,"Yes",B66:Y66)</f>
        <v>1352576.75</v>
      </c>
      <c r="AA66" s="46">
        <f>SUM(B66:M66)</f>
        <v>1242562</v>
      </c>
      <c r="AB66" s="46">
        <f>SUM(B66:Y66)</f>
        <v>2485124</v>
      </c>
    </row>
    <row r="67" spans="1:30" hidden="true" outlineLevel="1">
      <c r="A67" s="181" t="str">
        <f>Calculations!$A$4</f>
        <v>Potatoes</v>
      </c>
      <c r="B67" s="36">
        <f>N67</f>
        <v>77976</v>
      </c>
      <c r="C67" s="36">
        <f>O67</f>
        <v>77976</v>
      </c>
      <c r="D67" s="36">
        <f>P67</f>
        <v>77976</v>
      </c>
      <c r="E67" s="36">
        <f>Q67</f>
        <v>77976</v>
      </c>
      <c r="F67" s="36">
        <f>R67</f>
        <v>77976</v>
      </c>
      <c r="G67" s="36">
        <f>S67</f>
        <v>77976</v>
      </c>
      <c r="H67" s="36">
        <f>T67</f>
        <v>77976</v>
      </c>
      <c r="I67" s="36">
        <f>U67</f>
        <v>77976</v>
      </c>
      <c r="J67" s="36">
        <f>V67</f>
        <v>77976</v>
      </c>
      <c r="K67" s="36">
        <f>W67</f>
        <v>77976</v>
      </c>
      <c r="L67" s="36">
        <f>X67</f>
        <v>77976</v>
      </c>
      <c r="M67" s="36">
        <f>Y67</f>
        <v>77976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77976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77976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77976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77976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77976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77976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77976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77976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77976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77976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77976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77976</v>
      </c>
      <c r="Z67" s="46">
        <f>SUMIF($B$13:$Y$13,"Yes",B67:Y67)</f>
        <v>1013688</v>
      </c>
      <c r="AA67" s="46">
        <f>SUM(B67:M67)</f>
        <v>935712</v>
      </c>
      <c r="AB67" s="46">
        <f>SUM(B67:Y67)</f>
        <v>1871424</v>
      </c>
    </row>
    <row r="68" spans="1:30" hidden="true" outlineLevel="1">
      <c r="A68" s="181" t="str">
        <f>Calculations!$A$5</f>
        <v>Cabbages</v>
      </c>
      <c r="B68" s="36">
        <f>N68</f>
        <v>6768.75</v>
      </c>
      <c r="C68" s="36">
        <f>O68</f>
        <v>0</v>
      </c>
      <c r="D68" s="36">
        <f>P68</f>
        <v>0</v>
      </c>
      <c r="E68" s="36">
        <f>Q68</f>
        <v>6768.75</v>
      </c>
      <c r="F68" s="36">
        <f>R68</f>
        <v>6768.75</v>
      </c>
      <c r="G68" s="36">
        <f>S68</f>
        <v>6768.75</v>
      </c>
      <c r="H68" s="36">
        <f>T68</f>
        <v>6768.75</v>
      </c>
      <c r="I68" s="36">
        <f>U68</f>
        <v>0</v>
      </c>
      <c r="J68" s="36">
        <f>V68</f>
        <v>0</v>
      </c>
      <c r="K68" s="36">
        <f>W68</f>
        <v>6768.75</v>
      </c>
      <c r="L68" s="36">
        <f>X68</f>
        <v>6768.75</v>
      </c>
      <c r="M68" s="36">
        <f>Y68</f>
        <v>6768.75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6768.75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6768.75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6768.75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6768.75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6768.75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6768.75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6768.75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6768.75</v>
      </c>
      <c r="Z68" s="46">
        <f>SUMIF($B$13:$Y$13,"Yes",B68:Y68)</f>
        <v>60918.75</v>
      </c>
      <c r="AA68" s="46">
        <f>SUM(B68:M68)</f>
        <v>54150</v>
      </c>
      <c r="AB68" s="46">
        <f>SUM(B68:Y68)</f>
        <v>108300</v>
      </c>
    </row>
    <row r="69" spans="1:30" hidden="true" outlineLevel="1">
      <c r="A69" s="181" t="str">
        <f>Calculations!$A$6</f>
        <v>Carrots</v>
      </c>
      <c r="B69" s="36">
        <f>N69</f>
        <v>25270</v>
      </c>
      <c r="C69" s="36">
        <f>O69</f>
        <v>25270</v>
      </c>
      <c r="D69" s="36">
        <f>P69</f>
        <v>25270</v>
      </c>
      <c r="E69" s="36">
        <f>Q69</f>
        <v>25270</v>
      </c>
      <c r="F69" s="36">
        <f>R69</f>
        <v>25270</v>
      </c>
      <c r="G69" s="36">
        <f>S69</f>
        <v>0</v>
      </c>
      <c r="H69" s="36">
        <f>T69</f>
        <v>25270</v>
      </c>
      <c r="I69" s="36">
        <f>U69</f>
        <v>25270</v>
      </c>
      <c r="J69" s="36">
        <f>V69</f>
        <v>25270</v>
      </c>
      <c r="K69" s="36">
        <f>W69</f>
        <v>25270</v>
      </c>
      <c r="L69" s="36">
        <f>X69</f>
        <v>25270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25270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25270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25270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25270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25270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25270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25270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25270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25270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25270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277970</v>
      </c>
      <c r="AA69" s="46">
        <f>SUM(B69:M69)</f>
        <v>252700</v>
      </c>
      <c r="AB69" s="46">
        <f>SUM(B69:Y69)</f>
        <v>505400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270000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270000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540000</v>
      </c>
      <c r="AA72" s="46">
        <f>SUM(B72:M72)</f>
        <v>270000</v>
      </c>
      <c r="AB72" s="46">
        <f>SUM(B72:Y72)</f>
        <v>540000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76708.30266259731</v>
      </c>
      <c r="C81" s="46">
        <f>(SUM($AA$18:$AA$29)-SUM($AA$36,$AA$42,$AA$48,$AA$54,$AA$60,$AA$66,$AA$72:$AA$79))*Parameters!$B$37/12</f>
        <v>76708.30266259731</v>
      </c>
      <c r="D81" s="46">
        <f>(SUM($AA$18:$AA$29)-SUM($AA$36,$AA$42,$AA$48,$AA$54,$AA$60,$AA$66,$AA$72:$AA$79))*Parameters!$B$37/12</f>
        <v>76708.30266259731</v>
      </c>
      <c r="E81" s="46">
        <f>(SUM($AA$18:$AA$29)-SUM($AA$36,$AA$42,$AA$48,$AA$54,$AA$60,$AA$66,$AA$72:$AA$79))*Parameters!$B$37/12</f>
        <v>76708.30266259731</v>
      </c>
      <c r="F81" s="46">
        <f>(SUM($AA$18:$AA$29)-SUM($AA$36,$AA$42,$AA$48,$AA$54,$AA$60,$AA$66,$AA$72:$AA$79))*Parameters!$B$37/12</f>
        <v>76708.30266259731</v>
      </c>
      <c r="G81" s="46">
        <f>(SUM($AA$18:$AA$29)-SUM($AA$36,$AA$42,$AA$48,$AA$54,$AA$60,$AA$66,$AA$72:$AA$79))*Parameters!$B$37/12</f>
        <v>76708.30266259731</v>
      </c>
      <c r="H81" s="46">
        <f>(SUM($AA$18:$AA$29)-SUM($AA$36,$AA$42,$AA$48,$AA$54,$AA$60,$AA$66,$AA$72:$AA$79))*Parameters!$B$37/12</f>
        <v>76708.30266259731</v>
      </c>
      <c r="I81" s="46">
        <f>(SUM($AA$18:$AA$29)-SUM($AA$36,$AA$42,$AA$48,$AA$54,$AA$60,$AA$66,$AA$72:$AA$79))*Parameters!$B$37/12</f>
        <v>76708.30266259731</v>
      </c>
      <c r="J81" s="46">
        <f>(SUM($AA$18:$AA$29)-SUM($AA$36,$AA$42,$AA$48,$AA$54,$AA$60,$AA$66,$AA$72:$AA$79))*Parameters!$B$37/12</f>
        <v>76708.30266259731</v>
      </c>
      <c r="K81" s="46">
        <f>(SUM($AA$18:$AA$29)-SUM($AA$36,$AA$42,$AA$48,$AA$54,$AA$60,$AA$66,$AA$72:$AA$79))*Parameters!$B$37/12</f>
        <v>76708.30266259731</v>
      </c>
      <c r="L81" s="46">
        <f>(SUM($AA$18:$AA$29)-SUM($AA$36,$AA$42,$AA$48,$AA$54,$AA$60,$AA$66,$AA$72:$AA$79))*Parameters!$B$37/12</f>
        <v>76708.30266259731</v>
      </c>
      <c r="M81" s="46">
        <f>(SUM($AA$18:$AA$29)-SUM($AA$36,$AA$42,$AA$48,$AA$54,$AA$60,$AA$66,$AA$72:$AA$79))*Parameters!$B$37/12</f>
        <v>76708.30266259731</v>
      </c>
      <c r="N81" s="46">
        <f>(SUM($AA$18:$AA$29)-SUM($AA$36,$AA$42,$AA$48,$AA$54,$AA$60,$AA$66,$AA$72:$AA$79))*Parameters!$B$37/12</f>
        <v>76708.30266259731</v>
      </c>
      <c r="O81" s="46">
        <f>(SUM($AA$18:$AA$29)-SUM($AA$36,$AA$42,$AA$48,$AA$54,$AA$60,$AA$66,$AA$72:$AA$79))*Parameters!$B$37/12</f>
        <v>76708.30266259731</v>
      </c>
      <c r="P81" s="46">
        <f>(SUM($AA$18:$AA$29)-SUM($AA$36,$AA$42,$AA$48,$AA$54,$AA$60,$AA$66,$AA$72:$AA$79))*Parameters!$B$37/12</f>
        <v>76708.30266259731</v>
      </c>
      <c r="Q81" s="46">
        <f>(SUM($AA$18:$AA$29)-SUM($AA$36,$AA$42,$AA$48,$AA$54,$AA$60,$AA$66,$AA$72:$AA$79))*Parameters!$B$37/12</f>
        <v>76708.30266259731</v>
      </c>
      <c r="R81" s="46">
        <f>(SUM($AA$18:$AA$29)-SUM($AA$36,$AA$42,$AA$48,$AA$54,$AA$60,$AA$66,$AA$72:$AA$79))*Parameters!$B$37/12</f>
        <v>76708.30266259731</v>
      </c>
      <c r="S81" s="46">
        <f>(SUM($AA$18:$AA$29)-SUM($AA$36,$AA$42,$AA$48,$AA$54,$AA$60,$AA$66,$AA$72:$AA$79))*Parameters!$B$37/12</f>
        <v>76708.30266259731</v>
      </c>
      <c r="T81" s="46">
        <f>(SUM($AA$18:$AA$29)-SUM($AA$36,$AA$42,$AA$48,$AA$54,$AA$60,$AA$66,$AA$72:$AA$79))*Parameters!$B$37/12</f>
        <v>76708.30266259731</v>
      </c>
      <c r="U81" s="46">
        <f>(SUM($AA$18:$AA$29)-SUM($AA$36,$AA$42,$AA$48,$AA$54,$AA$60,$AA$66,$AA$72:$AA$79))*Parameters!$B$37/12</f>
        <v>76708.30266259731</v>
      </c>
      <c r="V81" s="46">
        <f>(SUM($AA$18:$AA$29)-SUM($AA$36,$AA$42,$AA$48,$AA$54,$AA$60,$AA$66,$AA$72:$AA$79))*Parameters!$B$37/12</f>
        <v>76708.30266259731</v>
      </c>
      <c r="W81" s="46">
        <f>(SUM($AA$18:$AA$29)-SUM($AA$36,$AA$42,$AA$48,$AA$54,$AA$60,$AA$66,$AA$72:$AA$79))*Parameters!$B$37/12</f>
        <v>76708.30266259731</v>
      </c>
      <c r="X81" s="46">
        <f>(SUM($AA$18:$AA$29)-SUM($AA$36,$AA$42,$AA$48,$AA$54,$AA$60,$AA$66,$AA$72:$AA$79))*Parameters!$B$37/12</f>
        <v>76708.30266259731</v>
      </c>
      <c r="Y81" s="46">
        <f>(SUM($AA$18:$AA$29)-SUM($AA$36,$AA$42,$AA$48,$AA$54,$AA$60,$AA$66,$AA$72:$AA$79))*Parameters!$B$37/12</f>
        <v>76708.30266259731</v>
      </c>
      <c r="Z81" s="46">
        <f>SUMIF($B$13:$Y$13,"Yes",B81:Y81)</f>
        <v>997207.9346137649</v>
      </c>
      <c r="AA81" s="46">
        <f>SUM(B81:M81)</f>
        <v>920499.6319511676</v>
      </c>
      <c r="AB81" s="46">
        <f>SUM(B81:Y81)</f>
        <v>1840999.263902335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529523.0526625973</v>
      </c>
      <c r="C88" s="19">
        <f>SUM(C72:C82,C66,C60,C54,C48,C42,C36)</f>
        <v>179954.3026625973</v>
      </c>
      <c r="D88" s="19">
        <f>SUM(D72:D82,D66,D60,D54,D48,D42,D36)</f>
        <v>179954.3026625973</v>
      </c>
      <c r="E88" s="19">
        <f>SUM(E72:E82,E66,E60,E54,E48,E42,E36)</f>
        <v>191935.0526625973</v>
      </c>
      <c r="F88" s="19">
        <f>SUM(F72:F82,F66,F60,F54,F48,F42,F36)</f>
        <v>186723.0526625973</v>
      </c>
      <c r="G88" s="19">
        <f>SUM(G72:G82,G66,G60,G54,G48,G42,G36)</f>
        <v>167053.0526625973</v>
      </c>
      <c r="H88" s="19">
        <f>SUM(H72:H82,H66,H60,H54,H48,H42,H36)</f>
        <v>259523.0526625973</v>
      </c>
      <c r="I88" s="19">
        <f>SUM(I72:I82,I66,I60,I54,I48,I42,I36)</f>
        <v>179954.3026625973</v>
      </c>
      <c r="J88" s="19">
        <f>SUM(J72:J82,J66,J60,J54,J48,J42,J36)</f>
        <v>179954.3026625973</v>
      </c>
      <c r="K88" s="19">
        <f>SUM(K72:K82,K66,K60,K54,K48,K42,K36)</f>
        <v>191935.0526625973</v>
      </c>
      <c r="L88" s="19">
        <f>SUM(L72:L82,L66,L60,L54,L48,L42,L36)</f>
        <v>186723.0526625973</v>
      </c>
      <c r="M88" s="19">
        <f>SUM(M72:M82,M66,M60,M54,M48,M42,M36)</f>
        <v>167053.0526625973</v>
      </c>
      <c r="N88" s="19">
        <f>SUM(N72:N82,N66,N60,N54,N48,N42,N36)</f>
        <v>529523.0526625973</v>
      </c>
      <c r="O88" s="19">
        <f>SUM(O72:O82,O66,O60,O54,O48,O42,O36)</f>
        <v>179954.3026625973</v>
      </c>
      <c r="P88" s="19">
        <f>SUM(P72:P82,P66,P60,P54,P48,P42,P36)</f>
        <v>179954.3026625973</v>
      </c>
      <c r="Q88" s="19">
        <f>SUM(Q72:Q82,Q66,Q60,Q54,Q48,Q42,Q36)</f>
        <v>191935.0526625973</v>
      </c>
      <c r="R88" s="19">
        <f>SUM(R72:R82,R66,R60,R54,R48,R42,R36)</f>
        <v>186723.0526625973</v>
      </c>
      <c r="S88" s="19">
        <f>SUM(S72:S82,S66,S60,S54,S48,S42,S36)</f>
        <v>167053.0526625973</v>
      </c>
      <c r="T88" s="19">
        <f>SUM(T72:T82,T66,T60,T54,T48,T42,T36)</f>
        <v>259523.0526625973</v>
      </c>
      <c r="U88" s="19">
        <f>SUM(U72:U82,U66,U60,U54,U48,U42,U36)</f>
        <v>179954.3026625973</v>
      </c>
      <c r="V88" s="19">
        <f>SUM(V72:V82,V66,V60,V54,V48,V42,V36)</f>
        <v>179954.3026625973</v>
      </c>
      <c r="W88" s="19">
        <f>SUM(W72:W82,W66,W60,W54,W48,W42,W36)</f>
        <v>191935.0526625973</v>
      </c>
      <c r="X88" s="19">
        <f>SUM(X72:X82,X66,X60,X54,X48,X42,X36)</f>
        <v>186723.0526625973</v>
      </c>
      <c r="Y88" s="19">
        <f>SUM(Y72:Y82,Y66,Y60,Y54,Y48,Y42,Y36)</f>
        <v>167053.0526625973</v>
      </c>
      <c r="Z88" s="19">
        <f>SUMIF($B$13:$Y$13,"Yes",B88:Y88)</f>
        <v>3129808.684613765</v>
      </c>
      <c r="AA88" s="19">
        <f>SUM(B88:M88)</f>
        <v>2600285.631951168</v>
      </c>
      <c r="AB88" s="19">
        <f>SUM(B88:Y88)</f>
        <v>5200571.263902335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900000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5525000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7</v>
      </c>
      <c r="D9" s="16"/>
      <c r="E9" s="147" t="s">
        <v>97</v>
      </c>
      <c r="F9" s="149" t="s">
        <v>93</v>
      </c>
      <c r="G9" s="147"/>
      <c r="H9" s="147" t="s">
        <v>93</v>
      </c>
      <c r="I9" s="147" t="s">
        <v>93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>
        <v>0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93</v>
      </c>
    </row>
    <row r="41" spans="1:48">
      <c r="A41" s="55" t="s">
        <v>125</v>
      </c>
      <c r="B41" s="140">
        <v>270000</v>
      </c>
    </row>
    <row r="42" spans="1:48">
      <c r="A42" s="55" t="s">
        <v>126</v>
      </c>
      <c r="B42" s="139" t="s">
        <v>98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450000</v>
      </c>
    </row>
    <row r="46" spans="1:48" customHeight="1" ht="30">
      <c r="A46" s="57" t="s">
        <v>131</v>
      </c>
      <c r="B46" s="161">
        <v>25000</v>
      </c>
    </row>
    <row r="47" spans="1:48" customHeight="1" ht="30">
      <c r="A47" s="57" t="s">
        <v>132</v>
      </c>
      <c r="B47" s="161">
        <v>900000</v>
      </c>
    </row>
    <row r="48" spans="1:48" customHeight="1" ht="30">
      <c r="A48" s="57" t="s">
        <v>133</v>
      </c>
      <c r="B48" s="161">
        <v>4000000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315550</v>
      </c>
      <c r="C66" s="163">
        <v>289550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105450</v>
      </c>
      <c r="C67" s="165">
        <v>86700</v>
      </c>
      <c r="D67" s="49">
        <f>INDEX(Parameters!$D$79:$D$90,MATCH(Inputs!A67,Parameters!$C$79:$C$90,0))</f>
        <v>11</v>
      </c>
    </row>
    <row r="68" spans="1:48">
      <c r="A68" s="143" t="s">
        <v>148</v>
      </c>
      <c r="B68" s="157">
        <v>334137</v>
      </c>
      <c r="C68" s="165">
        <v>302920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728010</v>
      </c>
      <c r="C69" s="165">
        <v>697250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302910</v>
      </c>
      <c r="C70" s="165">
        <v>282720</v>
      </c>
      <c r="D70" s="49">
        <f>INDEX(Parameters!$D$79:$D$90,MATCH(Inputs!A70,Parameters!$C$79:$C$90,0))</f>
        <v>8</v>
      </c>
    </row>
    <row r="71" spans="1:48">
      <c r="A71" s="144" t="s">
        <v>151</v>
      </c>
      <c r="B71" s="158">
        <v>70960</v>
      </c>
      <c r="C71" s="167">
        <v>61250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150000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>
        <v>5</v>
      </c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154044.2651990376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11.2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3278061.963435521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432000</v>
      </c>
      <c r="W4" s="33">
        <f>IFERROR(J4*H4*Parameters!$B$35+IF(OR(Inputs!F7=Parameters!$E$78,Inputs!F7=Parameters!$E$80),Calculations!H4*Parameters!$B$36,0),0)</f>
        <v>36000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77400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205200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42887</v>
      </c>
      <c r="D5" s="39">
        <f>IFERROR(DATE(YEAR(B5),MONTH(B5)+T5,DAY(B5)),"")</f>
        <v>42917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43070</v>
      </c>
      <c r="G5" s="39">
        <f>IFERROR(IF($S5=0,"",IF($S5=2,DATE(YEAR(D5),MONTH(D5)+6,DAY(D5)),IF($S5=1,D5,""))),"")</f>
        <v>43101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18045.26684812627</v>
      </c>
      <c r="N5" s="22">
        <f>Calculations!U5</f>
        <v>0.05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14</v>
      </c>
      <c r="P5" s="22">
        <f>IFERROR(INDEX(Parameters!$A$3:$V$17,MATCH(Calculations!$A5,Parameters!$A$3:$A$17,0),MATCH($P$3,Parameters!$A$3:$V$3,0)),0)</f>
        <v>0</v>
      </c>
      <c r="Q5" s="34">
        <f>M5*O5*(1-N5)*MAX(S5,1)</f>
        <v>480004.0981601588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1212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28500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Carrots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42736</v>
      </c>
      <c r="C6" s="39">
        <f>IFERROR(DATE(YEAR(B6),MONTH(B6)+ROUND(T6/2,0),DAY(B6)),B6)</f>
        <v>42795</v>
      </c>
      <c r="D6" s="39">
        <f>IFERROR(DATE(YEAR(B6),MONTH(B6)+T6,DAY(B6)),"")</f>
        <v>42856</v>
      </c>
      <c r="E6" s="39">
        <f>IFERROR(IF($S6=0,"",IF($S6=2,DATE(YEAR(B6),MONTH(B6)+6,DAY(B6)),IF($S6=1,B6,""))),"")</f>
        <v>42917</v>
      </c>
      <c r="F6" s="39">
        <f>IFERROR(IF($S6=0,"",IF($S6=2,DATE(YEAR(C6),MONTH(C6)+6,DAY(C6)),IF($S6=1,C6,""))),"")</f>
        <v>42979</v>
      </c>
      <c r="G6" s="39">
        <f>IFERROR(IF($S6=0,"",IF($S6=2,DATE(YEAR(D6),MONTH(D6)+6,DAY(D6)),IF($S6=1,D6,""))),"")</f>
        <v>43040</v>
      </c>
      <c r="H6" s="16">
        <f>Inputs!C9</f>
        <v>7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80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5000</v>
      </c>
      <c r="M6" s="30">
        <f>L6*H6</f>
        <v>35000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28</v>
      </c>
      <c r="P6" s="22">
        <f>IFERROR(INDEX(Parameters!$A$3:$V$17,MATCH(Calculations!$A6,Parameters!$A$3:$A$17,0),MATCH($P$3,Parameters!$A$3:$V$3,0)),0)</f>
        <v>0</v>
      </c>
      <c r="Q6" s="34">
        <f>M6*O6*(1-N6)*MAX(S6,1)</f>
        <v>1862000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72800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133000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42782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42767</v>
      </c>
      <c r="F33" t="s">
        <v>157</v>
      </c>
      <c r="G33" s="128">
        <f>IF(Inputs!B79="","",DATE(YEAR(Inputs!B79),MONTH(Inputs!B79),DAY(Inputs!B79)))</f>
        <v>42751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42810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42795</v>
      </c>
      <c r="F34" t="s">
        <v>158</v>
      </c>
      <c r="G34" s="128">
        <f>IF(Inputs!B80="","",DATE(YEAR(Inputs!B80),MONTH(Inputs!B80),DAY(Inputs!B80)))</f>
        <v>42782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42841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42826</v>
      </c>
      <c r="F35" t="s">
        <v>160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42871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42856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42902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42887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42932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42917</v>
      </c>
      <c r="F38" t="s">
        <v>223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42963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42948</v>
      </c>
      <c r="F39" t="s">
        <v>166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42994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42979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43024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43009</v>
      </c>
      <c r="F41" t="s">
        <v>224</v>
      </c>
      <c r="G41" s="73">
        <f>IFERROR(G35/(G38-G39),"")</f>
        <v>21428.57142857143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43055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43040</v>
      </c>
      <c r="F42" t="s">
        <v>225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43085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43116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128</v>
      </c>
      <c r="I77" s="12" t="s">
        <v>347</v>
      </c>
      <c r="J77" s="136" t="s">
        <v>97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163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95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