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<sst xmlns="http://schemas.openxmlformats.org/spreadsheetml/2006/main" uniqueCount="364">
  <si>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</si>
  <si>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</si>
  <si>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</si>
  <si>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</si>
  <si>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</si>
  <si>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</si>
  <si>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</si>
  <si>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</si>
  <si>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</si>
  <si>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</si>
  <si>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</si>
  <si>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</si>
  <si>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</si>
  <si>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</si>
  <si>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</si>
  <si>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</si>
  <si>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</si>
  <si>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</si>
  <si>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</si>
  <si>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</si>
  <si>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</si>
  <si>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</si>
  <si>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</si>
  <si>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</si>
  <si>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</si>
  <si>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</si>
  <si>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</si>
  <si>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</si>
  <si>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</si>
  <si>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</si>
  <si>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</si>
  <si>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</si>
  <si>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</si>
  <si>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</si>
  <si>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</si>
  <si>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</si>
  <si>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</si>
  <si>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</si>
  <si>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</si>
  <si>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</si>
  <si>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</si>
  <si>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</si>
  <si>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</si>
  <si>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</si>
  <si>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</si>
  <si>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</si>
  <si>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</si>
  <si>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</si>
  <si>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</si>
  <si>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</si>
  <si>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</si>
  <si>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</si>
  <si>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</si>
  <si>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</si>
  <si>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</si>
  <si>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</si>
  <si>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</si>
  <si>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</si>
  <si>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</si>
  <si>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</si>
  <si>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</si>
  <si>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</si>
  <si>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</si>
  <si>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</si>
  <si>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</si>
  <si>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</si>
  <si>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</si>
  <si>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</si>
  <si>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</si>
  <si>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</si>
  <si>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</si>
  <si>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</si>
  <si>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</si>
  <si>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</si>
  <si>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</si>
  <si>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</si>
  <si>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</si>
  <si>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</si>
  <si>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</si>
  <si>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</si>
  <si>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</si>
  <si>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</si>
  <si>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</si>
  <si>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</si>
  <si>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</si>
  <si>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</si>
  <si>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</si>
  <si>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</si>
  <si>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</si>
  <si>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</si>
  <si>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</si>
  <si>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only manure</t>
  </si>
  <si>
    <t>Yes</t>
  </si>
  <si>
    <t>No</t>
  </si>
  <si>
    <t>Tomatoes</t>
  </si>
  <si>
    <t>Home recycled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</si>
  <si>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</si>
  <si>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</si>
  <si>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</si>
  <si>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</si>
  <si>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</si>
  <si>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</si>
  <si>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</si>
  <si>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</si>
  <si>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</si>
  <si>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</si>
  <si>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</si>
  <si>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</si>
  <si>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</si>
  <si>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</si>
  <si>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</si>
  <si>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Always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</si>
  <si>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</si>
  <si>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</si>
  <si>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</si>
  <si>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</si>
  <si>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</si>
  <si>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</si>
  <si>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</si>
  <si>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</si>
  <si>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</si>
  <si>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</si>
  <si>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</si>
  <si>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</si>
  <si>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</si>
  <si>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</si>
  <si>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</si>
  <si>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</si>
  <si>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</si>
  <si>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</si>
  <si>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</si>
  <si>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</si>
  <si>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</si>
  <si>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</si>
  <si>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</si>
  <si>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</si>
  <si>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</si>
  <si>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</si>
  <si>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</si>
  <si>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</si>
  <si>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</si>
  <si>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</si>
  <si>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</si>
  <si>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</si>
  <si>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</si>
  <si>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</si>
  <si>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</si>
  <si>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</si>
  <si>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</si>
  <si>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</si>
  <si>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</si>
  <si>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</si>
  <si>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</si>
  <si>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</si>
  <si>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</si>
  <si>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</si>
  <si>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</si>
  <si>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2017/1/16</t>
  </si>
  <si>
    <t>Loan terms</t>
  </si>
  <si>
    <t>Expected disbursement date</t>
  </si>
  <si>
    <t>Expected first repayment date</t>
  </si>
  <si>
    <t>2017/1/26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</si>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</sst>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January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Tomatoes,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Cows_dairy,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1.004488032378565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0.03154337213668795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17472.77836708858</v>
      </c>
    </row>
    <row r="18" spans="1:7">
      <c r="B18" s="1" t="s">
        <v>12</v>
      </c>
      <c r="C18" s="36">
        <f>MIN(Output!B6:M6)</f>
        <v>-2017.345247628564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4929.47497547666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1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4929.47497547666</v>
      </c>
      <c r="C6" s="51">
        <f>C30-C88</f>
        <v>4929.47497547666</v>
      </c>
      <c r="D6" s="51">
        <f>D30-D88</f>
        <v>4929.47497547666</v>
      </c>
      <c r="E6" s="51">
        <f>E30-E88</f>
        <v>4929.47497547666</v>
      </c>
      <c r="F6" s="51">
        <f>F30-F88</f>
        <v>4929.47497547666</v>
      </c>
      <c r="G6" s="51">
        <f>G30-G88</f>
        <v>4929.47497547666</v>
      </c>
      <c r="H6" s="51">
        <f>H30-H88</f>
        <v>-2017.345247628564</v>
      </c>
      <c r="I6" s="51">
        <f>I30-I88</f>
        <v>-2017.345247628564</v>
      </c>
      <c r="J6" s="51">
        <f>J30-J88</f>
        <v>-2017.345247628564</v>
      </c>
      <c r="K6" s="51">
        <f>K30-K88</f>
        <v>-2017.345247628564</v>
      </c>
      <c r="L6" s="51">
        <f>L30-L88</f>
        <v>-2017.345247628564</v>
      </c>
      <c r="M6" s="51">
        <f>M30-M88</f>
        <v>-2017.345247628564</v>
      </c>
      <c r="N6" s="51">
        <f>N30-N88</f>
        <v>4929.47497547666</v>
      </c>
      <c r="O6" s="51">
        <f>O30-O88</f>
        <v>4929.47497547666</v>
      </c>
      <c r="P6" s="51">
        <f>P30-P88</f>
        <v>4929.47497547666</v>
      </c>
      <c r="Q6" s="51">
        <f>Q30-Q88</f>
        <v>4929.47497547666</v>
      </c>
      <c r="R6" s="51">
        <f>R30-R88</f>
        <v>4929.47497547666</v>
      </c>
      <c r="S6" s="51">
        <f>S30-S88</f>
        <v>4929.47497547666</v>
      </c>
      <c r="T6" s="51">
        <f>T30-T88</f>
        <v>11107.65475237144</v>
      </c>
      <c r="U6" s="51">
        <f>U30-U88</f>
        <v>-2017.345247628564</v>
      </c>
      <c r="V6" s="51">
        <f>V30-V88</f>
        <v>-2017.345247628564</v>
      </c>
      <c r="W6" s="51">
        <f>W30-W88</f>
        <v>-2017.345247628564</v>
      </c>
      <c r="X6" s="51">
        <f>X30-X88</f>
        <v>-2017.345247628564</v>
      </c>
      <c r="Y6" s="51">
        <f>Y30-Y88</f>
        <v>-2017.345247628564</v>
      </c>
      <c r="Z6" s="51">
        <f>SUMIF($B$13:$Y$13,"Yes",B6:Y6)</f>
        <v>17472.77836708858</v>
      </c>
      <c r="AA6" s="51">
        <f>AA30-AA88</f>
        <v>17472.77836708858</v>
      </c>
      <c r="AB6" s="51">
        <f>AB30-AB88</f>
        <v>48070.5567341774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11404</v>
      </c>
      <c r="I7" s="80">
        <f>IF(ISERROR(VLOOKUP(MONTH(I5),Inputs!$D$66:$D$71,1,0)),"",INDEX(Inputs!$B$66:$B$71,MATCH(MONTH(Output!I5),Inputs!$D$66:$D$71,0))-INDEX(Inputs!$C$66:$C$71,MATCH(MONTH(Output!I5),Inputs!$D$66:$D$71,0)))</f>
        <v>20196</v>
      </c>
      <c r="J7" s="80">
        <f>IF(ISERROR(VLOOKUP(MONTH(J5),Inputs!$D$66:$D$71,1,0)),"",INDEX(Inputs!$B$66:$B$71,MATCH(MONTH(Output!J5),Inputs!$D$66:$D$71,0))-INDEX(Inputs!$C$66:$C$71,MATCH(MONTH(Output!J5),Inputs!$D$66:$D$71,0)))</f>
        <v>-9783</v>
      </c>
      <c r="K7" s="80">
        <f>IF(ISERROR(VLOOKUP(MONTH(K5),Inputs!$D$66:$D$71,1,0)),"",INDEX(Inputs!$B$66:$B$71,MATCH(MONTH(Output!K5),Inputs!$D$66:$D$71,0))-INDEX(Inputs!$C$66:$C$71,MATCH(MONTH(Output!K5),Inputs!$D$66:$D$71,0)))</f>
        <v>5597</v>
      </c>
      <c r="L7" s="80">
        <f>IF(ISERROR(VLOOKUP(MONTH(L5),Inputs!$D$66:$D$71,1,0)),"",INDEX(Inputs!$B$66:$B$71,MATCH(MONTH(Output!L5),Inputs!$D$66:$D$71,0))-INDEX(Inputs!$C$66:$C$71,MATCH(MONTH(Output!L5),Inputs!$D$66:$D$71,0)))</f>
        <v>10508</v>
      </c>
      <c r="M7" s="80">
        <f>IF(ISERROR(VLOOKUP(MONTH(M5),Inputs!$D$66:$D$71,1,0)),"",INDEX(Inputs!$B$66:$B$71,MATCH(MONTH(Output!M5),Inputs!$D$66:$D$71,0))-INDEX(Inputs!$C$66:$C$71,MATCH(MONTH(Output!M5),Inputs!$D$66:$D$71,0)))</f>
        <v>45000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11404</v>
      </c>
      <c r="U7" s="80">
        <f>IF(ISERROR(VLOOKUP(MONTH(U5),Inputs!$D$66:$D$71,1,0)),"",INDEX(Inputs!$B$66:$B$71,MATCH(MONTH(Output!U5),Inputs!$D$66:$D$71,0))-INDEX(Inputs!$C$66:$C$71,MATCH(MONTH(Output!U5),Inputs!$D$66:$D$71,0)))</f>
        <v>20196</v>
      </c>
      <c r="V7" s="80">
        <f>IF(ISERROR(VLOOKUP(MONTH(V5),Inputs!$D$66:$D$71,1,0)),"",INDEX(Inputs!$B$66:$B$71,MATCH(MONTH(Output!V5),Inputs!$D$66:$D$71,0))-INDEX(Inputs!$C$66:$C$71,MATCH(MONTH(Output!V5),Inputs!$D$66:$D$71,0)))</f>
        <v>-9783</v>
      </c>
      <c r="W7" s="80">
        <f>IF(ISERROR(VLOOKUP(MONTH(W5),Inputs!$D$66:$D$71,1,0)),"",INDEX(Inputs!$B$66:$B$71,MATCH(MONTH(Output!W5),Inputs!$D$66:$D$71,0))-INDEX(Inputs!$C$66:$C$71,MATCH(MONTH(Output!W5),Inputs!$D$66:$D$71,0)))</f>
        <v>5597</v>
      </c>
      <c r="X7" s="80">
        <f>IF(ISERROR(VLOOKUP(MONTH(X5),Inputs!$D$66:$D$71,1,0)),"",INDEX(Inputs!$B$66:$B$71,MATCH(MONTH(Output!X5),Inputs!$D$66:$D$71,0))-INDEX(Inputs!$C$66:$C$71,MATCH(MONTH(Output!X5),Inputs!$D$66:$D$71,0)))</f>
        <v>10508</v>
      </c>
      <c r="Y7" s="80">
        <f>IF(ISERROR(VLOOKUP(MONTH(Y5),Inputs!$D$66:$D$71,1,0)),"",INDEX(Inputs!$B$66:$B$71,MATCH(MONTH(Output!Y5),Inputs!$D$66:$D$71,0))-INDEX(Inputs!$C$66:$C$71,MATCH(MONTH(Output!Y5),Inputs!$D$66:$D$71,0)))</f>
        <v>45000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1500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15785.71428571429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118000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103429.4749754767</v>
      </c>
      <c r="C11" s="80">
        <f>C6+C9-C10</f>
        <v>3429.47497547666</v>
      </c>
      <c r="D11" s="80">
        <f>D6+D9-D10</f>
        <v>3429.47497547666</v>
      </c>
      <c r="E11" s="80">
        <f>E6+E9-E10</f>
        <v>3429.47497547666</v>
      </c>
      <c r="F11" s="80">
        <f>F6+F9-F10</f>
        <v>3429.47497547666</v>
      </c>
      <c r="G11" s="80">
        <f>G6+G9-G10</f>
        <v>-10856.23931023763</v>
      </c>
      <c r="H11" s="80">
        <f>H6+H9-H10</f>
        <v>-17803.05953334285</v>
      </c>
      <c r="I11" s="80">
        <f>I6+I9-I10</f>
        <v>-17803.05953334285</v>
      </c>
      <c r="J11" s="80">
        <f>J6+J9-J10</f>
        <v>-17803.05953334285</v>
      </c>
      <c r="K11" s="80">
        <f>K6+K9-K10</f>
        <v>-17803.05953334285</v>
      </c>
      <c r="L11" s="80">
        <f>L6+L9-L10</f>
        <v>-17803.05953334285</v>
      </c>
      <c r="M11" s="80">
        <f>M6+M9-M10</f>
        <v>-17803.05953334285</v>
      </c>
      <c r="N11" s="80">
        <f>N6+N9-N10</f>
        <v>4929.47497547666</v>
      </c>
      <c r="O11" s="80">
        <f>O6+O9-O10</f>
        <v>4929.47497547666</v>
      </c>
      <c r="P11" s="80">
        <f>P6+P9-P10</f>
        <v>4929.47497547666</v>
      </c>
      <c r="Q11" s="80">
        <f>Q6+Q9-Q10</f>
        <v>4929.47497547666</v>
      </c>
      <c r="R11" s="80">
        <f>R6+R9-R10</f>
        <v>4929.47497547666</v>
      </c>
      <c r="S11" s="80">
        <f>S6+S9-S10</f>
        <v>4929.47497547666</v>
      </c>
      <c r="T11" s="80">
        <f>T6+T9-T10</f>
        <v>11107.65475237144</v>
      </c>
      <c r="U11" s="80">
        <f>U6+U9-U10</f>
        <v>-2017.345247628564</v>
      </c>
      <c r="V11" s="80">
        <f>V6+V9-V10</f>
        <v>-2017.345247628564</v>
      </c>
      <c r="W11" s="80">
        <f>W6+W9-W10</f>
        <v>-2017.345247628564</v>
      </c>
      <c r="X11" s="80">
        <f>X6+X9-X10</f>
        <v>-2017.345247628564</v>
      </c>
      <c r="Y11" s="80">
        <f>Y6+Y9-Y10</f>
        <v>-2017.345247628564</v>
      </c>
      <c r="Z11" s="85">
        <f>SUMIF($B$13:$Y$13,"Yes",B11:Y11)</f>
        <v>-527.2216329114599</v>
      </c>
      <c r="AA11" s="80">
        <f>SUM(B11:M11)</f>
        <v>-527.2216329114599</v>
      </c>
      <c r="AB11" s="46">
        <f>SUM(B11:Y11)</f>
        <v>30070.55673417713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0.01429531597628378</v>
      </c>
      <c r="C12" s="82">
        <f>IF(C13="Yes",IF(SUM($B$10:C10)/(SUM($B$6:C6)+SUM($B$9:C9))&lt;0,999.99,SUM($B$10:C10)/(SUM($B$6:C6)+SUM($B$9:C9))),"")</f>
        <v>0.02730774325932802</v>
      </c>
      <c r="D12" s="82">
        <f>IF(D13="Yes",IF(SUM($B$10:D10)/(SUM($B$6:D6)+SUM($B$9:D9))&lt;0,999.99,SUM($B$10:D10)/(SUM($B$6:D6)+SUM($B$9:D9))),"")</f>
        <v>0.03920255899394153</v>
      </c>
      <c r="E12" s="82">
        <f>IF(E13="Yes",IF(SUM($B$10:E10)/(SUM($B$6:E6)+SUM($B$9:E9))&lt;0,999.99,SUM($B$10:E10)/(SUM($B$6:E6)+SUM($B$9:E9))),"")</f>
        <v>0.05011781867971477</v>
      </c>
      <c r="F12" s="82">
        <f>IF(F13="Yes",IF(SUM($B$10:F10)/(SUM($B$6:F6)+SUM($B$9:F9))&lt;0,999.99,SUM($B$10:F10)/(SUM($B$6:F6)+SUM($B$9:F9))),"")</f>
        <v>0.06016973889243809</v>
      </c>
      <c r="G12" s="82">
        <f>IF(G13="Yes",IF(SUM($B$10:G10)/(SUM($B$6:G6)+SUM($B$9:G9))&lt;0,999.99,SUM($B$10:G10)/(SUM($B$6:G6)+SUM($B$9:G9))),"")</f>
        <v>0.1797058217741534</v>
      </c>
      <c r="H12" s="82">
        <f>IF(H13="Yes",IF(SUM($B$10:H10)/(SUM($B$6:H6)+SUM($B$9:H9))&lt;0,999.99,SUM($B$10:H10)/(SUM($B$6:H6)+SUM($B$9:H9))),"")</f>
        <v>0.3062996261419018</v>
      </c>
      <c r="I12" s="82">
        <f>IF(I13="Yes",IF(SUM($B$10:I10)/(SUM($B$6:I6)+SUM($B$9:I9))&lt;0,999.99,SUM($B$10:I10)/(SUM($B$6:I6)+SUM($B$9:I9))),"")</f>
        <v>0.4369619189111129</v>
      </c>
      <c r="J12" s="82">
        <f>IF(J13="Yes",IF(SUM($B$10:J10)/(SUM($B$6:J6)+SUM($B$9:J9))&lt;0,999.99,SUM($B$10:J10)/(SUM($B$6:J6)+SUM($B$9:J9))),"")</f>
        <v>0.5718920336116736</v>
      </c>
      <c r="K12" s="82">
        <f>IF(K13="Yes",IF(SUM($B$10:K10)/(SUM($B$6:K6)+SUM($B$9:K9))&lt;0,999.99,SUM($B$10:K10)/(SUM($B$6:K6)+SUM($B$9:K9))),"")</f>
        <v>0.7113025416279989</v>
      </c>
      <c r="L12" s="82">
        <f>IF(L13="Yes",IF(SUM($B$10:L10)/(SUM($B$6:L6)+SUM($B$9:L9))&lt;0,999.99,SUM($B$10:L10)/(SUM($B$6:L6)+SUM($B$9:L9))),"")</f>
        <v>0.8554203696689153</v>
      </c>
      <c r="M12" s="82">
        <f>IF(M13="Yes",IF(SUM($B$10:M10)/(SUM($B$6:M6)+SUM($B$9:M9))&lt;0,999.99,SUM($B$10:M10)/(SUM($B$6:M6)+SUM($B$9:M9))),"")</f>
        <v>1.004488032378565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6946.820223105226</v>
      </c>
      <c r="C18" s="36">
        <f>O18</f>
        <v>6946.820223105226</v>
      </c>
      <c r="D18" s="36">
        <f>P18</f>
        <v>6946.820223105226</v>
      </c>
      <c r="E18" s="36">
        <f>Q18</f>
        <v>6946.820223105226</v>
      </c>
      <c r="F18" s="36">
        <f>R18</f>
        <v>6946.820223105226</v>
      </c>
      <c r="G18" s="36">
        <f>S18</f>
        <v>6946.820223105226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6946.820223105226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6946.820223105226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6946.820223105226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6946.820223105226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6946.820223105226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6946.820223105226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41680.92133863136</v>
      </c>
      <c r="AA18" s="36">
        <f>SUM(B18:M18)</f>
        <v>41680.92133863136</v>
      </c>
      <c r="AB18" s="36">
        <f>SUM(B18:Y18)</f>
        <v>83361.84267726271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58291.35338345863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3201.754385964912</v>
      </c>
      <c r="C24" s="36">
        <f>IFERROR(Calculations!$P14/12,"")</f>
        <v>3201.754385964912</v>
      </c>
      <c r="D24" s="36">
        <f>IFERROR(Calculations!$P14/12,"")</f>
        <v>3201.754385964912</v>
      </c>
      <c r="E24" s="36">
        <f>IFERROR(Calculations!$P14/12,"")</f>
        <v>3201.754385964912</v>
      </c>
      <c r="F24" s="36">
        <f>IFERROR(Calculations!$P14/12,"")</f>
        <v>3201.754385964912</v>
      </c>
      <c r="G24" s="36">
        <f>IFERROR(Calculations!$P14/12,"")</f>
        <v>3201.754385964912</v>
      </c>
      <c r="H24" s="36">
        <f>IFERROR(Calculations!$P14/12,"")</f>
        <v>3201.754385964912</v>
      </c>
      <c r="I24" s="36">
        <f>IFERROR(Calculations!$P14/12,"")</f>
        <v>3201.754385964912</v>
      </c>
      <c r="J24" s="36">
        <f>IFERROR(Calculations!$P14/12,"")</f>
        <v>3201.754385964912</v>
      </c>
      <c r="K24" s="36">
        <f>IFERROR(Calculations!$P14/12,"")</f>
        <v>3201.754385964912</v>
      </c>
      <c r="L24" s="36">
        <f>IFERROR(Calculations!$P14/12,"")</f>
        <v>3201.754385964912</v>
      </c>
      <c r="M24" s="36">
        <f>IFERROR(Calculations!$P14/12,"")</f>
        <v>3201.754385964912</v>
      </c>
      <c r="N24" s="36">
        <f>IFERROR(Calculations!$P14/12,"")</f>
        <v>3201.754385964912</v>
      </c>
      <c r="O24" s="36">
        <f>IFERROR(Calculations!$P14/12,"")</f>
        <v>3201.754385964912</v>
      </c>
      <c r="P24" s="36">
        <f>IFERROR(Calculations!$P14/12,"")</f>
        <v>3201.754385964912</v>
      </c>
      <c r="Q24" s="36">
        <f>IFERROR(Calculations!$P14/12,"")</f>
        <v>3201.754385964912</v>
      </c>
      <c r="R24" s="36">
        <f>IFERROR(Calculations!$P14/12,"")</f>
        <v>3201.754385964912</v>
      </c>
      <c r="S24" s="36">
        <f>IFERROR(Calculations!$P14/12,"")</f>
        <v>3201.754385964912</v>
      </c>
      <c r="T24" s="36">
        <f>IFERROR(Calculations!$P14/12,"")</f>
        <v>3201.754385964912</v>
      </c>
      <c r="U24" s="36">
        <f>IFERROR(Calculations!$P14/12,"")</f>
        <v>3201.754385964912</v>
      </c>
      <c r="V24" s="36">
        <f>IFERROR(Calculations!$P14/12,"")</f>
        <v>3201.754385964912</v>
      </c>
      <c r="W24" s="36">
        <f>IFERROR(Calculations!$P14/12,"")</f>
        <v>3201.754385964912</v>
      </c>
      <c r="X24" s="36">
        <f>IFERROR(Calculations!$P14/12,"")</f>
        <v>3201.754385964912</v>
      </c>
      <c r="Y24" s="36">
        <f>IFERROR(Calculations!$P14/12,"")</f>
        <v>3201.754385964912</v>
      </c>
      <c r="Z24" s="36">
        <f>SUMIF($B$13:$Y$13,"Yes",B24:Y24)</f>
        <v>38421.05263157895</v>
      </c>
      <c r="AA24" s="36">
        <f>SUM(B24:M24)</f>
        <v>38421.05263157895</v>
      </c>
      <c r="AB24" s="46">
        <f>SUM(B24:Y24)</f>
        <v>76842.10526315794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25550</v>
      </c>
      <c r="C25" s="36">
        <f>IFERROR(Calculations!$P15/12,"")</f>
        <v>25550</v>
      </c>
      <c r="D25" s="36">
        <f>IFERROR(Calculations!$P15/12,"")</f>
        <v>25550</v>
      </c>
      <c r="E25" s="36">
        <f>IFERROR(Calculations!$P15/12,"")</f>
        <v>25550</v>
      </c>
      <c r="F25" s="36">
        <f>IFERROR(Calculations!$P15/12,"")</f>
        <v>25550</v>
      </c>
      <c r="G25" s="36">
        <f>IFERROR(Calculations!$P15/12,"")</f>
        <v>25550</v>
      </c>
      <c r="H25" s="36">
        <f>IFERROR(Calculations!$P15/12,"")</f>
        <v>25550</v>
      </c>
      <c r="I25" s="36">
        <f>IFERROR(Calculations!$P15/12,"")</f>
        <v>25550</v>
      </c>
      <c r="J25" s="36">
        <f>IFERROR(Calculations!$P15/12,"")</f>
        <v>25550</v>
      </c>
      <c r="K25" s="36">
        <f>IFERROR(Calculations!$P15/12,"")</f>
        <v>25550</v>
      </c>
      <c r="L25" s="36">
        <f>IFERROR(Calculations!$P15/12,"")</f>
        <v>25550</v>
      </c>
      <c r="M25" s="36">
        <f>IFERROR(Calculations!$P15/12,"")</f>
        <v>25550</v>
      </c>
      <c r="N25" s="36">
        <f>IFERROR(Calculations!$P15/12,"")</f>
        <v>25550</v>
      </c>
      <c r="O25" s="36">
        <f>IFERROR(Calculations!$P15/12,"")</f>
        <v>25550</v>
      </c>
      <c r="P25" s="36">
        <f>IFERROR(Calculations!$P15/12,"")</f>
        <v>25550</v>
      </c>
      <c r="Q25" s="36">
        <f>IFERROR(Calculations!$P15/12,"")</f>
        <v>25550</v>
      </c>
      <c r="R25" s="36">
        <f>IFERROR(Calculations!$P15/12,"")</f>
        <v>25550</v>
      </c>
      <c r="S25" s="36">
        <f>IFERROR(Calculations!$P15/12,"")</f>
        <v>25550</v>
      </c>
      <c r="T25" s="36">
        <f>IFERROR(Calculations!$P15/12,"")</f>
        <v>25550</v>
      </c>
      <c r="U25" s="36">
        <f>IFERROR(Calculations!$P15/12,"")</f>
        <v>25550</v>
      </c>
      <c r="V25" s="36">
        <f>IFERROR(Calculations!$P15/12,"")</f>
        <v>25550</v>
      </c>
      <c r="W25" s="36">
        <f>IFERROR(Calculations!$P15/12,"")</f>
        <v>25550</v>
      </c>
      <c r="X25" s="36">
        <f>IFERROR(Calculations!$P15/12,"")</f>
        <v>25550</v>
      </c>
      <c r="Y25" s="36">
        <f>IFERROR(Calculations!$P15/12,"")</f>
        <v>25550</v>
      </c>
      <c r="Z25" s="36">
        <f>SUMIF($B$13:$Y$13,"Yes",B25:Y25)</f>
        <v>306600</v>
      </c>
      <c r="AA25" s="36">
        <f>SUM(B25:M25)</f>
        <v>306600</v>
      </c>
      <c r="AB25" s="46">
        <f>SUM(B25:Y25)</f>
        <v>613200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13125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13125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35698.57460907014</v>
      </c>
      <c r="C30" s="19">
        <f>SUM(C18:C29)</f>
        <v>35698.57460907014</v>
      </c>
      <c r="D30" s="19">
        <f>SUM(D18:D29)</f>
        <v>35698.57460907014</v>
      </c>
      <c r="E30" s="19">
        <f>SUM(E18:E29)</f>
        <v>35698.57460907014</v>
      </c>
      <c r="F30" s="19">
        <f>SUM(F18:F29)</f>
        <v>35698.57460907014</v>
      </c>
      <c r="G30" s="19">
        <f>SUM(G18:G29)</f>
        <v>35698.57460907014</v>
      </c>
      <c r="H30" s="19">
        <f>SUM(H18:H29)</f>
        <v>28751.75438596491</v>
      </c>
      <c r="I30" s="19">
        <f>SUM(I18:I29)</f>
        <v>28751.75438596491</v>
      </c>
      <c r="J30" s="19">
        <f>SUM(J18:J29)</f>
        <v>28751.75438596491</v>
      </c>
      <c r="K30" s="19">
        <f>SUM(K18:K29)</f>
        <v>28751.75438596491</v>
      </c>
      <c r="L30" s="19">
        <f>SUM(L18:L29)</f>
        <v>28751.75438596491</v>
      </c>
      <c r="M30" s="19">
        <f>SUM(M18:M29)</f>
        <v>28751.75438596491</v>
      </c>
      <c r="N30" s="19">
        <f>SUM(N18:N29)</f>
        <v>35698.57460907014</v>
      </c>
      <c r="O30" s="19">
        <f>SUM(O18:O29)</f>
        <v>35698.57460907014</v>
      </c>
      <c r="P30" s="19">
        <f>SUM(P18:P29)</f>
        <v>35698.57460907014</v>
      </c>
      <c r="Q30" s="19">
        <f>SUM(Q18:Q29)</f>
        <v>35698.57460907014</v>
      </c>
      <c r="R30" s="19">
        <f>SUM(R18:R29)</f>
        <v>35698.57460907014</v>
      </c>
      <c r="S30" s="19">
        <f>SUM(S18:S29)</f>
        <v>35698.57460907014</v>
      </c>
      <c r="T30" s="19">
        <f>SUM(T18:T29)</f>
        <v>41876.75438596492</v>
      </c>
      <c r="U30" s="19">
        <f>SUM(U18:U29)</f>
        <v>28751.75438596491</v>
      </c>
      <c r="V30" s="19">
        <f>SUM(V18:V29)</f>
        <v>28751.75438596491</v>
      </c>
      <c r="W30" s="19">
        <f>SUM(W18:W29)</f>
        <v>28751.75438596491</v>
      </c>
      <c r="X30" s="19">
        <f>SUM(X18:X29)</f>
        <v>28751.75438596491</v>
      </c>
      <c r="Y30" s="19">
        <f>SUM(Y18:Y29)</f>
        <v>28751.75438596491</v>
      </c>
      <c r="Z30" s="19">
        <f>SUMIF($B$13:$Y$13,"Yes",B30:Y30)</f>
        <v>386701.9739702102</v>
      </c>
      <c r="AA30" s="19">
        <f>SUM(B30:M30)</f>
        <v>386701.9739702102</v>
      </c>
      <c r="AB30" s="19">
        <f>SUM(B30:Y30)</f>
        <v>786528.9479404206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Tomatoes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Beans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21660</v>
      </c>
      <c r="C66" s="36">
        <f>O66</f>
        <v>21660</v>
      </c>
      <c r="D66" s="36">
        <f>P66</f>
        <v>21660</v>
      </c>
      <c r="E66" s="36">
        <f>Q66</f>
        <v>21660</v>
      </c>
      <c r="F66" s="36">
        <f>R66</f>
        <v>21660</v>
      </c>
      <c r="G66" s="36">
        <f>S66</f>
        <v>21660</v>
      </c>
      <c r="H66" s="36">
        <f>T66</f>
        <v>21660</v>
      </c>
      <c r="I66" s="36">
        <f>U66</f>
        <v>21660</v>
      </c>
      <c r="J66" s="36">
        <f>V66</f>
        <v>21660</v>
      </c>
      <c r="K66" s="36">
        <f>W66</f>
        <v>21660</v>
      </c>
      <c r="L66" s="36">
        <f>X66</f>
        <v>21660</v>
      </c>
      <c r="M66" s="36">
        <f>Y66</f>
        <v>21660</v>
      </c>
      <c r="N66" s="46">
        <f>SUM(N67:N71)</f>
        <v>21660</v>
      </c>
      <c r="O66" s="46">
        <f>SUM(O67:O71)</f>
        <v>21660</v>
      </c>
      <c r="P66" s="46">
        <f>SUM(P67:P71)</f>
        <v>21660</v>
      </c>
      <c r="Q66" s="46">
        <f>SUM(Q67:Q71)</f>
        <v>21660</v>
      </c>
      <c r="R66" s="46">
        <f>SUM(R67:R71)</f>
        <v>21660</v>
      </c>
      <c r="S66" s="46">
        <f>SUM(S67:S71)</f>
        <v>21660</v>
      </c>
      <c r="T66" s="46">
        <f>SUM(T67:T71)</f>
        <v>21660</v>
      </c>
      <c r="U66" s="46">
        <f>SUM(U67:U71)</f>
        <v>21660</v>
      </c>
      <c r="V66" s="46">
        <f>SUM(V67:V71)</f>
        <v>21660</v>
      </c>
      <c r="W66" s="46">
        <f>SUM(W67:W71)</f>
        <v>21660</v>
      </c>
      <c r="X66" s="46">
        <f>SUM(X67:X71)</f>
        <v>21660</v>
      </c>
      <c r="Y66" s="46">
        <f>SUM(Y67:Y71)</f>
        <v>21660</v>
      </c>
      <c r="Z66" s="46">
        <f>SUMIF($B$13:$Y$13,"Yes",B66:Y66)</f>
        <v>259920</v>
      </c>
      <c r="AA66" s="46">
        <f>SUM(B66:M66)</f>
        <v>259920</v>
      </c>
      <c r="AB66" s="46">
        <f>SUM(B66:Y66)</f>
        <v>519840</v>
      </c>
    </row>
    <row r="67" spans="1:30" hidden="true" outlineLevel="1">
      <c r="A67" s="181" t="str">
        <f>Calculations!$A$4</f>
        <v>Beans</v>
      </c>
      <c r="B67" s="36">
        <f>N67</f>
        <v>21660</v>
      </c>
      <c r="C67" s="36">
        <f>O67</f>
        <v>21660</v>
      </c>
      <c r="D67" s="36">
        <f>P67</f>
        <v>21660</v>
      </c>
      <c r="E67" s="36">
        <f>Q67</f>
        <v>21660</v>
      </c>
      <c r="F67" s="36">
        <f>R67</f>
        <v>21660</v>
      </c>
      <c r="G67" s="36">
        <f>S67</f>
        <v>21660</v>
      </c>
      <c r="H67" s="36">
        <f>T67</f>
        <v>21660</v>
      </c>
      <c r="I67" s="36">
        <f>U67</f>
        <v>21660</v>
      </c>
      <c r="J67" s="36">
        <f>V67</f>
        <v>21660</v>
      </c>
      <c r="K67" s="36">
        <f>W67</f>
        <v>21660</v>
      </c>
      <c r="L67" s="36">
        <f>X67</f>
        <v>21660</v>
      </c>
      <c r="M67" s="36">
        <f>Y67</f>
        <v>21660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21660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21660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21660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21660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21660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21660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21660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21660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21660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21660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21660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21660</v>
      </c>
      <c r="Z67" s="46">
        <f>SUMIF($B$13:$Y$13,"Yes",B67:Y67)</f>
        <v>259920</v>
      </c>
      <c r="AA67" s="46">
        <f>SUM(B67:M67)</f>
        <v>259920</v>
      </c>
      <c r="AB67" s="46">
        <f>SUM(B67:Y67)</f>
        <v>519840</v>
      </c>
    </row>
    <row r="68" spans="1:30" hidden="true" outlineLevel="1">
      <c r="A68" s="181" t="str">
        <f>Calculations!$A$5</f>
        <v>Tomatoes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5322.916666666667</v>
      </c>
      <c r="C74" s="46">
        <f>SUM(Calculations!$Q$14:$Q$16)/12</f>
        <v>5322.916666666667</v>
      </c>
      <c r="D74" s="46">
        <f>SUM(Calculations!$Q$14:$Q$16)/12</f>
        <v>5322.916666666667</v>
      </c>
      <c r="E74" s="46">
        <f>SUM(Calculations!$Q$14:$Q$16)/12</f>
        <v>5322.916666666667</v>
      </c>
      <c r="F74" s="46">
        <f>SUM(Calculations!$Q$14:$Q$16)/12</f>
        <v>5322.916666666667</v>
      </c>
      <c r="G74" s="46">
        <f>SUM(Calculations!$Q$14:$Q$16)/12</f>
        <v>5322.916666666667</v>
      </c>
      <c r="H74" s="46">
        <f>SUM(Calculations!$Q$14:$Q$16)/12</f>
        <v>5322.916666666667</v>
      </c>
      <c r="I74" s="46">
        <f>SUM(Calculations!$Q$14:$Q$16)/12</f>
        <v>5322.916666666667</v>
      </c>
      <c r="J74" s="46">
        <f>SUM(Calculations!$Q$14:$Q$16)/12</f>
        <v>5322.916666666667</v>
      </c>
      <c r="K74" s="46">
        <f>SUM(Calculations!$Q$14:$Q$16)/12</f>
        <v>5322.916666666667</v>
      </c>
      <c r="L74" s="46">
        <f>SUM(Calculations!$Q$14:$Q$16)/12</f>
        <v>5322.916666666667</v>
      </c>
      <c r="M74" s="46">
        <f>SUM(Calculations!$Q$14:$Q$16)/12</f>
        <v>5322.916666666667</v>
      </c>
      <c r="N74" s="46">
        <f>SUM(Calculations!$Q$14:$Q$16)/12</f>
        <v>5322.916666666667</v>
      </c>
      <c r="O74" s="46">
        <f>SUM(Calculations!$Q$14:$Q$16)/12</f>
        <v>5322.916666666667</v>
      </c>
      <c r="P74" s="46">
        <f>SUM(Calculations!$Q$14:$Q$16)/12</f>
        <v>5322.916666666667</v>
      </c>
      <c r="Q74" s="46">
        <f>SUM(Calculations!$Q$14:$Q$16)/12</f>
        <v>5322.916666666667</v>
      </c>
      <c r="R74" s="46">
        <f>SUM(Calculations!$Q$14:$Q$16)/12</f>
        <v>5322.916666666667</v>
      </c>
      <c r="S74" s="46">
        <f>SUM(Calculations!$Q$14:$Q$16)/12</f>
        <v>5322.916666666667</v>
      </c>
      <c r="T74" s="46">
        <f>SUM(Calculations!$Q$14:$Q$16)/12</f>
        <v>5322.916666666667</v>
      </c>
      <c r="U74" s="46">
        <f>SUM(Calculations!$Q$14:$Q$16)/12</f>
        <v>5322.916666666667</v>
      </c>
      <c r="V74" s="46">
        <f>SUM(Calculations!$Q$14:$Q$16)/12</f>
        <v>5322.916666666667</v>
      </c>
      <c r="W74" s="46">
        <f>SUM(Calculations!$Q$14:$Q$16)/12</f>
        <v>5322.916666666667</v>
      </c>
      <c r="X74" s="46">
        <f>SUM(Calculations!$Q$14:$Q$16)/12</f>
        <v>5322.916666666667</v>
      </c>
      <c r="Y74" s="46">
        <f>SUM(Calculations!$Q$14:$Q$16)/12</f>
        <v>5322.916666666667</v>
      </c>
      <c r="Z74" s="46">
        <f>SUMIF($B$13:$Y$13,"Yes",B74:Y74)</f>
        <v>63874.99999999999</v>
      </c>
      <c r="AA74" s="46">
        <f>SUM(B74:M74)</f>
        <v>63874.99999999999</v>
      </c>
      <c r="AB74" s="46">
        <f>SUM(B74:Y74)</f>
        <v>127750</v>
      </c>
    </row>
    <row r="75" spans="1:30">
      <c r="A75" s="16" t="s">
        <v>47</v>
      </c>
      <c r="B75" s="46">
        <f>SUM(Calculations!$R$14:$R$16)/12</f>
        <v>386.6666666666667</v>
      </c>
      <c r="C75" s="46">
        <f>SUM(Calculations!$R$14:$R$16)/12</f>
        <v>386.6666666666667</v>
      </c>
      <c r="D75" s="46">
        <f>SUM(Calculations!$R$14:$R$16)/12</f>
        <v>386.6666666666667</v>
      </c>
      <c r="E75" s="46">
        <f>SUM(Calculations!$R$14:$R$16)/12</f>
        <v>386.6666666666667</v>
      </c>
      <c r="F75" s="46">
        <f>SUM(Calculations!$R$14:$R$16)/12</f>
        <v>386.6666666666667</v>
      </c>
      <c r="G75" s="46">
        <f>SUM(Calculations!$R$14:$R$16)/12</f>
        <v>386.6666666666667</v>
      </c>
      <c r="H75" s="46">
        <f>SUM(Calculations!$R$14:$R$16)/12</f>
        <v>386.6666666666667</v>
      </c>
      <c r="I75" s="46">
        <f>SUM(Calculations!$R$14:$R$16)/12</f>
        <v>386.6666666666667</v>
      </c>
      <c r="J75" s="46">
        <f>SUM(Calculations!$R$14:$R$16)/12</f>
        <v>386.6666666666667</v>
      </c>
      <c r="K75" s="46">
        <f>SUM(Calculations!$R$14:$R$16)/12</f>
        <v>386.6666666666667</v>
      </c>
      <c r="L75" s="46">
        <f>SUM(Calculations!$R$14:$R$16)/12</f>
        <v>386.6666666666667</v>
      </c>
      <c r="M75" s="46">
        <f>SUM(Calculations!$R$14:$R$16)/12</f>
        <v>386.6666666666667</v>
      </c>
      <c r="N75" s="46">
        <f>SUM(Calculations!$R$14:$R$16)/12</f>
        <v>386.6666666666667</v>
      </c>
      <c r="O75" s="46">
        <f>SUM(Calculations!$R$14:$R$16)/12</f>
        <v>386.6666666666667</v>
      </c>
      <c r="P75" s="46">
        <f>SUM(Calculations!$R$14:$R$16)/12</f>
        <v>386.6666666666667</v>
      </c>
      <c r="Q75" s="46">
        <f>SUM(Calculations!$R$14:$R$16)/12</f>
        <v>386.6666666666667</v>
      </c>
      <c r="R75" s="46">
        <f>SUM(Calculations!$R$14:$R$16)/12</f>
        <v>386.6666666666667</v>
      </c>
      <c r="S75" s="46">
        <f>SUM(Calculations!$R$14:$R$16)/12</f>
        <v>386.6666666666667</v>
      </c>
      <c r="T75" s="46">
        <f>SUM(Calculations!$R$14:$R$16)/12</f>
        <v>386.6666666666667</v>
      </c>
      <c r="U75" s="46">
        <f>SUM(Calculations!$R$14:$R$16)/12</f>
        <v>386.6666666666667</v>
      </c>
      <c r="V75" s="46">
        <f>SUM(Calculations!$R$14:$R$16)/12</f>
        <v>386.6666666666667</v>
      </c>
      <c r="W75" s="46">
        <f>SUM(Calculations!$R$14:$R$16)/12</f>
        <v>386.6666666666667</v>
      </c>
      <c r="X75" s="46">
        <f>SUM(Calculations!$R$14:$R$16)/12</f>
        <v>386.6666666666667</v>
      </c>
      <c r="Y75" s="46">
        <f>SUM(Calculations!$R$14:$R$16)/12</f>
        <v>386.6666666666667</v>
      </c>
      <c r="Z75" s="46">
        <f>SUMIF($B$13:$Y$13,"Yes",B75:Y75)</f>
        <v>4640</v>
      </c>
      <c r="AA75" s="46">
        <f>SUM(B75:M75)</f>
        <v>4640</v>
      </c>
      <c r="AB75" s="46">
        <f>SUM(B75:Y75)</f>
        <v>9280.000000000002</v>
      </c>
    </row>
    <row r="76" spans="1:30">
      <c r="A76" s="16" t="s">
        <v>48</v>
      </c>
      <c r="B76" s="46">
        <f>SUM(Calculations!$S$14:$S$16)/12</f>
        <v>2428.806390977443</v>
      </c>
      <c r="C76" s="46">
        <f>SUM(Calculations!$S$14:$S$16)/12</f>
        <v>2428.806390977443</v>
      </c>
      <c r="D76" s="46">
        <f>SUM(Calculations!$S$14:$S$16)/12</f>
        <v>2428.806390977443</v>
      </c>
      <c r="E76" s="46">
        <f>SUM(Calculations!$S$14:$S$16)/12</f>
        <v>2428.806390977443</v>
      </c>
      <c r="F76" s="46">
        <f>SUM(Calculations!$S$14:$S$16)/12</f>
        <v>2428.806390977443</v>
      </c>
      <c r="G76" s="46">
        <f>SUM(Calculations!$S$14:$S$16)/12</f>
        <v>2428.806390977443</v>
      </c>
      <c r="H76" s="46">
        <f>SUM(Calculations!$S$14:$S$16)/12</f>
        <v>2428.806390977443</v>
      </c>
      <c r="I76" s="46">
        <f>SUM(Calculations!$S$14:$S$16)/12</f>
        <v>2428.806390977443</v>
      </c>
      <c r="J76" s="46">
        <f>SUM(Calculations!$S$14:$S$16)/12</f>
        <v>2428.806390977443</v>
      </c>
      <c r="K76" s="46">
        <f>SUM(Calculations!$S$14:$S$16)/12</f>
        <v>2428.806390977443</v>
      </c>
      <c r="L76" s="46">
        <f>SUM(Calculations!$S$14:$S$16)/12</f>
        <v>2428.806390977443</v>
      </c>
      <c r="M76" s="46">
        <f>SUM(Calculations!$S$14:$S$16)/12</f>
        <v>2428.806390977443</v>
      </c>
      <c r="N76" s="46">
        <f>SUM(Calculations!$S$14:$S$16)/12</f>
        <v>2428.806390977443</v>
      </c>
      <c r="O76" s="46">
        <f>SUM(Calculations!$S$14:$S$16)/12</f>
        <v>2428.806390977443</v>
      </c>
      <c r="P76" s="46">
        <f>SUM(Calculations!$S$14:$S$16)/12</f>
        <v>2428.806390977443</v>
      </c>
      <c r="Q76" s="46">
        <f>SUM(Calculations!$S$14:$S$16)/12</f>
        <v>2428.806390977443</v>
      </c>
      <c r="R76" s="46">
        <f>SUM(Calculations!$S$14:$S$16)/12</f>
        <v>2428.806390977443</v>
      </c>
      <c r="S76" s="46">
        <f>SUM(Calculations!$S$14:$S$16)/12</f>
        <v>2428.806390977443</v>
      </c>
      <c r="T76" s="46">
        <f>SUM(Calculations!$S$14:$S$16)/12</f>
        <v>2428.806390977443</v>
      </c>
      <c r="U76" s="46">
        <f>SUM(Calculations!$S$14:$S$16)/12</f>
        <v>2428.806390977443</v>
      </c>
      <c r="V76" s="46">
        <f>SUM(Calculations!$S$14:$S$16)/12</f>
        <v>2428.806390977443</v>
      </c>
      <c r="W76" s="46">
        <f>SUM(Calculations!$S$14:$S$16)/12</f>
        <v>2428.806390977443</v>
      </c>
      <c r="X76" s="46">
        <f>SUM(Calculations!$S$14:$S$16)/12</f>
        <v>2428.806390977443</v>
      </c>
      <c r="Y76" s="46">
        <f>SUM(Calculations!$S$14:$S$16)/12</f>
        <v>2428.806390977443</v>
      </c>
      <c r="Z76" s="46">
        <f>SUMIF($B$13:$Y$13,"Yes",B76:Y76)</f>
        <v>29145.67669172932</v>
      </c>
      <c r="AA76" s="46">
        <f>SUM(B76:M76)</f>
        <v>29145.67669172932</v>
      </c>
      <c r="AB76" s="46">
        <f>SUM(B76:Y76)</f>
        <v>58291.35338345863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970.7099092826985</v>
      </c>
      <c r="C81" s="46">
        <f>(SUM($AA$18:$AA$29)-SUM($AA$36,$AA$42,$AA$48,$AA$54,$AA$60,$AA$66,$AA$72:$AA$79))*Parameters!$B$37/12</f>
        <v>970.7099092826985</v>
      </c>
      <c r="D81" s="46">
        <f>(SUM($AA$18:$AA$29)-SUM($AA$36,$AA$42,$AA$48,$AA$54,$AA$60,$AA$66,$AA$72:$AA$79))*Parameters!$B$37/12</f>
        <v>970.7099092826985</v>
      </c>
      <c r="E81" s="46">
        <f>(SUM($AA$18:$AA$29)-SUM($AA$36,$AA$42,$AA$48,$AA$54,$AA$60,$AA$66,$AA$72:$AA$79))*Parameters!$B$37/12</f>
        <v>970.7099092826985</v>
      </c>
      <c r="F81" s="46">
        <f>(SUM($AA$18:$AA$29)-SUM($AA$36,$AA$42,$AA$48,$AA$54,$AA$60,$AA$66,$AA$72:$AA$79))*Parameters!$B$37/12</f>
        <v>970.7099092826985</v>
      </c>
      <c r="G81" s="46">
        <f>(SUM($AA$18:$AA$29)-SUM($AA$36,$AA$42,$AA$48,$AA$54,$AA$60,$AA$66,$AA$72:$AA$79))*Parameters!$B$37/12</f>
        <v>970.7099092826985</v>
      </c>
      <c r="H81" s="46">
        <f>(SUM($AA$18:$AA$29)-SUM($AA$36,$AA$42,$AA$48,$AA$54,$AA$60,$AA$66,$AA$72:$AA$79))*Parameters!$B$37/12</f>
        <v>970.7099092826985</v>
      </c>
      <c r="I81" s="46">
        <f>(SUM($AA$18:$AA$29)-SUM($AA$36,$AA$42,$AA$48,$AA$54,$AA$60,$AA$66,$AA$72:$AA$79))*Parameters!$B$37/12</f>
        <v>970.7099092826985</v>
      </c>
      <c r="J81" s="46">
        <f>(SUM($AA$18:$AA$29)-SUM($AA$36,$AA$42,$AA$48,$AA$54,$AA$60,$AA$66,$AA$72:$AA$79))*Parameters!$B$37/12</f>
        <v>970.7099092826985</v>
      </c>
      <c r="K81" s="46">
        <f>(SUM($AA$18:$AA$29)-SUM($AA$36,$AA$42,$AA$48,$AA$54,$AA$60,$AA$66,$AA$72:$AA$79))*Parameters!$B$37/12</f>
        <v>970.7099092826985</v>
      </c>
      <c r="L81" s="46">
        <f>(SUM($AA$18:$AA$29)-SUM($AA$36,$AA$42,$AA$48,$AA$54,$AA$60,$AA$66,$AA$72:$AA$79))*Parameters!$B$37/12</f>
        <v>970.7099092826985</v>
      </c>
      <c r="M81" s="46">
        <f>(SUM($AA$18:$AA$29)-SUM($AA$36,$AA$42,$AA$48,$AA$54,$AA$60,$AA$66,$AA$72:$AA$79))*Parameters!$B$37/12</f>
        <v>970.7099092826985</v>
      </c>
      <c r="N81" s="46">
        <f>(SUM($AA$18:$AA$29)-SUM($AA$36,$AA$42,$AA$48,$AA$54,$AA$60,$AA$66,$AA$72:$AA$79))*Parameters!$B$37/12</f>
        <v>970.7099092826985</v>
      </c>
      <c r="O81" s="46">
        <f>(SUM($AA$18:$AA$29)-SUM($AA$36,$AA$42,$AA$48,$AA$54,$AA$60,$AA$66,$AA$72:$AA$79))*Parameters!$B$37/12</f>
        <v>970.7099092826985</v>
      </c>
      <c r="P81" s="46">
        <f>(SUM($AA$18:$AA$29)-SUM($AA$36,$AA$42,$AA$48,$AA$54,$AA$60,$AA$66,$AA$72:$AA$79))*Parameters!$B$37/12</f>
        <v>970.7099092826985</v>
      </c>
      <c r="Q81" s="46">
        <f>(SUM($AA$18:$AA$29)-SUM($AA$36,$AA$42,$AA$48,$AA$54,$AA$60,$AA$66,$AA$72:$AA$79))*Parameters!$B$37/12</f>
        <v>970.7099092826985</v>
      </c>
      <c r="R81" s="46">
        <f>(SUM($AA$18:$AA$29)-SUM($AA$36,$AA$42,$AA$48,$AA$54,$AA$60,$AA$66,$AA$72:$AA$79))*Parameters!$B$37/12</f>
        <v>970.7099092826985</v>
      </c>
      <c r="S81" s="46">
        <f>(SUM($AA$18:$AA$29)-SUM($AA$36,$AA$42,$AA$48,$AA$54,$AA$60,$AA$66,$AA$72:$AA$79))*Parameters!$B$37/12</f>
        <v>970.7099092826985</v>
      </c>
      <c r="T81" s="46">
        <f>(SUM($AA$18:$AA$29)-SUM($AA$36,$AA$42,$AA$48,$AA$54,$AA$60,$AA$66,$AA$72:$AA$79))*Parameters!$B$37/12</f>
        <v>970.7099092826985</v>
      </c>
      <c r="U81" s="46">
        <f>(SUM($AA$18:$AA$29)-SUM($AA$36,$AA$42,$AA$48,$AA$54,$AA$60,$AA$66,$AA$72:$AA$79))*Parameters!$B$37/12</f>
        <v>970.7099092826985</v>
      </c>
      <c r="V81" s="46">
        <f>(SUM($AA$18:$AA$29)-SUM($AA$36,$AA$42,$AA$48,$AA$54,$AA$60,$AA$66,$AA$72:$AA$79))*Parameters!$B$37/12</f>
        <v>970.7099092826985</v>
      </c>
      <c r="W81" s="46">
        <f>(SUM($AA$18:$AA$29)-SUM($AA$36,$AA$42,$AA$48,$AA$54,$AA$60,$AA$66,$AA$72:$AA$79))*Parameters!$B$37/12</f>
        <v>970.7099092826985</v>
      </c>
      <c r="X81" s="46">
        <f>(SUM($AA$18:$AA$29)-SUM($AA$36,$AA$42,$AA$48,$AA$54,$AA$60,$AA$66,$AA$72:$AA$79))*Parameters!$B$37/12</f>
        <v>970.7099092826985</v>
      </c>
      <c r="Y81" s="46">
        <f>(SUM($AA$18:$AA$29)-SUM($AA$36,$AA$42,$AA$48,$AA$54,$AA$60,$AA$66,$AA$72:$AA$79))*Parameters!$B$37/12</f>
        <v>970.7099092826985</v>
      </c>
      <c r="Z81" s="46">
        <f>SUMIF($B$13:$Y$13,"Yes",B81:Y81)</f>
        <v>11648.51891139238</v>
      </c>
      <c r="AA81" s="46">
        <f>SUM(B81:M81)</f>
        <v>11648.51891139238</v>
      </c>
      <c r="AB81" s="46">
        <f>SUM(B81:Y81)</f>
        <v>23297.03782278476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30769.09963359348</v>
      </c>
      <c r="C88" s="19">
        <f>SUM(C72:C82,C66,C60,C54,C48,C42,C36)</f>
        <v>30769.09963359348</v>
      </c>
      <c r="D88" s="19">
        <f>SUM(D72:D82,D66,D60,D54,D48,D42,D36)</f>
        <v>30769.09963359348</v>
      </c>
      <c r="E88" s="19">
        <f>SUM(E72:E82,E66,E60,E54,E48,E42,E36)</f>
        <v>30769.09963359348</v>
      </c>
      <c r="F88" s="19">
        <f>SUM(F72:F82,F66,F60,F54,F48,F42,F36)</f>
        <v>30769.09963359348</v>
      </c>
      <c r="G88" s="19">
        <f>SUM(G72:G82,G66,G60,G54,G48,G42,G36)</f>
        <v>30769.09963359348</v>
      </c>
      <c r="H88" s="19">
        <f>SUM(H72:H82,H66,H60,H54,H48,H42,H36)</f>
        <v>30769.09963359348</v>
      </c>
      <c r="I88" s="19">
        <f>SUM(I72:I82,I66,I60,I54,I48,I42,I36)</f>
        <v>30769.09963359348</v>
      </c>
      <c r="J88" s="19">
        <f>SUM(J72:J82,J66,J60,J54,J48,J42,J36)</f>
        <v>30769.09963359348</v>
      </c>
      <c r="K88" s="19">
        <f>SUM(K72:K82,K66,K60,K54,K48,K42,K36)</f>
        <v>30769.09963359348</v>
      </c>
      <c r="L88" s="19">
        <f>SUM(L72:L82,L66,L60,L54,L48,L42,L36)</f>
        <v>30769.09963359348</v>
      </c>
      <c r="M88" s="19">
        <f>SUM(M72:M82,M66,M60,M54,M48,M42,M36)</f>
        <v>30769.09963359348</v>
      </c>
      <c r="N88" s="19">
        <f>SUM(N72:N82,N66,N60,N54,N48,N42,N36)</f>
        <v>30769.09963359348</v>
      </c>
      <c r="O88" s="19">
        <f>SUM(O72:O82,O66,O60,O54,O48,O42,O36)</f>
        <v>30769.09963359348</v>
      </c>
      <c r="P88" s="19">
        <f>SUM(P72:P82,P66,P60,P54,P48,P42,P36)</f>
        <v>30769.09963359348</v>
      </c>
      <c r="Q88" s="19">
        <f>SUM(Q72:Q82,Q66,Q60,Q54,Q48,Q42,Q36)</f>
        <v>30769.09963359348</v>
      </c>
      <c r="R88" s="19">
        <f>SUM(R72:R82,R66,R60,R54,R48,R42,R36)</f>
        <v>30769.09963359348</v>
      </c>
      <c r="S88" s="19">
        <f>SUM(S72:S82,S66,S60,S54,S48,S42,S36)</f>
        <v>30769.09963359348</v>
      </c>
      <c r="T88" s="19">
        <f>SUM(T72:T82,T66,T60,T54,T48,T42,T36)</f>
        <v>30769.09963359348</v>
      </c>
      <c r="U88" s="19">
        <f>SUM(U72:U82,U66,U60,U54,U48,U42,U36)</f>
        <v>30769.09963359348</v>
      </c>
      <c r="V88" s="19">
        <f>SUM(V72:V82,V66,V60,V54,V48,V42,V36)</f>
        <v>30769.09963359348</v>
      </c>
      <c r="W88" s="19">
        <f>SUM(W72:W82,W66,W60,W54,W48,W42,W36)</f>
        <v>30769.09963359348</v>
      </c>
      <c r="X88" s="19">
        <f>SUM(X72:X82,X66,X60,X54,X48,X42,X36)</f>
        <v>30769.09963359348</v>
      </c>
      <c r="Y88" s="19">
        <f>SUM(Y72:Y82,Y66,Y60,Y54,Y48,Y42,Y36)</f>
        <v>30769.09963359348</v>
      </c>
      <c r="Z88" s="19">
        <f>SUMIF($B$13:$Y$13,"Yes",B88:Y88)</f>
        <v>369229.1956031216</v>
      </c>
      <c r="AA88" s="19">
        <f>SUM(B88:M88)</f>
        <v>369229.1956031216</v>
      </c>
      <c r="AB88" s="19">
        <f>SUM(B88:Y88)</f>
        <v>738458.3912062432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25000</v>
      </c>
    </row>
    <row r="96" spans="1:30">
      <c r="A96" t="s">
        <v>62</v>
      </c>
      <c r="B96" s="36">
        <f>SUMPRODUCT(Inputs!C19:C21,Calculations!O14:O16)</f>
        <v>233750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855000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3328750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0</v>
      </c>
      <c r="D8" s="16"/>
      <c r="E8" s="147" t="s">
        <v>95</v>
      </c>
      <c r="F8" s="149" t="s">
        <v>93</v>
      </c>
      <c r="G8" s="147"/>
      <c r="H8" s="147" t="s">
        <v>93</v>
      </c>
      <c r="I8" s="147" t="s">
        <v>93</v>
      </c>
      <c r="J8" s="148" t="s">
        <v>96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75</v>
      </c>
      <c r="D19" s="145">
        <v>25</v>
      </c>
      <c r="E19" s="20"/>
      <c r="F19" s="145" t="s">
        <v>93</v>
      </c>
      <c r="G19" s="20"/>
      <c r="H19" s="20"/>
      <c r="I19" s="145" t="s">
        <v>111</v>
      </c>
      <c r="J19" s="145">
        <v>0</v>
      </c>
      <c r="K19" s="145">
        <v>0</v>
      </c>
      <c r="L19" s="25">
        <v>0</v>
      </c>
    </row>
    <row r="20" spans="1:48">
      <c r="A20" s="143" t="s">
        <v>112</v>
      </c>
      <c r="B20" s="16"/>
      <c r="C20" s="143">
        <v>4</v>
      </c>
      <c r="D20" s="147">
        <v>4</v>
      </c>
      <c r="E20" s="16"/>
      <c r="F20" s="147" t="s">
        <v>93</v>
      </c>
      <c r="G20" s="16"/>
      <c r="H20" s="16"/>
      <c r="I20" s="147" t="s">
        <v>113</v>
      </c>
      <c r="J20" s="147">
        <v>0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5</v>
      </c>
    </row>
    <row r="27" spans="1:48">
      <c r="A27" s="14" t="s">
        <v>116</v>
      </c>
    </row>
    <row r="29" spans="1:48">
      <c r="A29" s="45" t="s">
        <v>117</v>
      </c>
      <c r="B29" s="156"/>
    </row>
    <row r="30" spans="1:48">
      <c r="A30" s="44" t="s">
        <v>118</v>
      </c>
      <c r="B30" s="157">
        <v>0</v>
      </c>
    </row>
    <row r="31" spans="1:48">
      <c r="A31" s="5" t="s">
        <v>119</v>
      </c>
      <c r="B31" s="158">
        <v>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500000</v>
      </c>
    </row>
    <row r="46" spans="1:48" customHeight="1" ht="30">
      <c r="A46" s="57" t="s">
        <v>133</v>
      </c>
      <c r="B46" s="161">
        <v>150000</v>
      </c>
    </row>
    <row r="47" spans="1:48" customHeight="1" ht="30">
      <c r="A47" s="57" t="s">
        <v>134</v>
      </c>
      <c r="B47" s="161">
        <v>25000</v>
      </c>
    </row>
    <row r="48" spans="1:48" customHeight="1" ht="30">
      <c r="A48" s="57" t="s">
        <v>135</v>
      </c>
      <c r="B48" s="161">
        <v>1500000</v>
      </c>
    </row>
    <row r="49" spans="1:48" customHeight="1" ht="30">
      <c r="A49" s="57" t="s">
        <v>136</v>
      </c>
      <c r="B49" s="161">
        <v>65000</v>
      </c>
    </row>
    <row r="50" spans="1:48">
      <c r="A50" s="43"/>
      <c r="B50" s="36"/>
    </row>
    <row r="51" spans="1:48">
      <c r="A51" s="58" t="s">
        <v>137</v>
      </c>
      <c r="B51" s="161">
        <v>5000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146</v>
      </c>
      <c r="C65" s="10" t="s">
        <v>147</v>
      </c>
    </row>
    <row r="66" spans="1:48">
      <c r="A66" s="142" t="s">
        <v>148</v>
      </c>
      <c r="B66" s="159">
        <v>65662</v>
      </c>
      <c r="C66" s="163">
        <v>54258</v>
      </c>
      <c r="D66" s="49">
        <f>INDEX(Parameters!$D$79:$D$90,MATCH(Inputs!A66,Parameters!$C$79:$C$90,0))</f>
        <v>7</v>
      </c>
    </row>
    <row r="67" spans="1:48">
      <c r="A67" s="143" t="s">
        <v>149</v>
      </c>
      <c r="B67" s="157">
        <v>155444</v>
      </c>
      <c r="C67" s="165">
        <v>135248</v>
      </c>
      <c r="D67" s="49">
        <f>INDEX(Parameters!$D$79:$D$90,MATCH(Inputs!A67,Parameters!$C$79:$C$90,0))</f>
        <v>8</v>
      </c>
    </row>
    <row r="68" spans="1:48">
      <c r="A68" s="143" t="s">
        <v>150</v>
      </c>
      <c r="B68" s="157">
        <v>155472</v>
      </c>
      <c r="C68" s="165">
        <v>165255</v>
      </c>
      <c r="D68" s="49">
        <f>INDEX(Parameters!$D$79:$D$90,MATCH(Inputs!A68,Parameters!$C$79:$C$90,0))</f>
        <v>9</v>
      </c>
    </row>
    <row r="69" spans="1:48">
      <c r="A69" s="143" t="s">
        <v>151</v>
      </c>
      <c r="B69" s="157">
        <v>80822</v>
      </c>
      <c r="C69" s="165">
        <v>75225</v>
      </c>
      <c r="D69" s="49">
        <f>INDEX(Parameters!$D$79:$D$90,MATCH(Inputs!A69,Parameters!$C$79:$C$90,0))</f>
        <v>10</v>
      </c>
    </row>
    <row r="70" spans="1:48">
      <c r="A70" s="143" t="s">
        <v>152</v>
      </c>
      <c r="B70" s="157">
        <v>135008</v>
      </c>
      <c r="C70" s="165">
        <v>124500</v>
      </c>
      <c r="D70" s="49">
        <f>INDEX(Parameters!$D$79:$D$90,MATCH(Inputs!A70,Parameters!$C$79:$C$90,0))</f>
        <v>11</v>
      </c>
    </row>
    <row r="71" spans="1:48">
      <c r="A71" s="144" t="s">
        <v>153</v>
      </c>
      <c r="B71" s="158">
        <v>65000</v>
      </c>
      <c r="C71" s="167">
        <v>20000</v>
      </c>
      <c r="D71" s="49">
        <f>INDEX(Parameters!$D$79:$D$90,MATCH(Inputs!A71,Parameters!$C$79:$C$90,0))</f>
        <v>12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12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100000</v>
      </c>
    </row>
    <row r="82" spans="1:48">
      <c r="A82" t="s">
        <v>163</v>
      </c>
      <c r="B82" s="161">
        <v>18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>
        <v>5</v>
      </c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 t="str">
        <f>Inputs!A7</f>
        <v>Beans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1790.802205741412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24.5</v>
      </c>
      <c r="P4" s="22">
        <f>IFERROR(INDEX(Parameters!$A$3:$V$17,MATCH(Calculations!$A4,Parameters!$A$3:$A$17,0),MATCH($P$3,Parameters!$A$3:$V$3,0)),0)</f>
        <v>0.1</v>
      </c>
      <c r="Q4" s="33">
        <f>M4*O4*(1-N4)*MAX(S4,1)</f>
        <v>83361.84267726271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7500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57000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42767</v>
      </c>
      <c r="C5" s="39">
        <f>IFERROR(DATE(YEAR(B5),MONTH(B5)+ROUND(T5/2,0),DAY(B5)),B5)</f>
        <v>42826</v>
      </c>
      <c r="D5" s="39">
        <f>IFERROR(DATE(YEAR(B5),MONTH(B5)+T5,DAY(B5)),"")</f>
        <v>42856</v>
      </c>
      <c r="E5" s="39">
        <f>IFERROR(IF($S5=0,"",IF($S5=2,DATE(YEAR(B5),MONTH(B5)+6,DAY(B5)),IF($S5=1,B5,""))),"")</f>
        <v>42948</v>
      </c>
      <c r="F5" s="39">
        <f>IFERROR(IF($S5=0,"",IF($S5=2,DATE(YEAR(C5),MONTH(C5)+6,DAY(C5)),IF($S5=1,C5,""))),"")</f>
        <v>43009</v>
      </c>
      <c r="G5" s="39">
        <f>IFERROR(IF($S5=0,"",IF($S5=2,DATE(YEAR(D5),MONTH(D5)+6,DAY(D5)),IF($S5=1,D5,""))),"")</f>
        <v>43040</v>
      </c>
      <c r="H5" s="16">
        <f>Inputs!C8</f>
        <v>0</v>
      </c>
      <c r="I5" s="138" t="str">
        <f>IFERROR(VLOOKUP(Inputs!E8,Parameters!$J$77:$K$81,2,0),"")</f>
        <v>No</v>
      </c>
      <c r="J5" s="27" t="str">
        <f>IFERROR(Inputs!G8/Calculations!H5,"")</f>
        <v/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289.8945313359586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35</v>
      </c>
      <c r="P5" s="22">
        <f>IFERROR(INDEX(Parameters!$A$3:$V$17,MATCH(Calculations!$A5,Parameters!$A$3:$A$17,0),MATCH($P$3,Parameters!$A$3:$V$3,0)),0)</f>
        <v>0</v>
      </c>
      <c r="Q5" s="34">
        <f>M5*O5*(1-N5)*MAX(S5,1)</f>
        <v>0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IF($D5="",1/12,IFERROR(INDEX(Parameters!$X$2:$AI$17,MATCH(Calculations!$A5,Parameters!$A$2:$A$17,0),MATCH(MONTH(Calculations!AC$3),Parameters!$X$2:$AI$2,0)),1/12))</f>
        <v/>
      </c>
      <c r="AD5" s="22" t="str">
        <f>IF($D5="",1/12,IFERROR(INDEX(Parameters!$X$2:$AI$17,MATCH(Calculations!$A5,Parameters!$A$2:$A$17,0),MATCH(MONTH(Calculations!AD$3),Parameters!$X$2:$AI$2,0)),1/12))</f>
        <v/>
      </c>
      <c r="AE5" s="22" t="str">
        <f>IF($D5="",1/12,IFERROR(INDEX(Parameters!$X$2:$AI$17,MATCH(Calculations!$A5,Parameters!$A$2:$A$17,0),MATCH(MONTH(Calculations!AE$3),Parameters!$X$2:$AI$2,0)),1/12))</f>
        <v/>
      </c>
      <c r="AF5" s="22" t="str">
        <f>IF($D5="",1/12,IFERROR(INDEX(Parameters!$X$2:$AI$17,MATCH(Calculations!$A5,Parameters!$A$2:$A$17,0),MATCH(MONTH(Calculations!AF$3),Parameters!$X$2:$AI$2,0)),1/12))</f>
        <v/>
      </c>
      <c r="AG5" s="22" t="str">
        <f>IF($D5="",1/12,IFERROR(INDEX(Parameters!$X$2:$AI$17,MATCH(Calculations!$A5,Parameters!$A$2:$A$17,0),MATCH(MONTH(Calculations!AG$3),Parameters!$X$2:$AI$2,0)),1/12))</f>
        <v/>
      </c>
      <c r="AH5" s="22" t="str">
        <f>IF($D5="",1/12,IFERROR(INDEX(Parameters!$X$2:$AI$17,MATCH(Calculations!$A5,Parameters!$A$2:$A$17,0),MATCH(MONTH(Calculations!AH$3),Parameters!$X$2:$AI$2,0)),1/12))</f>
        <v/>
      </c>
      <c r="AI5" s="22" t="str">
        <f>IF($D5="",1/12,IFERROR(INDEX(Parameters!$X$2:$AI$17,MATCH(Calculations!$A5,Parameters!$A$2:$A$17,0),MATCH(MONTH(Calculations!AI$3),Parameters!$X$2:$AI$2,0)),1/12))</f>
        <v/>
      </c>
      <c r="AJ5" s="22" t="str">
        <f>IF($D5="",1/12,IFERROR(INDEX(Parameters!$X$2:$AI$17,MATCH(Calculations!$A5,Parameters!$A$2:$A$17,0),MATCH(MONTH(Calculations!AJ$3),Parameters!$X$2:$AI$2,0)),1/12))</f>
        <v/>
      </c>
      <c r="AK5" s="22" t="str">
        <f>IF($D5="",1/12,IFERROR(INDEX(Parameters!$X$2:$AI$17,MATCH(Calculations!$A5,Parameters!$A$2:$A$17,0),MATCH(MONTH(Calculations!AK$3),Parameters!$X$2:$AI$2,0)),1/12))</f>
        <v/>
      </c>
      <c r="AL5" s="22" t="str">
        <f>IF($D5="",1/12,IFERROR(INDEX(Parameters!$X$2:$AI$17,MATCH(Calculations!$A5,Parameters!$A$2:$A$17,0),MATCH(MONTH(Calculations!AL$3),Parameters!$X$2:$AI$2,0)),1/12))</f>
        <v/>
      </c>
      <c r="AM5" s="22" t="str">
        <f>IF($D5="",1/12,IFERROR(INDEX(Parameters!$X$2:$AI$17,MATCH(Calculations!$A5,Parameters!$A$2:$A$17,0),MATCH(MONTH(Calculations!AM$3),Parameters!$X$2:$AI$2,0)),1/12))</f>
        <v/>
      </c>
      <c r="AN5" s="22" t="str">
        <f>IF($D5="",1/12,IFERROR(INDEX(Parameters!$X$2:$AI$17,MATCH(Calculations!$A5,Parameters!$A$2:$A$17,0),MATCH(MONTH(Calculations!AN$3),Parameters!$X$2:$AI$2,0)),1/12))</f>
        <v/>
      </c>
      <c r="AO5" s="22" t="str">
        <f>IF($D5="",1/12,IFERROR(INDEX(Parameters!$X$2:$AI$17,MATCH(Calculations!$A5,Parameters!$A$2:$A$17,0),MATCH(MONTH(Calculations!AO$3),Parameters!$X$2:$AI$2,0)),1/12))</f>
        <v/>
      </c>
      <c r="AP5" s="22" t="str">
        <f>IF($D5="",1/12,IFERROR(INDEX(Parameters!$X$2:$AI$17,MATCH(Calculations!$A5,Parameters!$A$2:$A$17,0),MATCH(MONTH(Calculations!AP$3),Parameters!$X$2:$AI$2,0)),1/12))</f>
        <v/>
      </c>
      <c r="AQ5" s="22" t="str">
        <f>IF($D5="",1/12,IFERROR(INDEX(Parameters!$X$2:$AI$17,MATCH(Calculations!$A5,Parameters!$A$2:$A$17,0),MATCH(MONTH(Calculations!AQ$3),Parameters!$X$2:$AI$2,0)),1/12))</f>
        <v/>
      </c>
      <c r="AR5" s="22" t="str">
        <f>IF($D5="",1/12,IFERROR(INDEX(Parameters!$X$2:$AI$17,MATCH(Calculations!$A5,Parameters!$A$2:$A$17,0),MATCH(MONTH(Calculations!AR$3),Parameters!$X$2:$AI$2,0)),1/12))</f>
        <v/>
      </c>
      <c r="AS5" s="22" t="str">
        <f>IF($D5="",1/12,IFERROR(INDEX(Parameters!$X$2:$AI$17,MATCH(Calculations!$A5,Parameters!$A$2:$A$17,0),MATCH(MONTH(Calculations!AS$3),Parameters!$X$2:$AI$2,0)),1/12))</f>
        <v/>
      </c>
      <c r="AT5" s="22" t="str">
        <f>IF($D5="",1/12,IFERROR(INDEX(Parameters!$X$2:$AI$17,MATCH(Calculations!$A5,Parameters!$A$2:$A$17,0),MATCH(MONTH(Calculations!AT$3),Parameters!$X$2:$AI$2,0)),1/12))</f>
        <v/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98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75</v>
      </c>
      <c r="E14" s="16">
        <f>Inputs!D19</f>
        <v>25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38421.05263157895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640</v>
      </c>
      <c r="S14" s="63">
        <f>IFERROR(D14*INDEX(Parameters!$A$22:$P$29,MATCH(Calculations!$A14,Parameters!$A$22:$A$29,0),MATCH(Parameters!$N$22,Parameters!$A$22:$P$22,0)),"")</f>
        <v>5145.676691729323</v>
      </c>
    </row>
    <row r="15" spans="1:46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4</v>
      </c>
      <c r="E15" s="16">
        <f>Inputs!D20</f>
        <v>4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2.333333333333333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7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306600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4000</v>
      </c>
      <c r="S15" s="64">
        <f>IFERROR(D15*INDEX(Parameters!$A$22:$P$29,MATCH(Calculations!$A15,Parameters!$A$22:$A$29,0),MATCH(Parameters!$N$22,Parameters!$A$22:$P$22,0)),"")</f>
        <v>24000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75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43282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13125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139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Machakos</v>
      </c>
    </row>
    <row r="33" spans="1:46">
      <c r="A33">
        <v>1</v>
      </c>
      <c r="B33" s="128">
        <f>G34</f>
        <v>42761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42736</v>
      </c>
      <c r="F33" t="s">
        <v>159</v>
      </c>
      <c r="G33" s="128">
        <f>IF(Inputs!B79="","",DATE(YEAR(Inputs!B79),MONTH(Inputs!B79),DAY(Inputs!B79)))</f>
        <v>42751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42792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42767</v>
      </c>
      <c r="F34" t="s">
        <v>160</v>
      </c>
      <c r="G34" s="128">
        <f>IF(Inputs!B80="","",DATE(YEAR(Inputs!B80),MONTH(Inputs!B80),DAY(Inputs!B80)))</f>
        <v>42761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42820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42795</v>
      </c>
      <c r="F35" t="s">
        <v>162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42851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42826</v>
      </c>
      <c r="F36" t="s">
        <v>163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42881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42856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42912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42887</v>
      </c>
      <c r="F38" t="s">
        <v>225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42942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42917</v>
      </c>
      <c r="F39" t="s">
        <v>168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42973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42948</v>
      </c>
      <c r="F40" t="s">
        <v>169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43004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42979</v>
      </c>
      <c r="F41" t="s">
        <v>226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43034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43009</v>
      </c>
      <c r="F42" t="s">
        <v>227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43065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43095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200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110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112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110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112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311</v>
      </c>
      <c r="H52" s="12" t="s">
        <v>130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228</v>
      </c>
      <c r="E53" s="10" t="s">
        <v>187</v>
      </c>
      <c r="F53" s="10" t="s">
        <v>247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165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224</v>
      </c>
      <c r="J76" s="11" t="s">
        <v>345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93</v>
      </c>
      <c r="F77" s="12" t="s">
        <v>93</v>
      </c>
      <c r="G77" s="12" t="s">
        <v>347</v>
      </c>
      <c r="H77" s="12" t="s">
        <v>130</v>
      </c>
      <c r="I77" s="12" t="s">
        <v>348</v>
      </c>
      <c r="J77" s="136" t="s">
        <v>95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349</v>
      </c>
      <c r="D78" s="133"/>
      <c r="E78" s="12" t="s">
        <v>91</v>
      </c>
      <c r="F78" s="12" t="s">
        <v>350</v>
      </c>
      <c r="G78" s="12" t="s">
        <v>113</v>
      </c>
      <c r="H78" s="12" t="s">
        <v>312</v>
      </c>
      <c r="I78" s="12" t="s">
        <v>351</v>
      </c>
      <c r="J78" s="70" t="s">
        <v>352</v>
      </c>
      <c r="K78" s="12" t="s">
        <v>93</v>
      </c>
      <c r="AJ78" s="12"/>
    </row>
    <row r="79" spans="1:36">
      <c r="B79" s="176">
        <v>10</v>
      </c>
      <c r="C79" s="12" t="s">
        <v>353</v>
      </c>
      <c r="D79" s="12">
        <v>1</v>
      </c>
      <c r="E79" s="12" t="s">
        <v>354</v>
      </c>
      <c r="F79" s="12" t="s">
        <v>355</v>
      </c>
      <c r="G79" s="12" t="s">
        <v>111</v>
      </c>
      <c r="I79" s="12" t="s">
        <v>165</v>
      </c>
      <c r="J79" s="70" t="s">
        <v>356</v>
      </c>
      <c r="K79" s="12" t="s">
        <v>93</v>
      </c>
      <c r="AJ79" s="12"/>
    </row>
    <row r="80" spans="1:36">
      <c r="B80" s="176">
        <v>20</v>
      </c>
      <c r="C80" s="12" t="s">
        <v>96</v>
      </c>
      <c r="D80" s="12">
        <f>D79+1</f>
        <v>2</v>
      </c>
      <c r="E80" s="12" t="s">
        <v>357</v>
      </c>
      <c r="F80" s="12" t="s">
        <v>358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153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