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<sst xmlns="http://schemas.openxmlformats.org/spreadsheetml/2006/main" uniqueCount="366">
  <si>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</si>
  <si>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</si>
  <si>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</si>
  <si>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</si>
  <si>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</si>
  <si>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</si>
  <si>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</si>
  <si>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</si>
  <si>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</si>
  <si>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</si>
  <si>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</si>
  <si>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</si>
  <si>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</si>
  <si>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</si>
  <si>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</si>
  <si>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</si>
  <si>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</si>
  <si>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</si>
  <si>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</si>
  <si>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</si>
  <si>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</si>
  <si>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</si>
  <si>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</si>
  <si>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</si>
  <si>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</si>
  <si>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</si>
  <si>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</si>
  <si>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</si>
  <si>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</si>
  <si>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</si>
  <si>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</si>
  <si>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</si>
  <si>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</si>
  <si>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</si>
  <si>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</si>
  <si>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</si>
  <si>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</si>
  <si>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</si>
  <si>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</si>
  <si>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</si>
  <si>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</si>
  <si>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</si>
  <si>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</si>
  <si>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</si>
  <si>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</si>
  <si>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</si>
  <si>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</si>
  <si>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</si>
  <si>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</si>
  <si>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</si>
  <si>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</si>
  <si>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</si>
  <si>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</si>
  <si>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</si>
  <si>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</si>
  <si>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</si>
  <si>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</si>
  <si>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</si>
  <si>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</si>
  <si>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</si>
  <si>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</si>
  <si>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</si>
  <si>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</si>
  <si>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</si>
  <si>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</si>
  <si>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</si>
  <si>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</si>
  <si>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</si>
  <si>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</si>
  <si>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</si>
  <si>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</si>
  <si>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</si>
  <si>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</si>
  <si>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</si>
  <si>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</si>
  <si>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</si>
  <si>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</si>
  <si>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</si>
  <si>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</si>
  <si>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</si>
  <si>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</si>
  <si>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</si>
  <si>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</si>
  <si>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</si>
  <si>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</si>
  <si>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</si>
  <si>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</si>
  <si>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</si>
  <si>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</si>
  <si>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</si>
  <si>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</si>
  <si>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</si>
  <si>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</si>
  <si>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</si>
  <si>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</si>
  <si>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</si>
  <si>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</si>
  <si>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</si>
  <si>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</si>
  <si>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</si>
  <si>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</si>
  <si>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</si>
  <si>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</si>
  <si>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</si>
  <si>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</si>
  <si>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Sheep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</si>
  <si>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</si>
  <si>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</si>
  <si>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</si>
  <si>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</si>
  <si>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</si>
  <si>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</si>
  <si>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</si>
  <si>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</si>
  <si>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</si>
  <si>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</si>
  <si>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</si>
  <si>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</si>
  <si>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</si>
  <si>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</si>
  <si>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</si>
  <si>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</si>
  <si>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</si>
  <si>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</si>
  <si>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</si>
  <si>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</si>
  <si>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</si>
  <si>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</si>
  <si>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</si>
  <si>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</si>
  <si>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</si>
  <si>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</si>
  <si>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</si>
  <si>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</si>
  <si>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</si>
  <si>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</si>
  <si>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</si>
  <si>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</si>
  <si>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</si>
  <si>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</si>
  <si>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</si>
  <si>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</si>
  <si>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</si>
  <si>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</si>
  <si>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</si>
  <si>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</si>
  <si>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</si>
  <si>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</si>
  <si>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</si>
  <si>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</si>
  <si>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</si>
  <si>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2017/1/17</t>
  </si>
  <si>
    <t>Loan terms</t>
  </si>
  <si>
    <t>Expected disbursement date</t>
  </si>
  <si>
    <t>2017/1/20</t>
  </si>
  <si>
    <t>Expected first repayment date</t>
  </si>
  <si>
    <t>2017/2/23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</si>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</sst>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0.1783240050889539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0.06643030416122411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24694.44444444445</v>
      </c>
    </row>
    <row r="17" spans="1:7">
      <c r="B17" s="1" t="s">
        <v>11</v>
      </c>
      <c r="C17" s="36">
        <f>SUM(Output!B6:M6)</f>
        <v>1353255</v>
      </c>
    </row>
    <row r="18" spans="1:7">
      <c r="B18" s="1" t="s">
        <v>12</v>
      </c>
      <c r="C18" s="36">
        <f>MIN(Output!B6:M6)</f>
        <v>112771.25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112771.25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112771.25</v>
      </c>
      <c r="C6" s="51">
        <f>C30-C88</f>
        <v>112771.25</v>
      </c>
      <c r="D6" s="51">
        <f>D30-D88</f>
        <v>112771.25</v>
      </c>
      <c r="E6" s="51">
        <f>E30-E88</f>
        <v>112771.25</v>
      </c>
      <c r="F6" s="51">
        <f>F30-F88</f>
        <v>112771.25</v>
      </c>
      <c r="G6" s="51">
        <f>G30-G88</f>
        <v>112771.25</v>
      </c>
      <c r="H6" s="51">
        <f>H30-H88</f>
        <v>112771.25</v>
      </c>
      <c r="I6" s="51">
        <f>I30-I88</f>
        <v>112771.25</v>
      </c>
      <c r="J6" s="51">
        <f>J30-J88</f>
        <v>112771.25</v>
      </c>
      <c r="K6" s="51">
        <f>K30-K88</f>
        <v>112771.25</v>
      </c>
      <c r="L6" s="51">
        <f>L30-L88</f>
        <v>112771.25</v>
      </c>
      <c r="M6" s="51">
        <f>M30-M88</f>
        <v>112771.25</v>
      </c>
      <c r="N6" s="51">
        <f>N30-N88</f>
        <v>112771.25</v>
      </c>
      <c r="O6" s="51">
        <f>O30-O88</f>
        <v>112771.25</v>
      </c>
      <c r="P6" s="51">
        <f>P30-P88</f>
        <v>112771.25</v>
      </c>
      <c r="Q6" s="51">
        <f>Q30-Q88</f>
        <v>112771.25</v>
      </c>
      <c r="R6" s="51">
        <f>R30-R88</f>
        <v>112771.25</v>
      </c>
      <c r="S6" s="51">
        <f>S30-S88</f>
        <v>112771.25</v>
      </c>
      <c r="T6" s="51">
        <f>T30-T88</f>
        <v>112771.25</v>
      </c>
      <c r="U6" s="51">
        <f>U30-U88</f>
        <v>112771.25</v>
      </c>
      <c r="V6" s="51">
        <f>V30-V88</f>
        <v>112771.25</v>
      </c>
      <c r="W6" s="51">
        <f>W30-W88</f>
        <v>112771.25</v>
      </c>
      <c r="X6" s="51">
        <f>X30-X88</f>
        <v>112771.25</v>
      </c>
      <c r="Y6" s="51">
        <f>Y30-Y88</f>
        <v>112771.25</v>
      </c>
      <c r="Z6" s="51">
        <f>SUMIF($B$13:$Y$13,"Yes",B6:Y6)</f>
        <v>2142653.75</v>
      </c>
      <c r="AA6" s="51">
        <f>AA30-AA88</f>
        <v>1353255</v>
      </c>
      <c r="AB6" s="51">
        <f>AB30-AB88</f>
        <v>2706510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1165</v>
      </c>
      <c r="I7" s="80">
        <f>IF(ISERROR(VLOOKUP(MONTH(I5),Inputs!$D$66:$D$71,1,0)),"",INDEX(Inputs!$B$66:$B$71,MATCH(MONTH(Output!I5),Inputs!$D$66:$D$71,0))-INDEX(Inputs!$C$66:$C$71,MATCH(MONTH(Output!I5),Inputs!$D$66:$D$71,0)))</f>
        <v>300</v>
      </c>
      <c r="J7" s="80">
        <f>IF(ISERROR(VLOOKUP(MONTH(J5),Inputs!$D$66:$D$71,1,0)),"",INDEX(Inputs!$B$66:$B$71,MATCH(MONTH(Output!J5),Inputs!$D$66:$D$71,0))-INDEX(Inputs!$C$66:$C$71,MATCH(MONTH(Output!J5),Inputs!$D$66:$D$71,0)))</f>
        <v>17264</v>
      </c>
      <c r="K7" s="80">
        <f>IF(ISERROR(VLOOKUP(MONTH(K5),Inputs!$D$66:$D$71,1,0)),"",INDEX(Inputs!$B$66:$B$71,MATCH(MONTH(Output!K5),Inputs!$D$66:$D$71,0))-INDEX(Inputs!$C$66:$C$71,MATCH(MONTH(Output!K5),Inputs!$D$66:$D$71,0)))</f>
        <v>-12330</v>
      </c>
      <c r="L7" s="80">
        <f>IF(ISERROR(VLOOKUP(MONTH(L5),Inputs!$D$66:$D$71,1,0)),"",INDEX(Inputs!$B$66:$B$71,MATCH(MONTH(Output!L5),Inputs!$D$66:$D$71,0))-INDEX(Inputs!$C$66:$C$71,MATCH(MONTH(Output!L5),Inputs!$D$66:$D$71,0)))</f>
        <v>1710</v>
      </c>
      <c r="M7" s="80">
        <f>IF(ISERROR(VLOOKUP(MONTH(M5),Inputs!$D$66:$D$71,1,0)),"",INDEX(Inputs!$B$66:$B$71,MATCH(MONTH(Output!M5),Inputs!$D$66:$D$71,0))-INDEX(Inputs!$C$66:$C$71,MATCH(MONTH(Output!M5),Inputs!$D$66:$D$71,0)))</f>
        <v>-5850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1165</v>
      </c>
      <c r="U7" s="80">
        <f>IF(ISERROR(VLOOKUP(MONTH(U5),Inputs!$D$66:$D$71,1,0)),"",INDEX(Inputs!$B$66:$B$71,MATCH(MONTH(Output!U5),Inputs!$D$66:$D$71,0))-INDEX(Inputs!$C$66:$C$71,MATCH(MONTH(Output!U5),Inputs!$D$66:$D$71,0)))</f>
        <v>300</v>
      </c>
      <c r="V7" s="80">
        <f>IF(ISERROR(VLOOKUP(MONTH(V5),Inputs!$D$66:$D$71,1,0)),"",INDEX(Inputs!$B$66:$B$71,MATCH(MONTH(Output!V5),Inputs!$D$66:$D$71,0))-INDEX(Inputs!$C$66:$C$71,MATCH(MONTH(Output!V5),Inputs!$D$66:$D$71,0)))</f>
        <v>17264</v>
      </c>
      <c r="W7" s="80">
        <f>IF(ISERROR(VLOOKUP(MONTH(W5),Inputs!$D$66:$D$71,1,0)),"",INDEX(Inputs!$B$66:$B$71,MATCH(MONTH(Output!W5),Inputs!$D$66:$D$71,0))-INDEX(Inputs!$C$66:$C$71,MATCH(MONTH(Output!W5),Inputs!$D$66:$D$71,0)))</f>
        <v>-12330</v>
      </c>
      <c r="X7" s="80">
        <f>IF(ISERROR(VLOOKUP(MONTH(X5),Inputs!$D$66:$D$71,1,0)),"",INDEX(Inputs!$B$66:$B$71,MATCH(MONTH(Output!X5),Inputs!$D$66:$D$71,0))-INDEX(Inputs!$C$66:$C$71,MATCH(MONTH(Output!X5),Inputs!$D$66:$D$71,0)))</f>
        <v>1710</v>
      </c>
      <c r="Y7" s="80">
        <f>IF(ISERROR(VLOOKUP(MONTH(Y5),Inputs!$D$66:$D$71,1,0)),"",INDEX(Inputs!$B$66:$B$71,MATCH(MONTH(Output!Y5),Inputs!$D$66:$D$71,0))-INDEX(Inputs!$C$66:$C$71,MATCH(MONTH(Output!Y5),Inputs!$D$66:$D$71,0)))</f>
        <v>-5850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24694.44444444445</v>
      </c>
      <c r="D10" s="37">
        <f>SUMPRODUCT((Calculations!$D$33:$D$84=Output!D5)+0,Calculations!$C$33:$C$84)</f>
        <v>24694.44444444445</v>
      </c>
      <c r="E10" s="37">
        <f>SUMPRODUCT((Calculations!$D$33:$D$84=Output!E5)+0,Calculations!$C$33:$C$84)</f>
        <v>24694.44444444445</v>
      </c>
      <c r="F10" s="37">
        <f>SUMPRODUCT((Calculations!$D$33:$D$84=Output!F5)+0,Calculations!$C$33:$C$84)</f>
        <v>24694.44444444445</v>
      </c>
      <c r="G10" s="37">
        <f>SUMPRODUCT((Calculations!$D$33:$D$84=Output!G5)+0,Calculations!$C$33:$C$84)</f>
        <v>24694.44444444445</v>
      </c>
      <c r="H10" s="37">
        <f>SUMPRODUCT((Calculations!$D$33:$D$84=Output!H5)+0,Calculations!$C$33:$C$84)</f>
        <v>24694.44444444445</v>
      </c>
      <c r="I10" s="37">
        <f>SUMPRODUCT((Calculations!$D$33:$D$84=Output!I5)+0,Calculations!$C$33:$C$84)</f>
        <v>24694.44444444445</v>
      </c>
      <c r="J10" s="37">
        <f>SUMPRODUCT((Calculations!$D$33:$D$84=Output!J5)+0,Calculations!$C$33:$C$84)</f>
        <v>24694.44444444445</v>
      </c>
      <c r="K10" s="37">
        <f>SUMPRODUCT((Calculations!$D$33:$D$84=Output!K5)+0,Calculations!$C$33:$C$84)</f>
        <v>24694.44444444445</v>
      </c>
      <c r="L10" s="37">
        <f>SUMPRODUCT((Calculations!$D$33:$D$84=Output!L5)+0,Calculations!$C$33:$C$84)</f>
        <v>24694.44444444445</v>
      </c>
      <c r="M10" s="37">
        <f>SUMPRODUCT((Calculations!$D$33:$D$84=Output!M5)+0,Calculations!$C$33:$C$84)</f>
        <v>24694.44444444445</v>
      </c>
      <c r="N10" s="37">
        <f>SUMPRODUCT((Calculations!$D$33:$D$84=Output!N5)+0,Calculations!$C$33:$C$84)</f>
        <v>24694.44444444445</v>
      </c>
      <c r="O10" s="37">
        <f>SUMPRODUCT((Calculations!$D$33:$D$84=Output!O5)+0,Calculations!$C$33:$C$84)</f>
        <v>24694.44444444445</v>
      </c>
      <c r="P10" s="37">
        <f>SUMPRODUCT((Calculations!$D$33:$D$84=Output!P5)+0,Calculations!$C$33:$C$84)</f>
        <v>24694.44444444445</v>
      </c>
      <c r="Q10" s="37">
        <f>SUMPRODUCT((Calculations!$D$33:$D$84=Output!Q5)+0,Calculations!$C$33:$C$84)</f>
        <v>24694.44444444445</v>
      </c>
      <c r="R10" s="37">
        <f>SUMPRODUCT((Calculations!$D$33:$D$84=Output!R5)+0,Calculations!$C$33:$C$84)</f>
        <v>24694.44444444445</v>
      </c>
      <c r="S10" s="37">
        <f>SUMPRODUCT((Calculations!$D$33:$D$84=Output!S5)+0,Calculations!$C$33:$C$84)</f>
        <v>24694.44444444445</v>
      </c>
      <c r="T10" s="37">
        <f>SUMPRODUCT((Calculations!$D$33:$D$84=Output!T5)+0,Calculations!$C$33:$C$84)</f>
        <v>24694.44444444445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444499.9999999999</v>
      </c>
      <c r="AA10" s="37">
        <f>SUM(B10:M10)</f>
        <v>271638.8888888889</v>
      </c>
      <c r="AB10" s="37">
        <f>SUM(B10:Y10)</f>
        <v>444499.9999999999</v>
      </c>
    </row>
    <row r="11" spans="1:30" customHeight="1" ht="15.75">
      <c r="A11" s="43" t="s">
        <v>31</v>
      </c>
      <c r="B11" s="80">
        <f>B6+B9-B10</f>
        <v>462771.25</v>
      </c>
      <c r="C11" s="80">
        <f>C6+C9-C10</f>
        <v>88076.80555555556</v>
      </c>
      <c r="D11" s="80">
        <f>D6+D9-D10</f>
        <v>88076.80555555556</v>
      </c>
      <c r="E11" s="80">
        <f>E6+E9-E10</f>
        <v>88076.80555555556</v>
      </c>
      <c r="F11" s="80">
        <f>F6+F9-F10</f>
        <v>88076.80555555556</v>
      </c>
      <c r="G11" s="80">
        <f>G6+G9-G10</f>
        <v>88076.80555555556</v>
      </c>
      <c r="H11" s="80">
        <f>H6+H9-H10</f>
        <v>88076.80555555556</v>
      </c>
      <c r="I11" s="80">
        <f>I6+I9-I10</f>
        <v>88076.80555555556</v>
      </c>
      <c r="J11" s="80">
        <f>J6+J9-J10</f>
        <v>88076.80555555556</v>
      </c>
      <c r="K11" s="80">
        <f>K6+K9-K10</f>
        <v>88076.80555555556</v>
      </c>
      <c r="L11" s="80">
        <f>L6+L9-L10</f>
        <v>88076.80555555556</v>
      </c>
      <c r="M11" s="80">
        <f>M6+M9-M10</f>
        <v>88076.80555555556</v>
      </c>
      <c r="N11" s="80">
        <f>N6+N9-N10</f>
        <v>88076.80555555556</v>
      </c>
      <c r="O11" s="80">
        <f>O6+O9-O10</f>
        <v>88076.80555555556</v>
      </c>
      <c r="P11" s="80">
        <f>P6+P9-P10</f>
        <v>88076.80555555556</v>
      </c>
      <c r="Q11" s="80">
        <f>Q6+Q9-Q10</f>
        <v>88076.80555555556</v>
      </c>
      <c r="R11" s="80">
        <f>R6+R9-R10</f>
        <v>88076.80555555556</v>
      </c>
      <c r="S11" s="80">
        <f>S6+S9-S10</f>
        <v>88076.80555555556</v>
      </c>
      <c r="T11" s="80">
        <f>T6+T9-T10</f>
        <v>88076.80555555556</v>
      </c>
      <c r="U11" s="80">
        <f>U6+U9-U10</f>
        <v>112771.25</v>
      </c>
      <c r="V11" s="80">
        <f>V6+V9-V10</f>
        <v>112771.25</v>
      </c>
      <c r="W11" s="80">
        <f>W6+W9-W10</f>
        <v>112771.25</v>
      </c>
      <c r="X11" s="80">
        <f>X6+X9-X10</f>
        <v>112771.25</v>
      </c>
      <c r="Y11" s="80">
        <f>Y6+Y9-Y10</f>
        <v>112771.25</v>
      </c>
      <c r="Z11" s="85">
        <f>SUMIF($B$13:$Y$13,"Yes",B11:Y11)</f>
        <v>2048153.749999999</v>
      </c>
      <c r="AA11" s="80">
        <f>SUM(B11:M11)</f>
        <v>1431616.111111111</v>
      </c>
      <c r="AB11" s="46">
        <f>SUM(B11:Y11)</f>
        <v>2612009.999999999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0.04290637866785588</v>
      </c>
      <c r="D12" s="82">
        <f>IF(D13="Yes",IF(SUM($B$10:D10)/(SUM($B$6:D6)+SUM($B$9:D9))&lt;0,999.99,SUM($B$10:D10)/(SUM($B$6:D6)+SUM($B$9:D9))),"")</f>
        <v>0.0717534538412009</v>
      </c>
      <c r="E12" s="82">
        <f>IF(E13="Yes",IF(SUM($B$10:E10)/(SUM($B$6:E6)+SUM($B$9:E9))&lt;0,999.99,SUM($B$10:E10)/(SUM($B$6:E6)+SUM($B$9:E9))),"")</f>
        <v>0.09247874237232422</v>
      </c>
      <c r="F12" s="82">
        <f>IF(F13="Yes",IF(SUM($B$10:F10)/(SUM($B$6:F6)+SUM($B$9:F9))&lt;0,999.99,SUM($B$10:F10)/(SUM($B$6:F6)+SUM($B$9:F9))),"")</f>
        <v>0.1080889667032181</v>
      </c>
      <c r="G12" s="82">
        <f>IF(G13="Yes",IF(SUM($B$10:G10)/(SUM($B$6:G6)+SUM($B$9:G9))&lt;0,999.99,SUM($B$10:G10)/(SUM($B$6:G6)+SUM($B$9:G9))),"")</f>
        <v>0.1202697397276249</v>
      </c>
      <c r="H12" s="82">
        <f>IF(H13="Yes",IF(SUM($B$10:H10)/(SUM($B$6:H6)+SUM($B$9:H9))&lt;0,999.99,SUM($B$10:H10)/(SUM($B$6:H6)+SUM($B$9:H9))),"")</f>
        <v>0.1300393445812247</v>
      </c>
      <c r="I12" s="82">
        <f>IF(I13="Yes",IF(SUM($B$10:I10)/(SUM($B$6:I6)+SUM($B$9:I9))&lt;0,999.99,SUM($B$10:I10)/(SUM($B$6:I6)+SUM($B$9:I9))),"")</f>
        <v>0.1380492354162063</v>
      </c>
      <c r="J12" s="82">
        <f>IF(J13="Yes",IF(SUM($B$10:J10)/(SUM($B$6:J6)+SUM($B$9:J9))&lt;0,999.99,SUM($B$10:J10)/(SUM($B$6:J6)+SUM($B$9:J9))),"")</f>
        <v>0.1447355741908712</v>
      </c>
      <c r="K12" s="82">
        <f>IF(K13="Yes",IF(SUM($B$10:K10)/(SUM($B$6:K6)+SUM($B$9:K9))&lt;0,999.99,SUM($B$10:K10)/(SUM($B$6:K6)+SUM($B$9:K9))),"")</f>
        <v>0.1504013805121091</v>
      </c>
      <c r="L12" s="82">
        <f>IF(L13="Yes",IF(SUM($B$10:L10)/(SUM($B$6:L6)+SUM($B$9:L9))&lt;0,999.99,SUM($B$10:L10)/(SUM($B$6:L6)+SUM($B$9:L9))),"")</f>
        <v>0.1552637330902906</v>
      </c>
      <c r="M12" s="82">
        <f>IF(M13="Yes",IF(SUM($B$10:M10)/(SUM($B$6:M6)+SUM($B$9:M9))&lt;0,999.99,SUM($B$10:M10)/(SUM($B$6:M6)+SUM($B$9:M9))),"")</f>
        <v>0.1594822201542863</v>
      </c>
      <c r="N12" s="82">
        <f>IF(N13="Yes",IF(SUM($B$10:N10)/(SUM($B$6:N6)+SUM($B$9:N9))&lt;0,999.99,SUM($B$10:N10)/(SUM($B$6:N6)+SUM($B$9:N9))),"")</f>
        <v>0.1631767896159724</v>
      </c>
      <c r="O12" s="82">
        <f>IF(O13="Yes",IF(SUM($B$10:O10)/(SUM($B$6:O6)+SUM($B$9:O9))&lt;0,999.99,SUM($B$10:O10)/(SUM($B$6:O6)+SUM($B$9:O9))),"")</f>
        <v>0.1664393373476364</v>
      </c>
      <c r="P12" s="82">
        <f>IF(P13="Yes",IF(SUM($B$10:P10)/(SUM($B$6:P6)+SUM($B$9:P9))&lt;0,999.99,SUM($B$10:P10)/(SUM($B$6:P6)+SUM($B$9:P9))),"")</f>
        <v>0.1693414548112681</v>
      </c>
      <c r="Q12" s="82">
        <f>IF(Q13="Yes",IF(SUM($B$10:Q10)/(SUM($B$6:Q6)+SUM($B$9:Q9))&lt;0,999.99,SUM($B$10:Q10)/(SUM($B$6:Q6)+SUM($B$9:Q9))),"")</f>
        <v>0.1719397433398009</v>
      </c>
      <c r="R12" s="82">
        <f>IF(R13="Yes",IF(SUM($B$10:R10)/(SUM($B$6:R6)+SUM($B$9:R9))&lt;0,999.99,SUM($B$10:R10)/(SUM($B$6:R6)+SUM($B$9:R9))),"")</f>
        <v>0.1742795423520178</v>
      </c>
      <c r="S12" s="82">
        <f>IF(S13="Yes",IF(SUM($B$10:S10)/(SUM($B$6:S6)+SUM($B$9:S9))&lt;0,999.99,SUM($B$10:S10)/(SUM($B$6:S6)+SUM($B$9:S9))),"")</f>
        <v>0.1763975975938121</v>
      </c>
      <c r="T12" s="82">
        <f>IF(T13="Yes",IF(SUM($B$10:T10)/(SUM($B$6:T6)+SUM($B$9:T9))&lt;0,999.99,SUM($B$10:T10)/(SUM($B$6:T6)+SUM($B$9:T9))),"")</f>
        <v>0.1783240050889539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145200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216718.75</v>
      </c>
      <c r="C24" s="36">
        <f>IFERROR(Calculations!$P14/12,"")</f>
        <v>216718.75</v>
      </c>
      <c r="D24" s="36">
        <f>IFERROR(Calculations!$P14/12,"")</f>
        <v>216718.75</v>
      </c>
      <c r="E24" s="36">
        <f>IFERROR(Calculations!$P14/12,"")</f>
        <v>216718.75</v>
      </c>
      <c r="F24" s="36">
        <f>IFERROR(Calculations!$P14/12,"")</f>
        <v>216718.75</v>
      </c>
      <c r="G24" s="36">
        <f>IFERROR(Calculations!$P14/12,"")</f>
        <v>216718.75</v>
      </c>
      <c r="H24" s="36">
        <f>IFERROR(Calculations!$P14/12,"")</f>
        <v>216718.75</v>
      </c>
      <c r="I24" s="36">
        <f>IFERROR(Calculations!$P14/12,"")</f>
        <v>216718.75</v>
      </c>
      <c r="J24" s="36">
        <f>IFERROR(Calculations!$P14/12,"")</f>
        <v>216718.75</v>
      </c>
      <c r="K24" s="36">
        <f>IFERROR(Calculations!$P14/12,"")</f>
        <v>216718.75</v>
      </c>
      <c r="L24" s="36">
        <f>IFERROR(Calculations!$P14/12,"")</f>
        <v>216718.75</v>
      </c>
      <c r="M24" s="36">
        <f>IFERROR(Calculations!$P14/12,"")</f>
        <v>216718.75</v>
      </c>
      <c r="N24" s="36">
        <f>IFERROR(Calculations!$P14/12,"")</f>
        <v>216718.75</v>
      </c>
      <c r="O24" s="36">
        <f>IFERROR(Calculations!$P14/12,"")</f>
        <v>216718.75</v>
      </c>
      <c r="P24" s="36">
        <f>IFERROR(Calculations!$P14/12,"")</f>
        <v>216718.75</v>
      </c>
      <c r="Q24" s="36">
        <f>IFERROR(Calculations!$P14/12,"")</f>
        <v>216718.75</v>
      </c>
      <c r="R24" s="36">
        <f>IFERROR(Calculations!$P14/12,"")</f>
        <v>216718.75</v>
      </c>
      <c r="S24" s="36">
        <f>IFERROR(Calculations!$P14/12,"")</f>
        <v>216718.75</v>
      </c>
      <c r="T24" s="36">
        <f>IFERROR(Calculations!$P14/12,"")</f>
        <v>216718.75</v>
      </c>
      <c r="U24" s="36">
        <f>IFERROR(Calculations!$P14/12,"")</f>
        <v>216718.75</v>
      </c>
      <c r="V24" s="36">
        <f>IFERROR(Calculations!$P14/12,"")</f>
        <v>216718.75</v>
      </c>
      <c r="W24" s="36">
        <f>IFERROR(Calculations!$P14/12,"")</f>
        <v>216718.75</v>
      </c>
      <c r="X24" s="36">
        <f>IFERROR(Calculations!$P14/12,"")</f>
        <v>216718.75</v>
      </c>
      <c r="Y24" s="36">
        <f>IFERROR(Calculations!$P14/12,"")</f>
        <v>216718.75</v>
      </c>
      <c r="Z24" s="36">
        <f>SUMIF($B$13:$Y$13,"Yes",B24:Y24)</f>
        <v>4117656.25</v>
      </c>
      <c r="AA24" s="36">
        <f>SUM(B24:M24)</f>
        <v>2600625</v>
      </c>
      <c r="AB24" s="46">
        <f>SUM(B24:Y24)</f>
        <v>5201250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718.75</v>
      </c>
      <c r="C25" s="36">
        <f>IFERROR(Calculations!$P15/12,"")</f>
        <v>718.75</v>
      </c>
      <c r="D25" s="36">
        <f>IFERROR(Calculations!$P15/12,"")</f>
        <v>718.75</v>
      </c>
      <c r="E25" s="36">
        <f>IFERROR(Calculations!$P15/12,"")</f>
        <v>718.75</v>
      </c>
      <c r="F25" s="36">
        <f>IFERROR(Calculations!$P15/12,"")</f>
        <v>718.75</v>
      </c>
      <c r="G25" s="36">
        <f>IFERROR(Calculations!$P15/12,"")</f>
        <v>718.75</v>
      </c>
      <c r="H25" s="36">
        <f>IFERROR(Calculations!$P15/12,"")</f>
        <v>718.75</v>
      </c>
      <c r="I25" s="36">
        <f>IFERROR(Calculations!$P15/12,"")</f>
        <v>718.75</v>
      </c>
      <c r="J25" s="36">
        <f>IFERROR(Calculations!$P15/12,"")</f>
        <v>718.75</v>
      </c>
      <c r="K25" s="36">
        <f>IFERROR(Calculations!$P15/12,"")</f>
        <v>718.75</v>
      </c>
      <c r="L25" s="36">
        <f>IFERROR(Calculations!$P15/12,"")</f>
        <v>718.75</v>
      </c>
      <c r="M25" s="36">
        <f>IFERROR(Calculations!$P15/12,"")</f>
        <v>718.75</v>
      </c>
      <c r="N25" s="36">
        <f>IFERROR(Calculations!$P15/12,"")</f>
        <v>718.75</v>
      </c>
      <c r="O25" s="36">
        <f>IFERROR(Calculations!$P15/12,"")</f>
        <v>718.75</v>
      </c>
      <c r="P25" s="36">
        <f>IFERROR(Calculations!$P15/12,"")</f>
        <v>718.75</v>
      </c>
      <c r="Q25" s="36">
        <f>IFERROR(Calculations!$P15/12,"")</f>
        <v>718.75</v>
      </c>
      <c r="R25" s="36">
        <f>IFERROR(Calculations!$P15/12,"")</f>
        <v>718.75</v>
      </c>
      <c r="S25" s="36">
        <f>IFERROR(Calculations!$P15/12,"")</f>
        <v>718.75</v>
      </c>
      <c r="T25" s="36">
        <f>IFERROR(Calculations!$P15/12,"")</f>
        <v>718.75</v>
      </c>
      <c r="U25" s="36">
        <f>IFERROR(Calculations!$P15/12,"")</f>
        <v>718.75</v>
      </c>
      <c r="V25" s="36">
        <f>IFERROR(Calculations!$P15/12,"")</f>
        <v>718.75</v>
      </c>
      <c r="W25" s="36">
        <f>IFERROR(Calculations!$P15/12,"")</f>
        <v>718.75</v>
      </c>
      <c r="X25" s="36">
        <f>IFERROR(Calculations!$P15/12,"")</f>
        <v>718.75</v>
      </c>
      <c r="Y25" s="36">
        <f>IFERROR(Calculations!$P15/12,"")</f>
        <v>718.75</v>
      </c>
      <c r="Z25" s="36">
        <f>SUMIF($B$13:$Y$13,"Yes",B25:Y25)</f>
        <v>13656.25</v>
      </c>
      <c r="AA25" s="36">
        <f>SUM(B25:M25)</f>
        <v>8625</v>
      </c>
      <c r="AB25" s="46">
        <f>SUM(B25:Y25)</f>
        <v>17250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217437.5</v>
      </c>
      <c r="C30" s="19">
        <f>SUM(C18:C29)</f>
        <v>217437.5</v>
      </c>
      <c r="D30" s="19">
        <f>SUM(D18:D29)</f>
        <v>217437.5</v>
      </c>
      <c r="E30" s="19">
        <f>SUM(E18:E29)</f>
        <v>217437.5</v>
      </c>
      <c r="F30" s="19">
        <f>SUM(F18:F29)</f>
        <v>217437.5</v>
      </c>
      <c r="G30" s="19">
        <f>SUM(G18:G29)</f>
        <v>217437.5</v>
      </c>
      <c r="H30" s="19">
        <f>SUM(H18:H29)</f>
        <v>217437.5</v>
      </c>
      <c r="I30" s="19">
        <f>SUM(I18:I29)</f>
        <v>217437.5</v>
      </c>
      <c r="J30" s="19">
        <f>SUM(J18:J29)</f>
        <v>217437.5</v>
      </c>
      <c r="K30" s="19">
        <f>SUM(K18:K29)</f>
        <v>217437.5</v>
      </c>
      <c r="L30" s="19">
        <f>SUM(L18:L29)</f>
        <v>217437.5</v>
      </c>
      <c r="M30" s="19">
        <f>SUM(M18:M29)</f>
        <v>217437.5</v>
      </c>
      <c r="N30" s="19">
        <f>SUM(N18:N29)</f>
        <v>217437.5</v>
      </c>
      <c r="O30" s="19">
        <f>SUM(O18:O29)</f>
        <v>217437.5</v>
      </c>
      <c r="P30" s="19">
        <f>SUM(P18:P29)</f>
        <v>217437.5</v>
      </c>
      <c r="Q30" s="19">
        <f>SUM(Q18:Q29)</f>
        <v>217437.5</v>
      </c>
      <c r="R30" s="19">
        <f>SUM(R18:R29)</f>
        <v>217437.5</v>
      </c>
      <c r="S30" s="19">
        <f>SUM(S18:S29)</f>
        <v>217437.5</v>
      </c>
      <c r="T30" s="19">
        <f>SUM(T18:T29)</f>
        <v>217437.5</v>
      </c>
      <c r="U30" s="19">
        <f>SUM(U18:U29)</f>
        <v>217437.5</v>
      </c>
      <c r="V30" s="19">
        <f>SUM(V18:V29)</f>
        <v>217437.5</v>
      </c>
      <c r="W30" s="19">
        <f>SUM(W18:W29)</f>
        <v>217437.5</v>
      </c>
      <c r="X30" s="19">
        <f>SUM(X18:X29)</f>
        <v>217437.5</v>
      </c>
      <c r="Y30" s="19">
        <f>SUM(Y18:Y29)</f>
        <v>217437.5</v>
      </c>
      <c r="Z30" s="19">
        <f>SUMIF($B$13:$Y$13,"Yes",B30:Y30)</f>
        <v>4131312.5</v>
      </c>
      <c r="AA30" s="19">
        <f>SUM(B30:M30)</f>
        <v>2609250</v>
      </c>
      <c r="AB30" s="19">
        <f>SUM(B30:Y30)</f>
        <v>5218500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18402.08333333333</v>
      </c>
      <c r="C74" s="46">
        <f>SUM(Calculations!$Q$14:$Q$16)/12</f>
        <v>18402.08333333333</v>
      </c>
      <c r="D74" s="46">
        <f>SUM(Calculations!$Q$14:$Q$16)/12</f>
        <v>18402.08333333333</v>
      </c>
      <c r="E74" s="46">
        <f>SUM(Calculations!$Q$14:$Q$16)/12</f>
        <v>18402.08333333333</v>
      </c>
      <c r="F74" s="46">
        <f>SUM(Calculations!$Q$14:$Q$16)/12</f>
        <v>18402.08333333333</v>
      </c>
      <c r="G74" s="46">
        <f>SUM(Calculations!$Q$14:$Q$16)/12</f>
        <v>18402.08333333333</v>
      </c>
      <c r="H74" s="46">
        <f>SUM(Calculations!$Q$14:$Q$16)/12</f>
        <v>18402.08333333333</v>
      </c>
      <c r="I74" s="46">
        <f>SUM(Calculations!$Q$14:$Q$16)/12</f>
        <v>18402.08333333333</v>
      </c>
      <c r="J74" s="46">
        <f>SUM(Calculations!$Q$14:$Q$16)/12</f>
        <v>18402.08333333333</v>
      </c>
      <c r="K74" s="46">
        <f>SUM(Calculations!$Q$14:$Q$16)/12</f>
        <v>18402.08333333333</v>
      </c>
      <c r="L74" s="46">
        <f>SUM(Calculations!$Q$14:$Q$16)/12</f>
        <v>18402.08333333333</v>
      </c>
      <c r="M74" s="46">
        <f>SUM(Calculations!$Q$14:$Q$16)/12</f>
        <v>18402.08333333333</v>
      </c>
      <c r="N74" s="46">
        <f>SUM(Calculations!$Q$14:$Q$16)/12</f>
        <v>18402.08333333333</v>
      </c>
      <c r="O74" s="46">
        <f>SUM(Calculations!$Q$14:$Q$16)/12</f>
        <v>18402.08333333333</v>
      </c>
      <c r="P74" s="46">
        <f>SUM(Calculations!$Q$14:$Q$16)/12</f>
        <v>18402.08333333333</v>
      </c>
      <c r="Q74" s="46">
        <f>SUM(Calculations!$Q$14:$Q$16)/12</f>
        <v>18402.08333333333</v>
      </c>
      <c r="R74" s="46">
        <f>SUM(Calculations!$Q$14:$Q$16)/12</f>
        <v>18402.08333333333</v>
      </c>
      <c r="S74" s="46">
        <f>SUM(Calculations!$Q$14:$Q$16)/12</f>
        <v>18402.08333333333</v>
      </c>
      <c r="T74" s="46">
        <f>SUM(Calculations!$Q$14:$Q$16)/12</f>
        <v>18402.08333333333</v>
      </c>
      <c r="U74" s="46">
        <f>SUM(Calculations!$Q$14:$Q$16)/12</f>
        <v>18402.08333333333</v>
      </c>
      <c r="V74" s="46">
        <f>SUM(Calculations!$Q$14:$Q$16)/12</f>
        <v>18402.08333333333</v>
      </c>
      <c r="W74" s="46">
        <f>SUM(Calculations!$Q$14:$Q$16)/12</f>
        <v>18402.08333333333</v>
      </c>
      <c r="X74" s="46">
        <f>SUM(Calculations!$Q$14:$Q$16)/12</f>
        <v>18402.08333333333</v>
      </c>
      <c r="Y74" s="46">
        <f>SUM(Calculations!$Q$14:$Q$16)/12</f>
        <v>18402.08333333333</v>
      </c>
      <c r="Z74" s="46">
        <f>SUMIF($B$13:$Y$13,"Yes",B74:Y74)</f>
        <v>349639.5833333333</v>
      </c>
      <c r="AA74" s="46">
        <f>SUM(B74:M74)</f>
        <v>220825</v>
      </c>
      <c r="AB74" s="46">
        <f>SUM(B74:Y74)</f>
        <v>441649.9999999999</v>
      </c>
    </row>
    <row r="75" spans="1:30">
      <c r="A75" s="16" t="s">
        <v>47</v>
      </c>
      <c r="B75" s="46">
        <f>SUM(Calculations!$R$14:$R$16)/12</f>
        <v>1033.333333333333</v>
      </c>
      <c r="C75" s="46">
        <f>SUM(Calculations!$R$14:$R$16)/12</f>
        <v>1033.333333333333</v>
      </c>
      <c r="D75" s="46">
        <f>SUM(Calculations!$R$14:$R$16)/12</f>
        <v>1033.333333333333</v>
      </c>
      <c r="E75" s="46">
        <f>SUM(Calculations!$R$14:$R$16)/12</f>
        <v>1033.333333333333</v>
      </c>
      <c r="F75" s="46">
        <f>SUM(Calculations!$R$14:$R$16)/12</f>
        <v>1033.333333333333</v>
      </c>
      <c r="G75" s="46">
        <f>SUM(Calculations!$R$14:$R$16)/12</f>
        <v>1033.333333333333</v>
      </c>
      <c r="H75" s="46">
        <f>SUM(Calculations!$R$14:$R$16)/12</f>
        <v>1033.333333333333</v>
      </c>
      <c r="I75" s="46">
        <f>SUM(Calculations!$R$14:$R$16)/12</f>
        <v>1033.333333333333</v>
      </c>
      <c r="J75" s="46">
        <f>SUM(Calculations!$R$14:$R$16)/12</f>
        <v>1033.333333333333</v>
      </c>
      <c r="K75" s="46">
        <f>SUM(Calculations!$R$14:$R$16)/12</f>
        <v>1033.333333333333</v>
      </c>
      <c r="L75" s="46">
        <f>SUM(Calculations!$R$14:$R$16)/12</f>
        <v>1033.333333333333</v>
      </c>
      <c r="M75" s="46">
        <f>SUM(Calculations!$R$14:$R$16)/12</f>
        <v>1033.333333333333</v>
      </c>
      <c r="N75" s="46">
        <f>SUM(Calculations!$R$14:$R$16)/12</f>
        <v>1033.333333333333</v>
      </c>
      <c r="O75" s="46">
        <f>SUM(Calculations!$R$14:$R$16)/12</f>
        <v>1033.333333333333</v>
      </c>
      <c r="P75" s="46">
        <f>SUM(Calculations!$R$14:$R$16)/12</f>
        <v>1033.333333333333</v>
      </c>
      <c r="Q75" s="46">
        <f>SUM(Calculations!$R$14:$R$16)/12</f>
        <v>1033.333333333333</v>
      </c>
      <c r="R75" s="46">
        <f>SUM(Calculations!$R$14:$R$16)/12</f>
        <v>1033.333333333333</v>
      </c>
      <c r="S75" s="46">
        <f>SUM(Calculations!$R$14:$R$16)/12</f>
        <v>1033.333333333333</v>
      </c>
      <c r="T75" s="46">
        <f>SUM(Calculations!$R$14:$R$16)/12</f>
        <v>1033.333333333333</v>
      </c>
      <c r="U75" s="46">
        <f>SUM(Calculations!$R$14:$R$16)/12</f>
        <v>1033.333333333333</v>
      </c>
      <c r="V75" s="46">
        <f>SUM(Calculations!$R$14:$R$16)/12</f>
        <v>1033.333333333333</v>
      </c>
      <c r="W75" s="46">
        <f>SUM(Calculations!$R$14:$R$16)/12</f>
        <v>1033.333333333333</v>
      </c>
      <c r="X75" s="46">
        <f>SUM(Calculations!$R$14:$R$16)/12</f>
        <v>1033.333333333333</v>
      </c>
      <c r="Y75" s="46">
        <f>SUM(Calculations!$R$14:$R$16)/12</f>
        <v>1033.333333333333</v>
      </c>
      <c r="Z75" s="46">
        <f>SUMIF($B$13:$Y$13,"Yes",B75:Y75)</f>
        <v>19633.33333333333</v>
      </c>
      <c r="AA75" s="46">
        <f>SUM(B75:M75)</f>
        <v>12400</v>
      </c>
      <c r="AB75" s="46">
        <f>SUM(B75:Y75)</f>
        <v>24799.99999999999</v>
      </c>
    </row>
    <row r="76" spans="1:30">
      <c r="A76" s="16" t="s">
        <v>48</v>
      </c>
      <c r="B76" s="46">
        <f>SUM(Calculations!$S$14:$S$16)/12</f>
        <v>6050</v>
      </c>
      <c r="C76" s="46">
        <f>SUM(Calculations!$S$14:$S$16)/12</f>
        <v>6050</v>
      </c>
      <c r="D76" s="46">
        <f>SUM(Calculations!$S$14:$S$16)/12</f>
        <v>6050</v>
      </c>
      <c r="E76" s="46">
        <f>SUM(Calculations!$S$14:$S$16)/12</f>
        <v>6050</v>
      </c>
      <c r="F76" s="46">
        <f>SUM(Calculations!$S$14:$S$16)/12</f>
        <v>6050</v>
      </c>
      <c r="G76" s="46">
        <f>SUM(Calculations!$S$14:$S$16)/12</f>
        <v>6050</v>
      </c>
      <c r="H76" s="46">
        <f>SUM(Calculations!$S$14:$S$16)/12</f>
        <v>6050</v>
      </c>
      <c r="I76" s="46">
        <f>SUM(Calculations!$S$14:$S$16)/12</f>
        <v>6050</v>
      </c>
      <c r="J76" s="46">
        <f>SUM(Calculations!$S$14:$S$16)/12</f>
        <v>6050</v>
      </c>
      <c r="K76" s="46">
        <f>SUM(Calculations!$S$14:$S$16)/12</f>
        <v>6050</v>
      </c>
      <c r="L76" s="46">
        <f>SUM(Calculations!$S$14:$S$16)/12</f>
        <v>6050</v>
      </c>
      <c r="M76" s="46">
        <f>SUM(Calculations!$S$14:$S$16)/12</f>
        <v>6050</v>
      </c>
      <c r="N76" s="46">
        <f>SUM(Calculations!$S$14:$S$16)/12</f>
        <v>6050</v>
      </c>
      <c r="O76" s="46">
        <f>SUM(Calculations!$S$14:$S$16)/12</f>
        <v>6050</v>
      </c>
      <c r="P76" s="46">
        <f>SUM(Calculations!$S$14:$S$16)/12</f>
        <v>6050</v>
      </c>
      <c r="Q76" s="46">
        <f>SUM(Calculations!$S$14:$S$16)/12</f>
        <v>6050</v>
      </c>
      <c r="R76" s="46">
        <f>SUM(Calculations!$S$14:$S$16)/12</f>
        <v>6050</v>
      </c>
      <c r="S76" s="46">
        <f>SUM(Calculations!$S$14:$S$16)/12</f>
        <v>6050</v>
      </c>
      <c r="T76" s="46">
        <f>SUM(Calculations!$S$14:$S$16)/12</f>
        <v>6050</v>
      </c>
      <c r="U76" s="46">
        <f>SUM(Calculations!$S$14:$S$16)/12</f>
        <v>6050</v>
      </c>
      <c r="V76" s="46">
        <f>SUM(Calculations!$S$14:$S$16)/12</f>
        <v>6050</v>
      </c>
      <c r="W76" s="46">
        <f>SUM(Calculations!$S$14:$S$16)/12</f>
        <v>6050</v>
      </c>
      <c r="X76" s="46">
        <f>SUM(Calculations!$S$14:$S$16)/12</f>
        <v>6050</v>
      </c>
      <c r="Y76" s="46">
        <f>SUM(Calculations!$S$14:$S$16)/12</f>
        <v>6050</v>
      </c>
      <c r="Z76" s="46">
        <f>SUMIF($B$13:$Y$13,"Yes",B76:Y76)</f>
        <v>114950</v>
      </c>
      <c r="AA76" s="46">
        <f>SUM(B76:M76)</f>
        <v>72600</v>
      </c>
      <c r="AB76" s="46">
        <f>SUM(B76:Y76)</f>
        <v>145200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76000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75180.83333333333</v>
      </c>
      <c r="C81" s="46">
        <f>(SUM($AA$18:$AA$29)-SUM($AA$36,$AA$42,$AA$48,$AA$54,$AA$60,$AA$66,$AA$72:$AA$79))*Parameters!$B$37/12</f>
        <v>75180.83333333333</v>
      </c>
      <c r="D81" s="46">
        <f>(SUM($AA$18:$AA$29)-SUM($AA$36,$AA$42,$AA$48,$AA$54,$AA$60,$AA$66,$AA$72:$AA$79))*Parameters!$B$37/12</f>
        <v>75180.83333333333</v>
      </c>
      <c r="E81" s="46">
        <f>(SUM($AA$18:$AA$29)-SUM($AA$36,$AA$42,$AA$48,$AA$54,$AA$60,$AA$66,$AA$72:$AA$79))*Parameters!$B$37/12</f>
        <v>75180.83333333333</v>
      </c>
      <c r="F81" s="46">
        <f>(SUM($AA$18:$AA$29)-SUM($AA$36,$AA$42,$AA$48,$AA$54,$AA$60,$AA$66,$AA$72:$AA$79))*Parameters!$B$37/12</f>
        <v>75180.83333333333</v>
      </c>
      <c r="G81" s="46">
        <f>(SUM($AA$18:$AA$29)-SUM($AA$36,$AA$42,$AA$48,$AA$54,$AA$60,$AA$66,$AA$72:$AA$79))*Parameters!$B$37/12</f>
        <v>75180.83333333333</v>
      </c>
      <c r="H81" s="46">
        <f>(SUM($AA$18:$AA$29)-SUM($AA$36,$AA$42,$AA$48,$AA$54,$AA$60,$AA$66,$AA$72:$AA$79))*Parameters!$B$37/12</f>
        <v>75180.83333333333</v>
      </c>
      <c r="I81" s="46">
        <f>(SUM($AA$18:$AA$29)-SUM($AA$36,$AA$42,$AA$48,$AA$54,$AA$60,$AA$66,$AA$72:$AA$79))*Parameters!$B$37/12</f>
        <v>75180.83333333333</v>
      </c>
      <c r="J81" s="46">
        <f>(SUM($AA$18:$AA$29)-SUM($AA$36,$AA$42,$AA$48,$AA$54,$AA$60,$AA$66,$AA$72:$AA$79))*Parameters!$B$37/12</f>
        <v>75180.83333333333</v>
      </c>
      <c r="K81" s="46">
        <f>(SUM($AA$18:$AA$29)-SUM($AA$36,$AA$42,$AA$48,$AA$54,$AA$60,$AA$66,$AA$72:$AA$79))*Parameters!$B$37/12</f>
        <v>75180.83333333333</v>
      </c>
      <c r="L81" s="46">
        <f>(SUM($AA$18:$AA$29)-SUM($AA$36,$AA$42,$AA$48,$AA$54,$AA$60,$AA$66,$AA$72:$AA$79))*Parameters!$B$37/12</f>
        <v>75180.83333333333</v>
      </c>
      <c r="M81" s="46">
        <f>(SUM($AA$18:$AA$29)-SUM($AA$36,$AA$42,$AA$48,$AA$54,$AA$60,$AA$66,$AA$72:$AA$79))*Parameters!$B$37/12</f>
        <v>75180.83333333333</v>
      </c>
      <c r="N81" s="46">
        <f>(SUM($AA$18:$AA$29)-SUM($AA$36,$AA$42,$AA$48,$AA$54,$AA$60,$AA$66,$AA$72:$AA$79))*Parameters!$B$37/12</f>
        <v>75180.83333333333</v>
      </c>
      <c r="O81" s="46">
        <f>(SUM($AA$18:$AA$29)-SUM($AA$36,$AA$42,$AA$48,$AA$54,$AA$60,$AA$66,$AA$72:$AA$79))*Parameters!$B$37/12</f>
        <v>75180.83333333333</v>
      </c>
      <c r="P81" s="46">
        <f>(SUM($AA$18:$AA$29)-SUM($AA$36,$AA$42,$AA$48,$AA$54,$AA$60,$AA$66,$AA$72:$AA$79))*Parameters!$B$37/12</f>
        <v>75180.83333333333</v>
      </c>
      <c r="Q81" s="46">
        <f>(SUM($AA$18:$AA$29)-SUM($AA$36,$AA$42,$AA$48,$AA$54,$AA$60,$AA$66,$AA$72:$AA$79))*Parameters!$B$37/12</f>
        <v>75180.83333333333</v>
      </c>
      <c r="R81" s="46">
        <f>(SUM($AA$18:$AA$29)-SUM($AA$36,$AA$42,$AA$48,$AA$54,$AA$60,$AA$66,$AA$72:$AA$79))*Parameters!$B$37/12</f>
        <v>75180.83333333333</v>
      </c>
      <c r="S81" s="46">
        <f>(SUM($AA$18:$AA$29)-SUM($AA$36,$AA$42,$AA$48,$AA$54,$AA$60,$AA$66,$AA$72:$AA$79))*Parameters!$B$37/12</f>
        <v>75180.83333333333</v>
      </c>
      <c r="T81" s="46">
        <f>(SUM($AA$18:$AA$29)-SUM($AA$36,$AA$42,$AA$48,$AA$54,$AA$60,$AA$66,$AA$72:$AA$79))*Parameters!$B$37/12</f>
        <v>75180.83333333333</v>
      </c>
      <c r="U81" s="46">
        <f>(SUM($AA$18:$AA$29)-SUM($AA$36,$AA$42,$AA$48,$AA$54,$AA$60,$AA$66,$AA$72:$AA$79))*Parameters!$B$37/12</f>
        <v>75180.83333333333</v>
      </c>
      <c r="V81" s="46">
        <f>(SUM($AA$18:$AA$29)-SUM($AA$36,$AA$42,$AA$48,$AA$54,$AA$60,$AA$66,$AA$72:$AA$79))*Parameters!$B$37/12</f>
        <v>75180.83333333333</v>
      </c>
      <c r="W81" s="46">
        <f>(SUM($AA$18:$AA$29)-SUM($AA$36,$AA$42,$AA$48,$AA$54,$AA$60,$AA$66,$AA$72:$AA$79))*Parameters!$B$37/12</f>
        <v>75180.83333333333</v>
      </c>
      <c r="X81" s="46">
        <f>(SUM($AA$18:$AA$29)-SUM($AA$36,$AA$42,$AA$48,$AA$54,$AA$60,$AA$66,$AA$72:$AA$79))*Parameters!$B$37/12</f>
        <v>75180.83333333333</v>
      </c>
      <c r="Y81" s="46">
        <f>(SUM($AA$18:$AA$29)-SUM($AA$36,$AA$42,$AA$48,$AA$54,$AA$60,$AA$66,$AA$72:$AA$79))*Parameters!$B$37/12</f>
        <v>75180.83333333333</v>
      </c>
      <c r="Z81" s="46">
        <f>SUMIF($B$13:$Y$13,"Yes",B81:Y81)</f>
        <v>1428435.833333333</v>
      </c>
      <c r="AA81" s="46">
        <f>SUM(B81:M81)</f>
        <v>902170.0000000001</v>
      </c>
      <c r="AB81" s="46">
        <f>SUM(B81:Y81)</f>
        <v>1804339.999999999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104666.25</v>
      </c>
      <c r="C88" s="19">
        <f>SUM(C72:C82,C66,C60,C54,C48,C42,C36)</f>
        <v>104666.25</v>
      </c>
      <c r="D88" s="19">
        <f>SUM(D72:D82,D66,D60,D54,D48,D42,D36)</f>
        <v>104666.25</v>
      </c>
      <c r="E88" s="19">
        <f>SUM(E72:E82,E66,E60,E54,E48,E42,E36)</f>
        <v>104666.25</v>
      </c>
      <c r="F88" s="19">
        <f>SUM(F72:F82,F66,F60,F54,F48,F42,F36)</f>
        <v>104666.25</v>
      </c>
      <c r="G88" s="19">
        <f>SUM(G72:G82,G66,G60,G54,G48,G42,G36)</f>
        <v>104666.25</v>
      </c>
      <c r="H88" s="19">
        <f>SUM(H72:H82,H66,H60,H54,H48,H42,H36)</f>
        <v>104666.25</v>
      </c>
      <c r="I88" s="19">
        <f>SUM(I72:I82,I66,I60,I54,I48,I42,I36)</f>
        <v>104666.25</v>
      </c>
      <c r="J88" s="19">
        <f>SUM(J72:J82,J66,J60,J54,J48,J42,J36)</f>
        <v>104666.25</v>
      </c>
      <c r="K88" s="19">
        <f>SUM(K72:K82,K66,K60,K54,K48,K42,K36)</f>
        <v>104666.25</v>
      </c>
      <c r="L88" s="19">
        <f>SUM(L72:L82,L66,L60,L54,L48,L42,L36)</f>
        <v>104666.25</v>
      </c>
      <c r="M88" s="19">
        <f>SUM(M72:M82,M66,M60,M54,M48,M42,M36)</f>
        <v>104666.25</v>
      </c>
      <c r="N88" s="19">
        <f>SUM(N72:N82,N66,N60,N54,N48,N42,N36)</f>
        <v>104666.25</v>
      </c>
      <c r="O88" s="19">
        <f>SUM(O72:O82,O66,O60,O54,O48,O42,O36)</f>
        <v>104666.25</v>
      </c>
      <c r="P88" s="19">
        <f>SUM(P72:P82,P66,P60,P54,P48,P42,P36)</f>
        <v>104666.25</v>
      </c>
      <c r="Q88" s="19">
        <f>SUM(Q72:Q82,Q66,Q60,Q54,Q48,Q42,Q36)</f>
        <v>104666.25</v>
      </c>
      <c r="R88" s="19">
        <f>SUM(R72:R82,R66,R60,R54,R48,R42,R36)</f>
        <v>104666.25</v>
      </c>
      <c r="S88" s="19">
        <f>SUM(S72:S82,S66,S60,S54,S48,S42,S36)</f>
        <v>104666.25</v>
      </c>
      <c r="T88" s="19">
        <f>SUM(T72:T82,T66,T60,T54,T48,T42,T36)</f>
        <v>104666.25</v>
      </c>
      <c r="U88" s="19">
        <f>SUM(U72:U82,U66,U60,U54,U48,U42,U36)</f>
        <v>104666.25</v>
      </c>
      <c r="V88" s="19">
        <f>SUM(V72:V82,V66,V60,V54,V48,V42,V36)</f>
        <v>104666.25</v>
      </c>
      <c r="W88" s="19">
        <f>SUM(W72:W82,W66,W60,W54,W48,W42,W36)</f>
        <v>104666.25</v>
      </c>
      <c r="X88" s="19">
        <f>SUM(X72:X82,X66,X60,X54,X48,X42,X36)</f>
        <v>104666.25</v>
      </c>
      <c r="Y88" s="19">
        <f>SUM(Y72:Y82,Y66,Y60,Y54,Y48,Y42,Y36)</f>
        <v>104666.25</v>
      </c>
      <c r="Z88" s="19">
        <f>SUMIF($B$13:$Y$13,"Yes",B88:Y88)</f>
        <v>1988658.75</v>
      </c>
      <c r="AA88" s="19">
        <f>SUM(B88:M88)</f>
        <v>1255995</v>
      </c>
      <c r="AB88" s="19">
        <f>SUM(B88:Y88)</f>
        <v>2511990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1440000</v>
      </c>
    </row>
    <row r="96" spans="1:30">
      <c r="A96" t="s">
        <v>62</v>
      </c>
      <c r="B96" s="36">
        <f>SUMPRODUCT(Inputs!C19:C21,Calculations!O14:O16)</f>
        <v>2424000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5359000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356000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</v>
      </c>
      <c r="D19" s="145">
        <v>10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2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20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4000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700000</v>
      </c>
    </row>
    <row r="46" spans="1:48" customHeight="1" ht="30">
      <c r="A46" s="57" t="s">
        <v>127</v>
      </c>
      <c r="B46" s="161">
        <v>450000</v>
      </c>
    </row>
    <row r="47" spans="1:48" customHeight="1" ht="30">
      <c r="A47" s="57" t="s">
        <v>128</v>
      </c>
      <c r="B47" s="161">
        <v>1440000</v>
      </c>
    </row>
    <row r="48" spans="1:48" customHeight="1" ht="30">
      <c r="A48" s="57" t="s">
        <v>129</v>
      </c>
      <c r="B48" s="161">
        <v>300000</v>
      </c>
    </row>
    <row r="49" spans="1:48" customHeight="1" ht="30">
      <c r="A49" s="57" t="s">
        <v>130</v>
      </c>
      <c r="B49" s="161">
        <v>45000</v>
      </c>
    </row>
    <row r="50" spans="1:48">
      <c r="A50" s="43"/>
      <c r="B50" s="36"/>
    </row>
    <row r="51" spans="1:48">
      <c r="A51" s="58" t="s">
        <v>131</v>
      </c>
      <c r="B51" s="161">
        <v>6000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59670</v>
      </c>
      <c r="C66" s="163">
        <v>58505</v>
      </c>
      <c r="D66" s="49">
        <f>INDEX(Parameters!$D$79:$D$90,MATCH(Inputs!A66,Parameters!$C$79:$C$90,0))</f>
        <v>7</v>
      </c>
    </row>
    <row r="67" spans="1:48">
      <c r="A67" s="143" t="s">
        <v>143</v>
      </c>
      <c r="B67" s="157">
        <v>5030</v>
      </c>
      <c r="C67" s="165">
        <v>4730</v>
      </c>
      <c r="D67" s="49">
        <f>INDEX(Parameters!$D$79:$D$90,MATCH(Inputs!A67,Parameters!$C$79:$C$90,0))</f>
        <v>8</v>
      </c>
    </row>
    <row r="68" spans="1:48">
      <c r="A68" s="143" t="s">
        <v>144</v>
      </c>
      <c r="B68" s="157">
        <v>264000</v>
      </c>
      <c r="C68" s="165">
        <v>246736</v>
      </c>
      <c r="D68" s="49">
        <f>INDEX(Parameters!$D$79:$D$90,MATCH(Inputs!A68,Parameters!$C$79:$C$90,0))</f>
        <v>9</v>
      </c>
    </row>
    <row r="69" spans="1:48">
      <c r="A69" s="143" t="s">
        <v>145</v>
      </c>
      <c r="B69" s="157">
        <v>2000</v>
      </c>
      <c r="C69" s="165">
        <v>14330</v>
      </c>
      <c r="D69" s="49">
        <f>INDEX(Parameters!$D$79:$D$90,MATCH(Inputs!A69,Parameters!$C$79:$C$90,0))</f>
        <v>10</v>
      </c>
    </row>
    <row r="70" spans="1:48">
      <c r="A70" s="143" t="s">
        <v>146</v>
      </c>
      <c r="B70" s="157">
        <v>13530</v>
      </c>
      <c r="C70" s="165">
        <v>11820</v>
      </c>
      <c r="D70" s="49">
        <f>INDEX(Parameters!$D$79:$D$90,MATCH(Inputs!A70,Parameters!$C$79:$C$90,0))</f>
        <v>11</v>
      </c>
    </row>
    <row r="71" spans="1:48">
      <c r="A71" s="144" t="s">
        <v>147</v>
      </c>
      <c r="B71" s="158">
        <v>13100</v>
      </c>
      <c r="C71" s="167">
        <v>18950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7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350000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18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12</v>
      </c>
      <c r="E14" s="16">
        <f>Inputs!D19</f>
        <v>10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2600625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72000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34.5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8625</v>
      </c>
      <c r="Q15" s="64">
        <f>IFERROR(D15*INDEX(Parameters!$A$22:$P$29,MATCH(Calculations!$A15,Parameters!$A$22:$A$29,0),MATCH(Parameters!$L$22,Parameters!$A$22:$P$22,0))*IF(Inputs!I20="Always",1,IF(Inputs!I20="Sometimes",0.5,0))*365,"")</f>
        <v>1825</v>
      </c>
      <c r="R15" s="64">
        <f>IFERROR(D15*INDEX(Parameters!$A$22:$P$29,MATCH(Calculations!$A15,Parameters!$A$22:$A$29,0),MATCH(Parameters!$M$22,Parameters!$A$22:$P$22,0)),"")</f>
        <v>400</v>
      </c>
      <c r="S15" s="64">
        <f>IFERROR(D15*INDEX(Parameters!$A$22:$P$29,MATCH(Calculations!$A15,Parameters!$A$22:$A$29,0),MATCH(Parameters!$N$22,Parameters!$A$22:$P$22,0)),"")</f>
        <v>600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133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Kisii</v>
      </c>
    </row>
    <row r="33" spans="1:46">
      <c r="A33">
        <v>1</v>
      </c>
      <c r="B33" s="128">
        <f>G34</f>
        <v>42789</v>
      </c>
      <c r="C33" s="27">
        <f>IF(B33&lt;&gt;"",IF(COUNT($A$33:A33)&lt;=$G$39,0,$G$41)+IF(COUNT($A$33:A33)&lt;=$G$40,0,$G$42),0)</f>
        <v>24694.44444444445</v>
      </c>
      <c r="D33" s="170">
        <f>IFERROR(DATE(YEAR(B33),MONTH(B33),1)," ")</f>
        <v>42767</v>
      </c>
      <c r="F33" t="s">
        <v>153</v>
      </c>
      <c r="G33" s="128">
        <f>IF(Inputs!B79="","",DATE(YEAR(Inputs!B79),MONTH(Inputs!B79),DAY(Inputs!B79)))</f>
        <v>42755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42817</v>
      </c>
      <c r="C34" s="27">
        <f>IF(B34&lt;&gt;"",IF(COUNT($A$33:A34)&lt;=$G$39,0,$G$41)+IF(COUNT($A$33:A34)&lt;=$G$40,0,$G$42),0)</f>
        <v>24694.44444444445</v>
      </c>
      <c r="D34" s="170">
        <f>IFERROR(DATE(YEAR(B34),MONTH(B34),1)," ")</f>
        <v>42795</v>
      </c>
      <c r="F34" t="s">
        <v>155</v>
      </c>
      <c r="G34" s="128">
        <f>IF(Inputs!B80="","",DATE(YEAR(Inputs!B80),MONTH(Inputs!B80),DAY(Inputs!B80)))</f>
        <v>42789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42848</v>
      </c>
      <c r="C35" s="27">
        <f>IF(B35&lt;&gt;"",IF(COUNT($A$33:A35)&lt;=$G$39,0,$G$41)+IF(COUNT($A$33:A35)&lt;=$G$40,0,$G$42),0)</f>
        <v>24694.44444444445</v>
      </c>
      <c r="D35" s="170">
        <f>IFERROR(DATE(YEAR(B35),MONTH(B35),1)," ")</f>
        <v>42826</v>
      </c>
      <c r="F35" t="s">
        <v>157</v>
      </c>
      <c r="G35" s="27">
        <f>Inputs!B81</f>
        <v>350000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42878</v>
      </c>
      <c r="C36" s="27">
        <f>IF(B36&lt;&gt;"",IF(COUNT($A$33:A36)&lt;=$G$39,0,$G$41)+IF(COUNT($A$33:A36)&lt;=$G$40,0,$G$42),0)</f>
        <v>24694.44444444445</v>
      </c>
      <c r="D36" s="170">
        <f>IFERROR(DATE(YEAR(B36),MONTH(B36),1)," ")</f>
        <v>42856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42909</v>
      </c>
      <c r="C37" s="27">
        <f>IF(B37&lt;&gt;"",IF(COUNT($A$33:A37)&lt;=$G$39,0,$G$41)+IF(COUNT($A$33:A37)&lt;=$G$40,0,$G$42),0)</f>
        <v>24694.44444444445</v>
      </c>
      <c r="D37" s="170">
        <f>IFERROR(DATE(YEAR(B37),MONTH(B37),1)," ")</f>
        <v>42887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42939</v>
      </c>
      <c r="C38" s="27">
        <f>IF(B38&lt;&gt;"",IF(COUNT($A$33:A38)&lt;=$G$39,0,$G$41)+IF(COUNT($A$33:A38)&lt;=$G$40,0,$G$42),0)</f>
        <v>24694.44444444445</v>
      </c>
      <c r="D38" s="170">
        <f>IFERROR(DATE(YEAR(B38),MONTH(B38),1)," ")</f>
        <v>42917</v>
      </c>
      <c r="F38" t="s">
        <v>220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42970</v>
      </c>
      <c r="C39" s="27">
        <f>IF(B39&lt;&gt;"",IF(COUNT($A$33:A39)&lt;=$G$39,0,$G$41)+IF(COUNT($A$33:A39)&lt;=$G$40,0,$G$42),0)</f>
        <v>24694.44444444445</v>
      </c>
      <c r="D39" s="170">
        <f>IFERROR(DATE(YEAR(B39),MONTH(B39),1)," ")</f>
        <v>42948</v>
      </c>
      <c r="F39" t="s">
        <v>163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43001</v>
      </c>
      <c r="C40" s="27">
        <f>IF(B40&lt;&gt;"",IF(COUNT($A$33:A40)&lt;=$G$39,0,$G$41)+IF(COUNT($A$33:A40)&lt;=$G$40,0,$G$42),0)</f>
        <v>24694.44444444445</v>
      </c>
      <c r="D40" s="170">
        <f>IFERROR(DATE(YEAR(B40),MONTH(B40),1)," ")</f>
        <v>42979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43031</v>
      </c>
      <c r="C41" s="27">
        <f>IF(B41&lt;&gt;"",IF(COUNT($A$33:A41)&lt;=$G$39,0,$G$41)+IF(COUNT($A$33:A41)&lt;=$G$40,0,$G$42),0)</f>
        <v>24694.44444444445</v>
      </c>
      <c r="D41" s="170">
        <f>IFERROR(DATE(YEAR(B41),MONTH(B41),1)," ")</f>
        <v>43009</v>
      </c>
      <c r="F41" t="s">
        <v>221</v>
      </c>
      <c r="G41" s="73">
        <f>IFERROR(G35/(G38-G39),"")</f>
        <v>19444.44444444445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43062</v>
      </c>
      <c r="C42" s="27">
        <f>IF(B42&lt;&gt;"",IF(COUNT($A$33:A42)&lt;=$G$39,0,$G$41)+IF(COUNT($A$33:A42)&lt;=$G$40,0,$G$42),0)</f>
        <v>24694.44444444445</v>
      </c>
      <c r="D42" s="170">
        <f>IFERROR(DATE(YEAR(B42),MONTH(B42),1)," ")</f>
        <v>43040</v>
      </c>
      <c r="F42" t="s">
        <v>222</v>
      </c>
      <c r="G42" s="73">
        <f>IFERROR(G35*G36*IF(G37="Monthly",G38/12,IF(G37="Fortnightly",G38/(365/14),G38/(365/28)))/(G38-G40),"")</f>
        <v>5250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43092</v>
      </c>
      <c r="C43" s="27">
        <f>IF(B43&lt;&gt;"",IF(COUNT($A$33:A43)&lt;=$G$39,0,$G$41)+IF(COUNT($A$33:A43)&lt;=$G$40,0,$G$42),0)</f>
        <v>24694.44444444445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43123</v>
      </c>
      <c r="C44" s="27">
        <f>IF(B44&lt;&gt;"",IF(COUNT($A$33:A44)&lt;=$G$39,0,$G$41)+IF(COUNT($A$33:A44)&lt;=$G$40,0,$G$42),0)</f>
        <v>24694.44444444445</v>
      </c>
      <c r="D44" s="170">
        <f>IFERROR(DATE(YEAR(B44),MONTH(B44),1)," ")</f>
        <v>43101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43154</v>
      </c>
      <c r="C45" s="27">
        <f>IF(B45&lt;&gt;"",IF(COUNT($A$33:A45)&lt;=$G$39,0,$G$41)+IF(COUNT($A$33:A45)&lt;=$G$40,0,$G$42),0)</f>
        <v>24694.44444444445</v>
      </c>
      <c r="D45" s="170">
        <f>IFERROR(DATE(YEAR(B45),MONTH(B45),1)," ")</f>
        <v>43132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43182</v>
      </c>
      <c r="C46" s="27">
        <f>IF(B46&lt;&gt;"",IF(COUNT($A$33:A46)&lt;=$G$39,0,$G$41)+IF(COUNT($A$33:A46)&lt;=$G$40,0,$G$42),0)</f>
        <v>24694.44444444445</v>
      </c>
      <c r="D46" s="170">
        <f>IFERROR(DATE(YEAR(B46),MONTH(B46),1)," ")</f>
        <v>43160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43213</v>
      </c>
      <c r="C47" s="27">
        <f>IF(B47&lt;&gt;"",IF(COUNT($A$33:A47)&lt;=$G$39,0,$G$41)+IF(COUNT($A$33:A47)&lt;=$G$40,0,$G$42),0)</f>
        <v>24694.44444444445</v>
      </c>
      <c r="D47" s="170">
        <f>IFERROR(DATE(YEAR(B47),MONTH(B47),1)," ")</f>
        <v>43191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43243</v>
      </c>
      <c r="C48" s="27">
        <f>IF(B48&lt;&gt;"",IF(COUNT($A$33:A48)&lt;=$G$39,0,$G$41)+IF(COUNT($A$33:A48)&lt;=$G$40,0,$G$42),0)</f>
        <v>24694.44444444445</v>
      </c>
      <c r="D48" s="170">
        <f>IFERROR(DATE(YEAR(B48),MONTH(B48),1)," ")</f>
        <v>43221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43274</v>
      </c>
      <c r="C49" s="27">
        <f>IF(B49&lt;&gt;"",IF(COUNT($A$33:A49)&lt;=$G$39,0,$G$41)+IF(COUNT($A$33:A49)&lt;=$G$40,0,$G$42),0)</f>
        <v>24694.44444444445</v>
      </c>
      <c r="D49" s="170">
        <f>IFERROR(DATE(YEAR(B49),MONTH(B49),1)," ")</f>
        <v>43252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43304</v>
      </c>
      <c r="C50" s="27">
        <f>IF(B50&lt;&gt;"",IF(COUNT($A$33:A50)&lt;=$G$39,0,$G$41)+IF(COUNT($A$33:A50)&lt;=$G$40,0,$G$42),0)</f>
        <v>24694.44444444445</v>
      </c>
      <c r="D50" s="170">
        <f>IFERROR(DATE(YEAR(B50),MONTH(B50),1)," ")</f>
        <v>43282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292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124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124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106</v>
      </c>
      <c r="H78" s="12" t="s">
        <v>310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160</v>
      </c>
      <c r="J79" s="70" t="s">
        <v>356</v>
      </c>
      <c r="K79" s="12" t="s">
        <v>307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