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<sst xmlns="http://schemas.openxmlformats.org/spreadsheetml/2006/main" uniqueCount="367">
  <si>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</si>
  <si>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</si>
  <si>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</si>
  <si>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</si>
  <si>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</si>
  <si>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</si>
  <si>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</si>
  <si>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</si>
  <si>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</si>
  <si>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</si>
  <si>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</si>
  <si>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</si>
  <si>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</si>
  <si>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</si>
  <si>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</si>
  <si>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</si>
  <si>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</si>
  <si>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</si>
  <si>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</si>
  <si>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</si>
  <si>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</si>
  <si>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</si>
  <si>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</si>
  <si>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</si>
  <si>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</si>
  <si>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</si>
  <si>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</si>
  <si>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</si>
  <si>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</si>
  <si>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</si>
  <si>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</si>
  <si>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</si>
  <si>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</si>
  <si>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</si>
  <si>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</si>
  <si>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</si>
  <si>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</si>
  <si>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</si>
  <si>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</si>
  <si>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</si>
  <si>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</si>
  <si>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</si>
  <si>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</si>
  <si>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</si>
  <si>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</si>
  <si>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</si>
  <si>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</si>
  <si>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</si>
  <si>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</si>
  <si>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</si>
  <si>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</si>
  <si>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</si>
  <si>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</si>
  <si>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</si>
  <si>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</si>
  <si>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</si>
  <si>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</si>
  <si>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</si>
  <si>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</si>
  <si>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</si>
  <si>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</si>
  <si>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</si>
  <si>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</si>
  <si>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</si>
  <si>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</si>
  <si>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</si>
  <si>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</si>
  <si>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</si>
  <si>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</si>
  <si>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</si>
  <si>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</si>
  <si>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</si>
  <si>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</si>
  <si>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</si>
  <si>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</si>
  <si>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</si>
  <si>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</si>
  <si>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</si>
  <si>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</si>
  <si>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</si>
  <si>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</si>
  <si>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</si>
  <si>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</si>
  <si>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</si>
  <si>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</si>
  <si>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</si>
  <si>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</si>
  <si>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</si>
  <si>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</si>
  <si>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</si>
  <si>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</si>
  <si>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</si>
  <si>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</si>
  <si>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</si>
  <si>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Other crops</t>
  </si>
  <si>
    <t>January</t>
  </si>
  <si>
    <t>Potatoes</t>
  </si>
  <si>
    <t>Home recycled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</si>
  <si>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</si>
  <si>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</si>
  <si>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</si>
  <si>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</si>
  <si>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</si>
  <si>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</si>
  <si>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</si>
  <si>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</si>
  <si>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</si>
  <si>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</si>
  <si>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</si>
  <si>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</si>
  <si>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</si>
  <si>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</si>
  <si>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</si>
  <si>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</si>
  <si>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</si>
  <si>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</si>
  <si>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</si>
  <si>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cattle trading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</si>
  <si>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</si>
  <si>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</si>
  <si>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</si>
  <si>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</si>
  <si>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</si>
  <si>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</si>
  <si>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</si>
  <si>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</si>
  <si>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</si>
  <si>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</si>
  <si>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</si>
  <si>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</si>
  <si>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</si>
  <si>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</si>
  <si>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</si>
  <si>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</si>
  <si>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</si>
  <si>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</si>
  <si>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</si>
  <si>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</si>
  <si>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</si>
  <si>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</si>
  <si>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</si>
  <si>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</si>
  <si>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</si>
  <si>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</si>
  <si>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</si>
  <si>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</si>
  <si>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</si>
  <si>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</si>
  <si>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</si>
  <si>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</si>
  <si>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</si>
  <si>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</si>
  <si>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</si>
  <si>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</si>
  <si>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</si>
  <si>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</si>
  <si>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</si>
  <si>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2017/1/22</t>
  </si>
  <si>
    <t>Loan terms</t>
  </si>
  <si>
    <t>Expected disbursement date</t>
  </si>
  <si>
    <t>2017/1/26</t>
  </si>
  <si>
    <t>Expected first repayment date</t>
  </si>
  <si>
    <t>2017/2/26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</si>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</sst>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0, Potatoes,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cattle trading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0.01540762902019446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19666.66666666667</v>
      </c>
    </row>
    <row r="17" spans="1:7">
      <c r="B17" s="1" t="s">
        <v>11</v>
      </c>
      <c r="C17" s="36">
        <f>SUM(Output!B6:M6)</f>
        <v>-85172.19355904989</v>
      </c>
    </row>
    <row r="18" spans="1:7">
      <c r="B18" s="1" t="s">
        <v>12</v>
      </c>
      <c r="C18" s="36">
        <f>MIN(Output!B6:M6)</f>
        <v>-148612.1003578306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231144.4050096278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-148612.1003578306</v>
      </c>
      <c r="C6" s="51">
        <f>C30-C88</f>
        <v>-28612.10035783055</v>
      </c>
      <c r="D6" s="51">
        <f>D30-D88</f>
        <v>-50112.10035783055</v>
      </c>
      <c r="E6" s="51">
        <f>E30-E88</f>
        <v>-28612.10035783055</v>
      </c>
      <c r="F6" s="51">
        <f>F30-F88</f>
        <v>231144.4050096278</v>
      </c>
      <c r="G6" s="51">
        <f>G30-G88</f>
        <v>-17782.10035783055</v>
      </c>
      <c r="H6" s="51">
        <f>H30-H88</f>
        <v>-148612.1003578306</v>
      </c>
      <c r="I6" s="51">
        <f>I30-I88</f>
        <v>-28612.10035783055</v>
      </c>
      <c r="J6" s="51">
        <f>J30-J88</f>
        <v>-50112.10035783055</v>
      </c>
      <c r="K6" s="51">
        <f>K30-K88</f>
        <v>-28612.10035783055</v>
      </c>
      <c r="L6" s="51">
        <f>L30-L88</f>
        <v>231144.4050096278</v>
      </c>
      <c r="M6" s="51">
        <f>M30-M88</f>
        <v>-17782.10035783055</v>
      </c>
      <c r="N6" s="51">
        <f>N30-N88</f>
        <v>-148612.1003578306</v>
      </c>
      <c r="O6" s="51">
        <f>O30-O88</f>
        <v>-28612.10035783055</v>
      </c>
      <c r="P6" s="51">
        <f>P30-P88</f>
        <v>-50112.10035783055</v>
      </c>
      <c r="Q6" s="51">
        <f>Q30-Q88</f>
        <v>-28612.10035783055</v>
      </c>
      <c r="R6" s="51">
        <f>R30-R88</f>
        <v>231144.4050096278</v>
      </c>
      <c r="S6" s="51">
        <f>S30-S88</f>
        <v>-17782.10035783055</v>
      </c>
      <c r="T6" s="51">
        <f>T30-T88</f>
        <v>-148612.1003578306</v>
      </c>
      <c r="U6" s="51">
        <f>U30-U88</f>
        <v>-28612.10035783055</v>
      </c>
      <c r="V6" s="51">
        <f>V30-V88</f>
        <v>-50112.10035783055</v>
      </c>
      <c r="W6" s="51">
        <f>W30-W88</f>
        <v>-28612.10035783055</v>
      </c>
      <c r="X6" s="51">
        <f>X30-X88</f>
        <v>231144.4050096278</v>
      </c>
      <c r="Y6" s="51">
        <f>Y30-Y88</f>
        <v>-17782.10035783055</v>
      </c>
      <c r="Z6" s="51">
        <f>SUMIF($B$13:$Y$13,"Yes",B6:Y6)</f>
        <v>-233784.2939168804</v>
      </c>
      <c r="AA6" s="51">
        <f>AA30-AA88</f>
        <v>-85172.19355904986</v>
      </c>
      <c r="AB6" s="51">
        <f>AB30-AB88</f>
        <v>-170344.3871180995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242280</v>
      </c>
      <c r="I7" s="80">
        <f>IF(ISERROR(VLOOKUP(MONTH(I5),Inputs!$D$66:$D$71,1,0)),"",INDEX(Inputs!$B$66:$B$71,MATCH(MONTH(Output!I5),Inputs!$D$66:$D$71,0))-INDEX(Inputs!$C$66:$C$71,MATCH(MONTH(Output!I5),Inputs!$D$66:$D$71,0)))</f>
        <v>70280</v>
      </c>
      <c r="J7" s="80">
        <f>IF(ISERROR(VLOOKUP(MONTH(J5),Inputs!$D$66:$D$71,1,0)),"",INDEX(Inputs!$B$66:$B$71,MATCH(MONTH(Output!J5),Inputs!$D$66:$D$71,0))-INDEX(Inputs!$C$66:$C$71,MATCH(MONTH(Output!J5),Inputs!$D$66:$D$71,0)))</f>
        <v>10115</v>
      </c>
      <c r="K7" s="80">
        <f>IF(ISERROR(VLOOKUP(MONTH(K5),Inputs!$D$66:$D$71,1,0)),"",INDEX(Inputs!$B$66:$B$71,MATCH(MONTH(Output!K5),Inputs!$D$66:$D$71,0))-INDEX(Inputs!$C$66:$C$71,MATCH(MONTH(Output!K5),Inputs!$D$66:$D$71,0)))</f>
        <v>10803</v>
      </c>
      <c r="L7" s="80">
        <f>IF(ISERROR(VLOOKUP(MONTH(L5),Inputs!$D$66:$D$71,1,0)),"",INDEX(Inputs!$B$66:$B$71,MATCH(MONTH(Output!L5),Inputs!$D$66:$D$71,0))-INDEX(Inputs!$C$66:$C$71,MATCH(MONTH(Output!L5),Inputs!$D$66:$D$71,0)))</f>
        <v>157967</v>
      </c>
      <c r="M7" s="80">
        <f>IF(ISERROR(VLOOKUP(MONTH(M5),Inputs!$D$66:$D$71,1,0)),"",INDEX(Inputs!$B$66:$B$71,MATCH(MONTH(Output!M5),Inputs!$D$66:$D$71,0))-INDEX(Inputs!$C$66:$C$71,MATCH(MONTH(Output!M5),Inputs!$D$66:$D$71,0)))</f>
        <v>14945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242280</v>
      </c>
      <c r="U7" s="80">
        <f>IF(ISERROR(VLOOKUP(MONTH(U5),Inputs!$D$66:$D$71,1,0)),"",INDEX(Inputs!$B$66:$B$71,MATCH(MONTH(Output!U5),Inputs!$D$66:$D$71,0))-INDEX(Inputs!$C$66:$C$71,MATCH(MONTH(Output!U5),Inputs!$D$66:$D$71,0)))</f>
        <v>70280</v>
      </c>
      <c r="V7" s="80">
        <f>IF(ISERROR(VLOOKUP(MONTH(V5),Inputs!$D$66:$D$71,1,0)),"",INDEX(Inputs!$B$66:$B$71,MATCH(MONTH(Output!V5),Inputs!$D$66:$D$71,0))-INDEX(Inputs!$C$66:$C$71,MATCH(MONTH(Output!V5),Inputs!$D$66:$D$71,0)))</f>
        <v>10115</v>
      </c>
      <c r="W7" s="80">
        <f>IF(ISERROR(VLOOKUP(MONTH(W5),Inputs!$D$66:$D$71,1,0)),"",INDEX(Inputs!$B$66:$B$71,MATCH(MONTH(Output!W5),Inputs!$D$66:$D$71,0))-INDEX(Inputs!$C$66:$C$71,MATCH(MONTH(Output!W5),Inputs!$D$66:$D$71,0)))</f>
        <v>10803</v>
      </c>
      <c r="X7" s="80">
        <f>IF(ISERROR(VLOOKUP(MONTH(X5),Inputs!$D$66:$D$71,1,0)),"",INDEX(Inputs!$B$66:$B$71,MATCH(MONTH(Output!X5),Inputs!$D$66:$D$71,0))-INDEX(Inputs!$C$66:$C$71,MATCH(MONTH(Output!X5),Inputs!$D$66:$D$71,0)))</f>
        <v>157967</v>
      </c>
      <c r="Y7" s="80">
        <f>IF(ISERROR(VLOOKUP(MONTH(Y5),Inputs!$D$66:$D$71,1,0)),"",INDEX(Inputs!$B$66:$B$71,MATCH(MONTH(Output!Y5),Inputs!$D$66:$D$71,0))-INDEX(Inputs!$C$66:$C$71,MATCH(MONTH(Output!Y5),Inputs!$D$66:$D$71,0)))</f>
        <v>14945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19666.66666666667</v>
      </c>
      <c r="D10" s="37">
        <f>SUMPRODUCT((Calculations!$D$33:$D$84=Output!D5)+0,Calculations!$C$33:$C$84)</f>
        <v>19666.66666666667</v>
      </c>
      <c r="E10" s="37">
        <f>SUMPRODUCT((Calculations!$D$33:$D$84=Output!E5)+0,Calculations!$C$33:$C$84)</f>
        <v>19666.66666666667</v>
      </c>
      <c r="F10" s="37">
        <f>SUMPRODUCT((Calculations!$D$33:$D$84=Output!F5)+0,Calculations!$C$33:$C$84)</f>
        <v>19666.66666666667</v>
      </c>
      <c r="G10" s="37">
        <f>SUMPRODUCT((Calculations!$D$33:$D$84=Output!G5)+0,Calculations!$C$33:$C$84)</f>
        <v>19666.66666666667</v>
      </c>
      <c r="H10" s="37">
        <f>SUMPRODUCT((Calculations!$D$33:$D$84=Output!H5)+0,Calculations!$C$33:$C$84)</f>
        <v>19666.66666666667</v>
      </c>
      <c r="I10" s="37">
        <f>SUMPRODUCT((Calculations!$D$33:$D$84=Output!I5)+0,Calculations!$C$33:$C$84)</f>
        <v>19666.66666666667</v>
      </c>
      <c r="J10" s="37">
        <f>SUMPRODUCT((Calculations!$D$33:$D$84=Output!J5)+0,Calculations!$C$33:$C$84)</f>
        <v>19666.66666666667</v>
      </c>
      <c r="K10" s="37">
        <f>SUMPRODUCT((Calculations!$D$33:$D$84=Output!K5)+0,Calculations!$C$33:$C$84)</f>
        <v>19666.66666666667</v>
      </c>
      <c r="L10" s="37">
        <f>SUMPRODUCT((Calculations!$D$33:$D$84=Output!L5)+0,Calculations!$C$33:$C$84)</f>
        <v>19666.66666666667</v>
      </c>
      <c r="M10" s="37">
        <f>SUMPRODUCT((Calculations!$D$33:$D$84=Output!M5)+0,Calculations!$C$33:$C$84)</f>
        <v>19666.66666666667</v>
      </c>
      <c r="N10" s="37">
        <f>SUMPRODUCT((Calculations!$D$33:$D$84=Output!N5)+0,Calculations!$C$33:$C$84)</f>
        <v>19666.66666666667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216333.3333333333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51387.89964216945</v>
      </c>
      <c r="C11" s="80">
        <f>C6+C9-C10</f>
        <v>-48278.76702449723</v>
      </c>
      <c r="D11" s="80">
        <f>D6+D9-D10</f>
        <v>-69778.76702449723</v>
      </c>
      <c r="E11" s="80">
        <f>E6+E9-E10</f>
        <v>-48278.76702449723</v>
      </c>
      <c r="F11" s="80">
        <f>F6+F9-F10</f>
        <v>211477.7383429612</v>
      </c>
      <c r="G11" s="80">
        <f>G6+G9-G10</f>
        <v>-37448.76702449723</v>
      </c>
      <c r="H11" s="80">
        <f>H6+H9-H10</f>
        <v>-168278.7670244972</v>
      </c>
      <c r="I11" s="80">
        <f>I6+I9-I10</f>
        <v>-48278.76702449723</v>
      </c>
      <c r="J11" s="80">
        <f>J6+J9-J10</f>
        <v>-69778.76702449723</v>
      </c>
      <c r="K11" s="80">
        <f>K6+K9-K10</f>
        <v>-48278.76702449723</v>
      </c>
      <c r="L11" s="80">
        <f>L6+L9-L10</f>
        <v>211477.7383429612</v>
      </c>
      <c r="M11" s="80">
        <f>M6+M9-M10</f>
        <v>-37448.76702449723</v>
      </c>
      <c r="N11" s="80">
        <f>N6+N9-N10</f>
        <v>-168278.7670244972</v>
      </c>
      <c r="O11" s="80">
        <f>O6+O9-O10</f>
        <v>-28612.10035783055</v>
      </c>
      <c r="P11" s="80">
        <f>P6+P9-P10</f>
        <v>-50112.10035783055</v>
      </c>
      <c r="Q11" s="80">
        <f>Q6+Q9-Q10</f>
        <v>-28612.10035783055</v>
      </c>
      <c r="R11" s="80">
        <f>R6+R9-R10</f>
        <v>231144.4050096278</v>
      </c>
      <c r="S11" s="80">
        <f>S6+S9-S10</f>
        <v>-17782.10035783055</v>
      </c>
      <c r="T11" s="80">
        <f>T6+T9-T10</f>
        <v>-148612.1003578306</v>
      </c>
      <c r="U11" s="80">
        <f>U6+U9-U10</f>
        <v>-28612.10035783055</v>
      </c>
      <c r="V11" s="80">
        <f>V6+V9-V10</f>
        <v>-50112.10035783055</v>
      </c>
      <c r="W11" s="80">
        <f>W6+W9-W10</f>
        <v>-28612.10035783055</v>
      </c>
      <c r="X11" s="80">
        <f>X6+X9-X10</f>
        <v>231144.4050096278</v>
      </c>
      <c r="Y11" s="80">
        <f>Y6+Y9-Y10</f>
        <v>-17782.10035783055</v>
      </c>
      <c r="Z11" s="85">
        <f>SUMIF($B$13:$Y$13,"Yes",B11:Y11)</f>
        <v>-269784.2939168804</v>
      </c>
      <c r="AA11" s="80">
        <f>SUM(B11:M11)</f>
        <v>-101505.5268923832</v>
      </c>
      <c r="AB11" s="46">
        <f>SUM(B11:Y11)</f>
        <v>-206344.3871180998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0.863489637449952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0.449020896937902</v>
      </c>
      <c r="G12" s="82">
        <f>IF(G13="Yes",IF(SUM($B$10:G10)/(SUM($B$6:G6)+SUM($B$9:G9))&lt;0,999.99,SUM($B$10:G10)/(SUM($B$6:G6)+SUM($B$9:G9))),"")</f>
        <v>0.6246801033553369</v>
      </c>
      <c r="H12" s="82">
        <f>IF(H13="Yes",IF(SUM($B$10:H10)/(SUM($B$6:H6)+SUM($B$9:H9))&lt;0,999.99,SUM($B$10:H10)/(SUM($B$6:H6)+SUM($B$9:H9))),"")</f>
        <v>13.4063443412032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1.483046564274299</v>
      </c>
      <c r="M12" s="82">
        <f>IF(M13="Yes",IF(SUM($B$10:M10)/(SUM($B$6:M6)+SUM($B$9:M9))&lt;0,999.99,SUM($B$10:M10)/(SUM($B$6:M6)+SUM($B$9:M9))),"")</f>
        <v>1.883980370595881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 t="str">
        <f>IF(Calculations!A6&lt;&gt;Parameters!$A$18,IF(Calculations!A6=0,"",Calculations!A6),Inputs!B9)</f>
        <v>Potatoes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259756.5053674584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259756.5053674584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259756.5053674584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259756.5053674584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519513.0107349168</v>
      </c>
      <c r="AA20" s="36">
        <f>SUM(B20:M20)</f>
        <v>519513.0107349168</v>
      </c>
      <c r="AB20" s="36">
        <f>SUM(B20:Y20)</f>
        <v>1039026.021469834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28000.00000000001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12777.77777777778</v>
      </c>
      <c r="C24" s="36">
        <f>IFERROR(Calculations!$P14/12,"")</f>
        <v>12777.77777777778</v>
      </c>
      <c r="D24" s="36">
        <f>IFERROR(Calculations!$P14/12,"")</f>
        <v>12777.77777777778</v>
      </c>
      <c r="E24" s="36">
        <f>IFERROR(Calculations!$P14/12,"")</f>
        <v>12777.77777777778</v>
      </c>
      <c r="F24" s="36">
        <f>IFERROR(Calculations!$P14/12,"")</f>
        <v>12777.77777777778</v>
      </c>
      <c r="G24" s="36">
        <f>IFERROR(Calculations!$P14/12,"")</f>
        <v>12777.77777777778</v>
      </c>
      <c r="H24" s="36">
        <f>IFERROR(Calculations!$P14/12,"")</f>
        <v>12777.77777777778</v>
      </c>
      <c r="I24" s="36">
        <f>IFERROR(Calculations!$P14/12,"")</f>
        <v>12777.77777777778</v>
      </c>
      <c r="J24" s="36">
        <f>IFERROR(Calculations!$P14/12,"")</f>
        <v>12777.77777777778</v>
      </c>
      <c r="K24" s="36">
        <f>IFERROR(Calculations!$P14/12,"")</f>
        <v>12777.77777777778</v>
      </c>
      <c r="L24" s="36">
        <f>IFERROR(Calculations!$P14/12,"")</f>
        <v>12777.77777777778</v>
      </c>
      <c r="M24" s="36">
        <f>IFERROR(Calculations!$P14/12,"")</f>
        <v>12777.77777777778</v>
      </c>
      <c r="N24" s="36">
        <f>IFERROR(Calculations!$P14/12,"")</f>
        <v>12777.77777777778</v>
      </c>
      <c r="O24" s="36">
        <f>IFERROR(Calculations!$P14/12,"")</f>
        <v>12777.77777777778</v>
      </c>
      <c r="P24" s="36">
        <f>IFERROR(Calculations!$P14/12,"")</f>
        <v>12777.77777777778</v>
      </c>
      <c r="Q24" s="36">
        <f>IFERROR(Calculations!$P14/12,"")</f>
        <v>12777.77777777778</v>
      </c>
      <c r="R24" s="36">
        <f>IFERROR(Calculations!$P14/12,"")</f>
        <v>12777.77777777778</v>
      </c>
      <c r="S24" s="36">
        <f>IFERROR(Calculations!$P14/12,"")</f>
        <v>12777.77777777778</v>
      </c>
      <c r="T24" s="36">
        <f>IFERROR(Calculations!$P14/12,"")</f>
        <v>12777.77777777778</v>
      </c>
      <c r="U24" s="36">
        <f>IFERROR(Calculations!$P14/12,"")</f>
        <v>12777.77777777778</v>
      </c>
      <c r="V24" s="36">
        <f>IFERROR(Calculations!$P14/12,"")</f>
        <v>12777.77777777778</v>
      </c>
      <c r="W24" s="36">
        <f>IFERROR(Calculations!$P14/12,"")</f>
        <v>12777.77777777778</v>
      </c>
      <c r="X24" s="36">
        <f>IFERROR(Calculations!$P14/12,"")</f>
        <v>12777.77777777778</v>
      </c>
      <c r="Y24" s="36">
        <f>IFERROR(Calculations!$P14/12,"")</f>
        <v>12777.77777777778</v>
      </c>
      <c r="Z24" s="36">
        <f>SUMIF($B$13:$Y$13,"Yes",B24:Y24)</f>
        <v>166111.1111111111</v>
      </c>
      <c r="AA24" s="36">
        <f>SUM(B24:M24)</f>
        <v>153333.3333333333</v>
      </c>
      <c r="AB24" s="46">
        <f>SUM(B24:Y24)</f>
        <v>306666.6666666666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18000</v>
      </c>
      <c r="C29" s="37">
        <f>Inputs!$B$30</f>
        <v>18000</v>
      </c>
      <c r="D29" s="37">
        <f>Inputs!$B$30</f>
        <v>18000</v>
      </c>
      <c r="E29" s="37">
        <f>Inputs!$B$30</f>
        <v>18000</v>
      </c>
      <c r="F29" s="37">
        <f>Inputs!$B$30</f>
        <v>18000</v>
      </c>
      <c r="G29" s="37">
        <f>Inputs!$B$30</f>
        <v>18000</v>
      </c>
      <c r="H29" s="37">
        <f>Inputs!$B$30</f>
        <v>18000</v>
      </c>
      <c r="I29" s="37">
        <f>Inputs!$B$30</f>
        <v>18000</v>
      </c>
      <c r="J29" s="37">
        <f>Inputs!$B$30</f>
        <v>18000</v>
      </c>
      <c r="K29" s="37">
        <f>Inputs!$B$30</f>
        <v>18000</v>
      </c>
      <c r="L29" s="37">
        <f>Inputs!$B$30</f>
        <v>18000</v>
      </c>
      <c r="M29" s="37">
        <f>Inputs!$B$30</f>
        <v>18000</v>
      </c>
      <c r="N29" s="37">
        <f>Inputs!$B$30</f>
        <v>18000</v>
      </c>
      <c r="O29" s="37">
        <f>Inputs!$B$30</f>
        <v>18000</v>
      </c>
      <c r="P29" s="37">
        <f>Inputs!$B$30</f>
        <v>18000</v>
      </c>
      <c r="Q29" s="37">
        <f>Inputs!$B$30</f>
        <v>18000</v>
      </c>
      <c r="R29" s="37">
        <f>Inputs!$B$30</f>
        <v>18000</v>
      </c>
      <c r="S29" s="37">
        <f>Inputs!$B$30</f>
        <v>18000</v>
      </c>
      <c r="T29" s="37">
        <f>Inputs!$B$30</f>
        <v>18000</v>
      </c>
      <c r="U29" s="37">
        <f>Inputs!$B$30</f>
        <v>18000</v>
      </c>
      <c r="V29" s="37">
        <f>Inputs!$B$30</f>
        <v>18000</v>
      </c>
      <c r="W29" s="37">
        <f>Inputs!$B$30</f>
        <v>18000</v>
      </c>
      <c r="X29" s="37">
        <f>Inputs!$B$30</f>
        <v>18000</v>
      </c>
      <c r="Y29" s="37">
        <f>Inputs!$B$30</f>
        <v>18000</v>
      </c>
      <c r="Z29" s="37">
        <f>SUMIF($B$13:$Y$13,"Yes",B29:Y29)</f>
        <v>234000</v>
      </c>
      <c r="AA29" s="37">
        <f>SUM(B29:M29)</f>
        <v>216000</v>
      </c>
      <c r="AB29" s="37">
        <f>SUM(B29:Y29)</f>
        <v>432000</v>
      </c>
    </row>
    <row r="30" spans="1:30" customHeight="1" ht="15.75">
      <c r="A30" s="1" t="s">
        <v>37</v>
      </c>
      <c r="B30" s="19">
        <f>SUM(B18:B29)</f>
        <v>30777.77777777778</v>
      </c>
      <c r="C30" s="19">
        <f>SUM(C18:C29)</f>
        <v>30777.77777777778</v>
      </c>
      <c r="D30" s="19">
        <f>SUM(D18:D29)</f>
        <v>30777.77777777778</v>
      </c>
      <c r="E30" s="19">
        <f>SUM(E18:E29)</f>
        <v>30777.77777777778</v>
      </c>
      <c r="F30" s="19">
        <f>SUM(F18:F29)</f>
        <v>290534.2831452361</v>
      </c>
      <c r="G30" s="19">
        <f>SUM(G18:G29)</f>
        <v>30777.77777777778</v>
      </c>
      <c r="H30" s="19">
        <f>SUM(H18:H29)</f>
        <v>30777.77777777778</v>
      </c>
      <c r="I30" s="19">
        <f>SUM(I18:I29)</f>
        <v>30777.77777777778</v>
      </c>
      <c r="J30" s="19">
        <f>SUM(J18:J29)</f>
        <v>30777.77777777778</v>
      </c>
      <c r="K30" s="19">
        <f>SUM(K18:K29)</f>
        <v>30777.77777777778</v>
      </c>
      <c r="L30" s="19">
        <f>SUM(L18:L29)</f>
        <v>290534.2831452361</v>
      </c>
      <c r="M30" s="19">
        <f>SUM(M18:M29)</f>
        <v>30777.77777777778</v>
      </c>
      <c r="N30" s="19">
        <f>SUM(N18:N29)</f>
        <v>30777.77777777778</v>
      </c>
      <c r="O30" s="19">
        <f>SUM(O18:O29)</f>
        <v>30777.77777777778</v>
      </c>
      <c r="P30" s="19">
        <f>SUM(P18:P29)</f>
        <v>30777.77777777778</v>
      </c>
      <c r="Q30" s="19">
        <f>SUM(Q18:Q29)</f>
        <v>30777.77777777778</v>
      </c>
      <c r="R30" s="19">
        <f>SUM(R18:R29)</f>
        <v>290534.2831452361</v>
      </c>
      <c r="S30" s="19">
        <f>SUM(S18:S29)</f>
        <v>30777.77777777778</v>
      </c>
      <c r="T30" s="19">
        <f>SUM(T18:T29)</f>
        <v>30777.77777777778</v>
      </c>
      <c r="U30" s="19">
        <f>SUM(U18:U29)</f>
        <v>30777.77777777778</v>
      </c>
      <c r="V30" s="19">
        <f>SUM(V18:V29)</f>
        <v>30777.77777777778</v>
      </c>
      <c r="W30" s="19">
        <f>SUM(W18:W29)</f>
        <v>30777.77777777778</v>
      </c>
      <c r="X30" s="19">
        <f>SUM(X18:X29)</f>
        <v>290534.2831452361</v>
      </c>
      <c r="Y30" s="19">
        <f>SUM(Y18:Y29)</f>
        <v>30777.77777777778</v>
      </c>
      <c r="Z30" s="19">
        <f>SUMIF($B$13:$Y$13,"Yes",B30:Y30)</f>
        <v>919624.1218460277</v>
      </c>
      <c r="AA30" s="19">
        <f>SUM(B30:M30)</f>
        <v>888846.3440682499</v>
      </c>
      <c r="AB30" s="19">
        <f>SUM(B30:Y30)</f>
        <v>1777692.6881365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Potatoes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120000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120000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120000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120000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360000</v>
      </c>
      <c r="AA42" s="36">
        <f>SUM(B42:M42)</f>
        <v>240000</v>
      </c>
      <c r="AB42" s="36">
        <f>SUM(B42:Y42)</f>
        <v>480000</v>
      </c>
    </row>
    <row r="43" spans="1:30" hidden="true" outlineLevel="1">
      <c r="A43" s="181" t="str">
        <f>Calculations!$A$4</f>
        <v>Wheat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Potatoes</v>
      </c>
      <c r="B45" s="36">
        <f>N45</f>
        <v>120000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120000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120000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120000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360000</v>
      </c>
      <c r="AA45" s="36">
        <f>SUM(B45:M45)</f>
        <v>240000</v>
      </c>
      <c r="AB45" s="36">
        <f>SUM(B45:Y45)</f>
        <v>480000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21500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21500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21500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21500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43000</v>
      </c>
      <c r="AA48" s="46">
        <f>SUM(B48:M48)</f>
        <v>43000</v>
      </c>
      <c r="AB48" s="46">
        <f>SUM(B48:Y48)</f>
        <v>86000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Potatoes</v>
      </c>
      <c r="B51" s="36">
        <f>N51</f>
        <v>0</v>
      </c>
      <c r="C51" s="36">
        <f>O51</f>
        <v>0</v>
      </c>
      <c r="D51" s="36">
        <f>P51</f>
        <v>21500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21500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21500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21500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43000</v>
      </c>
      <c r="AA51" s="46">
        <f>SUM(B51:M51)</f>
        <v>43000</v>
      </c>
      <c r="AB51" s="46">
        <f>SUM(B51:Y51)</f>
        <v>86000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Potatoes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Potatoes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55955</v>
      </c>
      <c r="C66" s="36">
        <f>O66</f>
        <v>55955</v>
      </c>
      <c r="D66" s="36">
        <f>P66</f>
        <v>55955</v>
      </c>
      <c r="E66" s="36">
        <f>Q66</f>
        <v>55955</v>
      </c>
      <c r="F66" s="36">
        <f>R66</f>
        <v>55955</v>
      </c>
      <c r="G66" s="36">
        <f>S66</f>
        <v>45125</v>
      </c>
      <c r="H66" s="36">
        <f>T66</f>
        <v>55955</v>
      </c>
      <c r="I66" s="36">
        <f>U66</f>
        <v>55955</v>
      </c>
      <c r="J66" s="36">
        <f>V66</f>
        <v>55955</v>
      </c>
      <c r="K66" s="36">
        <f>W66</f>
        <v>55955</v>
      </c>
      <c r="L66" s="36">
        <f>X66</f>
        <v>55955</v>
      </c>
      <c r="M66" s="36">
        <f>Y66</f>
        <v>45125</v>
      </c>
      <c r="N66" s="46">
        <f>SUM(N67:N71)</f>
        <v>55955</v>
      </c>
      <c r="O66" s="46">
        <f>SUM(O67:O71)</f>
        <v>55955</v>
      </c>
      <c r="P66" s="46">
        <f>SUM(P67:P71)</f>
        <v>55955</v>
      </c>
      <c r="Q66" s="46">
        <f>SUM(Q67:Q71)</f>
        <v>55955</v>
      </c>
      <c r="R66" s="46">
        <f>SUM(R67:R71)</f>
        <v>55955</v>
      </c>
      <c r="S66" s="46">
        <f>SUM(S67:S71)</f>
        <v>45125</v>
      </c>
      <c r="T66" s="46">
        <f>SUM(T67:T71)</f>
        <v>55955</v>
      </c>
      <c r="U66" s="46">
        <f>SUM(U67:U71)</f>
        <v>55955</v>
      </c>
      <c r="V66" s="46">
        <f>SUM(V67:V71)</f>
        <v>55955</v>
      </c>
      <c r="W66" s="46">
        <f>SUM(W67:W71)</f>
        <v>55955</v>
      </c>
      <c r="X66" s="46">
        <f>SUM(X67:X71)</f>
        <v>55955</v>
      </c>
      <c r="Y66" s="46">
        <f>SUM(Y67:Y71)</f>
        <v>45125</v>
      </c>
      <c r="Z66" s="46">
        <f>SUMIF($B$13:$Y$13,"Yes",B66:Y66)</f>
        <v>705755</v>
      </c>
      <c r="AA66" s="46">
        <f>SUM(B66:M66)</f>
        <v>649800</v>
      </c>
      <c r="AB66" s="46">
        <f>SUM(B66:Y66)</f>
        <v>1299600</v>
      </c>
    </row>
    <row r="67" spans="1:30" hidden="true" outlineLevel="1">
      <c r="A67" s="181" t="str">
        <f>Calculations!$A$4</f>
        <v>Wheat</v>
      </c>
      <c r="B67" s="36">
        <f>N67</f>
        <v>45125</v>
      </c>
      <c r="C67" s="36">
        <f>O67</f>
        <v>45125</v>
      </c>
      <c r="D67" s="36">
        <f>P67</f>
        <v>45125</v>
      </c>
      <c r="E67" s="36">
        <f>Q67</f>
        <v>45125</v>
      </c>
      <c r="F67" s="36">
        <f>R67</f>
        <v>45125</v>
      </c>
      <c r="G67" s="36">
        <f>S67</f>
        <v>45125</v>
      </c>
      <c r="H67" s="36">
        <f>T67</f>
        <v>45125</v>
      </c>
      <c r="I67" s="36">
        <f>U67</f>
        <v>45125</v>
      </c>
      <c r="J67" s="36">
        <f>V67</f>
        <v>45125</v>
      </c>
      <c r="K67" s="36">
        <f>W67</f>
        <v>45125</v>
      </c>
      <c r="L67" s="36">
        <f>X67</f>
        <v>45125</v>
      </c>
      <c r="M67" s="36">
        <f>Y67</f>
        <v>45125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45125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45125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45125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45125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45125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45125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45125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45125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45125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45125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45125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45125</v>
      </c>
      <c r="Z67" s="46">
        <f>SUMIF($B$13:$Y$13,"Yes",B67:Y67)</f>
        <v>586625</v>
      </c>
      <c r="AA67" s="46">
        <f>SUM(B67:M67)</f>
        <v>541500</v>
      </c>
      <c r="AB67" s="46">
        <f>SUM(B67:Y67)</f>
        <v>1083000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Potatoes</v>
      </c>
      <c r="B69" s="36">
        <f>N69</f>
        <v>10830</v>
      </c>
      <c r="C69" s="36">
        <f>O69</f>
        <v>10830</v>
      </c>
      <c r="D69" s="36">
        <f>P69</f>
        <v>10830</v>
      </c>
      <c r="E69" s="36">
        <f>Q69</f>
        <v>10830</v>
      </c>
      <c r="F69" s="36">
        <f>R69</f>
        <v>10830</v>
      </c>
      <c r="G69" s="36">
        <f>S69</f>
        <v>0</v>
      </c>
      <c r="H69" s="36">
        <f>T69</f>
        <v>10830</v>
      </c>
      <c r="I69" s="36">
        <f>U69</f>
        <v>10830</v>
      </c>
      <c r="J69" s="36">
        <f>V69</f>
        <v>10830</v>
      </c>
      <c r="K69" s="36">
        <f>W69</f>
        <v>10830</v>
      </c>
      <c r="L69" s="36">
        <f>X69</f>
        <v>10830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10830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10830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10830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10830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10830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10830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10830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10830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10830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10830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119130</v>
      </c>
      <c r="AA69" s="46">
        <f>SUM(B69:M69)</f>
        <v>108300</v>
      </c>
      <c r="AB69" s="46">
        <f>SUM(B69:Y69)</f>
        <v>216600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1000</v>
      </c>
      <c r="C75" s="46">
        <f>SUM(Calculations!$R$14:$R$16)/12</f>
        <v>1000</v>
      </c>
      <c r="D75" s="46">
        <f>SUM(Calculations!$R$14:$R$16)/12</f>
        <v>1000</v>
      </c>
      <c r="E75" s="46">
        <f>SUM(Calculations!$R$14:$R$16)/12</f>
        <v>1000</v>
      </c>
      <c r="F75" s="46">
        <f>SUM(Calculations!$R$14:$R$16)/12</f>
        <v>1000</v>
      </c>
      <c r="G75" s="46">
        <f>SUM(Calculations!$R$14:$R$16)/12</f>
        <v>1000</v>
      </c>
      <c r="H75" s="46">
        <f>SUM(Calculations!$R$14:$R$16)/12</f>
        <v>1000</v>
      </c>
      <c r="I75" s="46">
        <f>SUM(Calculations!$R$14:$R$16)/12</f>
        <v>1000</v>
      </c>
      <c r="J75" s="46">
        <f>SUM(Calculations!$R$14:$R$16)/12</f>
        <v>1000</v>
      </c>
      <c r="K75" s="46">
        <f>SUM(Calculations!$R$14:$R$16)/12</f>
        <v>1000</v>
      </c>
      <c r="L75" s="46">
        <f>SUM(Calculations!$R$14:$R$16)/12</f>
        <v>1000</v>
      </c>
      <c r="M75" s="46">
        <f>SUM(Calculations!$R$14:$R$16)/12</f>
        <v>1000</v>
      </c>
      <c r="N75" s="46">
        <f>SUM(Calculations!$R$14:$R$16)/12</f>
        <v>1000</v>
      </c>
      <c r="O75" s="46">
        <f>SUM(Calculations!$R$14:$R$16)/12</f>
        <v>1000</v>
      </c>
      <c r="P75" s="46">
        <f>SUM(Calculations!$R$14:$R$16)/12</f>
        <v>1000</v>
      </c>
      <c r="Q75" s="46">
        <f>SUM(Calculations!$R$14:$R$16)/12</f>
        <v>1000</v>
      </c>
      <c r="R75" s="46">
        <f>SUM(Calculations!$R$14:$R$16)/12</f>
        <v>1000</v>
      </c>
      <c r="S75" s="46">
        <f>SUM(Calculations!$R$14:$R$16)/12</f>
        <v>1000</v>
      </c>
      <c r="T75" s="46">
        <f>SUM(Calculations!$R$14:$R$16)/12</f>
        <v>1000</v>
      </c>
      <c r="U75" s="46">
        <f>SUM(Calculations!$R$14:$R$16)/12</f>
        <v>1000</v>
      </c>
      <c r="V75" s="46">
        <f>SUM(Calculations!$R$14:$R$16)/12</f>
        <v>1000</v>
      </c>
      <c r="W75" s="46">
        <f>SUM(Calculations!$R$14:$R$16)/12</f>
        <v>1000</v>
      </c>
      <c r="X75" s="46">
        <f>SUM(Calculations!$R$14:$R$16)/12</f>
        <v>1000</v>
      </c>
      <c r="Y75" s="46">
        <f>SUM(Calculations!$R$14:$R$16)/12</f>
        <v>1000</v>
      </c>
      <c r="Z75" s="46">
        <f>SUMIF($B$13:$Y$13,"Yes",B75:Y75)</f>
        <v>13000</v>
      </c>
      <c r="AA75" s="46">
        <f>SUM(B75:M75)</f>
        <v>12000</v>
      </c>
      <c r="AB75" s="46">
        <f>SUM(B75:Y75)</f>
        <v>24000</v>
      </c>
    </row>
    <row r="76" spans="1:30">
      <c r="A76" s="16" t="s">
        <v>48</v>
      </c>
      <c r="B76" s="46">
        <f>SUM(Calculations!$S$14:$S$16)/12</f>
        <v>1166.666666666667</v>
      </c>
      <c r="C76" s="46">
        <f>SUM(Calculations!$S$14:$S$16)/12</f>
        <v>1166.666666666667</v>
      </c>
      <c r="D76" s="46">
        <f>SUM(Calculations!$S$14:$S$16)/12</f>
        <v>1166.666666666667</v>
      </c>
      <c r="E76" s="46">
        <f>SUM(Calculations!$S$14:$S$16)/12</f>
        <v>1166.666666666667</v>
      </c>
      <c r="F76" s="46">
        <f>SUM(Calculations!$S$14:$S$16)/12</f>
        <v>1166.666666666667</v>
      </c>
      <c r="G76" s="46">
        <f>SUM(Calculations!$S$14:$S$16)/12</f>
        <v>1166.666666666667</v>
      </c>
      <c r="H76" s="46">
        <f>SUM(Calculations!$S$14:$S$16)/12</f>
        <v>1166.666666666667</v>
      </c>
      <c r="I76" s="46">
        <f>SUM(Calculations!$S$14:$S$16)/12</f>
        <v>1166.666666666667</v>
      </c>
      <c r="J76" s="46">
        <f>SUM(Calculations!$S$14:$S$16)/12</f>
        <v>1166.666666666667</v>
      </c>
      <c r="K76" s="46">
        <f>SUM(Calculations!$S$14:$S$16)/12</f>
        <v>1166.666666666667</v>
      </c>
      <c r="L76" s="46">
        <f>SUM(Calculations!$S$14:$S$16)/12</f>
        <v>1166.666666666667</v>
      </c>
      <c r="M76" s="46">
        <f>SUM(Calculations!$S$14:$S$16)/12</f>
        <v>1166.666666666667</v>
      </c>
      <c r="N76" s="46">
        <f>SUM(Calculations!$S$14:$S$16)/12</f>
        <v>1166.666666666667</v>
      </c>
      <c r="O76" s="46">
        <f>SUM(Calculations!$S$14:$S$16)/12</f>
        <v>1166.666666666667</v>
      </c>
      <c r="P76" s="46">
        <f>SUM(Calculations!$S$14:$S$16)/12</f>
        <v>1166.666666666667</v>
      </c>
      <c r="Q76" s="46">
        <f>SUM(Calculations!$S$14:$S$16)/12</f>
        <v>1166.666666666667</v>
      </c>
      <c r="R76" s="46">
        <f>SUM(Calculations!$S$14:$S$16)/12</f>
        <v>1166.666666666667</v>
      </c>
      <c r="S76" s="46">
        <f>SUM(Calculations!$S$14:$S$16)/12</f>
        <v>1166.666666666667</v>
      </c>
      <c r="T76" s="46">
        <f>SUM(Calculations!$S$14:$S$16)/12</f>
        <v>1166.666666666667</v>
      </c>
      <c r="U76" s="46">
        <f>SUM(Calculations!$S$14:$S$16)/12</f>
        <v>1166.666666666667</v>
      </c>
      <c r="V76" s="46">
        <f>SUM(Calculations!$S$14:$S$16)/12</f>
        <v>1166.666666666667</v>
      </c>
      <c r="W76" s="46">
        <f>SUM(Calculations!$S$14:$S$16)/12</f>
        <v>1166.666666666667</v>
      </c>
      <c r="X76" s="46">
        <f>SUM(Calculations!$S$14:$S$16)/12</f>
        <v>1166.666666666667</v>
      </c>
      <c r="Y76" s="46">
        <f>SUM(Calculations!$S$14:$S$16)/12</f>
        <v>1166.666666666667</v>
      </c>
      <c r="Z76" s="46">
        <f>SUMIF($B$13:$Y$13,"Yes",B76:Y76)</f>
        <v>15166.66666666666</v>
      </c>
      <c r="AA76" s="46">
        <f>SUM(B76:M76)</f>
        <v>14000</v>
      </c>
      <c r="AB76" s="46">
        <f>SUM(B76:Y76)</f>
        <v>28000.00000000001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</v>
      </c>
      <c r="C79" s="46">
        <f>Inputs!$B$31</f>
        <v>6000</v>
      </c>
      <c r="D79" s="46">
        <f>Inputs!$B$31</f>
        <v>6000</v>
      </c>
      <c r="E79" s="46">
        <f>Inputs!$B$31</f>
        <v>6000</v>
      </c>
      <c r="F79" s="46">
        <f>Inputs!$B$31</f>
        <v>6000</v>
      </c>
      <c r="G79" s="46">
        <f>Inputs!$B$31</f>
        <v>6000</v>
      </c>
      <c r="H79" s="46">
        <f>Inputs!$B$31</f>
        <v>6000</v>
      </c>
      <c r="I79" s="46">
        <f>Inputs!$B$31</f>
        <v>6000</v>
      </c>
      <c r="J79" s="46">
        <f>Inputs!$B$31</f>
        <v>6000</v>
      </c>
      <c r="K79" s="46">
        <f>Inputs!$B$31</f>
        <v>6000</v>
      </c>
      <c r="L79" s="46">
        <f>Inputs!$B$31</f>
        <v>6000</v>
      </c>
      <c r="M79" s="46">
        <f>Inputs!$B$31</f>
        <v>6000</v>
      </c>
      <c r="N79" s="46">
        <f>Inputs!$B$31</f>
        <v>6000</v>
      </c>
      <c r="O79" s="46">
        <f>Inputs!$B$31</f>
        <v>6000</v>
      </c>
      <c r="P79" s="46">
        <f>Inputs!$B$31</f>
        <v>6000</v>
      </c>
      <c r="Q79" s="46">
        <f>Inputs!$B$31</f>
        <v>6000</v>
      </c>
      <c r="R79" s="46">
        <f>Inputs!$B$31</f>
        <v>6000</v>
      </c>
      <c r="S79" s="46">
        <f>Inputs!$B$31</f>
        <v>6000</v>
      </c>
      <c r="T79" s="46">
        <f>Inputs!$B$31</f>
        <v>6000</v>
      </c>
      <c r="U79" s="46">
        <f>Inputs!$B$31</f>
        <v>6000</v>
      </c>
      <c r="V79" s="46">
        <f>Inputs!$B$31</f>
        <v>6000</v>
      </c>
      <c r="W79" s="46">
        <f>Inputs!$B$31</f>
        <v>6000</v>
      </c>
      <c r="X79" s="46">
        <f>Inputs!$B$31</f>
        <v>6000</v>
      </c>
      <c r="Y79" s="46">
        <f>Inputs!$B$31</f>
        <v>6000</v>
      </c>
      <c r="Z79" s="46">
        <f>SUMIF($B$13:$Y$13,"Yes",B79:Y79)</f>
        <v>78000</v>
      </c>
      <c r="AA79" s="46">
        <f>SUM(B79:M79)</f>
        <v>72000</v>
      </c>
      <c r="AB79" s="46">
        <f>SUM(B79:Y79)</f>
        <v>144000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-4731.788531058329</v>
      </c>
      <c r="C81" s="46">
        <f>(SUM($AA$18:$AA$29)-SUM($AA$36,$AA$42,$AA$48,$AA$54,$AA$60,$AA$66,$AA$72:$AA$79))*Parameters!$B$37/12</f>
        <v>-4731.788531058329</v>
      </c>
      <c r="D81" s="46">
        <f>(SUM($AA$18:$AA$29)-SUM($AA$36,$AA$42,$AA$48,$AA$54,$AA$60,$AA$66,$AA$72:$AA$79))*Parameters!$B$37/12</f>
        <v>-4731.788531058329</v>
      </c>
      <c r="E81" s="46">
        <f>(SUM($AA$18:$AA$29)-SUM($AA$36,$AA$42,$AA$48,$AA$54,$AA$60,$AA$66,$AA$72:$AA$79))*Parameters!$B$37/12</f>
        <v>-4731.788531058329</v>
      </c>
      <c r="F81" s="46">
        <f>(SUM($AA$18:$AA$29)-SUM($AA$36,$AA$42,$AA$48,$AA$54,$AA$60,$AA$66,$AA$72:$AA$79))*Parameters!$B$37/12</f>
        <v>-4731.788531058329</v>
      </c>
      <c r="G81" s="46">
        <f>(SUM($AA$18:$AA$29)-SUM($AA$36,$AA$42,$AA$48,$AA$54,$AA$60,$AA$66,$AA$72:$AA$79))*Parameters!$B$37/12</f>
        <v>-4731.788531058329</v>
      </c>
      <c r="H81" s="46">
        <f>(SUM($AA$18:$AA$29)-SUM($AA$36,$AA$42,$AA$48,$AA$54,$AA$60,$AA$66,$AA$72:$AA$79))*Parameters!$B$37/12</f>
        <v>-4731.788531058329</v>
      </c>
      <c r="I81" s="46">
        <f>(SUM($AA$18:$AA$29)-SUM($AA$36,$AA$42,$AA$48,$AA$54,$AA$60,$AA$66,$AA$72:$AA$79))*Parameters!$B$37/12</f>
        <v>-4731.788531058329</v>
      </c>
      <c r="J81" s="46">
        <f>(SUM($AA$18:$AA$29)-SUM($AA$36,$AA$42,$AA$48,$AA$54,$AA$60,$AA$66,$AA$72:$AA$79))*Parameters!$B$37/12</f>
        <v>-4731.788531058329</v>
      </c>
      <c r="K81" s="46">
        <f>(SUM($AA$18:$AA$29)-SUM($AA$36,$AA$42,$AA$48,$AA$54,$AA$60,$AA$66,$AA$72:$AA$79))*Parameters!$B$37/12</f>
        <v>-4731.788531058329</v>
      </c>
      <c r="L81" s="46">
        <f>(SUM($AA$18:$AA$29)-SUM($AA$36,$AA$42,$AA$48,$AA$54,$AA$60,$AA$66,$AA$72:$AA$79))*Parameters!$B$37/12</f>
        <v>-4731.788531058329</v>
      </c>
      <c r="M81" s="46">
        <f>(SUM($AA$18:$AA$29)-SUM($AA$36,$AA$42,$AA$48,$AA$54,$AA$60,$AA$66,$AA$72:$AA$79))*Parameters!$B$37/12</f>
        <v>-4731.788531058329</v>
      </c>
      <c r="N81" s="46">
        <f>(SUM($AA$18:$AA$29)-SUM($AA$36,$AA$42,$AA$48,$AA$54,$AA$60,$AA$66,$AA$72:$AA$79))*Parameters!$B$37/12</f>
        <v>-4731.788531058329</v>
      </c>
      <c r="O81" s="46">
        <f>(SUM($AA$18:$AA$29)-SUM($AA$36,$AA$42,$AA$48,$AA$54,$AA$60,$AA$66,$AA$72:$AA$79))*Parameters!$B$37/12</f>
        <v>-4731.788531058329</v>
      </c>
      <c r="P81" s="46">
        <f>(SUM($AA$18:$AA$29)-SUM($AA$36,$AA$42,$AA$48,$AA$54,$AA$60,$AA$66,$AA$72:$AA$79))*Parameters!$B$37/12</f>
        <v>-4731.788531058329</v>
      </c>
      <c r="Q81" s="46">
        <f>(SUM($AA$18:$AA$29)-SUM($AA$36,$AA$42,$AA$48,$AA$54,$AA$60,$AA$66,$AA$72:$AA$79))*Parameters!$B$37/12</f>
        <v>-4731.788531058329</v>
      </c>
      <c r="R81" s="46">
        <f>(SUM($AA$18:$AA$29)-SUM($AA$36,$AA$42,$AA$48,$AA$54,$AA$60,$AA$66,$AA$72:$AA$79))*Parameters!$B$37/12</f>
        <v>-4731.788531058329</v>
      </c>
      <c r="S81" s="46">
        <f>(SUM($AA$18:$AA$29)-SUM($AA$36,$AA$42,$AA$48,$AA$54,$AA$60,$AA$66,$AA$72:$AA$79))*Parameters!$B$37/12</f>
        <v>-4731.788531058329</v>
      </c>
      <c r="T81" s="46">
        <f>(SUM($AA$18:$AA$29)-SUM($AA$36,$AA$42,$AA$48,$AA$54,$AA$60,$AA$66,$AA$72:$AA$79))*Parameters!$B$37/12</f>
        <v>-4731.788531058329</v>
      </c>
      <c r="U81" s="46">
        <f>(SUM($AA$18:$AA$29)-SUM($AA$36,$AA$42,$AA$48,$AA$54,$AA$60,$AA$66,$AA$72:$AA$79))*Parameters!$B$37/12</f>
        <v>-4731.788531058329</v>
      </c>
      <c r="V81" s="46">
        <f>(SUM($AA$18:$AA$29)-SUM($AA$36,$AA$42,$AA$48,$AA$54,$AA$60,$AA$66,$AA$72:$AA$79))*Parameters!$B$37/12</f>
        <v>-4731.788531058329</v>
      </c>
      <c r="W81" s="46">
        <f>(SUM($AA$18:$AA$29)-SUM($AA$36,$AA$42,$AA$48,$AA$54,$AA$60,$AA$66,$AA$72:$AA$79))*Parameters!$B$37/12</f>
        <v>-4731.788531058329</v>
      </c>
      <c r="X81" s="46">
        <f>(SUM($AA$18:$AA$29)-SUM($AA$36,$AA$42,$AA$48,$AA$54,$AA$60,$AA$66,$AA$72:$AA$79))*Parameters!$B$37/12</f>
        <v>-4731.788531058329</v>
      </c>
      <c r="Y81" s="46">
        <f>(SUM($AA$18:$AA$29)-SUM($AA$36,$AA$42,$AA$48,$AA$54,$AA$60,$AA$66,$AA$72:$AA$79))*Parameters!$B$37/12</f>
        <v>-4731.788531058329</v>
      </c>
      <c r="Z81" s="46">
        <f>SUMIF($B$13:$Y$13,"Yes",B81:Y81)</f>
        <v>-61513.25090375828</v>
      </c>
      <c r="AA81" s="46">
        <f>SUM(B81:M81)</f>
        <v>-56781.46237269995</v>
      </c>
      <c r="AB81" s="46">
        <f>SUM(B81:Y81)</f>
        <v>-113562.9247453998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179389.8781356083</v>
      </c>
      <c r="C88" s="19">
        <f>SUM(C72:C82,C66,C60,C54,C48,C42,C36)</f>
        <v>59389.87813560833</v>
      </c>
      <c r="D88" s="19">
        <f>SUM(D72:D82,D66,D60,D54,D48,D42,D36)</f>
        <v>80889.87813560833</v>
      </c>
      <c r="E88" s="19">
        <f>SUM(E72:E82,E66,E60,E54,E48,E42,E36)</f>
        <v>59389.87813560833</v>
      </c>
      <c r="F88" s="19">
        <f>SUM(F72:F82,F66,F60,F54,F48,F42,F36)</f>
        <v>59389.87813560833</v>
      </c>
      <c r="G88" s="19">
        <f>SUM(G72:G82,G66,G60,G54,G48,G42,G36)</f>
        <v>48559.87813560833</v>
      </c>
      <c r="H88" s="19">
        <f>SUM(H72:H82,H66,H60,H54,H48,H42,H36)</f>
        <v>179389.8781356083</v>
      </c>
      <c r="I88" s="19">
        <f>SUM(I72:I82,I66,I60,I54,I48,I42,I36)</f>
        <v>59389.87813560833</v>
      </c>
      <c r="J88" s="19">
        <f>SUM(J72:J82,J66,J60,J54,J48,J42,J36)</f>
        <v>80889.87813560833</v>
      </c>
      <c r="K88" s="19">
        <f>SUM(K72:K82,K66,K60,K54,K48,K42,K36)</f>
        <v>59389.87813560833</v>
      </c>
      <c r="L88" s="19">
        <f>SUM(L72:L82,L66,L60,L54,L48,L42,L36)</f>
        <v>59389.87813560833</v>
      </c>
      <c r="M88" s="19">
        <f>SUM(M72:M82,M66,M60,M54,M48,M42,M36)</f>
        <v>48559.87813560833</v>
      </c>
      <c r="N88" s="19">
        <f>SUM(N72:N82,N66,N60,N54,N48,N42,N36)</f>
        <v>179389.8781356083</v>
      </c>
      <c r="O88" s="19">
        <f>SUM(O72:O82,O66,O60,O54,O48,O42,O36)</f>
        <v>59389.87813560833</v>
      </c>
      <c r="P88" s="19">
        <f>SUM(P72:P82,P66,P60,P54,P48,P42,P36)</f>
        <v>80889.87813560833</v>
      </c>
      <c r="Q88" s="19">
        <f>SUM(Q72:Q82,Q66,Q60,Q54,Q48,Q42,Q36)</f>
        <v>59389.87813560833</v>
      </c>
      <c r="R88" s="19">
        <f>SUM(R72:R82,R66,R60,R54,R48,R42,R36)</f>
        <v>59389.87813560833</v>
      </c>
      <c r="S88" s="19">
        <f>SUM(S72:S82,S66,S60,S54,S48,S42,S36)</f>
        <v>48559.87813560833</v>
      </c>
      <c r="T88" s="19">
        <f>SUM(T72:T82,T66,T60,T54,T48,T42,T36)</f>
        <v>179389.8781356083</v>
      </c>
      <c r="U88" s="19">
        <f>SUM(U72:U82,U66,U60,U54,U48,U42,U36)</f>
        <v>59389.87813560833</v>
      </c>
      <c r="V88" s="19">
        <f>SUM(V72:V82,V66,V60,V54,V48,V42,V36)</f>
        <v>80889.87813560833</v>
      </c>
      <c r="W88" s="19">
        <f>SUM(W72:W82,W66,W60,W54,W48,W42,W36)</f>
        <v>59389.87813560833</v>
      </c>
      <c r="X88" s="19">
        <f>SUM(X72:X82,X66,X60,X54,X48,X42,X36)</f>
        <v>59389.87813560833</v>
      </c>
      <c r="Y88" s="19">
        <f>SUM(Y72:Y82,Y66,Y60,Y54,Y48,Y42,Y36)</f>
        <v>48559.87813560833</v>
      </c>
      <c r="Z88" s="19">
        <f>SUMIF($B$13:$Y$13,"Yes",B88:Y88)</f>
        <v>1153408.415762908</v>
      </c>
      <c r="AA88" s="19">
        <f>SUM(B88:M88)</f>
        <v>974018.5376272998</v>
      </c>
      <c r="AB88" s="19">
        <f>SUM(B88:Y88)</f>
        <v>1948037.075254599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500000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9625000</v>
      </c>
    </row>
    <row r="98" spans="1:30">
      <c r="A98" t="s">
        <v>64</v>
      </c>
      <c r="B98" s="36">
        <f>IF(Inputs!B44="Yes",Inputs!B45,0)</f>
        <v>120000</v>
      </c>
    </row>
    <row r="99" spans="1:30">
      <c r="A99" t="s">
        <v>65</v>
      </c>
      <c r="B99" s="36">
        <f>Inputs!B46</f>
        <v>250000</v>
      </c>
    </row>
    <row r="100" spans="1:30" customHeight="1" ht="15.75">
      <c r="A100" s="18" t="s">
        <v>66</v>
      </c>
      <c r="B100" s="37">
        <f>Inputs!B48</f>
        <v>2500000</v>
      </c>
    </row>
    <row r="101" spans="1:30" customHeight="1" ht="15.75">
      <c r="A101" s="1" t="s">
        <v>67</v>
      </c>
      <c r="B101" s="19">
        <f>SUM(B94:B100)</f>
        <v>13370000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/>
      <c r="K7" s="137"/>
      <c r="L7" s="20"/>
      <c r="M7" s="163">
        <v>0</v>
      </c>
      <c r="N7" s="153">
        <v>0</v>
      </c>
      <c r="P7" s="41"/>
    </row>
    <row r="8" spans="1:48">
      <c r="A8" s="143" t="s">
        <v>94</v>
      </c>
      <c r="B8" s="16"/>
      <c r="C8" s="143">
        <v>20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95</v>
      </c>
      <c r="K8" s="138"/>
      <c r="L8" s="16"/>
      <c r="M8" s="165">
        <v>0</v>
      </c>
      <c r="N8" s="154">
        <v>0</v>
      </c>
    </row>
    <row r="9" spans="1:48">
      <c r="A9" s="143" t="s">
        <v>96</v>
      </c>
      <c r="B9" s="16"/>
      <c r="C9" s="143">
        <v>5</v>
      </c>
      <c r="D9" s="16"/>
      <c r="E9" s="147" t="s">
        <v>97</v>
      </c>
      <c r="F9" s="149" t="s">
        <v>91</v>
      </c>
      <c r="G9" s="147"/>
      <c r="H9" s="147" t="s">
        <v>92</v>
      </c>
      <c r="I9" s="147" t="s">
        <v>93</v>
      </c>
      <c r="J9" s="148" t="s">
        <v>95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20</v>
      </c>
      <c r="D19" s="145"/>
      <c r="E19" s="20"/>
      <c r="F19" s="145" t="s">
        <v>93</v>
      </c>
      <c r="G19" s="20"/>
      <c r="H19" s="20"/>
      <c r="I19" s="145" t="s">
        <v>112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5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18000</v>
      </c>
    </row>
    <row r="31" spans="1:48">
      <c r="A31" s="5" t="s">
        <v>119</v>
      </c>
      <c r="B31" s="158">
        <v>6000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120000</v>
      </c>
    </row>
    <row r="46" spans="1:48" customHeight="1" ht="30">
      <c r="A46" s="57" t="s">
        <v>133</v>
      </c>
      <c r="B46" s="161">
        <v>250000</v>
      </c>
    </row>
    <row r="47" spans="1:48" customHeight="1" ht="30">
      <c r="A47" s="57" t="s">
        <v>134</v>
      </c>
      <c r="B47" s="161">
        <v>350000</v>
      </c>
    </row>
    <row r="48" spans="1:48" customHeight="1" ht="30">
      <c r="A48" s="57" t="s">
        <v>135</v>
      </c>
      <c r="B48" s="161">
        <v>2500000</v>
      </c>
    </row>
    <row r="49" spans="1:48" customHeight="1" ht="30">
      <c r="A49" s="57" t="s">
        <v>136</v>
      </c>
      <c r="B49" s="161">
        <v>25000</v>
      </c>
    </row>
    <row r="50" spans="1:48">
      <c r="A50" s="43"/>
      <c r="B50" s="36"/>
    </row>
    <row r="51" spans="1:48">
      <c r="A51" s="58" t="s">
        <v>137</v>
      </c>
      <c r="B51" s="161">
        <v>6000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146</v>
      </c>
      <c r="C65" s="10" t="s">
        <v>147</v>
      </c>
    </row>
    <row r="66" spans="1:48">
      <c r="A66" s="142" t="s">
        <v>148</v>
      </c>
      <c r="B66" s="159">
        <v>298600</v>
      </c>
      <c r="C66" s="163">
        <v>56320</v>
      </c>
      <c r="D66" s="49">
        <f>INDEX(Parameters!$D$79:$D$90,MATCH(Inputs!A66,Parameters!$C$79:$C$90,0))</f>
        <v>7</v>
      </c>
    </row>
    <row r="67" spans="1:48">
      <c r="A67" s="143" t="s">
        <v>149</v>
      </c>
      <c r="B67" s="157">
        <v>112580</v>
      </c>
      <c r="C67" s="165">
        <v>42300</v>
      </c>
      <c r="D67" s="49">
        <f>INDEX(Parameters!$D$79:$D$90,MATCH(Inputs!A67,Parameters!$C$79:$C$90,0))</f>
        <v>8</v>
      </c>
    </row>
    <row r="68" spans="1:48">
      <c r="A68" s="143" t="s">
        <v>150</v>
      </c>
      <c r="B68" s="157">
        <v>85495</v>
      </c>
      <c r="C68" s="165">
        <v>75380</v>
      </c>
      <c r="D68" s="49">
        <f>INDEX(Parameters!$D$79:$D$90,MATCH(Inputs!A68,Parameters!$C$79:$C$90,0))</f>
        <v>9</v>
      </c>
    </row>
    <row r="69" spans="1:48">
      <c r="A69" s="143" t="s">
        <v>151</v>
      </c>
      <c r="B69" s="157">
        <v>19003</v>
      </c>
      <c r="C69" s="165">
        <v>8200</v>
      </c>
      <c r="D69" s="49">
        <f>INDEX(Parameters!$D$79:$D$90,MATCH(Inputs!A69,Parameters!$C$79:$C$90,0))</f>
        <v>10</v>
      </c>
    </row>
    <row r="70" spans="1:48">
      <c r="A70" s="143" t="s">
        <v>152</v>
      </c>
      <c r="B70" s="157">
        <v>223247</v>
      </c>
      <c r="C70" s="165">
        <v>65280</v>
      </c>
      <c r="D70" s="49">
        <f>INDEX(Parameters!$D$79:$D$90,MATCH(Inputs!A70,Parameters!$C$79:$C$90,0))</f>
        <v>11</v>
      </c>
    </row>
    <row r="71" spans="1:48">
      <c r="A71" s="144" t="s">
        <v>153</v>
      </c>
      <c r="B71" s="158">
        <v>26945</v>
      </c>
      <c r="C71" s="167">
        <v>12000</v>
      </c>
      <c r="D71" s="49">
        <f>INDEX(Parameters!$D$79:$D$90,MATCH(Inputs!A71,Parameters!$C$79:$C$90,0))</f>
        <v>12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15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200000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  <c r="AU3" s="59">
        <f>Output!T5</f>
        <v>43282</v>
      </c>
      <c r="AV3" s="59">
        <f>Output!U5</f>
        <v>43313</v>
      </c>
      <c r="AW3" s="59">
        <f>Output!V5</f>
        <v>43344</v>
      </c>
      <c r="AX3" s="59">
        <f>Output!W5</f>
        <v>43374</v>
      </c>
      <c r="AY3" s="59">
        <f>Output!X5</f>
        <v>43405</v>
      </c>
      <c r="AZ3" s="59">
        <f>Output!Y5</f>
        <v>43435</v>
      </c>
    </row>
    <row r="4" spans="1:52" s="21" customFormat="1">
      <c r="A4" s="20" t="str">
        <f>Inputs!A7</f>
        <v>Wheat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15995.57862963579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873358.5931781138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38500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142500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42736</v>
      </c>
      <c r="C5" s="39">
        <f>IFERROR(DATE(YEAR(B5),MONTH(B5)+ROUND(T5/2,0),DAY(B5)),B5)</f>
        <v>42736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20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Potatoes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42736</v>
      </c>
      <c r="C6" s="39">
        <f>IFERROR(DATE(YEAR(B6),MONTH(B6)+ROUND(T6/2,0),DAY(B6)),B6)</f>
        <v>42795</v>
      </c>
      <c r="D6" s="39">
        <f>IFERROR(DATE(YEAR(B6),MONTH(B6)+T6,DAY(B6)),"")</f>
        <v>42856</v>
      </c>
      <c r="E6" s="39">
        <f>IFERROR(IF($S6=0,"",IF($S6=2,DATE(YEAR(B6),MONTH(B6)+6,DAY(B6)),IF($S6=1,B6,""))),"")</f>
        <v>42917</v>
      </c>
      <c r="F6" s="39">
        <f>IFERROR(IF($S6=0,"",IF($S6=2,DATE(YEAR(C6),MONTH(C6)+6,DAY(C6)),IF($S6=1,C6,""))),"")</f>
        <v>42979</v>
      </c>
      <c r="G6" s="39">
        <f>IFERROR(IF($S6=0,"",IF($S6=2,DATE(YEAR(D6),MONTH(D6)+6,DAY(D6)),IF($S6=1,D6,""))),"")</f>
        <v>43040</v>
      </c>
      <c r="H6" s="16">
        <f>Inputs!C9</f>
        <v>5</v>
      </c>
      <c r="I6" s="138" t="str">
        <f>IFERROR(VLOOKUP(Inputs!E9,Parameters!$J$77:$K$81,2,0),"")</f>
        <v>No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200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4882.641078335685</v>
      </c>
      <c r="M6" s="30">
        <f>L6*H6</f>
        <v>24413.20539167842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11.2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519513.0107349168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120000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21500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57000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20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42792</v>
      </c>
      <c r="C33" s="27">
        <f>IF(B33&lt;&gt;"",IF(COUNT($A$33:A33)&lt;=$G$39,0,$G$41)+IF(COUNT($A$33:A33)&lt;=$G$40,0,$G$42),0)</f>
        <v>19666.66666666667</v>
      </c>
      <c r="D33" s="170">
        <f>IFERROR(DATE(YEAR(B33),MONTH(B33),1)," ")</f>
        <v>42767</v>
      </c>
      <c r="F33" t="s">
        <v>159</v>
      </c>
      <c r="G33" s="128">
        <f>IF(Inputs!B79="","",DATE(YEAR(Inputs!B79),MONTH(Inputs!B79),DAY(Inputs!B79)))</f>
        <v>42761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42820</v>
      </c>
      <c r="C34" s="27">
        <f>IF(B34&lt;&gt;"",IF(COUNT($A$33:A34)&lt;=$G$39,0,$G$41)+IF(COUNT($A$33:A34)&lt;=$G$40,0,$G$42),0)</f>
        <v>19666.66666666667</v>
      </c>
      <c r="D34" s="170">
        <f>IFERROR(DATE(YEAR(B34),MONTH(B34),1)," ")</f>
        <v>42795</v>
      </c>
      <c r="F34" t="s">
        <v>161</v>
      </c>
      <c r="G34" s="128">
        <f>IF(Inputs!B80="","",DATE(YEAR(Inputs!B80),MONTH(Inputs!B80),DAY(Inputs!B80)))</f>
        <v>42792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42851</v>
      </c>
      <c r="C35" s="27">
        <f>IF(B35&lt;&gt;"",IF(COUNT($A$33:A35)&lt;=$G$39,0,$G$41)+IF(COUNT($A$33:A35)&lt;=$G$40,0,$G$42),0)</f>
        <v>19666.66666666667</v>
      </c>
      <c r="D35" s="170">
        <f>IFERROR(DATE(YEAR(B35),MONTH(B35),1)," ")</f>
        <v>42826</v>
      </c>
      <c r="F35" t="s">
        <v>163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42881</v>
      </c>
      <c r="C36" s="27">
        <f>IF(B36&lt;&gt;"",IF(COUNT($A$33:A36)&lt;=$G$39,0,$G$41)+IF(COUNT($A$33:A36)&lt;=$G$40,0,$G$42),0)</f>
        <v>19666.66666666667</v>
      </c>
      <c r="D36" s="170">
        <f>IFERROR(DATE(YEAR(B36),MONTH(B36),1)," ")</f>
        <v>42856</v>
      </c>
      <c r="F36" t="s">
        <v>164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42912</v>
      </c>
      <c r="C37" s="27">
        <f>IF(B37&lt;&gt;"",IF(COUNT($A$33:A37)&lt;=$G$39,0,$G$41)+IF(COUNT($A$33:A37)&lt;=$G$40,0,$G$42),0)</f>
        <v>19666.66666666667</v>
      </c>
      <c r="D37" s="170">
        <f>IFERROR(DATE(YEAR(B37),MONTH(B37),1)," ")</f>
        <v>42887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42942</v>
      </c>
      <c r="C38" s="27">
        <f>IF(B38&lt;&gt;"",IF(COUNT($A$33:A38)&lt;=$G$39,0,$G$41)+IF(COUNT($A$33:A38)&lt;=$G$40,0,$G$42),0)</f>
        <v>19666.66666666667</v>
      </c>
      <c r="D38" s="170">
        <f>IFERROR(DATE(YEAR(B38),MONTH(B38),1)," ")</f>
        <v>42917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42973</v>
      </c>
      <c r="C39" s="27">
        <f>IF(B39&lt;&gt;"",IF(COUNT($A$33:A39)&lt;=$G$39,0,$G$41)+IF(COUNT($A$33:A39)&lt;=$G$40,0,$G$42),0)</f>
        <v>19666.66666666667</v>
      </c>
      <c r="D39" s="170">
        <f>IFERROR(DATE(YEAR(B39),MONTH(B39),1)," ")</f>
        <v>42948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43004</v>
      </c>
      <c r="C40" s="27">
        <f>IF(B40&lt;&gt;"",IF(COUNT($A$33:A40)&lt;=$G$39,0,$G$41)+IF(COUNT($A$33:A40)&lt;=$G$40,0,$G$42),0)</f>
        <v>19666.66666666667</v>
      </c>
      <c r="D40" s="170">
        <f>IFERROR(DATE(YEAR(B40),MONTH(B40),1)," ")</f>
        <v>42979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43034</v>
      </c>
      <c r="C41" s="27">
        <f>IF(B41&lt;&gt;"",IF(COUNT($A$33:A41)&lt;=$G$39,0,$G$41)+IF(COUNT($A$33:A41)&lt;=$G$40,0,$G$42),0)</f>
        <v>19666.66666666667</v>
      </c>
      <c r="D41" s="170">
        <f>IFERROR(DATE(YEAR(B41),MONTH(B41),1)," ")</f>
        <v>43009</v>
      </c>
      <c r="F41" t="s">
        <v>227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43065</v>
      </c>
      <c r="C42" s="27">
        <f>IF(B42&lt;&gt;"",IF(COUNT($A$33:A42)&lt;=$G$39,0,$G$41)+IF(COUNT($A$33:A42)&lt;=$G$40,0,$G$42),0)</f>
        <v>19666.66666666667</v>
      </c>
      <c r="D42" s="170">
        <f>IFERROR(DATE(YEAR(B42),MONTH(B42),1)," ")</f>
        <v>43040</v>
      </c>
      <c r="F42" t="s">
        <v>228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43095</v>
      </c>
      <c r="C43" s="27">
        <f>IF(B43&lt;&gt;"",IF(COUNT($A$33:A43)&lt;=$G$39,0,$G$41)+IF(COUNT($A$33:A43)&lt;=$G$40,0,$G$42),0)</f>
        <v>19666.66666666667</v>
      </c>
      <c r="D43" s="170">
        <f>IFERROR(DATE(YEAR(B43),MONTH(B43),1)," ")</f>
        <v>43070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43126</v>
      </c>
      <c r="C44" s="27">
        <f>IF(B44&lt;&gt;"",IF(COUNT($A$33:A44)&lt;=$G$39,0,$G$41)+IF(COUNT($A$33:A44)&lt;=$G$40,0,$G$42),0)</f>
        <v>19666.66666666667</v>
      </c>
      <c r="D44" s="170">
        <f>IFERROR(DATE(YEAR(B44),MONTH(B44),1)," ")</f>
        <v>43101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201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295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295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295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295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99</v>
      </c>
      <c r="B41" s="191" t="s">
        <v>93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312</v>
      </c>
      <c r="H52" s="12" t="s">
        <v>130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229</v>
      </c>
      <c r="E53" s="10" t="s">
        <v>188</v>
      </c>
      <c r="F53" s="10" t="s">
        <v>248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166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225</v>
      </c>
      <c r="J76" s="11" t="s">
        <v>346</v>
      </c>
      <c r="K76" s="11" t="s">
        <v>178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112</v>
      </c>
      <c r="H77" s="12" t="s">
        <v>130</v>
      </c>
      <c r="I77" s="12" t="s">
        <v>348</v>
      </c>
      <c r="J77" s="136" t="s">
        <v>97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352</v>
      </c>
      <c r="H78" s="12" t="s">
        <v>313</v>
      </c>
      <c r="I78" s="12" t="s">
        <v>353</v>
      </c>
      <c r="J78" s="70" t="s">
        <v>354</v>
      </c>
      <c r="K78" s="12" t="s">
        <v>93</v>
      </c>
      <c r="AJ78" s="12"/>
    </row>
    <row r="79" spans="1:36">
      <c r="B79" s="176">
        <v>10</v>
      </c>
      <c r="C79" s="12" t="s">
        <v>95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166</v>
      </c>
      <c r="J79" s="70" t="s">
        <v>358</v>
      </c>
      <c r="K79" s="12" t="s">
        <v>93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92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148</v>
      </c>
      <c r="D85" s="12">
        <f>D84+1</f>
        <v>7</v>
      </c>
    </row>
    <row r="86" spans="1:36">
      <c r="B86" s="176">
        <v>80</v>
      </c>
      <c r="C86" s="12" t="s">
        <v>149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