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<sst xmlns="http://schemas.openxmlformats.org/spreadsheetml/2006/main" uniqueCount="370">
  <si>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</si>
  <si>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</si>
  <si>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</si>
  <si>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</si>
  <si>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</si>
  <si>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</si>
  <si>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</si>
  <si>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</si>
  <si>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</si>
  <si>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</si>
  <si>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</si>
  <si>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</si>
  <si>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</si>
  <si>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</si>
  <si>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</si>
  <si>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</si>
  <si>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</si>
  <si>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</si>
  <si>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</si>
  <si>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</si>
  <si>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</si>
  <si>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</si>
  <si>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</si>
  <si>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</si>
  <si>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</si>
  <si>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</si>
  <si>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</si>
  <si>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</si>
  <si>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</si>
  <si>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</si>
  <si>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</si>
  <si>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</si>
  <si>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</si>
  <si>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</si>
  <si>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</si>
  <si>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</si>
  <si>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</si>
  <si>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</si>
  <si>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</si>
  <si>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</si>
  <si>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</si>
  <si>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</si>
  <si>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</si>
  <si>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</si>
  <si>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</si>
  <si>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</si>
  <si>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</si>
  <si>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</si>
  <si>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</si>
  <si>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</si>
  <si>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</si>
  <si>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</si>
  <si>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</si>
  <si>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</si>
  <si>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</si>
  <si>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</si>
  <si>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</si>
  <si>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</si>
  <si>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</si>
  <si>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</si>
  <si>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</si>
  <si>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</si>
  <si>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</si>
  <si>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</si>
  <si>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</si>
  <si>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</si>
  <si>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</si>
  <si>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</si>
  <si>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</si>
  <si>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</si>
  <si>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</si>
  <si>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</si>
  <si>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</si>
  <si>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</si>
  <si>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</si>
  <si>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</si>
  <si>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</si>
  <si>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</si>
  <si>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</si>
  <si>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</si>
  <si>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</si>
  <si>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</si>
  <si>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</si>
  <si>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</si>
  <si>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</si>
  <si>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</si>
  <si>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</si>
  <si>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</si>
  <si>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</si>
  <si>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</si>
  <si>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Shop_common variety</t>
  </si>
  <si>
    <t>Yes Inorganic fertizers</t>
  </si>
  <si>
    <t>Yes</t>
  </si>
  <si>
    <t>Yes using a diesel pump</t>
  </si>
  <si>
    <t>January</t>
  </si>
  <si>
    <t>Cabbages</t>
  </si>
  <si>
    <t>Potatoes</t>
  </si>
  <si>
    <t>Home recycled</t>
  </si>
  <si>
    <t>Yes both manure and inorganic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</si>
  <si>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</si>
  <si>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</si>
  <si>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</si>
  <si>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</si>
  <si>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</si>
  <si>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</si>
  <si>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</si>
  <si>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</si>
  <si>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</si>
  <si>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</si>
  <si>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</si>
  <si>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</si>
  <si>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</si>
  <si>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</si>
  <si>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</si>
  <si>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</si>
  <si>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</si>
  <si>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transport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</si>
  <si>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</si>
  <si>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</si>
  <si>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</si>
  <si>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</si>
  <si>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</si>
  <si>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</si>
  <si>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</si>
  <si>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</si>
  <si>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</si>
  <si>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</si>
  <si>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</si>
  <si>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</si>
  <si>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</si>
  <si>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</si>
  <si>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</si>
  <si>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</si>
  <si>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</si>
  <si>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</si>
  <si>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</si>
  <si>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</si>
  <si>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</si>
  <si>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</si>
  <si>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</si>
  <si>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</si>
  <si>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</si>
  <si>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</si>
  <si>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</si>
  <si>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7/3/2016</t>
  </si>
  <si>
    <t>Equity bank</t>
  </si>
  <si>
    <t>No</t>
  </si>
  <si>
    <t xml:space="preserve">Was sick but cleared 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</si>
  <si>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</si>
  <si>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</si>
  <si>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</si>
  <si>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</si>
  <si>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</si>
  <si>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</si>
  <si>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</si>
  <si>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</si>
  <si>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</si>
  <si>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</si>
  <si>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</si>
  <si>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</si>
  <si>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2017/1/25</t>
  </si>
  <si>
    <t>Loan terms</t>
  </si>
  <si>
    <t>Expected disbursement date</t>
  </si>
  <si>
    <t>2017/1/26</t>
  </si>
  <si>
    <t>Expected first repayment date</t>
  </si>
  <si>
    <t>2017/2/26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</si>
  <si>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</si>
  <si>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</si>
  <si>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</si>
  <si>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</si>
  <si>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</si>
  <si>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</si>
  <si>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</si>
  <si>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</si>
  <si>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</si>
  <si>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</si>
  <si>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</si>
  <si>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</si>
  <si>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</si>
  <si>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</si>
  <si>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</si>
  <si>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</si>
  <si>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</si>
  <si>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</si>
  <si>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</si>
  <si>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</si>
  <si>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</si>
  <si>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</si>
  <si>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</si>
  <si>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</si>
  <si>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</si>
  <si>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</si>
  <si>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</si>
  <si>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</si>
  <si>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</si>
  <si>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</si>
  <si>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</si>
  <si>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</si>
  <si>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</si>
  <si>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</si>
  <si>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</si>
  <si>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</si>
  <si>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</si>
  <si>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</si>
  <si>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</si>
  <si>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</si>
  <si>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</si>
  <si>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</si>
  <si>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</si>
  <si>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</si>
  <si>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</si>
  <si>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</si>
  <si>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</si>
  <si>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</si>
  <si>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</si>
  <si>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</si>
  <si>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</si>
  <si>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</si>
  <si>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</si>
  <si>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</si>
  <si>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</si>
  <si>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</si>
  <si>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</si>
  <si>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</si>
  <si>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</si>
  <si>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</si>
  <si>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</si>
  <si>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</si>
  <si>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</si>
  <si>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</si>
  <si>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</si>
  <si>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</si>
  <si>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</si>
  <si>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</si>
  <si>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</si>
  <si>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</si>
  <si>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</si>
  <si>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</si>
  <si>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</si>
  <si>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</si>
  <si>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</si>
  <si>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</si>
  <si>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</si>
  <si>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</si>
  <si>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</si>
  <si>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</si>
  <si>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</si>
  <si>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</si>
  <si>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</si>
  <si>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</si>
  <si>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</si>
  <si>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</si>
  <si>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</si>
  <si>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</si>
  <si>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</si>
  <si>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</si>
  <si>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</si>
  <si>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</si>
  <si>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</si>
  <si>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</si>
  <si>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</si>
  <si>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</si>
  <si>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</si>
  <si>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</si>
  <si>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</si>
  <si>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</si>
  <si>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</si>
  <si>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</si>
  <si>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</si>
  <si>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</si>
  <si>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</si>
  <si>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</si>
  <si>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</si>
  <si>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</si>
  <si>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</si>
  <si>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</si>
  <si>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</si>
  <si>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</si>
  <si>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</si>
  <si>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</si>
  <si>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</si>
  <si>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</si>
  <si>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</si>
  <si>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</si>
  <si>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</si>
  <si>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</si>
  <si>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</si>
  <si>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</si>
  <si>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</si>
  <si>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</si>
  <si>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</si>
  <si>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</si>
  <si>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</si>
  <si>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</si>
  <si>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</si>
  <si>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</si>
  <si>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</si>
  <si>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</si>
  <si>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</si>
  <si>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</si>
  <si>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</si>
  <si>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</si>
  <si>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</si>
  <si>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</si>
  <si>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</si>
  <si>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</si>
  <si>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</si>
  <si>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</si>
  <si>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</si>
  <si>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</si>
  <si>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</si>
  <si>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</si>
  <si>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</si>
  <si>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</si>
  <si>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</si>
  <si>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</si>
  <si>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</si>
  <si>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</si>
  <si>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</si>
  <si>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</si>
  <si>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</si>
  <si>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</si>
  <si>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</si>
  <si>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</si>
  <si>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</si>
  <si>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</si>
  <si>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</si>
  <si>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</si>
  <si>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</si>
  <si>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</si>
  <si>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</si>
  <si>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</si>
  <si>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</si>
  <si>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</si>
  <si>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</si>
  <si>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</si>
  <si>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</si>
  <si>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</si>
  <si>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</si>
  <si>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</si>
  <si>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</si>
  <si>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</si>
  <si>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</si>
  <si>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</si>
  <si>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</si>
  <si>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</si>
  <si>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</si>
  <si>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</si>
  <si>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</si>
  <si>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</si>
  <si>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</si>
  <si>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</si>
  <si>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</si>
  <si>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</si>
  <si>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</si>
  <si>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</si>
  <si>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</si>
  <si>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</si>
  <si>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</si>
  <si>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</si>
  <si>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</si>
  <si>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</si>
  <si>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February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</si>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</sst>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April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Cabbages, Potatoes,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transport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0.1336617062630753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2017</v>
      </c>
    </row>
    <row r="13" spans="1:7">
      <c r="B13" s="1" t="s">
        <v>8</v>
      </c>
      <c r="C13" s="67">
        <f>IFERROR(Output!B107/Output!B101,"")</f>
        <v>0.02722389816790523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15785.71428571429</v>
      </c>
    </row>
    <row r="17" spans="1:7">
      <c r="B17" s="1" t="s">
        <v>11</v>
      </c>
      <c r="C17" s="36">
        <f>SUM(Output!B6:M6)</f>
        <v>959339.942833649</v>
      </c>
    </row>
    <row r="18" spans="1:7">
      <c r="B18" s="1" t="s">
        <v>12</v>
      </c>
      <c r="C18" s="36">
        <f>MIN(Output!B6:M6)</f>
        <v>-176514.1634907583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473575.3028997381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30000</v>
      </c>
    </row>
    <row r="25" spans="1:7">
      <c r="B25" s="1" t="s">
        <v>18</v>
      </c>
      <c r="C25" s="36">
        <f>MAX(Inputs!A56:A60)</f>
        <v>30000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1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42736</v>
      </c>
      <c r="C5" s="17">
        <f>DATE(YEAR(B5),MONTH(B5)+1,DAY(B5))</f>
        <v>42767</v>
      </c>
      <c r="D5" s="17">
        <f>DATE(YEAR(C5),MONTH(C5)+1,DAY(C5))</f>
        <v>42795</v>
      </c>
      <c r="E5" s="17">
        <f>DATE(YEAR(D5),MONTH(D5)+1,DAY(D5))</f>
        <v>42826</v>
      </c>
      <c r="F5" s="17">
        <f>DATE(YEAR(E5),MONTH(E5)+1,DAY(E5))</f>
        <v>42856</v>
      </c>
      <c r="G5" s="17">
        <f>DATE(YEAR(F5),MONTH(F5)+1,DAY(F5))</f>
        <v>42887</v>
      </c>
      <c r="H5" s="17">
        <f>DATE(YEAR(G5),MONTH(G5)+1,DAY(G5))</f>
        <v>42917</v>
      </c>
      <c r="I5" s="17">
        <f>DATE(YEAR(H5),MONTH(H5)+1,DAY(H5))</f>
        <v>42948</v>
      </c>
      <c r="J5" s="17">
        <f>DATE(YEAR(I5),MONTH(I5)+1,DAY(I5))</f>
        <v>42979</v>
      </c>
      <c r="K5" s="17">
        <f>DATE(YEAR(J5),MONTH(J5)+1,DAY(J5))</f>
        <v>43009</v>
      </c>
      <c r="L5" s="17">
        <f>DATE(YEAR(K5),MONTH(K5)+1,DAY(K5))</f>
        <v>43040</v>
      </c>
      <c r="M5" s="17">
        <f>DATE(YEAR(L5),MONTH(L5)+1,DAY(L5))</f>
        <v>43070</v>
      </c>
      <c r="N5" s="17">
        <f>DATE(YEAR(M5),MONTH(M5)+1,DAY(M5))</f>
        <v>43101</v>
      </c>
      <c r="O5" s="17">
        <f>DATE(YEAR(N5),MONTH(N5)+1,DAY(N5))</f>
        <v>43132</v>
      </c>
      <c r="P5" s="17">
        <f>DATE(YEAR(O5),MONTH(O5)+1,DAY(O5))</f>
        <v>43160</v>
      </c>
      <c r="Q5" s="17">
        <f>DATE(YEAR(P5),MONTH(P5)+1,DAY(P5))</f>
        <v>43191</v>
      </c>
      <c r="R5" s="17">
        <f>DATE(YEAR(Q5),MONTH(Q5)+1,DAY(Q5))</f>
        <v>43221</v>
      </c>
      <c r="S5" s="17">
        <f>DATE(YEAR(R5),MONTH(R5)+1,DAY(R5))</f>
        <v>43252</v>
      </c>
      <c r="T5" s="17">
        <f>DATE(YEAR(S5),MONTH(S5)+1,DAY(S5))</f>
        <v>43282</v>
      </c>
      <c r="U5" s="17">
        <f>DATE(YEAR(T5),MONTH(T5)+1,DAY(T5))</f>
        <v>43313</v>
      </c>
      <c r="V5" s="17">
        <f>DATE(YEAR(U5),MONTH(U5)+1,DAY(U5))</f>
        <v>43344</v>
      </c>
      <c r="W5" s="17">
        <f>DATE(YEAR(V5),MONTH(V5)+1,DAY(V5))</f>
        <v>43374</v>
      </c>
      <c r="X5" s="17">
        <f>DATE(YEAR(W5),MONTH(W5)+1,DAY(W5))</f>
        <v>43405</v>
      </c>
      <c r="Y5" s="17">
        <f>DATE(YEAR(X5),MONTH(X5)+1,DAY(X5))</f>
        <v>43435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43466</v>
      </c>
    </row>
    <row r="6" spans="1:30" customHeight="1" ht="15.75">
      <c r="A6" s="50" t="s">
        <v>27</v>
      </c>
      <c r="B6" s="51">
        <f>B30-B88</f>
        <v>-176514.1634907583</v>
      </c>
      <c r="C6" s="51">
        <f>C30-C88</f>
        <v>-30984.16349075828</v>
      </c>
      <c r="D6" s="51">
        <f>D30-D88</f>
        <v>-81484.16349075828</v>
      </c>
      <c r="E6" s="51">
        <f>E30-E88</f>
        <v>473575.3028997381</v>
      </c>
      <c r="F6" s="51">
        <f>F30-F88</f>
        <v>292373.8224801195</v>
      </c>
      <c r="G6" s="51">
        <f>G30-G88</f>
        <v>2703.336509241723</v>
      </c>
      <c r="H6" s="51">
        <f>H30-H88</f>
        <v>-176514.1634907583</v>
      </c>
      <c r="I6" s="51">
        <f>I30-I88</f>
        <v>-30984.16349075828</v>
      </c>
      <c r="J6" s="51">
        <f>J30-J88</f>
        <v>-81484.16349075828</v>
      </c>
      <c r="K6" s="51">
        <f>K30-K88</f>
        <v>473575.3028997381</v>
      </c>
      <c r="L6" s="51">
        <f>L30-L88</f>
        <v>292373.8224801195</v>
      </c>
      <c r="M6" s="51">
        <f>M30-M88</f>
        <v>2703.336509241723</v>
      </c>
      <c r="N6" s="51">
        <f>N30-N88</f>
        <v>-176514.1634907583</v>
      </c>
      <c r="O6" s="51">
        <f>O30-O88</f>
        <v>-30984.16349075828</v>
      </c>
      <c r="P6" s="51">
        <f>P30-P88</f>
        <v>-81484.16349075828</v>
      </c>
      <c r="Q6" s="51">
        <f>Q30-Q88</f>
        <v>473575.3028997381</v>
      </c>
      <c r="R6" s="51">
        <f>R30-R88</f>
        <v>292373.8224801195</v>
      </c>
      <c r="S6" s="51">
        <f>S30-S88</f>
        <v>2703.336509241723</v>
      </c>
      <c r="T6" s="51">
        <f>T30-T88</f>
        <v>-176514.1634907583</v>
      </c>
      <c r="U6" s="51">
        <f>U30-U88</f>
        <v>-30984.16349075828</v>
      </c>
      <c r="V6" s="51">
        <f>V30-V88</f>
        <v>-81484.16349075828</v>
      </c>
      <c r="W6" s="51">
        <f>W30-W88</f>
        <v>473575.3028997381</v>
      </c>
      <c r="X6" s="51">
        <f>X30-X88</f>
        <v>292373.8224801195</v>
      </c>
      <c r="Y6" s="51">
        <f>Y30-Y88</f>
        <v>2703.336509241723</v>
      </c>
      <c r="Z6" s="51">
        <f>SUMIF($B$13:$Y$13,"Yes",B6:Y6)</f>
        <v>782825.7793428907</v>
      </c>
      <c r="AA6" s="51">
        <f>AA30-AA88</f>
        <v>959339.942833649</v>
      </c>
      <c r="AB6" s="51">
        <f>AB30-AB88</f>
        <v>1918679.885667298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60380</v>
      </c>
      <c r="I7" s="80">
        <f>IF(ISERROR(VLOOKUP(MONTH(I5),Inputs!$D$66:$D$71,1,0)),"",INDEX(Inputs!$B$66:$B$71,MATCH(MONTH(Output!I5),Inputs!$D$66:$D$71,0))-INDEX(Inputs!$C$66:$C$71,MATCH(MONTH(Output!I5),Inputs!$D$66:$D$71,0)))</f>
        <v>118434</v>
      </c>
      <c r="J7" s="80">
        <f>IF(ISERROR(VLOOKUP(MONTH(J5),Inputs!$D$66:$D$71,1,0)),"",INDEX(Inputs!$B$66:$B$71,MATCH(MONTH(Output!J5),Inputs!$D$66:$D$71,0))-INDEX(Inputs!$C$66:$C$71,MATCH(MONTH(Output!J5),Inputs!$D$66:$D$71,0)))</f>
        <v>64651</v>
      </c>
      <c r="K7" s="80">
        <f>IF(ISERROR(VLOOKUP(MONTH(K5),Inputs!$D$66:$D$71,1,0)),"",INDEX(Inputs!$B$66:$B$71,MATCH(MONTH(Output!K5),Inputs!$D$66:$D$71,0))-INDEX(Inputs!$C$66:$C$71,MATCH(MONTH(Output!K5),Inputs!$D$66:$D$71,0)))</f>
        <v>150521</v>
      </c>
      <c r="L7" s="80">
        <f>IF(ISERROR(VLOOKUP(MONTH(L5),Inputs!$D$66:$D$71,1,0)),"",INDEX(Inputs!$B$66:$B$71,MATCH(MONTH(Output!L5),Inputs!$D$66:$D$71,0))-INDEX(Inputs!$C$66:$C$71,MATCH(MONTH(Output!L5),Inputs!$D$66:$D$71,0)))</f>
        <v>64862</v>
      </c>
      <c r="M7" s="80">
        <f>IF(ISERROR(VLOOKUP(MONTH(M5),Inputs!$D$66:$D$71,1,0)),"",INDEX(Inputs!$B$66:$B$71,MATCH(MONTH(Output!M5),Inputs!$D$66:$D$71,0))-INDEX(Inputs!$C$66:$C$71,MATCH(MONTH(Output!M5),Inputs!$D$66:$D$71,0)))</f>
        <v>29223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60380</v>
      </c>
      <c r="U7" s="80">
        <f>IF(ISERROR(VLOOKUP(MONTH(U5),Inputs!$D$66:$D$71,1,0)),"",INDEX(Inputs!$B$66:$B$71,MATCH(MONTH(Output!U5),Inputs!$D$66:$D$71,0))-INDEX(Inputs!$C$66:$C$71,MATCH(MONTH(Output!U5),Inputs!$D$66:$D$71,0)))</f>
        <v>118434</v>
      </c>
      <c r="V7" s="80">
        <f>IF(ISERROR(VLOOKUP(MONTH(V5),Inputs!$D$66:$D$71,1,0)),"",INDEX(Inputs!$B$66:$B$71,MATCH(MONTH(Output!V5),Inputs!$D$66:$D$71,0))-INDEX(Inputs!$C$66:$C$71,MATCH(MONTH(Output!V5),Inputs!$D$66:$D$71,0)))</f>
        <v>64651</v>
      </c>
      <c r="W7" s="80">
        <f>IF(ISERROR(VLOOKUP(MONTH(W5),Inputs!$D$66:$D$71,1,0)),"",INDEX(Inputs!$B$66:$B$71,MATCH(MONTH(Output!W5),Inputs!$D$66:$D$71,0))-INDEX(Inputs!$C$66:$C$71,MATCH(MONTH(Output!W5),Inputs!$D$66:$D$71,0)))</f>
        <v>150521</v>
      </c>
      <c r="X7" s="80">
        <f>IF(ISERROR(VLOOKUP(MONTH(X5),Inputs!$D$66:$D$71,1,0)),"",INDEX(Inputs!$B$66:$B$71,MATCH(MONTH(Output!X5),Inputs!$D$66:$D$71,0))-INDEX(Inputs!$C$66:$C$71,MATCH(MONTH(Output!X5),Inputs!$D$66:$D$71,0)))</f>
        <v>64862</v>
      </c>
      <c r="Y7" s="80">
        <f>IF(ISERROR(VLOOKUP(MONTH(Y5),Inputs!$D$66:$D$71,1,0)),"",INDEX(Inputs!$B$66:$B$71,MATCH(MONTH(Output!Y5),Inputs!$D$66:$D$71,0))-INDEX(Inputs!$C$66:$C$71,MATCH(MONTH(Output!Y5),Inputs!$D$66:$D$71,0)))</f>
        <v>29223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</v>
      </c>
      <c r="D10" s="37">
        <f>SUMPRODUCT((Calculations!$D$33:$D$84=Output!D5)+0,Calculations!$C$33:$C$84)</f>
        <v>1500</v>
      </c>
      <c r="E10" s="37">
        <f>SUMPRODUCT((Calculations!$D$33:$D$84=Output!E5)+0,Calculations!$C$33:$C$84)</f>
        <v>1500</v>
      </c>
      <c r="F10" s="37">
        <f>SUMPRODUCT((Calculations!$D$33:$D$84=Output!F5)+0,Calculations!$C$33:$C$84)</f>
        <v>1500</v>
      </c>
      <c r="G10" s="37">
        <f>SUMPRODUCT((Calculations!$D$33:$D$84=Output!G5)+0,Calculations!$C$33:$C$84)</f>
        <v>1500</v>
      </c>
      <c r="H10" s="37">
        <f>SUMPRODUCT((Calculations!$D$33:$D$84=Output!H5)+0,Calculations!$C$33:$C$84)</f>
        <v>15785.71428571429</v>
      </c>
      <c r="I10" s="37">
        <f>SUMPRODUCT((Calculations!$D$33:$D$84=Output!I5)+0,Calculations!$C$33:$C$84)</f>
        <v>15785.71428571429</v>
      </c>
      <c r="J10" s="37">
        <f>SUMPRODUCT((Calculations!$D$33:$D$84=Output!J5)+0,Calculations!$C$33:$C$84)</f>
        <v>15785.71428571429</v>
      </c>
      <c r="K10" s="37">
        <f>SUMPRODUCT((Calculations!$D$33:$D$84=Output!K5)+0,Calculations!$C$33:$C$84)</f>
        <v>15785.71428571429</v>
      </c>
      <c r="L10" s="37">
        <f>SUMPRODUCT((Calculations!$D$33:$D$84=Output!L5)+0,Calculations!$C$33:$C$84)</f>
        <v>15785.71428571429</v>
      </c>
      <c r="M10" s="37">
        <f>SUMPRODUCT((Calculations!$D$33:$D$84=Output!M5)+0,Calculations!$C$33:$C$84)</f>
        <v>15785.71428571429</v>
      </c>
      <c r="N10" s="37">
        <f>SUMPRODUCT((Calculations!$D$33:$D$84=Output!N5)+0,Calculations!$C$33:$C$84)</f>
        <v>15785.71428571429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102214.2857142857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-76514.16349075828</v>
      </c>
      <c r="C11" s="80">
        <f>C6+C9-C10</f>
        <v>-32484.16349075828</v>
      </c>
      <c r="D11" s="80">
        <f>D6+D9-D10</f>
        <v>-82984.16349075828</v>
      </c>
      <c r="E11" s="80">
        <f>E6+E9-E10</f>
        <v>472075.3028997381</v>
      </c>
      <c r="F11" s="80">
        <f>F6+F9-F10</f>
        <v>290873.8224801195</v>
      </c>
      <c r="G11" s="80">
        <f>G6+G9-G10</f>
        <v>1203.336509241723</v>
      </c>
      <c r="H11" s="80">
        <f>H6+H9-H10</f>
        <v>-192299.8777764726</v>
      </c>
      <c r="I11" s="80">
        <f>I6+I9-I10</f>
        <v>-46769.87777647257</v>
      </c>
      <c r="J11" s="80">
        <f>J6+J9-J10</f>
        <v>-97269.87777647257</v>
      </c>
      <c r="K11" s="80">
        <f>K6+K9-K10</f>
        <v>457789.5886140238</v>
      </c>
      <c r="L11" s="80">
        <f>L6+L9-L10</f>
        <v>276588.1081944053</v>
      </c>
      <c r="M11" s="80">
        <f>M6+M9-M10</f>
        <v>-13082.37777647256</v>
      </c>
      <c r="N11" s="80">
        <f>N6+N9-N10</f>
        <v>-192299.8777764726</v>
      </c>
      <c r="O11" s="80">
        <f>O6+O9-O10</f>
        <v>-30984.16349075828</v>
      </c>
      <c r="P11" s="80">
        <f>P6+P9-P10</f>
        <v>-81484.16349075828</v>
      </c>
      <c r="Q11" s="80">
        <f>Q6+Q9-Q10</f>
        <v>473575.3028997381</v>
      </c>
      <c r="R11" s="80">
        <f>R6+R9-R10</f>
        <v>292373.8224801195</v>
      </c>
      <c r="S11" s="80">
        <f>S6+S9-S10</f>
        <v>2703.336509241723</v>
      </c>
      <c r="T11" s="80">
        <f>T6+T9-T10</f>
        <v>-176514.1634907583</v>
      </c>
      <c r="U11" s="80">
        <f>U6+U9-U10</f>
        <v>-30984.16349075828</v>
      </c>
      <c r="V11" s="80">
        <f>V6+V9-V10</f>
        <v>-81484.16349075828</v>
      </c>
      <c r="W11" s="80">
        <f>W6+W9-W10</f>
        <v>473575.3028997381</v>
      </c>
      <c r="X11" s="80">
        <f>X6+X9-X10</f>
        <v>292373.8224801195</v>
      </c>
      <c r="Y11" s="80">
        <f>Y6+Y9-Y10</f>
        <v>2703.336509241723</v>
      </c>
      <c r="Z11" s="85">
        <f>SUMIF($B$13:$Y$13,"Yes",B11:Y11)</f>
        <v>764825.7793428907</v>
      </c>
      <c r="AA11" s="80">
        <f>SUM(B11:M11)</f>
        <v>957125.6571193633</v>
      </c>
      <c r="AB11" s="46">
        <f>SUM(B11:Y11)</f>
        <v>1900679.885667298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0.01581206482910371</v>
      </c>
      <c r="F12" s="82">
        <f>IF(F13="Yes",IF(SUM($B$10:F10)/(SUM($B$6:F6)+SUM($B$9:F9))&lt;0,999.99,SUM($B$10:F10)/(SUM($B$6:F6)+SUM($B$9:F9))),"")</f>
        <v>0.01039921485401156</v>
      </c>
      <c r="G12" s="82">
        <f>IF(G13="Yes",IF(SUM($B$10:G10)/(SUM($B$6:G6)+SUM($B$9:G9))&lt;0,999.99,SUM($B$10:G10)/(SUM($B$6:G6)+SUM($B$9:G9))),"")</f>
        <v>0.01293839662190636</v>
      </c>
      <c r="H12" s="82">
        <f>IF(H13="Yes",IF(SUM($B$10:H10)/(SUM($B$6:H6)+SUM($B$9:H9))&lt;0,999.99,SUM($B$10:H10)/(SUM($B$6:H6)+SUM($B$9:H9))),"")</f>
        <v>0.05775859811000068</v>
      </c>
      <c r="I12" s="82">
        <f>IF(I13="Yes",IF(SUM($B$10:I10)/(SUM($B$6:I6)+SUM($B$9:I9))&lt;0,999.99,SUM($B$10:I10)/(SUM($B$6:I6)+SUM($B$9:I9))),"")</f>
        <v>0.104982282115316</v>
      </c>
      <c r="J12" s="82">
        <f>IF(J13="Yes",IF(SUM($B$10:J10)/(SUM($B$6:J6)+SUM($B$9:J9))&lt;0,999.99,SUM($B$10:J10)/(SUM($B$6:J6)+SUM($B$9:J9))),"")</f>
        <v>0.1887151888306025</v>
      </c>
      <c r="K12" s="82">
        <f>IF(K13="Yes",IF(SUM($B$10:K10)/(SUM($B$6:K6)+SUM($B$9:K9))&lt;0,999.99,SUM($B$10:K10)/(SUM($B$6:K6)+SUM($B$9:K9))),"")</f>
        <v>0.092432679748606</v>
      </c>
      <c r="L12" s="82">
        <f>IF(L13="Yes",IF(SUM($B$10:L10)/(SUM($B$6:L6)+SUM($B$9:L9))&lt;0,999.99,SUM($B$10:L10)/(SUM($B$6:L6)+SUM($B$9:L9))),"")</f>
        <v>0.08179592767396159</v>
      </c>
      <c r="M12" s="82">
        <f>IF(M13="Yes",IF(SUM($B$10:M10)/(SUM($B$6:M6)+SUM($B$9:M9))&lt;0,999.99,SUM($B$10:M10)/(SUM($B$6:M6)+SUM($B$9:M9))),"")</f>
        <v>0.0964886544737195</v>
      </c>
      <c r="N12" s="82">
        <f>IF(N13="Yes",IF(SUM($B$10:N10)/(SUM($B$6:N6)+SUM($B$9:N9))&lt;0,999.99,SUM($B$10:N10)/(SUM($B$6:N6)+SUM($B$9:N9))),"")</f>
        <v>0.1336617062630753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42736</v>
      </c>
      <c r="C17" s="17">
        <f>C5</f>
        <v>42767</v>
      </c>
      <c r="D17" s="17">
        <f>D5</f>
        <v>42795</v>
      </c>
      <c r="E17" s="17">
        <f>E5</f>
        <v>42826</v>
      </c>
      <c r="F17" s="17">
        <f>F5</f>
        <v>42856</v>
      </c>
      <c r="G17" s="17">
        <f>G5</f>
        <v>42887</v>
      </c>
      <c r="H17" s="17">
        <f>H5</f>
        <v>42917</v>
      </c>
      <c r="I17" s="17">
        <f>I5</f>
        <v>42948</v>
      </c>
      <c r="J17" s="17">
        <f>J5</f>
        <v>42979</v>
      </c>
      <c r="K17" s="17">
        <f>K5</f>
        <v>43009</v>
      </c>
      <c r="L17" s="17">
        <f>L5</f>
        <v>43040</v>
      </c>
      <c r="M17" s="17">
        <f>M5</f>
        <v>43070</v>
      </c>
      <c r="N17" s="17">
        <f>N5</f>
        <v>43101</v>
      </c>
      <c r="O17" s="17">
        <f>O5</f>
        <v>43132</v>
      </c>
      <c r="P17" s="17">
        <f>P5</f>
        <v>43160</v>
      </c>
      <c r="Q17" s="17">
        <f>Q5</f>
        <v>43191</v>
      </c>
      <c r="R17" s="17">
        <f>R5</f>
        <v>43221</v>
      </c>
      <c r="S17" s="17">
        <f>S5</f>
        <v>43252</v>
      </c>
      <c r="T17" s="17">
        <f>T5</f>
        <v>43282</v>
      </c>
      <c r="U17" s="17">
        <f>U5</f>
        <v>43313</v>
      </c>
      <c r="V17" s="17">
        <f>V5</f>
        <v>43344</v>
      </c>
      <c r="W17" s="17">
        <f>W5</f>
        <v>43374</v>
      </c>
      <c r="X17" s="17">
        <f>X5</f>
        <v>43405</v>
      </c>
      <c r="Y17" s="17">
        <f>Y5</f>
        <v>43435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35242.58558407948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35242.58558407948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35242.58558407948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35242.58558407948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70485.17116815895</v>
      </c>
      <c r="AA18" s="36">
        <f>SUM(B18:M18)</f>
        <v>70485.17116815895</v>
      </c>
      <c r="AB18" s="36">
        <f>SUM(B18:Y18)</f>
        <v>140970.3423363179</v>
      </c>
      <c r="AC18" s="43"/>
      <c r="AD18" s="43"/>
    </row>
    <row r="19" spans="1:30">
      <c r="A19" t="str">
        <f>IF(Calculations!A5&lt;&gt;Parameters!$A$18,IF(Calculations!A5=0,"",Calculations!A5),Inputs!B8)</f>
        <v>Cabbages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504559.4663904964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504559.4663904964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504559.4663904964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504559.4663904964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1009118.932780993</v>
      </c>
      <c r="AA19" s="36">
        <f>SUM(B19:M19)</f>
        <v>1009118.932780993</v>
      </c>
      <c r="AB19" s="36">
        <f>SUM(B19:Y19)</f>
        <v>2018237.865561985</v>
      </c>
      <c r="AC19" s="43"/>
      <c r="AD19" s="43"/>
    </row>
    <row r="20" spans="1:30">
      <c r="A20" t="str">
        <f>IF(Calculations!A6&lt;&gt;Parameters!$A$18,IF(Calculations!A6=0,"",Calculations!A6),Inputs!B9)</f>
        <v>Potatoes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273427.9003867983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273427.9003867983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273427.9003867983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273427.9003867983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546855.8007735966</v>
      </c>
      <c r="AA20" s="36">
        <f>SUM(B20:M20)</f>
        <v>546855.8007735966</v>
      </c>
      <c r="AB20" s="36">
        <f>SUM(B20:Y20)</f>
        <v>1093711.601547193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65000</v>
      </c>
      <c r="C29" s="37">
        <f>Inputs!$B$30</f>
        <v>65000</v>
      </c>
      <c r="D29" s="37">
        <f>Inputs!$B$30</f>
        <v>65000</v>
      </c>
      <c r="E29" s="37">
        <f>Inputs!$B$30</f>
        <v>65000</v>
      </c>
      <c r="F29" s="37">
        <f>Inputs!$B$30</f>
        <v>65000</v>
      </c>
      <c r="G29" s="37">
        <f>Inputs!$B$30</f>
        <v>65000</v>
      </c>
      <c r="H29" s="37">
        <f>Inputs!$B$30</f>
        <v>65000</v>
      </c>
      <c r="I29" s="37">
        <f>Inputs!$B$30</f>
        <v>65000</v>
      </c>
      <c r="J29" s="37">
        <f>Inputs!$B$30</f>
        <v>65000</v>
      </c>
      <c r="K29" s="37">
        <f>Inputs!$B$30</f>
        <v>65000</v>
      </c>
      <c r="L29" s="37">
        <f>Inputs!$B$30</f>
        <v>65000</v>
      </c>
      <c r="M29" s="37">
        <f>Inputs!$B$30</f>
        <v>65000</v>
      </c>
      <c r="N29" s="37">
        <f>Inputs!$B$30</f>
        <v>65000</v>
      </c>
      <c r="O29" s="37">
        <f>Inputs!$B$30</f>
        <v>65000</v>
      </c>
      <c r="P29" s="37">
        <f>Inputs!$B$30</f>
        <v>65000</v>
      </c>
      <c r="Q29" s="37">
        <f>Inputs!$B$30</f>
        <v>65000</v>
      </c>
      <c r="R29" s="37">
        <f>Inputs!$B$30</f>
        <v>65000</v>
      </c>
      <c r="S29" s="37">
        <f>Inputs!$B$30</f>
        <v>65000</v>
      </c>
      <c r="T29" s="37">
        <f>Inputs!$B$30</f>
        <v>65000</v>
      </c>
      <c r="U29" s="37">
        <f>Inputs!$B$30</f>
        <v>65000</v>
      </c>
      <c r="V29" s="37">
        <f>Inputs!$B$30</f>
        <v>65000</v>
      </c>
      <c r="W29" s="37">
        <f>Inputs!$B$30</f>
        <v>65000</v>
      </c>
      <c r="X29" s="37">
        <f>Inputs!$B$30</f>
        <v>65000</v>
      </c>
      <c r="Y29" s="37">
        <f>Inputs!$B$30</f>
        <v>65000</v>
      </c>
      <c r="Z29" s="37">
        <f>SUMIF($B$13:$Y$13,"Yes",B29:Y29)</f>
        <v>845000</v>
      </c>
      <c r="AA29" s="37">
        <f>SUM(B29:M29)</f>
        <v>780000</v>
      </c>
      <c r="AB29" s="37">
        <f>SUM(B29:Y29)</f>
        <v>1560000</v>
      </c>
    </row>
    <row r="30" spans="1:30" customHeight="1" ht="15.75">
      <c r="A30" s="1" t="s">
        <v>37</v>
      </c>
      <c r="B30" s="19">
        <f>SUM(B18:B29)</f>
        <v>65000</v>
      </c>
      <c r="C30" s="19">
        <f>SUM(C18:C29)</f>
        <v>65000</v>
      </c>
      <c r="D30" s="19">
        <f>SUM(D18:D29)</f>
        <v>65000</v>
      </c>
      <c r="E30" s="19">
        <f>SUM(E18:E29)</f>
        <v>569559.4663904964</v>
      </c>
      <c r="F30" s="19">
        <f>SUM(F18:F29)</f>
        <v>373670.4859708778</v>
      </c>
      <c r="G30" s="19">
        <f>SUM(G18:G29)</f>
        <v>65000</v>
      </c>
      <c r="H30" s="19">
        <f>SUM(H18:H29)</f>
        <v>65000</v>
      </c>
      <c r="I30" s="19">
        <f>SUM(I18:I29)</f>
        <v>65000</v>
      </c>
      <c r="J30" s="19">
        <f>SUM(J18:J29)</f>
        <v>65000</v>
      </c>
      <c r="K30" s="19">
        <f>SUM(K18:K29)</f>
        <v>569559.4663904964</v>
      </c>
      <c r="L30" s="19">
        <f>SUM(L18:L29)</f>
        <v>373670.4859708778</v>
      </c>
      <c r="M30" s="19">
        <f>SUM(M18:M29)</f>
        <v>65000</v>
      </c>
      <c r="N30" s="19">
        <f>SUM(N18:N29)</f>
        <v>65000</v>
      </c>
      <c r="O30" s="19">
        <f>SUM(O18:O29)</f>
        <v>65000</v>
      </c>
      <c r="P30" s="19">
        <f>SUM(P18:P29)</f>
        <v>65000</v>
      </c>
      <c r="Q30" s="19">
        <f>SUM(Q18:Q29)</f>
        <v>569559.4663904964</v>
      </c>
      <c r="R30" s="19">
        <f>SUM(R18:R29)</f>
        <v>373670.4859708778</v>
      </c>
      <c r="S30" s="19">
        <f>SUM(S18:S29)</f>
        <v>65000</v>
      </c>
      <c r="T30" s="19">
        <f>SUM(T18:T29)</f>
        <v>65000</v>
      </c>
      <c r="U30" s="19">
        <f>SUM(U18:U29)</f>
        <v>65000</v>
      </c>
      <c r="V30" s="19">
        <f>SUM(V18:V29)</f>
        <v>65000</v>
      </c>
      <c r="W30" s="19">
        <f>SUM(W18:W29)</f>
        <v>569559.4663904964</v>
      </c>
      <c r="X30" s="19">
        <f>SUM(X18:X29)</f>
        <v>373670.4859708778</v>
      </c>
      <c r="Y30" s="19">
        <f>SUM(Y18:Y29)</f>
        <v>65000</v>
      </c>
      <c r="Z30" s="19">
        <f>SUMIF($B$13:$Y$13,"Yes",B30:Y30)</f>
        <v>2471459.904722748</v>
      </c>
      <c r="AA30" s="19">
        <f>SUM(B30:M30)</f>
        <v>2406459.904722748</v>
      </c>
      <c r="AB30" s="19">
        <f>SUM(B30:Y30)</f>
        <v>4812919.809445497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42736</v>
      </c>
      <c r="C35" s="17">
        <f>C17</f>
        <v>42767</v>
      </c>
      <c r="D35" s="17">
        <f>D17</f>
        <v>42795</v>
      </c>
      <c r="E35" s="17">
        <f>E17</f>
        <v>42826</v>
      </c>
      <c r="F35" s="17">
        <f>F17</f>
        <v>42856</v>
      </c>
      <c r="G35" s="17">
        <f>G17</f>
        <v>42887</v>
      </c>
      <c r="H35" s="17">
        <f>H17</f>
        <v>42917</v>
      </c>
      <c r="I35" s="17">
        <f>I17</f>
        <v>42948</v>
      </c>
      <c r="J35" s="17">
        <f>J17</f>
        <v>42979</v>
      </c>
      <c r="K35" s="17">
        <f>K17</f>
        <v>43009</v>
      </c>
      <c r="L35" s="17">
        <f>L17</f>
        <v>43040</v>
      </c>
      <c r="M35" s="17">
        <f>M17</f>
        <v>43070</v>
      </c>
      <c r="N35" s="17">
        <f>N17</f>
        <v>43101</v>
      </c>
      <c r="O35" s="17">
        <f>O17</f>
        <v>43132</v>
      </c>
      <c r="P35" s="17">
        <f>P17</f>
        <v>43160</v>
      </c>
      <c r="Q35" s="17">
        <f>Q17</f>
        <v>43191</v>
      </c>
      <c r="R35" s="17">
        <f>R17</f>
        <v>43221</v>
      </c>
      <c r="S35" s="17">
        <f>S17</f>
        <v>43252</v>
      </c>
      <c r="T35" s="17">
        <f>T17</f>
        <v>43282</v>
      </c>
      <c r="U35" s="17">
        <f>U17</f>
        <v>43313</v>
      </c>
      <c r="V35" s="17">
        <f>V17</f>
        <v>43344</v>
      </c>
      <c r="W35" s="17">
        <f>W17</f>
        <v>43374</v>
      </c>
      <c r="X35" s="17">
        <f>X17</f>
        <v>43405</v>
      </c>
      <c r="Y35" s="17">
        <f>Y17</f>
        <v>43435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10000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10000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10000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10000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30000</v>
      </c>
      <c r="AA36" s="36">
        <f>SUM(B36:M36)</f>
        <v>20000</v>
      </c>
      <c r="AB36" s="36">
        <f>SUM(B36:Y36)</f>
        <v>40000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Cabbages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Potatoes</v>
      </c>
      <c r="B39" s="36">
        <f>N39</f>
        <v>10000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10000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10000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10000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30000</v>
      </c>
      <c r="AA39" s="36">
        <f>SUM(B39:M39)</f>
        <v>20000</v>
      </c>
      <c r="AB39" s="36">
        <f>SUM(B39:Y39)</f>
        <v>40000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135530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135530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135530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135530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406590</v>
      </c>
      <c r="AA42" s="36">
        <f>SUM(B42:M42)</f>
        <v>271060</v>
      </c>
      <c r="AB42" s="36">
        <f>SUM(B42:Y42)</f>
        <v>542120</v>
      </c>
    </row>
    <row r="43" spans="1:30" hidden="true" outlineLevel="1">
      <c r="A43" s="181" t="str">
        <f>Calculations!$A$4</f>
        <v>Beans</v>
      </c>
      <c r="B43" s="36">
        <f>N43</f>
        <v>12500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12500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12500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12500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37500</v>
      </c>
      <c r="AA43" s="36">
        <f>SUM(B43:M43)</f>
        <v>25000</v>
      </c>
      <c r="AB43" s="36">
        <f>SUM(B43:Y43)</f>
        <v>50000</v>
      </c>
    </row>
    <row r="44" spans="1:30" hidden="true" outlineLevel="1">
      <c r="A44" s="181" t="str">
        <f>Calculations!$A$5</f>
        <v>Cabbages</v>
      </c>
      <c r="B44" s="36">
        <f>N44</f>
        <v>3030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3030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3030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3030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9090</v>
      </c>
      <c r="AA44" s="36">
        <f>SUM(B44:M44)</f>
        <v>6060</v>
      </c>
      <c r="AB44" s="36">
        <f>SUM(B44:Y44)</f>
        <v>12120</v>
      </c>
    </row>
    <row r="45" spans="1:30" hidden="true" outlineLevel="1">
      <c r="A45" s="181" t="str">
        <f>Calculations!$A$6</f>
        <v>Potatoes</v>
      </c>
      <c r="B45" s="36">
        <f>N45</f>
        <v>120000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120000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120000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120000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360000</v>
      </c>
      <c r="AA45" s="36">
        <f>SUM(B45:M45)</f>
        <v>240000</v>
      </c>
      <c r="AB45" s="36">
        <f>SUM(B45:Y45)</f>
        <v>480000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50500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50500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50500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50500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101000</v>
      </c>
      <c r="AA48" s="46">
        <f>SUM(B48:M48)</f>
        <v>101000</v>
      </c>
      <c r="AB48" s="46">
        <f>SUM(B48:Y48)</f>
        <v>202000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15000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15000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15000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15000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30000</v>
      </c>
      <c r="AA49" s="46">
        <f>SUM(B49:M49)</f>
        <v>30000</v>
      </c>
      <c r="AB49" s="46">
        <f>SUM(B49:Y49)</f>
        <v>60000</v>
      </c>
    </row>
    <row r="50" spans="1:30" hidden="true" outlineLevel="1">
      <c r="A50" s="181" t="str">
        <f>Calculations!$A$5</f>
        <v>Cabbages</v>
      </c>
      <c r="B50" s="36">
        <f>N50</f>
        <v>0</v>
      </c>
      <c r="C50" s="36">
        <f>O50</f>
        <v>0</v>
      </c>
      <c r="D50" s="36">
        <f>P50</f>
        <v>14000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14000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14000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14000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28000</v>
      </c>
      <c r="AA50" s="46">
        <f>SUM(B50:M50)</f>
        <v>28000</v>
      </c>
      <c r="AB50" s="46">
        <f>SUM(B50:Y50)</f>
        <v>56000</v>
      </c>
    </row>
    <row r="51" spans="1:30" hidden="true" outlineLevel="1">
      <c r="A51" s="181" t="str">
        <f>Calculations!$A$6</f>
        <v>Potatoes</v>
      </c>
      <c r="B51" s="36">
        <f>N51</f>
        <v>0</v>
      </c>
      <c r="C51" s="36">
        <f>O51</f>
        <v>0</v>
      </c>
      <c r="D51" s="36">
        <f>P51</f>
        <v>21500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21500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21500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21500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43000</v>
      </c>
      <c r="AA51" s="46">
        <f>SUM(B51:M51)</f>
        <v>43000</v>
      </c>
      <c r="AB51" s="46">
        <f>SUM(B51:Y51)</f>
        <v>86000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Cabbages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Potatoes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21000</v>
      </c>
      <c r="C60" s="36">
        <f>O60</f>
        <v>21000</v>
      </c>
      <c r="D60" s="36">
        <f>P60</f>
        <v>21000</v>
      </c>
      <c r="E60" s="36">
        <f>Q60</f>
        <v>21000</v>
      </c>
      <c r="F60" s="36">
        <f>R60</f>
        <v>11000</v>
      </c>
      <c r="G60" s="36">
        <f>S60</f>
        <v>0</v>
      </c>
      <c r="H60" s="36">
        <f>T60</f>
        <v>21000</v>
      </c>
      <c r="I60" s="36">
        <f>U60</f>
        <v>21000</v>
      </c>
      <c r="J60" s="36">
        <f>V60</f>
        <v>21000</v>
      </c>
      <c r="K60" s="36">
        <f>W60</f>
        <v>21000</v>
      </c>
      <c r="L60" s="36">
        <f>X60</f>
        <v>11000</v>
      </c>
      <c r="M60" s="36">
        <f>Y60</f>
        <v>0</v>
      </c>
      <c r="N60" s="46">
        <f>SUM(N61:N65)</f>
        <v>21000</v>
      </c>
      <c r="O60" s="46">
        <f>SUM(O61:O65)</f>
        <v>21000</v>
      </c>
      <c r="P60" s="46">
        <f>SUM(P61:P65)</f>
        <v>21000</v>
      </c>
      <c r="Q60" s="46">
        <f>SUM(Q61:Q65)</f>
        <v>21000</v>
      </c>
      <c r="R60" s="46">
        <f>SUM(R61:R65)</f>
        <v>11000</v>
      </c>
      <c r="S60" s="46">
        <f>SUM(S61:S65)</f>
        <v>0</v>
      </c>
      <c r="T60" s="46">
        <f>SUM(T61:T65)</f>
        <v>21000</v>
      </c>
      <c r="U60" s="46">
        <f>SUM(U61:U65)</f>
        <v>21000</v>
      </c>
      <c r="V60" s="46">
        <f>SUM(V61:V65)</f>
        <v>21000</v>
      </c>
      <c r="W60" s="46">
        <f>SUM(W61:W65)</f>
        <v>21000</v>
      </c>
      <c r="X60" s="46">
        <f>SUM(X61:X65)</f>
        <v>11000</v>
      </c>
      <c r="Y60" s="46">
        <f>SUM(Y61:Y65)</f>
        <v>0</v>
      </c>
      <c r="Z60" s="46">
        <f>SUMIF($B$13:$Y$13,"Yes",B60:Y60)</f>
        <v>211000</v>
      </c>
      <c r="AA60" s="46">
        <f>SUM(B60:M60)</f>
        <v>190000</v>
      </c>
      <c r="AB60" s="46">
        <f>SUM(B60:Y60)</f>
        <v>380000</v>
      </c>
    </row>
    <row r="61" spans="1:30" hidden="true" outlineLevel="1">
      <c r="A61" s="181" t="str">
        <f>Calculations!$A$4</f>
        <v>Beans</v>
      </c>
      <c r="B61" s="36">
        <f>N61</f>
        <v>6000</v>
      </c>
      <c r="C61" s="36">
        <f>O61</f>
        <v>6000</v>
      </c>
      <c r="D61" s="36">
        <f>P61</f>
        <v>6000</v>
      </c>
      <c r="E61" s="36">
        <f>Q61</f>
        <v>6000</v>
      </c>
      <c r="F61" s="36">
        <f>R61</f>
        <v>6000</v>
      </c>
      <c r="G61" s="36">
        <f>S61</f>
        <v>0</v>
      </c>
      <c r="H61" s="36">
        <f>T61</f>
        <v>6000</v>
      </c>
      <c r="I61" s="36">
        <f>U61</f>
        <v>6000</v>
      </c>
      <c r="J61" s="36">
        <f>V61</f>
        <v>6000</v>
      </c>
      <c r="K61" s="36">
        <f>W61</f>
        <v>6000</v>
      </c>
      <c r="L61" s="36">
        <f>X61</f>
        <v>6000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6000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6000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6000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6000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6000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6000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6000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6000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6000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6000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66000</v>
      </c>
      <c r="AA61" s="46">
        <f>SUM(B61:M61)</f>
        <v>60000</v>
      </c>
      <c r="AB61" s="46">
        <f>SUM(B61:Y61)</f>
        <v>120000</v>
      </c>
    </row>
    <row r="62" spans="1:30" hidden="true" outlineLevel="1">
      <c r="A62" s="181" t="str">
        <f>Calculations!$A$5</f>
        <v>Cabbages</v>
      </c>
      <c r="B62" s="36">
        <f>N62</f>
        <v>10000</v>
      </c>
      <c r="C62" s="36">
        <f>O62</f>
        <v>10000</v>
      </c>
      <c r="D62" s="36">
        <f>P62</f>
        <v>10000</v>
      </c>
      <c r="E62" s="36">
        <f>Q62</f>
        <v>10000</v>
      </c>
      <c r="F62" s="36">
        <f>R62</f>
        <v>0</v>
      </c>
      <c r="G62" s="36">
        <f>S62</f>
        <v>0</v>
      </c>
      <c r="H62" s="36">
        <f>T62</f>
        <v>10000</v>
      </c>
      <c r="I62" s="36">
        <f>U62</f>
        <v>10000</v>
      </c>
      <c r="J62" s="36">
        <f>V62</f>
        <v>10000</v>
      </c>
      <c r="K62" s="36">
        <f>W62</f>
        <v>10000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10000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10000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10000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10000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10000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10000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10000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10000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90000</v>
      </c>
      <c r="AA62" s="46">
        <f>SUM(B62:M62)</f>
        <v>80000</v>
      </c>
      <c r="AB62" s="46">
        <f>SUM(B62:Y62)</f>
        <v>160000</v>
      </c>
    </row>
    <row r="63" spans="1:30" hidden="true" outlineLevel="1">
      <c r="A63" s="181" t="str">
        <f>Calculations!$A$6</f>
        <v>Potatoes</v>
      </c>
      <c r="B63" s="36">
        <f>N63</f>
        <v>5000</v>
      </c>
      <c r="C63" s="36">
        <f>O63</f>
        <v>5000</v>
      </c>
      <c r="D63" s="36">
        <f>P63</f>
        <v>5000</v>
      </c>
      <c r="E63" s="36">
        <f>Q63</f>
        <v>5000</v>
      </c>
      <c r="F63" s="36">
        <f>R63</f>
        <v>5000</v>
      </c>
      <c r="G63" s="36">
        <f>S63</f>
        <v>0</v>
      </c>
      <c r="H63" s="36">
        <f>T63</f>
        <v>5000</v>
      </c>
      <c r="I63" s="36">
        <f>U63</f>
        <v>5000</v>
      </c>
      <c r="J63" s="36">
        <f>V63</f>
        <v>5000</v>
      </c>
      <c r="K63" s="36">
        <f>W63</f>
        <v>5000</v>
      </c>
      <c r="L63" s="36">
        <f>X63</f>
        <v>5000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5000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5000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5000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5000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5000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5000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5000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5000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5000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5000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55000</v>
      </c>
      <c r="AA63" s="46">
        <f>SUM(B63:M63)</f>
        <v>50000</v>
      </c>
      <c r="AB63" s="46">
        <f>SUM(B63:Y63)</f>
        <v>100000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12687.5</v>
      </c>
      <c r="C66" s="36">
        <f>O66</f>
        <v>12687.5</v>
      </c>
      <c r="D66" s="36">
        <f>P66</f>
        <v>12687.5</v>
      </c>
      <c r="E66" s="36">
        <f>Q66</f>
        <v>12687.5</v>
      </c>
      <c r="F66" s="36">
        <f>R66</f>
        <v>8000</v>
      </c>
      <c r="G66" s="36">
        <f>S66</f>
        <v>0</v>
      </c>
      <c r="H66" s="36">
        <f>T66</f>
        <v>12687.5</v>
      </c>
      <c r="I66" s="36">
        <f>U66</f>
        <v>12687.5</v>
      </c>
      <c r="J66" s="36">
        <f>V66</f>
        <v>12687.5</v>
      </c>
      <c r="K66" s="36">
        <f>W66</f>
        <v>12687.5</v>
      </c>
      <c r="L66" s="36">
        <f>X66</f>
        <v>8000</v>
      </c>
      <c r="M66" s="36">
        <f>Y66</f>
        <v>0</v>
      </c>
      <c r="N66" s="46">
        <f>SUM(N67:N71)</f>
        <v>12687.5</v>
      </c>
      <c r="O66" s="46">
        <f>SUM(O67:O71)</f>
        <v>12687.5</v>
      </c>
      <c r="P66" s="46">
        <f>SUM(P67:P71)</f>
        <v>12687.5</v>
      </c>
      <c r="Q66" s="46">
        <f>SUM(Q67:Q71)</f>
        <v>12687.5</v>
      </c>
      <c r="R66" s="46">
        <f>SUM(R67:R71)</f>
        <v>8000</v>
      </c>
      <c r="S66" s="46">
        <f>SUM(S67:S71)</f>
        <v>0</v>
      </c>
      <c r="T66" s="46">
        <f>SUM(T67:T71)</f>
        <v>12687.5</v>
      </c>
      <c r="U66" s="46">
        <f>SUM(U67:U71)</f>
        <v>12687.5</v>
      </c>
      <c r="V66" s="46">
        <f>SUM(V67:V71)</f>
        <v>12687.5</v>
      </c>
      <c r="W66" s="46">
        <f>SUM(W67:W71)</f>
        <v>12687.5</v>
      </c>
      <c r="X66" s="46">
        <f>SUM(X67:X71)</f>
        <v>8000</v>
      </c>
      <c r="Y66" s="46">
        <f>SUM(Y67:Y71)</f>
        <v>0</v>
      </c>
      <c r="Z66" s="46">
        <f>SUMIF($B$13:$Y$13,"Yes",B66:Y66)</f>
        <v>130187.5</v>
      </c>
      <c r="AA66" s="46">
        <f>SUM(B66:M66)</f>
        <v>117500</v>
      </c>
      <c r="AB66" s="46">
        <f>SUM(B66:Y66)</f>
        <v>235000</v>
      </c>
    </row>
    <row r="67" spans="1:30" hidden="true" outlineLevel="1">
      <c r="A67" s="181" t="str">
        <f>Calculations!$A$4</f>
        <v>Beans</v>
      </c>
      <c r="B67" s="36">
        <f>N67</f>
        <v>5000</v>
      </c>
      <c r="C67" s="36">
        <f>O67</f>
        <v>5000</v>
      </c>
      <c r="D67" s="36">
        <f>P67</f>
        <v>5000</v>
      </c>
      <c r="E67" s="36">
        <f>Q67</f>
        <v>5000</v>
      </c>
      <c r="F67" s="36">
        <f>R67</f>
        <v>5000</v>
      </c>
      <c r="G67" s="36">
        <f>S67</f>
        <v>0</v>
      </c>
      <c r="H67" s="36">
        <f>T67</f>
        <v>5000</v>
      </c>
      <c r="I67" s="36">
        <f>U67</f>
        <v>5000</v>
      </c>
      <c r="J67" s="36">
        <f>V67</f>
        <v>5000</v>
      </c>
      <c r="K67" s="36">
        <f>W67</f>
        <v>5000</v>
      </c>
      <c r="L67" s="36">
        <f>X67</f>
        <v>5000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5000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5000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5000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5000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5000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5000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5000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5000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5000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5000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55000</v>
      </c>
      <c r="AA67" s="46">
        <f>SUM(B67:M67)</f>
        <v>50000</v>
      </c>
      <c r="AB67" s="46">
        <f>SUM(B67:Y67)</f>
        <v>100000</v>
      </c>
    </row>
    <row r="68" spans="1:30" hidden="true" outlineLevel="1">
      <c r="A68" s="181" t="str">
        <f>Calculations!$A$5</f>
        <v>Cabbages</v>
      </c>
      <c r="B68" s="36">
        <f>N68</f>
        <v>4687.5</v>
      </c>
      <c r="C68" s="36">
        <f>O68</f>
        <v>4687.5</v>
      </c>
      <c r="D68" s="36">
        <f>P68</f>
        <v>4687.5</v>
      </c>
      <c r="E68" s="36">
        <f>Q68</f>
        <v>4687.5</v>
      </c>
      <c r="F68" s="36">
        <f>R68</f>
        <v>0</v>
      </c>
      <c r="G68" s="36">
        <f>S68</f>
        <v>0</v>
      </c>
      <c r="H68" s="36">
        <f>T68</f>
        <v>4687.5</v>
      </c>
      <c r="I68" s="36">
        <f>U68</f>
        <v>4687.5</v>
      </c>
      <c r="J68" s="36">
        <f>V68</f>
        <v>4687.5</v>
      </c>
      <c r="K68" s="36">
        <f>W68</f>
        <v>4687.5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4687.5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4687.5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4687.5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4687.5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4687.5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4687.5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4687.5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4687.5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42187.5</v>
      </c>
      <c r="AA68" s="46">
        <f>SUM(B68:M68)</f>
        <v>37500</v>
      </c>
      <c r="AB68" s="46">
        <f>SUM(B68:Y68)</f>
        <v>75000</v>
      </c>
    </row>
    <row r="69" spans="1:30" hidden="true" outlineLevel="1">
      <c r="A69" s="181" t="str">
        <f>Calculations!$A$6</f>
        <v>Potatoes</v>
      </c>
      <c r="B69" s="36">
        <f>N69</f>
        <v>3000</v>
      </c>
      <c r="C69" s="36">
        <f>O69</f>
        <v>3000</v>
      </c>
      <c r="D69" s="36">
        <f>P69</f>
        <v>3000</v>
      </c>
      <c r="E69" s="36">
        <f>Q69</f>
        <v>3000</v>
      </c>
      <c r="F69" s="36">
        <f>R69</f>
        <v>3000</v>
      </c>
      <c r="G69" s="36">
        <f>S69</f>
        <v>0</v>
      </c>
      <c r="H69" s="36">
        <f>T69</f>
        <v>3000</v>
      </c>
      <c r="I69" s="36">
        <f>U69</f>
        <v>3000</v>
      </c>
      <c r="J69" s="36">
        <f>V69</f>
        <v>3000</v>
      </c>
      <c r="K69" s="36">
        <f>W69</f>
        <v>3000</v>
      </c>
      <c r="L69" s="36">
        <f>X69</f>
        <v>3000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3000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3000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3000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3000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3000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3000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3000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3000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3000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3000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33000</v>
      </c>
      <c r="AA69" s="46">
        <f>SUM(B69:M69)</f>
        <v>30000</v>
      </c>
      <c r="AB69" s="46">
        <f>SUM(B69:Y69)</f>
        <v>60000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9000</v>
      </c>
      <c r="C79" s="46">
        <f>Inputs!$B$31</f>
        <v>9000</v>
      </c>
      <c r="D79" s="46">
        <f>Inputs!$B$31</f>
        <v>9000</v>
      </c>
      <c r="E79" s="46">
        <f>Inputs!$B$31</f>
        <v>9000</v>
      </c>
      <c r="F79" s="46">
        <f>Inputs!$B$31</f>
        <v>9000</v>
      </c>
      <c r="G79" s="46">
        <f>Inputs!$B$31</f>
        <v>9000</v>
      </c>
      <c r="H79" s="46">
        <f>Inputs!$B$31</f>
        <v>9000</v>
      </c>
      <c r="I79" s="46">
        <f>Inputs!$B$31</f>
        <v>9000</v>
      </c>
      <c r="J79" s="46">
        <f>Inputs!$B$31</f>
        <v>9000</v>
      </c>
      <c r="K79" s="46">
        <f>Inputs!$B$31</f>
        <v>9000</v>
      </c>
      <c r="L79" s="46">
        <f>Inputs!$B$31</f>
        <v>9000</v>
      </c>
      <c r="M79" s="46">
        <f>Inputs!$B$31</f>
        <v>9000</v>
      </c>
      <c r="N79" s="46">
        <f>Inputs!$B$31</f>
        <v>9000</v>
      </c>
      <c r="O79" s="46">
        <f>Inputs!$B$31</f>
        <v>9000</v>
      </c>
      <c r="P79" s="46">
        <f>Inputs!$B$31</f>
        <v>9000</v>
      </c>
      <c r="Q79" s="46">
        <f>Inputs!$B$31</f>
        <v>9000</v>
      </c>
      <c r="R79" s="46">
        <f>Inputs!$B$31</f>
        <v>9000</v>
      </c>
      <c r="S79" s="46">
        <f>Inputs!$B$31</f>
        <v>9000</v>
      </c>
      <c r="T79" s="46">
        <f>Inputs!$B$31</f>
        <v>9000</v>
      </c>
      <c r="U79" s="46">
        <f>Inputs!$B$31</f>
        <v>9000</v>
      </c>
      <c r="V79" s="46">
        <f>Inputs!$B$31</f>
        <v>9000</v>
      </c>
      <c r="W79" s="46">
        <f>Inputs!$B$31</f>
        <v>9000</v>
      </c>
      <c r="X79" s="46">
        <f>Inputs!$B$31</f>
        <v>9000</v>
      </c>
      <c r="Y79" s="46">
        <f>Inputs!$B$31</f>
        <v>9000</v>
      </c>
      <c r="Z79" s="46">
        <f>SUMIF($B$13:$Y$13,"Yes",B79:Y79)</f>
        <v>117000</v>
      </c>
      <c r="AA79" s="46">
        <f>SUM(B79:M79)</f>
        <v>108000</v>
      </c>
      <c r="AB79" s="46">
        <f>SUM(B79:Y79)</f>
        <v>216000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53296.66349075828</v>
      </c>
      <c r="C81" s="46">
        <f>(SUM($AA$18:$AA$29)-SUM($AA$36,$AA$42,$AA$48,$AA$54,$AA$60,$AA$66,$AA$72:$AA$79))*Parameters!$B$37/12</f>
        <v>53296.66349075828</v>
      </c>
      <c r="D81" s="46">
        <f>(SUM($AA$18:$AA$29)-SUM($AA$36,$AA$42,$AA$48,$AA$54,$AA$60,$AA$66,$AA$72:$AA$79))*Parameters!$B$37/12</f>
        <v>53296.66349075828</v>
      </c>
      <c r="E81" s="46">
        <f>(SUM($AA$18:$AA$29)-SUM($AA$36,$AA$42,$AA$48,$AA$54,$AA$60,$AA$66,$AA$72:$AA$79))*Parameters!$B$37/12</f>
        <v>53296.66349075828</v>
      </c>
      <c r="F81" s="46">
        <f>(SUM($AA$18:$AA$29)-SUM($AA$36,$AA$42,$AA$48,$AA$54,$AA$60,$AA$66,$AA$72:$AA$79))*Parameters!$B$37/12</f>
        <v>53296.66349075828</v>
      </c>
      <c r="G81" s="46">
        <f>(SUM($AA$18:$AA$29)-SUM($AA$36,$AA$42,$AA$48,$AA$54,$AA$60,$AA$66,$AA$72:$AA$79))*Parameters!$B$37/12</f>
        <v>53296.66349075828</v>
      </c>
      <c r="H81" s="46">
        <f>(SUM($AA$18:$AA$29)-SUM($AA$36,$AA$42,$AA$48,$AA$54,$AA$60,$AA$66,$AA$72:$AA$79))*Parameters!$B$37/12</f>
        <v>53296.66349075828</v>
      </c>
      <c r="I81" s="46">
        <f>(SUM($AA$18:$AA$29)-SUM($AA$36,$AA$42,$AA$48,$AA$54,$AA$60,$AA$66,$AA$72:$AA$79))*Parameters!$B$37/12</f>
        <v>53296.66349075828</v>
      </c>
      <c r="J81" s="46">
        <f>(SUM($AA$18:$AA$29)-SUM($AA$36,$AA$42,$AA$48,$AA$54,$AA$60,$AA$66,$AA$72:$AA$79))*Parameters!$B$37/12</f>
        <v>53296.66349075828</v>
      </c>
      <c r="K81" s="46">
        <f>(SUM($AA$18:$AA$29)-SUM($AA$36,$AA$42,$AA$48,$AA$54,$AA$60,$AA$66,$AA$72:$AA$79))*Parameters!$B$37/12</f>
        <v>53296.66349075828</v>
      </c>
      <c r="L81" s="46">
        <f>(SUM($AA$18:$AA$29)-SUM($AA$36,$AA$42,$AA$48,$AA$54,$AA$60,$AA$66,$AA$72:$AA$79))*Parameters!$B$37/12</f>
        <v>53296.66349075828</v>
      </c>
      <c r="M81" s="46">
        <f>(SUM($AA$18:$AA$29)-SUM($AA$36,$AA$42,$AA$48,$AA$54,$AA$60,$AA$66,$AA$72:$AA$79))*Parameters!$B$37/12</f>
        <v>53296.66349075828</v>
      </c>
      <c r="N81" s="46">
        <f>(SUM($AA$18:$AA$29)-SUM($AA$36,$AA$42,$AA$48,$AA$54,$AA$60,$AA$66,$AA$72:$AA$79))*Parameters!$B$37/12</f>
        <v>53296.66349075828</v>
      </c>
      <c r="O81" s="46">
        <f>(SUM($AA$18:$AA$29)-SUM($AA$36,$AA$42,$AA$48,$AA$54,$AA$60,$AA$66,$AA$72:$AA$79))*Parameters!$B$37/12</f>
        <v>53296.66349075828</v>
      </c>
      <c r="P81" s="46">
        <f>(SUM($AA$18:$AA$29)-SUM($AA$36,$AA$42,$AA$48,$AA$54,$AA$60,$AA$66,$AA$72:$AA$79))*Parameters!$B$37/12</f>
        <v>53296.66349075828</v>
      </c>
      <c r="Q81" s="46">
        <f>(SUM($AA$18:$AA$29)-SUM($AA$36,$AA$42,$AA$48,$AA$54,$AA$60,$AA$66,$AA$72:$AA$79))*Parameters!$B$37/12</f>
        <v>53296.66349075828</v>
      </c>
      <c r="R81" s="46">
        <f>(SUM($AA$18:$AA$29)-SUM($AA$36,$AA$42,$AA$48,$AA$54,$AA$60,$AA$66,$AA$72:$AA$79))*Parameters!$B$37/12</f>
        <v>53296.66349075828</v>
      </c>
      <c r="S81" s="46">
        <f>(SUM($AA$18:$AA$29)-SUM($AA$36,$AA$42,$AA$48,$AA$54,$AA$60,$AA$66,$AA$72:$AA$79))*Parameters!$B$37/12</f>
        <v>53296.66349075828</v>
      </c>
      <c r="T81" s="46">
        <f>(SUM($AA$18:$AA$29)-SUM($AA$36,$AA$42,$AA$48,$AA$54,$AA$60,$AA$66,$AA$72:$AA$79))*Parameters!$B$37/12</f>
        <v>53296.66349075828</v>
      </c>
      <c r="U81" s="46">
        <f>(SUM($AA$18:$AA$29)-SUM($AA$36,$AA$42,$AA$48,$AA$54,$AA$60,$AA$66,$AA$72:$AA$79))*Parameters!$B$37/12</f>
        <v>53296.66349075828</v>
      </c>
      <c r="V81" s="46">
        <f>(SUM($AA$18:$AA$29)-SUM($AA$36,$AA$42,$AA$48,$AA$54,$AA$60,$AA$66,$AA$72:$AA$79))*Parameters!$B$37/12</f>
        <v>53296.66349075828</v>
      </c>
      <c r="W81" s="46">
        <f>(SUM($AA$18:$AA$29)-SUM($AA$36,$AA$42,$AA$48,$AA$54,$AA$60,$AA$66,$AA$72:$AA$79))*Parameters!$B$37/12</f>
        <v>53296.66349075828</v>
      </c>
      <c r="X81" s="46">
        <f>(SUM($AA$18:$AA$29)-SUM($AA$36,$AA$42,$AA$48,$AA$54,$AA$60,$AA$66,$AA$72:$AA$79))*Parameters!$B$37/12</f>
        <v>53296.66349075828</v>
      </c>
      <c r="Y81" s="46">
        <f>(SUM($AA$18:$AA$29)-SUM($AA$36,$AA$42,$AA$48,$AA$54,$AA$60,$AA$66,$AA$72:$AA$79))*Parameters!$B$37/12</f>
        <v>53296.66349075828</v>
      </c>
      <c r="Z81" s="46">
        <f>SUMIF($B$13:$Y$13,"Yes",B81:Y81)</f>
        <v>692856.6253798576</v>
      </c>
      <c r="AA81" s="46">
        <f>SUM(B81:M81)</f>
        <v>639559.9618890993</v>
      </c>
      <c r="AB81" s="46">
        <f>SUM(B81:Y81)</f>
        <v>1279119.923778199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241514.1634907583</v>
      </c>
      <c r="C88" s="19">
        <f>SUM(C72:C82,C66,C60,C54,C48,C42,C36)</f>
        <v>95984.16349075828</v>
      </c>
      <c r="D88" s="19">
        <f>SUM(D72:D82,D66,D60,D54,D48,D42,D36)</f>
        <v>146484.1634907583</v>
      </c>
      <c r="E88" s="19">
        <f>SUM(E72:E82,E66,E60,E54,E48,E42,E36)</f>
        <v>95984.16349075828</v>
      </c>
      <c r="F88" s="19">
        <f>SUM(F72:F82,F66,F60,F54,F48,F42,F36)</f>
        <v>81296.66349075828</v>
      </c>
      <c r="G88" s="19">
        <f>SUM(G72:G82,G66,G60,G54,G48,G42,G36)</f>
        <v>62296.66349075828</v>
      </c>
      <c r="H88" s="19">
        <f>SUM(H72:H82,H66,H60,H54,H48,H42,H36)</f>
        <v>241514.1634907583</v>
      </c>
      <c r="I88" s="19">
        <f>SUM(I72:I82,I66,I60,I54,I48,I42,I36)</f>
        <v>95984.16349075828</v>
      </c>
      <c r="J88" s="19">
        <f>SUM(J72:J82,J66,J60,J54,J48,J42,J36)</f>
        <v>146484.1634907583</v>
      </c>
      <c r="K88" s="19">
        <f>SUM(K72:K82,K66,K60,K54,K48,K42,K36)</f>
        <v>95984.16349075828</v>
      </c>
      <c r="L88" s="19">
        <f>SUM(L72:L82,L66,L60,L54,L48,L42,L36)</f>
        <v>81296.66349075828</v>
      </c>
      <c r="M88" s="19">
        <f>SUM(M72:M82,M66,M60,M54,M48,M42,M36)</f>
        <v>62296.66349075828</v>
      </c>
      <c r="N88" s="19">
        <f>SUM(N72:N82,N66,N60,N54,N48,N42,N36)</f>
        <v>241514.1634907583</v>
      </c>
      <c r="O88" s="19">
        <f>SUM(O72:O82,O66,O60,O54,O48,O42,O36)</f>
        <v>95984.16349075828</v>
      </c>
      <c r="P88" s="19">
        <f>SUM(P72:P82,P66,P60,P54,P48,P42,P36)</f>
        <v>146484.1634907583</v>
      </c>
      <c r="Q88" s="19">
        <f>SUM(Q72:Q82,Q66,Q60,Q54,Q48,Q42,Q36)</f>
        <v>95984.16349075828</v>
      </c>
      <c r="R88" s="19">
        <f>SUM(R72:R82,R66,R60,R54,R48,R42,R36)</f>
        <v>81296.66349075828</v>
      </c>
      <c r="S88" s="19">
        <f>SUM(S72:S82,S66,S60,S54,S48,S42,S36)</f>
        <v>62296.66349075828</v>
      </c>
      <c r="T88" s="19">
        <f>SUM(T72:T82,T66,T60,T54,T48,T42,T36)</f>
        <v>241514.1634907583</v>
      </c>
      <c r="U88" s="19">
        <f>SUM(U72:U82,U66,U60,U54,U48,U42,U36)</f>
        <v>95984.16349075828</v>
      </c>
      <c r="V88" s="19">
        <f>SUM(V72:V82,V66,V60,V54,V48,V42,V36)</f>
        <v>146484.1634907583</v>
      </c>
      <c r="W88" s="19">
        <f>SUM(W72:W82,W66,W60,W54,W48,W42,W36)</f>
        <v>95984.16349075828</v>
      </c>
      <c r="X88" s="19">
        <f>SUM(X72:X82,X66,X60,X54,X48,X42,X36)</f>
        <v>81296.66349075828</v>
      </c>
      <c r="Y88" s="19">
        <f>SUM(Y72:Y82,Y66,Y60,Y54,Y48,Y42,Y36)</f>
        <v>62296.66349075828</v>
      </c>
      <c r="Z88" s="19">
        <f>SUMIF($B$13:$Y$13,"Yes",B88:Y88)</f>
        <v>1688634.125379858</v>
      </c>
      <c r="AA88" s="19">
        <f>SUM(B88:M88)</f>
        <v>1447119.961889099</v>
      </c>
      <c r="AB88" s="19">
        <f>SUM(B88:Y88)</f>
        <v>2894239.923778199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12500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4125000</v>
      </c>
    </row>
    <row r="98" spans="1:30">
      <c r="A98" t="s">
        <v>64</v>
      </c>
      <c r="B98" s="36">
        <f>IF(Inputs!B44="Yes",Inputs!B45,0)</f>
        <v>658000</v>
      </c>
    </row>
    <row r="99" spans="1:30">
      <c r="A99" t="s">
        <v>65</v>
      </c>
      <c r="B99" s="36">
        <f>Inputs!B46</f>
        <v>450000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6795500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85000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5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 t="s">
        <v>96</v>
      </c>
      <c r="B9" s="16"/>
      <c r="C9" s="143">
        <v>5</v>
      </c>
      <c r="D9" s="16"/>
      <c r="E9" s="147" t="s">
        <v>97</v>
      </c>
      <c r="F9" s="149" t="s">
        <v>98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65000</v>
      </c>
    </row>
    <row r="31" spans="1:48">
      <c r="A31" s="5" t="s">
        <v>118</v>
      </c>
      <c r="B31" s="158">
        <v>9000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658000</v>
      </c>
    </row>
    <row r="46" spans="1:48" customHeight="1" ht="30">
      <c r="A46" s="57" t="s">
        <v>132</v>
      </c>
      <c r="B46" s="161">
        <v>450000</v>
      </c>
    </row>
    <row r="47" spans="1:48" customHeight="1" ht="30">
      <c r="A47" s="57" t="s">
        <v>133</v>
      </c>
      <c r="B47" s="161">
        <v>350000</v>
      </c>
    </row>
    <row r="48" spans="1:48" customHeight="1" ht="30">
      <c r="A48" s="57" t="s">
        <v>134</v>
      </c>
      <c r="B48" s="161">
        <v>1200000</v>
      </c>
    </row>
    <row r="49" spans="1:48" customHeight="1" ht="30">
      <c r="A49" s="57" t="s">
        <v>135</v>
      </c>
      <c r="B49" s="161">
        <v>12500</v>
      </c>
    </row>
    <row r="50" spans="1:48">
      <c r="A50" s="43"/>
      <c r="B50" s="36"/>
    </row>
    <row r="51" spans="1:48">
      <c r="A51" s="58" t="s">
        <v>136</v>
      </c>
      <c r="B51" s="161">
        <v>85000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30000</v>
      </c>
      <c r="B56" s="159">
        <v>0</v>
      </c>
      <c r="C56" s="162" t="s">
        <v>144</v>
      </c>
      <c r="D56" s="163" t="s">
        <v>145</v>
      </c>
      <c r="E56" s="163" t="s">
        <v>146</v>
      </c>
      <c r="F56" s="163" t="s">
        <v>147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149</v>
      </c>
      <c r="C65" s="10" t="s">
        <v>150</v>
      </c>
    </row>
    <row r="66" spans="1:48">
      <c r="A66" s="142" t="s">
        <v>151</v>
      </c>
      <c r="B66" s="159">
        <v>211210</v>
      </c>
      <c r="C66" s="163">
        <v>150830</v>
      </c>
      <c r="D66" s="49">
        <f>INDEX(Parameters!$D$79:$D$90,MATCH(Inputs!A66,Parameters!$C$79:$C$90,0))</f>
        <v>7</v>
      </c>
    </row>
    <row r="67" spans="1:48">
      <c r="A67" s="143" t="s">
        <v>152</v>
      </c>
      <c r="B67" s="157">
        <v>184234</v>
      </c>
      <c r="C67" s="165">
        <v>65800</v>
      </c>
      <c r="D67" s="49">
        <f>INDEX(Parameters!$D$79:$D$90,MATCH(Inputs!A67,Parameters!$C$79:$C$90,0))</f>
        <v>8</v>
      </c>
    </row>
    <row r="68" spans="1:48">
      <c r="A68" s="143" t="s">
        <v>153</v>
      </c>
      <c r="B68" s="157">
        <v>215197</v>
      </c>
      <c r="C68" s="165">
        <v>150546</v>
      </c>
      <c r="D68" s="49">
        <f>INDEX(Parameters!$D$79:$D$90,MATCH(Inputs!A68,Parameters!$C$79:$C$90,0))</f>
        <v>9</v>
      </c>
    </row>
    <row r="69" spans="1:48">
      <c r="A69" s="143" t="s">
        <v>154</v>
      </c>
      <c r="B69" s="157">
        <v>340641</v>
      </c>
      <c r="C69" s="165">
        <v>190120</v>
      </c>
      <c r="D69" s="49">
        <f>INDEX(Parameters!$D$79:$D$90,MATCH(Inputs!A69,Parameters!$C$79:$C$90,0))</f>
        <v>10</v>
      </c>
    </row>
    <row r="70" spans="1:48">
      <c r="A70" s="143" t="s">
        <v>155</v>
      </c>
      <c r="B70" s="157">
        <v>161293</v>
      </c>
      <c r="C70" s="165">
        <v>96431</v>
      </c>
      <c r="D70" s="49">
        <f>INDEX(Parameters!$D$79:$D$90,MATCH(Inputs!A70,Parameters!$C$79:$C$90,0))</f>
        <v>11</v>
      </c>
    </row>
    <row r="71" spans="1:48">
      <c r="A71" s="144" t="s">
        <v>156</v>
      </c>
      <c r="B71" s="158">
        <v>71323</v>
      </c>
      <c r="C71" s="167">
        <v>42100</v>
      </c>
      <c r="D71" s="49">
        <f>INDEX(Parameters!$D$79:$D$90,MATCH(Inputs!A71,Parameters!$C$79:$C$90,0))</f>
        <v>12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15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164</v>
      </c>
      <c r="B80" s="168" t="s">
        <v>165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166</v>
      </c>
      <c r="B81" s="161">
        <v>100000</v>
      </c>
    </row>
    <row r="82" spans="1:48">
      <c r="A82" t="s">
        <v>167</v>
      </c>
      <c r="B82" s="161">
        <v>18</v>
      </c>
    </row>
    <row r="83" spans="1:48">
      <c r="A83" t="s">
        <v>168</v>
      </c>
      <c r="B83" s="169" t="s">
        <v>169</v>
      </c>
    </row>
    <row r="84" spans="1:48">
      <c r="A84" t="s">
        <v>170</v>
      </c>
      <c r="B84" s="169">
        <v>1</v>
      </c>
    </row>
    <row r="85" spans="1:48">
      <c r="A85" t="s">
        <v>171</v>
      </c>
      <c r="B85" s="169">
        <v>12</v>
      </c>
    </row>
    <row r="86" spans="1:48">
      <c r="A86" t="s">
        <v>172</v>
      </c>
      <c r="B86" s="161">
        <v>5</v>
      </c>
    </row>
    <row r="87" spans="1:48">
      <c r="A87" t="s">
        <v>173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174</v>
      </c>
      <c r="C3" s="15" t="s">
        <v>175</v>
      </c>
      <c r="D3" s="15" t="s">
        <v>176</v>
      </c>
      <c r="E3" s="15" t="s">
        <v>177</v>
      </c>
      <c r="F3" s="15" t="s">
        <v>178</v>
      </c>
      <c r="G3" s="15" t="s">
        <v>179</v>
      </c>
      <c r="H3" s="15" t="s">
        <v>180</v>
      </c>
      <c r="I3" s="15" t="s">
        <v>181</v>
      </c>
      <c r="J3" s="15" t="s">
        <v>182</v>
      </c>
      <c r="K3" s="15" t="s">
        <v>183</v>
      </c>
      <c r="L3" s="15" t="s">
        <v>184</v>
      </c>
      <c r="M3" s="15" t="s">
        <v>185</v>
      </c>
      <c r="N3" s="15" t="s">
        <v>186</v>
      </c>
      <c r="O3" s="15" t="s">
        <v>187</v>
      </c>
      <c r="P3" s="15" t="s">
        <v>188</v>
      </c>
      <c r="Q3" s="32" t="s">
        <v>189</v>
      </c>
      <c r="R3" s="15" t="s">
        <v>190</v>
      </c>
      <c r="S3" s="15" t="s">
        <v>191</v>
      </c>
      <c r="T3" s="15" t="s">
        <v>192</v>
      </c>
      <c r="U3" s="178" t="s">
        <v>87</v>
      </c>
      <c r="V3" s="32" t="s">
        <v>193</v>
      </c>
      <c r="W3" s="32" t="s">
        <v>194</v>
      </c>
      <c r="X3" s="32" t="s">
        <v>195</v>
      </c>
      <c r="Y3" s="32" t="s">
        <v>196</v>
      </c>
      <c r="Z3" s="32" t="s">
        <v>43</v>
      </c>
      <c r="AA3" s="32" t="s">
        <v>197</v>
      </c>
      <c r="AB3" s="32" t="s">
        <v>198</v>
      </c>
      <c r="AC3" s="59">
        <f>Output!B5</f>
        <v>42736</v>
      </c>
      <c r="AD3" s="59">
        <f>Output!C5</f>
        <v>42767</v>
      </c>
      <c r="AE3" s="59">
        <f>Output!D5</f>
        <v>42795</v>
      </c>
      <c r="AF3" s="59">
        <f>Output!E5</f>
        <v>42826</v>
      </c>
      <c r="AG3" s="59">
        <f>Output!F5</f>
        <v>42856</v>
      </c>
      <c r="AH3" s="59">
        <f>Output!G5</f>
        <v>42887</v>
      </c>
      <c r="AI3" s="59">
        <f>Output!H5</f>
        <v>42917</v>
      </c>
      <c r="AJ3" s="59">
        <f>Output!I5</f>
        <v>42948</v>
      </c>
      <c r="AK3" s="59">
        <f>Output!J5</f>
        <v>42979</v>
      </c>
      <c r="AL3" s="59">
        <f>Output!K5</f>
        <v>43009</v>
      </c>
      <c r="AM3" s="59">
        <f>Output!L5</f>
        <v>43040</v>
      </c>
      <c r="AN3" s="59">
        <f>Output!M5</f>
        <v>43070</v>
      </c>
      <c r="AO3" s="59">
        <f>Output!N5</f>
        <v>43101</v>
      </c>
      <c r="AP3" s="59">
        <f>Output!O5</f>
        <v>43132</v>
      </c>
      <c r="AQ3" s="59">
        <f>Output!P5</f>
        <v>43160</v>
      </c>
      <c r="AR3" s="59">
        <f>Output!Q5</f>
        <v>43191</v>
      </c>
      <c r="AS3" s="59">
        <f>Output!R5</f>
        <v>43221</v>
      </c>
      <c r="AT3" s="59">
        <f>Output!S5</f>
        <v>43252</v>
      </c>
      <c r="AU3" s="59">
        <f>Output!T5</f>
        <v>43282</v>
      </c>
      <c r="AV3" s="59">
        <f>Output!U5</f>
        <v>43313</v>
      </c>
      <c r="AW3" s="59">
        <f>Output!V5</f>
        <v>43344</v>
      </c>
      <c r="AX3" s="59">
        <f>Output!W5</f>
        <v>43374</v>
      </c>
      <c r="AY3" s="59">
        <f>Output!X5</f>
        <v>43405</v>
      </c>
      <c r="AZ3" s="59">
        <f>Output!Y5</f>
        <v>43435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42736</v>
      </c>
      <c r="C4" s="38">
        <f>IFERROR(DATE(YEAR(B4),MONTH(B4)+ROUND(T4/2,0),DAY(B4)),B4)</f>
        <v>42795</v>
      </c>
      <c r="D4" s="38">
        <f>IFERROR(DATE(YEAR(B4),MONTH(B4)+T4,DAY(B4)),"")</f>
        <v>42856</v>
      </c>
      <c r="E4" s="38">
        <f>IFERROR(IF($S4=0,"",IF($S4=2,DATE(YEAR(B4),MONTH(B4)+6,DAY(B4)),IF($S4=1,B4,""))),"")</f>
        <v>42917</v>
      </c>
      <c r="F4" s="38">
        <f>IFERROR(IF($S4=0,"",IF($S4=2,DATE(YEAR(C4),MONTH(C4)+6,DAY(C4)),IF($S4=1,C4,""))),"")</f>
        <v>42979</v>
      </c>
      <c r="G4" s="38">
        <f>IFERROR(IF($S4=0,"",IF($S4=2,DATE(YEAR(D4),MONTH(D4)+6,DAY(D4)),IF($S4=1,D4,""))),"")</f>
        <v>43040</v>
      </c>
      <c r="H4" s="20">
        <f>Inputs!C7</f>
        <v>5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287.6945761965671</v>
      </c>
      <c r="M4" s="25">
        <f>L4*H4</f>
        <v>1438.472880982836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70485.17116815895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15000</v>
      </c>
      <c r="Z4" s="33">
        <f>IF(Inputs!I7=Parameters!$F$78,H4*INDEX(Parameters!$A$3:$AI$18,MATCH(Calculations!A4,Parameters!$A$3:$A$18,0),MATCH(Parameters!$Q$3,Parameters!$A$3:$AI$3,0)),0)</f>
        <v>30000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50000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Cabbages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42736</v>
      </c>
      <c r="C5" s="39">
        <f>IFERROR(DATE(YEAR(B5),MONTH(B5)+ROUND(T5/2,0),DAY(B5)),B5)</f>
        <v>42795</v>
      </c>
      <c r="D5" s="39">
        <f>IFERROR(DATE(YEAR(B5),MONTH(B5)+T5,DAY(B5)),"")</f>
        <v>42826</v>
      </c>
      <c r="E5" s="39">
        <f>IFERROR(IF($S5=0,"",IF($S5=2,DATE(YEAR(B5),MONTH(B5)+6,DAY(B5)),IF($S5=1,B5,""))),"")</f>
        <v>42917</v>
      </c>
      <c r="F5" s="39">
        <f>IFERROR(IF($S5=0,"",IF($S5=2,DATE(YEAR(C5),MONTH(C5)+6,DAY(C5)),IF($S5=1,C5,""))),"")</f>
        <v>42979</v>
      </c>
      <c r="G5" s="39">
        <f>IFERROR(IF($S5=0,"",IF($S5=2,DATE(YEAR(D5),MONTH(D5)+6,DAY(D5)),IF($S5=1,D5,""))),"")</f>
        <v>43009</v>
      </c>
      <c r="H5" s="16">
        <f>Inputs!C8</f>
        <v>5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7207.992377007091</v>
      </c>
      <c r="M5" s="30">
        <f>L5*H5</f>
        <v>36039.96188503545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14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1009118.932780993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3030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14000</v>
      </c>
      <c r="Z5" s="34">
        <f>IF(Inputs!I8=Parameters!$F$78,H5*INDEX(Parameters!$A$3:$AI$18,MATCH(Calculations!A5,Parameters!$A$3:$A$18,0),MATCH(Parameters!$Q$3,Parameters!$A$3:$AI$3,0)),0)</f>
        <v>40000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37500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Potatoes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42736</v>
      </c>
      <c r="C6" s="39">
        <f>IFERROR(DATE(YEAR(B6),MONTH(B6)+ROUND(T6/2,0),DAY(B6)),B6)</f>
        <v>42795</v>
      </c>
      <c r="D6" s="39">
        <f>IFERROR(DATE(YEAR(B6),MONTH(B6)+T6,DAY(B6)),"")</f>
        <v>42856</v>
      </c>
      <c r="E6" s="39">
        <f>IFERROR(IF($S6=0,"",IF($S6=2,DATE(YEAR(B6),MONTH(B6)+6,DAY(B6)),IF($S6=1,B6,""))),"")</f>
        <v>42917</v>
      </c>
      <c r="F6" s="39">
        <f>IFERROR(IF($S6=0,"",IF($S6=2,DATE(YEAR(C6),MONTH(C6)+6,DAY(C6)),IF($S6=1,C6,""))),"")</f>
        <v>42979</v>
      </c>
      <c r="G6" s="39">
        <f>IFERROR(IF($S6=0,"",IF($S6=2,DATE(YEAR(D6),MONTH(D6)+6,DAY(D6)),IF($S6=1,D6,""))),"")</f>
        <v>43040</v>
      </c>
      <c r="H6" s="16">
        <f>Inputs!C9</f>
        <v>5</v>
      </c>
      <c r="I6" s="138" t="str">
        <f>IFERROR(VLOOKUP(Inputs!E9,Parameters!$J$77:$K$81,2,0),"")</f>
        <v>No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200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4882.641078335685</v>
      </c>
      <c r="M6" s="30">
        <f>L6*H6</f>
        <v>24413.20539167842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11.2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546855.8007735966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120000</v>
      </c>
      <c r="W6" s="34">
        <f>IFERROR(J6*H6*Parameters!$B$35+IF(OR(Inputs!F9=Parameters!$E$78,Inputs!F9=Parameters!$E$80),Calculations!H6*Parameters!$B$36,0),0)</f>
        <v>10000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21500</v>
      </c>
      <c r="Z6" s="34">
        <f>IF(Inputs!I9=Parameters!$F$78,H6*INDEX(Parameters!$A$3:$AI$18,MATCH(Calculations!A6,Parameters!$A$3:$A$18,0),MATCH(Parameters!$Q$3,Parameters!$A$3:$AI$3,0)),0)</f>
        <v>25000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30000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199</v>
      </c>
      <c r="D13" s="15" t="s">
        <v>200</v>
      </c>
      <c r="E13" s="15" t="s">
        <v>201</v>
      </c>
      <c r="F13" s="15" t="s">
        <v>202</v>
      </c>
      <c r="G13" s="15" t="s">
        <v>203</v>
      </c>
      <c r="H13" s="15" t="s">
        <v>204</v>
      </c>
      <c r="I13" s="15" t="s">
        <v>205</v>
      </c>
      <c r="J13" s="15" t="s">
        <v>206</v>
      </c>
      <c r="K13" s="15" t="s">
        <v>207</v>
      </c>
      <c r="L13" s="15" t="s">
        <v>208</v>
      </c>
      <c r="M13" s="178" t="s">
        <v>209</v>
      </c>
      <c r="N13" s="178" t="s">
        <v>210</v>
      </c>
      <c r="O13" s="62" t="s">
        <v>211</v>
      </c>
      <c r="P13" s="62" t="s">
        <v>212</v>
      </c>
      <c r="Q13" s="62" t="s">
        <v>213</v>
      </c>
      <c r="R13" s="62" t="s">
        <v>214</v>
      </c>
      <c r="S13" s="62" t="s">
        <v>215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216</v>
      </c>
      <c r="C22" s="74" t="s">
        <v>217</v>
      </c>
      <c r="D22" s="74" t="s">
        <v>218</v>
      </c>
      <c r="E22" s="74" t="s">
        <v>219</v>
      </c>
    </row>
    <row r="23" spans="1:52">
      <c r="A23" s="75">
        <f>Inputs!A56</f>
        <v>30000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221</v>
      </c>
      <c r="B32" s="129" t="s">
        <v>222</v>
      </c>
      <c r="C32" s="129" t="s">
        <v>223</v>
      </c>
      <c r="D32" s="129" t="s">
        <v>224</v>
      </c>
      <c r="F32" s="132" t="s">
        <v>225</v>
      </c>
      <c r="G32" s="132" t="s">
        <v>226</v>
      </c>
      <c r="I32" s="174" t="s">
        <v>227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42792</v>
      </c>
      <c r="C33" s="27">
        <f>IF(B33&lt;&gt;"",IF(COUNT($A$33:A33)&lt;=$G$39,0,$G$41)+IF(COUNT($A$33:A33)&lt;=$G$40,0,$G$42),0)</f>
        <v>1500</v>
      </c>
      <c r="D33" s="170">
        <f>IFERROR(DATE(YEAR(B33),MONTH(B33),1)," ")</f>
        <v>42767</v>
      </c>
      <c r="F33" t="s">
        <v>162</v>
      </c>
      <c r="G33" s="128">
        <f>IF(Inputs!B79="","",DATE(YEAR(Inputs!B79),MONTH(Inputs!B79),DAY(Inputs!B79)))</f>
        <v>42761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42820</v>
      </c>
      <c r="C34" s="27">
        <f>IF(B34&lt;&gt;"",IF(COUNT($A$33:A34)&lt;=$G$39,0,$G$41)+IF(COUNT($A$33:A34)&lt;=$G$40,0,$G$42),0)</f>
        <v>1500</v>
      </c>
      <c r="D34" s="170">
        <f>IFERROR(DATE(YEAR(B34),MONTH(B34),1)," ")</f>
        <v>42795</v>
      </c>
      <c r="F34" t="s">
        <v>164</v>
      </c>
      <c r="G34" s="128">
        <f>IF(Inputs!B80="","",DATE(YEAR(Inputs!B80),MONTH(Inputs!B80),DAY(Inputs!B80)))</f>
        <v>42792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42851</v>
      </c>
      <c r="C35" s="27">
        <f>IF(B35&lt;&gt;"",IF(COUNT($A$33:A35)&lt;=$G$39,0,$G$41)+IF(COUNT($A$33:A35)&lt;=$G$40,0,$G$42),0)</f>
        <v>1500</v>
      </c>
      <c r="D35" s="170">
        <f>IFERROR(DATE(YEAR(B35),MONTH(B35),1)," ")</f>
        <v>42826</v>
      </c>
      <c r="F35" t="s">
        <v>166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42881</v>
      </c>
      <c r="C36" s="27">
        <f>IF(B36&lt;&gt;"",IF(COUNT($A$33:A36)&lt;=$G$39,0,$G$41)+IF(COUNT($A$33:A36)&lt;=$G$40,0,$G$42),0)</f>
        <v>1500</v>
      </c>
      <c r="D36" s="170">
        <f>IFERROR(DATE(YEAR(B36),MONTH(B36),1)," ")</f>
        <v>42856</v>
      </c>
      <c r="F36" t="s">
        <v>167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42912</v>
      </c>
      <c r="C37" s="27">
        <f>IF(B37&lt;&gt;"",IF(COUNT($A$33:A37)&lt;=$G$39,0,$G$41)+IF(COUNT($A$33:A37)&lt;=$G$40,0,$G$42),0)</f>
        <v>1500</v>
      </c>
      <c r="D37" s="170">
        <f>IFERROR(DATE(YEAR(B37),MONTH(B37),1)," ")</f>
        <v>42887</v>
      </c>
      <c r="F37" t="s">
        <v>228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42942</v>
      </c>
      <c r="C38" s="27">
        <f>IF(B38&lt;&gt;"",IF(COUNT($A$33:A38)&lt;=$G$39,0,$G$41)+IF(COUNT($A$33:A38)&lt;=$G$40,0,$G$42),0)</f>
        <v>15785.71428571429</v>
      </c>
      <c r="D38" s="170">
        <f>IFERROR(DATE(YEAR(B38),MONTH(B38),1)," ")</f>
        <v>42917</v>
      </c>
      <c r="F38" t="s">
        <v>229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42973</v>
      </c>
      <c r="C39" s="27">
        <f>IF(B39&lt;&gt;"",IF(COUNT($A$33:A39)&lt;=$G$39,0,$G$41)+IF(COUNT($A$33:A39)&lt;=$G$40,0,$G$42),0)</f>
        <v>15785.71428571429</v>
      </c>
      <c r="D39" s="170">
        <f>IFERROR(DATE(YEAR(B39),MONTH(B39),1)," ")</f>
        <v>42948</v>
      </c>
      <c r="F39" t="s">
        <v>172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43004</v>
      </c>
      <c r="C40" s="27">
        <f>IF(B40&lt;&gt;"",IF(COUNT($A$33:A40)&lt;=$G$39,0,$G$41)+IF(COUNT($A$33:A40)&lt;=$G$40,0,$G$42),0)</f>
        <v>15785.71428571429</v>
      </c>
      <c r="D40" s="170">
        <f>IFERROR(DATE(YEAR(B40),MONTH(B40),1)," ")</f>
        <v>42979</v>
      </c>
      <c r="F40" t="s">
        <v>173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43034</v>
      </c>
      <c r="C41" s="27">
        <f>IF(B41&lt;&gt;"",IF(COUNT($A$33:A41)&lt;=$G$39,0,$G$41)+IF(COUNT($A$33:A41)&lt;=$G$40,0,$G$42),0)</f>
        <v>15785.71428571429</v>
      </c>
      <c r="D41" s="170">
        <f>IFERROR(DATE(YEAR(B41),MONTH(B41),1)," ")</f>
        <v>43009</v>
      </c>
      <c r="F41" t="s">
        <v>230</v>
      </c>
      <c r="G41" s="73">
        <f>IFERROR(G35/(G38-G39),"")</f>
        <v>14285.71428571429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43065</v>
      </c>
      <c r="C42" s="27">
        <f>IF(B42&lt;&gt;"",IF(COUNT($A$33:A42)&lt;=$G$39,0,$G$41)+IF(COUNT($A$33:A42)&lt;=$G$40,0,$G$42),0)</f>
        <v>15785.71428571429</v>
      </c>
      <c r="D42" s="170">
        <f>IFERROR(DATE(YEAR(B42),MONTH(B42),1)," ")</f>
        <v>43040</v>
      </c>
      <c r="F42" t="s">
        <v>231</v>
      </c>
      <c r="G42" s="73">
        <f>IFERROR(G35*G36*IF(G37="Monthly",G38/12,IF(G37="Fortnightly",G38/(365/14),G38/(365/28)))/(G38-G40),"")</f>
        <v>1500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43095</v>
      </c>
      <c r="C43" s="27">
        <f>IF(B43&lt;&gt;"",IF(COUNT($A$33:A43)&lt;=$G$39,0,$G$41)+IF(COUNT($A$33:A43)&lt;=$G$40,0,$G$42),0)</f>
        <v>15785.71428571429</v>
      </c>
      <c r="D43" s="170">
        <f>IFERROR(DATE(YEAR(B43),MONTH(B43),1)," ")</f>
        <v>43070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43126</v>
      </c>
      <c r="C44" s="27">
        <f>IF(B44&lt;&gt;"",IF(COUNT($A$33:A44)&lt;=$G$39,0,$G$41)+IF(COUNT($A$33:A44)&lt;=$G$40,0,$G$42),0)</f>
        <v>15785.71428571429</v>
      </c>
      <c r="D44" s="170">
        <f>IFERROR(DATE(YEAR(B44),MONTH(B44),1)," ")</f>
        <v>43101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232</v>
      </c>
      <c r="C3" s="10" t="s">
        <v>233</v>
      </c>
      <c r="D3" s="10" t="s">
        <v>234</v>
      </c>
      <c r="E3" s="10" t="s">
        <v>235</v>
      </c>
      <c r="F3" s="10" t="s">
        <v>236</v>
      </c>
      <c r="G3" s="10" t="s">
        <v>237</v>
      </c>
      <c r="H3" s="10" t="s">
        <v>238</v>
      </c>
      <c r="I3" s="10" t="s">
        <v>239</v>
      </c>
      <c r="J3" s="10" t="s">
        <v>240</v>
      </c>
      <c r="K3" s="10" t="s">
        <v>241</v>
      </c>
      <c r="L3" s="10" t="s">
        <v>242</v>
      </c>
      <c r="M3" s="10" t="s">
        <v>243</v>
      </c>
      <c r="N3" s="10" t="s">
        <v>244</v>
      </c>
      <c r="O3" s="10" t="s">
        <v>245</v>
      </c>
      <c r="P3" s="10" t="s">
        <v>246</v>
      </c>
      <c r="Q3" s="10" t="s">
        <v>247</v>
      </c>
      <c r="R3" s="10" t="s">
        <v>248</v>
      </c>
      <c r="S3" s="10" t="s">
        <v>249</v>
      </c>
      <c r="T3" s="10" t="s">
        <v>250</v>
      </c>
      <c r="U3" s="10" t="s">
        <v>190</v>
      </c>
      <c r="V3" s="10" t="s">
        <v>188</v>
      </c>
      <c r="W3" s="10" t="s">
        <v>251</v>
      </c>
      <c r="X3" s="10" t="s">
        <v>252</v>
      </c>
      <c r="Y3" s="10" t="s">
        <v>253</v>
      </c>
      <c r="Z3" s="10" t="s">
        <v>254</v>
      </c>
      <c r="AA3" s="10" t="s">
        <v>255</v>
      </c>
      <c r="AB3" s="10" t="s">
        <v>256</v>
      </c>
      <c r="AC3" s="10" t="s">
        <v>257</v>
      </c>
      <c r="AD3" s="10" t="s">
        <v>258</v>
      </c>
      <c r="AE3" s="10" t="s">
        <v>259</v>
      </c>
      <c r="AF3" s="10" t="s">
        <v>260</v>
      </c>
      <c r="AG3" s="10" t="s">
        <v>261</v>
      </c>
      <c r="AH3" s="10" t="s">
        <v>262</v>
      </c>
      <c r="AI3" s="10" t="s">
        <v>263</v>
      </c>
    </row>
    <row r="4" spans="1:36" s="93" customFormat="1">
      <c r="A4" s="93" t="s">
        <v>264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95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96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204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266</v>
      </c>
      <c r="D24" s="115" t="s">
        <v>266</v>
      </c>
      <c r="E24" s="106">
        <v>0.05</v>
      </c>
      <c r="F24" s="106">
        <v>0.1</v>
      </c>
      <c r="G24" s="106">
        <v>0.2</v>
      </c>
      <c r="H24" s="116" t="s">
        <v>266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266</v>
      </c>
      <c r="J25" s="72" t="s">
        <v>266</v>
      </c>
      <c r="K25" s="72" t="s">
        <v>266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298</v>
      </c>
      <c r="C26" s="116" t="s">
        <v>266</v>
      </c>
      <c r="D26" s="115" t="s">
        <v>266</v>
      </c>
      <c r="E26" s="106">
        <v>0.2</v>
      </c>
      <c r="F26" s="106">
        <v>0.7</v>
      </c>
      <c r="G26" s="106">
        <v>2</v>
      </c>
      <c r="H26" s="116" t="s">
        <v>266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298</v>
      </c>
      <c r="C27" s="116" t="s">
        <v>266</v>
      </c>
      <c r="D27" s="115" t="s">
        <v>266</v>
      </c>
      <c r="E27" s="106">
        <v>0.15</v>
      </c>
      <c r="F27" s="106">
        <v>0.25</v>
      </c>
      <c r="G27" s="106">
        <v>1</v>
      </c>
      <c r="H27" s="116" t="s">
        <v>266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298</v>
      </c>
      <c r="C28" s="116" t="s">
        <v>266</v>
      </c>
      <c r="D28" s="115" t="s">
        <v>266</v>
      </c>
      <c r="E28" s="106">
        <v>0.15</v>
      </c>
      <c r="F28" s="106">
        <v>0.25</v>
      </c>
      <c r="G28" s="106">
        <v>1</v>
      </c>
      <c r="H28" s="116" t="s">
        <v>266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298</v>
      </c>
      <c r="C29" s="31" t="s">
        <v>266</v>
      </c>
      <c r="D29" s="31" t="s">
        <v>266</v>
      </c>
      <c r="E29" s="24">
        <v>0.1</v>
      </c>
      <c r="F29" s="24">
        <v>0.2</v>
      </c>
      <c r="G29" s="24">
        <v>0</v>
      </c>
      <c r="H29" s="31" t="s">
        <v>266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100</v>
      </c>
      <c r="B41" s="191" t="s">
        <v>146</v>
      </c>
      <c r="C41" s="191" t="s">
        <v>92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299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316</v>
      </c>
      <c r="H52" s="12" t="s">
        <v>129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232</v>
      </c>
      <c r="E53" s="10" t="s">
        <v>191</v>
      </c>
      <c r="F53" s="10" t="s">
        <v>251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146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146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146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146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146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146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146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169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228</v>
      </c>
      <c r="J76" s="11" t="s">
        <v>350</v>
      </c>
      <c r="K76" s="11" t="s">
        <v>181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146</v>
      </c>
      <c r="F77" s="12" t="s">
        <v>146</v>
      </c>
      <c r="G77" s="12" t="s">
        <v>352</v>
      </c>
      <c r="H77" s="12" t="s">
        <v>129</v>
      </c>
      <c r="I77" s="12" t="s">
        <v>353</v>
      </c>
      <c r="J77" s="136" t="s">
        <v>97</v>
      </c>
      <c r="K77" s="12" t="s">
        <v>146</v>
      </c>
      <c r="AJ77" s="12"/>
    </row>
    <row r="78" spans="1:36">
      <c r="A78" t="s">
        <v>146</v>
      </c>
      <c r="B78" s="176">
        <v>5</v>
      </c>
      <c r="C78" s="134" t="s">
        <v>354</v>
      </c>
      <c r="D78" s="133"/>
      <c r="E78" s="12" t="s">
        <v>355</v>
      </c>
      <c r="F78" s="12" t="s">
        <v>93</v>
      </c>
      <c r="G78" s="12" t="s">
        <v>356</v>
      </c>
      <c r="H78" s="12" t="s">
        <v>317</v>
      </c>
      <c r="I78" s="12" t="s">
        <v>357</v>
      </c>
      <c r="J78" s="70" t="s">
        <v>358</v>
      </c>
      <c r="K78" s="12" t="s">
        <v>146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359</v>
      </c>
      <c r="F79" s="12" t="s">
        <v>360</v>
      </c>
      <c r="G79" s="12" t="s">
        <v>361</v>
      </c>
      <c r="I79" s="12" t="s">
        <v>169</v>
      </c>
      <c r="J79" s="70" t="s">
        <v>90</v>
      </c>
      <c r="K79" s="12" t="s">
        <v>146</v>
      </c>
      <c r="AJ79" s="12"/>
    </row>
    <row r="80" spans="1:36">
      <c r="B80" s="176">
        <v>20</v>
      </c>
      <c r="C80" s="12" t="s">
        <v>362</v>
      </c>
      <c r="D80" s="12">
        <f>D79+1</f>
        <v>2</v>
      </c>
      <c r="E80" s="12" t="s">
        <v>98</v>
      </c>
      <c r="F80" s="12" t="s">
        <v>363</v>
      </c>
      <c r="J80" s="70" t="s">
        <v>364</v>
      </c>
      <c r="K80" s="12" t="s">
        <v>92</v>
      </c>
      <c r="AJ80" s="12"/>
    </row>
    <row r="81" spans="1:36">
      <c r="B81" s="176">
        <v>30</v>
      </c>
      <c r="C81" s="12" t="s">
        <v>365</v>
      </c>
      <c r="D81" s="12">
        <f>D80+1</f>
        <v>3</v>
      </c>
      <c r="J81" s="70" t="s">
        <v>366</v>
      </c>
      <c r="K81" s="12" t="s">
        <v>92</v>
      </c>
    </row>
    <row r="82" spans="1:36">
      <c r="B82" s="176">
        <v>40</v>
      </c>
      <c r="C82" s="12" t="s">
        <v>367</v>
      </c>
      <c r="D82" s="12">
        <f>D81+1</f>
        <v>4</v>
      </c>
      <c r="J82" s="70"/>
    </row>
    <row r="83" spans="1:36">
      <c r="B83" s="176">
        <v>50</v>
      </c>
      <c r="C83" s="12" t="s">
        <v>368</v>
      </c>
      <c r="D83" s="12">
        <f>D82+1</f>
        <v>5</v>
      </c>
    </row>
    <row r="84" spans="1:36">
      <c r="B84" s="176">
        <v>60</v>
      </c>
      <c r="C84" s="12" t="s">
        <v>369</v>
      </c>
      <c r="D84" s="12">
        <f>D83+1</f>
        <v>6</v>
      </c>
    </row>
    <row r="85" spans="1:36">
      <c r="B85" s="176">
        <v>70</v>
      </c>
      <c r="C85" s="12" t="s">
        <v>151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154</v>
      </c>
      <c r="D88" s="12">
        <f>D87+1</f>
        <v>10</v>
      </c>
    </row>
    <row r="89" spans="1:36">
      <c r="C89" s="12" t="s">
        <v>155</v>
      </c>
      <c r="D89" s="12">
        <f>D88+1</f>
        <v>11</v>
      </c>
    </row>
    <row r="90" spans="1:36">
      <c r="C90" s="12" t="s">
        <v>156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